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4\"/>
    </mc:Choice>
  </mc:AlternateContent>
  <bookViews>
    <workbookView xWindow="0" yWindow="0" windowWidth="19200" windowHeight="11595" tabRatio="727" firstSheet="12" activeTab="33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78" r:id="rId13"/>
    <sheet name="6.sz.mell." sheetId="63" r:id="rId14"/>
    <sheet name="7.sz.mell." sheetId="64" r:id="rId15"/>
    <sheet name="8. sz. mell. " sheetId="71" state="hidden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2. sz. mell." sheetId="85" r:id="rId25"/>
    <sheet name="13.sz.mell" sheetId="89" state="hidden" r:id="rId26"/>
    <sheet name="1. sz tájékoztató t." sheetId="87" state="hidden" r:id="rId27"/>
    <sheet name="2. sz tájékoztató t" sheetId="66" state="hidden" r:id="rId28"/>
    <sheet name="1a sz tájékoztató t." sheetId="106" state="hidden" r:id="rId29"/>
    <sheet name="1b. sz tájékoztató t." sheetId="105" state="hidden" r:id="rId30"/>
    <sheet name="2.sz tájékoztató t." sheetId="104" state="hidden" r:id="rId31"/>
    <sheet name="3. sz tájékoztató t." sheetId="88" state="hidden" r:id="rId32"/>
    <sheet name="4.sz tájékoztató t." sheetId="24" state="hidden" r:id="rId33"/>
    <sheet name="13. sz. mell." sheetId="108" r:id="rId34"/>
    <sheet name="5.sz tájékoztató t." sheetId="2" state="hidden" r:id="rId35"/>
    <sheet name="6.sz tájékoztató t." sheetId="70" state="hidden" r:id="rId36"/>
  </sheets>
  <definedNames>
    <definedName name="_xlnm.Print_Titles" localSheetId="23">'11. sz. mell.'!$1:$6</definedName>
    <definedName name="_xlnm.Print_Titles" localSheetId="24">'12. sz. mell.'!$1:$6</definedName>
    <definedName name="_xlnm.Print_Titles" localSheetId="28">'1a sz tájékoztató t.'!$1:$5</definedName>
    <definedName name="_xlnm.Print_Titles" localSheetId="29">'1b. sz tájékoztató t.'!$1:$5</definedName>
    <definedName name="_xlnm.Print_Titles" localSheetId="16">'9. sz. mell'!$1:$6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26">'1. sz tájékoztató t.'!$A$1:$E$120</definedName>
    <definedName name="_xlnm.Print_Area" localSheetId="3">'1.1.sz.mell.'!$A$1:$F$142</definedName>
    <definedName name="_xlnm.Print_Area" localSheetId="4">'1.2.sz.mell. _köt'!$A$1:$F$127</definedName>
    <definedName name="_xlnm.Print_Area" localSheetId="5">'1.3.sz.mell._önk'!$A$1:$F$127</definedName>
    <definedName name="_xlnm.Print_Area" localSheetId="6">'1.4.sz.mell._állig'!$A$1:$F$127</definedName>
    <definedName name="_xlnm.Print_Area" localSheetId="33">'13. sz. mell.'!$A$1:$I$32</definedName>
    <definedName name="_xlnm.Print_Area" localSheetId="28">'1a sz tájékoztató t.'!$A$1:$Q$109</definedName>
    <definedName name="_xlnm.Print_Area" localSheetId="29">'1b. sz tájékoztató t.'!$A$1:$Q$150</definedName>
    <definedName name="_xlnm.Print_Area" localSheetId="8">'2.2.sz.mell  '!$A$1:$L$36</definedName>
    <definedName name="_xlnm.Print_Area" localSheetId="30">'2.sz tájékoztató t.'!$E$1:$G$87</definedName>
    <definedName name="_xlnm.Print_Area" localSheetId="31">'3. sz tájékoztató t.'!$A$1:$D$37</definedName>
    <definedName name="_xlnm.Print_Area" localSheetId="32">'4.sz tájékoztató t.'!$A$1:$O$28</definedName>
    <definedName name="_xlnm.Print_Area" localSheetId="16">'9. sz. mell'!$A$1:$H$104</definedName>
  </definedNames>
  <calcPr calcId="152511"/>
</workbook>
</file>

<file path=xl/calcChain.xml><?xml version="1.0" encoding="utf-8"?>
<calcChain xmlns="http://schemas.openxmlformats.org/spreadsheetml/2006/main">
  <c r="E90" i="3" l="1"/>
  <c r="E25" i="103" l="1"/>
  <c r="E38" i="103"/>
  <c r="C14" i="61" l="1"/>
  <c r="E39" i="61"/>
  <c r="F39" i="61"/>
  <c r="D84" i="91"/>
  <c r="D99" i="91"/>
  <c r="D14" i="91"/>
  <c r="D48" i="91"/>
  <c r="D22" i="91"/>
  <c r="D98" i="91"/>
  <c r="E67" i="3"/>
  <c r="E40" i="103" l="1"/>
  <c r="D77" i="91" s="1"/>
  <c r="E23" i="78" l="1"/>
  <c r="H19" i="78"/>
  <c r="H18" i="78"/>
  <c r="D5" i="78"/>
  <c r="E50" i="3"/>
  <c r="F67" i="3"/>
  <c r="G67" i="3"/>
  <c r="H67" i="3"/>
  <c r="F68" i="3"/>
  <c r="G68" i="3"/>
  <c r="H68" i="3"/>
  <c r="F73" i="3"/>
  <c r="F69" i="3" s="1"/>
  <c r="G73" i="3"/>
  <c r="G69" i="3" s="1"/>
  <c r="H73" i="3"/>
  <c r="H69" i="3" s="1"/>
  <c r="F78" i="3"/>
  <c r="G78" i="3"/>
  <c r="H78" i="3"/>
  <c r="F90" i="3"/>
  <c r="F89" i="3" s="1"/>
  <c r="G90" i="3"/>
  <c r="G89" i="3" s="1"/>
  <c r="H90" i="3"/>
  <c r="H89" i="3" s="1"/>
  <c r="F95" i="3"/>
  <c r="G95" i="3"/>
  <c r="H95" i="3"/>
  <c r="F9" i="3"/>
  <c r="G9" i="3"/>
  <c r="H9" i="3"/>
  <c r="F14" i="3"/>
  <c r="G14" i="3"/>
  <c r="H14" i="3"/>
  <c r="F25" i="3"/>
  <c r="G25" i="3"/>
  <c r="H25" i="3"/>
  <c r="F26" i="3"/>
  <c r="G26" i="3"/>
  <c r="H26" i="3"/>
  <c r="F34" i="3"/>
  <c r="G34" i="3"/>
  <c r="H34" i="3"/>
  <c r="F40" i="3"/>
  <c r="G40" i="3"/>
  <c r="H40" i="3"/>
  <c r="F46" i="3"/>
  <c r="G46" i="3"/>
  <c r="H46" i="3"/>
  <c r="F49" i="3"/>
  <c r="G49" i="3"/>
  <c r="H49" i="3"/>
  <c r="F55" i="3"/>
  <c r="G55" i="3"/>
  <c r="H55" i="3"/>
  <c r="H33" i="3" l="1"/>
  <c r="G33" i="3"/>
  <c r="F33" i="3"/>
  <c r="H24" i="3"/>
  <c r="H54" i="3" s="1"/>
  <c r="H59" i="3" s="1"/>
  <c r="G24" i="3"/>
  <c r="F24" i="3"/>
  <c r="F54" i="3" s="1"/>
  <c r="F59" i="3" s="1"/>
  <c r="H8" i="3"/>
  <c r="G8" i="3"/>
  <c r="F8" i="3"/>
  <c r="H64" i="3"/>
  <c r="H94" i="3" s="1"/>
  <c r="H99" i="3" s="1"/>
  <c r="G64" i="3"/>
  <c r="G94" i="3" s="1"/>
  <c r="G99" i="3" s="1"/>
  <c r="F64" i="3"/>
  <c r="F94" i="3" s="1"/>
  <c r="F99" i="3" s="1"/>
  <c r="G54" i="3"/>
  <c r="G59" i="3" s="1"/>
  <c r="F8" i="84"/>
  <c r="G8" i="84"/>
  <c r="F17" i="84"/>
  <c r="G17" i="84"/>
  <c r="F22" i="84"/>
  <c r="G22" i="84"/>
  <c r="F25" i="84"/>
  <c r="G25" i="84"/>
  <c r="F26" i="84"/>
  <c r="F31" i="84" s="1"/>
  <c r="F27" i="84"/>
  <c r="G27" i="84"/>
  <c r="F41" i="84"/>
  <c r="G41" i="84"/>
  <c r="F35" i="84"/>
  <c r="G35" i="84"/>
  <c r="G48" i="84" s="1"/>
  <c r="F8" i="103"/>
  <c r="G8" i="103"/>
  <c r="G36" i="103"/>
  <c r="F27" i="103"/>
  <c r="G27" i="103"/>
  <c r="F48" i="84" l="1"/>
  <c r="G26" i="84"/>
  <c r="G31" i="84" s="1"/>
  <c r="H27" i="78"/>
  <c r="H13" i="78"/>
  <c r="H29" i="78" l="1"/>
  <c r="B79" i="107" l="1"/>
  <c r="I77" i="107"/>
  <c r="I76" i="107"/>
  <c r="I75" i="107"/>
  <c r="I74" i="107"/>
  <c r="H74" i="107"/>
  <c r="H79" i="107" s="1"/>
  <c r="G74" i="107"/>
  <c r="G79" i="107" s="1"/>
  <c r="F74" i="107"/>
  <c r="F79" i="107" s="1"/>
  <c r="E74" i="107"/>
  <c r="E79" i="107" s="1"/>
  <c r="D74" i="107"/>
  <c r="D79" i="107" s="1"/>
  <c r="C74" i="107"/>
  <c r="C79" i="107" s="1"/>
  <c r="B74" i="107"/>
  <c r="I72" i="107"/>
  <c r="I71" i="107"/>
  <c r="E73" i="3"/>
  <c r="E8" i="70"/>
  <c r="E25" i="84"/>
  <c r="E37" i="84"/>
  <c r="D75" i="91" s="1"/>
  <c r="E36" i="84"/>
  <c r="D74" i="91" s="1"/>
  <c r="I62" i="107"/>
  <c r="I61" i="107"/>
  <c r="I60" i="107"/>
  <c r="H59" i="107"/>
  <c r="H64" i="107" s="1"/>
  <c r="G59" i="107"/>
  <c r="G64" i="107" s="1"/>
  <c r="F59" i="107"/>
  <c r="F64" i="107" s="1"/>
  <c r="E59" i="107"/>
  <c r="E64" i="107" s="1"/>
  <c r="D59" i="107"/>
  <c r="D64" i="107" s="1"/>
  <c r="C59" i="107"/>
  <c r="C64" i="107" s="1"/>
  <c r="B59" i="107"/>
  <c r="B64" i="107" s="1"/>
  <c r="I57" i="107"/>
  <c r="I56" i="107"/>
  <c r="I59" i="107" l="1"/>
  <c r="I79" i="107"/>
  <c r="I64" i="107"/>
  <c r="D17" i="61"/>
  <c r="D15" i="73"/>
  <c r="I47" i="107"/>
  <c r="I46" i="107"/>
  <c r="I45" i="107"/>
  <c r="H44" i="107"/>
  <c r="H49" i="107" s="1"/>
  <c r="G44" i="107"/>
  <c r="G49" i="107" s="1"/>
  <c r="F44" i="107"/>
  <c r="F49" i="107" s="1"/>
  <c r="E44" i="107"/>
  <c r="E49" i="107" s="1"/>
  <c r="D44" i="107"/>
  <c r="D49" i="107" s="1"/>
  <c r="C44" i="107"/>
  <c r="C49" i="107" s="1"/>
  <c r="B44" i="107"/>
  <c r="B49" i="107" s="1"/>
  <c r="I42" i="107"/>
  <c r="I41" i="107"/>
  <c r="D20" i="78"/>
  <c r="D14" i="1"/>
  <c r="I44" i="107" l="1"/>
  <c r="I49" i="107"/>
  <c r="F24" i="63"/>
  <c r="F24" i="64"/>
  <c r="E39" i="103"/>
  <c r="D76" i="91" s="1"/>
  <c r="D76" i="1" s="1"/>
  <c r="E6" i="70" l="1"/>
  <c r="F9" i="70"/>
  <c r="F6" i="70"/>
  <c r="D38" i="70"/>
  <c r="F38" i="70" l="1"/>
  <c r="F39" i="103"/>
  <c r="F36" i="103" s="1"/>
  <c r="E27" i="103"/>
  <c r="E78" i="3"/>
  <c r="D78" i="3"/>
  <c r="J88" i="2"/>
  <c r="J6" i="2"/>
  <c r="J8" i="2"/>
  <c r="J9" i="2"/>
  <c r="J11" i="2"/>
  <c r="J13" i="2"/>
  <c r="J18" i="2"/>
  <c r="J19" i="2"/>
  <c r="J21" i="2"/>
  <c r="J22" i="2"/>
  <c r="J24" i="2"/>
  <c r="J25" i="2"/>
  <c r="J27" i="2"/>
  <c r="J28" i="2"/>
  <c r="J30" i="2"/>
  <c r="J31" i="2"/>
  <c r="J33" i="2"/>
  <c r="J35" i="2"/>
  <c r="J36" i="2"/>
  <c r="J37" i="2"/>
  <c r="J38" i="2"/>
  <c r="J39" i="2"/>
  <c r="J40" i="2"/>
  <c r="J41" i="2"/>
  <c r="J42" i="2"/>
  <c r="J43" i="2"/>
  <c r="J44" i="2"/>
  <c r="J45" i="2"/>
  <c r="J46" i="2"/>
  <c r="J48" i="2"/>
  <c r="J49" i="2"/>
  <c r="J52" i="2"/>
  <c r="J53" i="2"/>
  <c r="J54" i="2"/>
  <c r="J55" i="2"/>
  <c r="J56" i="2"/>
  <c r="J57" i="2"/>
  <c r="J58" i="2"/>
  <c r="J59" i="2"/>
  <c r="J63" i="2"/>
  <c r="J64" i="2"/>
  <c r="J66" i="2"/>
  <c r="J67" i="2"/>
  <c r="J69" i="2"/>
  <c r="J70" i="2"/>
  <c r="J71" i="2"/>
  <c r="J72" i="2"/>
  <c r="J75" i="2"/>
  <c r="J76" i="2"/>
  <c r="J78" i="2"/>
  <c r="J79" i="2"/>
  <c r="I77" i="2"/>
  <c r="I74" i="2"/>
  <c r="I73" i="2" s="1"/>
  <c r="I68" i="2"/>
  <c r="I65" i="2"/>
  <c r="I62" i="2"/>
  <c r="I51" i="2"/>
  <c r="I47" i="2"/>
  <c r="I34" i="2"/>
  <c r="I29" i="2"/>
  <c r="I20" i="2"/>
  <c r="I17" i="2"/>
  <c r="I32" i="2" s="1"/>
  <c r="I10" i="2"/>
  <c r="I5" i="2"/>
  <c r="I15" i="2"/>
  <c r="H77" i="2"/>
  <c r="H74" i="2"/>
  <c r="H68" i="2"/>
  <c r="H65" i="2"/>
  <c r="H62" i="2"/>
  <c r="H51" i="2"/>
  <c r="H47" i="2"/>
  <c r="H50" i="2" s="1"/>
  <c r="H29" i="2"/>
  <c r="H26" i="2"/>
  <c r="J26" i="2" s="1"/>
  <c r="H23" i="2"/>
  <c r="J23" i="2" s="1"/>
  <c r="H20" i="2"/>
  <c r="H17" i="2"/>
  <c r="H10" i="2"/>
  <c r="H5" i="2"/>
  <c r="H4" i="2"/>
  <c r="H15" i="2" s="1"/>
  <c r="G84" i="104"/>
  <c r="G75" i="104"/>
  <c r="D13" i="78"/>
  <c r="E13" i="78"/>
  <c r="D27" i="78"/>
  <c r="D29" i="78" s="1"/>
  <c r="E27" i="78"/>
  <c r="E29" i="78" s="1"/>
  <c r="G41" i="85"/>
  <c r="G35" i="85"/>
  <c r="G27" i="85"/>
  <c r="G22" i="85"/>
  <c r="G17" i="85"/>
  <c r="G8" i="85"/>
  <c r="F41" i="85"/>
  <c r="F35" i="85"/>
  <c r="F27" i="85"/>
  <c r="F22" i="85"/>
  <c r="F17" i="85"/>
  <c r="F8" i="85"/>
  <c r="G42" i="103"/>
  <c r="G49" i="103" s="1"/>
  <c r="G22" i="103"/>
  <c r="G17" i="103"/>
  <c r="F42" i="103"/>
  <c r="F22" i="103"/>
  <c r="F17" i="103"/>
  <c r="F26" i="103" s="1"/>
  <c r="G19" i="78"/>
  <c r="G18" i="78"/>
  <c r="K31" i="61"/>
  <c r="J31" i="61"/>
  <c r="K27" i="73"/>
  <c r="J27" i="73"/>
  <c r="F111" i="93"/>
  <c r="F103" i="93"/>
  <c r="F102" i="93" s="1"/>
  <c r="F97" i="93"/>
  <c r="F86" i="93"/>
  <c r="F73" i="93"/>
  <c r="F59" i="93"/>
  <c r="F53" i="93"/>
  <c r="F46" i="93"/>
  <c r="F43" i="93"/>
  <c r="F37" i="93"/>
  <c r="F31" i="93"/>
  <c r="F22" i="93"/>
  <c r="F21" i="93" s="1"/>
  <c r="F11" i="93"/>
  <c r="F6" i="93"/>
  <c r="F5" i="93" s="1"/>
  <c r="E111" i="93"/>
  <c r="E103" i="93"/>
  <c r="E97" i="93"/>
  <c r="E86" i="93"/>
  <c r="E73" i="93"/>
  <c r="E59" i="93"/>
  <c r="E53" i="93"/>
  <c r="E46" i="93"/>
  <c r="E43" i="93"/>
  <c r="E37" i="93"/>
  <c r="E31" i="93"/>
  <c r="E22" i="93"/>
  <c r="E21" i="93" s="1"/>
  <c r="E11" i="93"/>
  <c r="E6" i="93"/>
  <c r="E5" i="93" s="1"/>
  <c r="F111" i="92"/>
  <c r="F103" i="92"/>
  <c r="F97" i="92"/>
  <c r="F86" i="92"/>
  <c r="F73" i="92"/>
  <c r="F59" i="92"/>
  <c r="F53" i="92"/>
  <c r="F46" i="92"/>
  <c r="F43" i="92"/>
  <c r="F37" i="92"/>
  <c r="F31" i="92"/>
  <c r="F21" i="92"/>
  <c r="F11" i="92"/>
  <c r="F6" i="92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F111" i="91"/>
  <c r="F103" i="91"/>
  <c r="F98" i="91"/>
  <c r="F86" i="91"/>
  <c r="F84" i="91"/>
  <c r="F82" i="91"/>
  <c r="F77" i="91"/>
  <c r="F76" i="91"/>
  <c r="F75" i="91"/>
  <c r="F74" i="91"/>
  <c r="F59" i="91"/>
  <c r="F53" i="91"/>
  <c r="F46" i="91"/>
  <c r="F43" i="91"/>
  <c r="F37" i="91"/>
  <c r="F31" i="91"/>
  <c r="F30" i="91" s="1"/>
  <c r="F22" i="91"/>
  <c r="F21" i="91" s="1"/>
  <c r="F14" i="91"/>
  <c r="F7" i="91"/>
  <c r="E111" i="91"/>
  <c r="E103" i="91"/>
  <c r="E98" i="91"/>
  <c r="E97" i="91" s="1"/>
  <c r="E86" i="91"/>
  <c r="E84" i="91"/>
  <c r="E82" i="91"/>
  <c r="E77" i="91"/>
  <c r="E77" i="1" s="1"/>
  <c r="J9" i="73" s="1"/>
  <c r="E76" i="91"/>
  <c r="E75" i="91"/>
  <c r="E75" i="1" s="1"/>
  <c r="J7" i="73" s="1"/>
  <c r="E74" i="91"/>
  <c r="E59" i="91"/>
  <c r="E53" i="91"/>
  <c r="E46" i="91"/>
  <c r="E43" i="91"/>
  <c r="E37" i="91"/>
  <c r="E31" i="91"/>
  <c r="E22" i="91"/>
  <c r="E21" i="91" s="1"/>
  <c r="E14" i="91"/>
  <c r="E11" i="91" s="1"/>
  <c r="E7" i="91"/>
  <c r="F142" i="1"/>
  <c r="F141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99" i="1"/>
  <c r="F96" i="1"/>
  <c r="F95" i="1"/>
  <c r="F94" i="1"/>
  <c r="F93" i="1"/>
  <c r="F92" i="1"/>
  <c r="F91" i="1"/>
  <c r="F90" i="1"/>
  <c r="F89" i="1"/>
  <c r="F88" i="1"/>
  <c r="K7" i="61" s="1"/>
  <c r="F87" i="1"/>
  <c r="K6" i="61" s="1"/>
  <c r="F85" i="1"/>
  <c r="F84" i="1"/>
  <c r="F83" i="1"/>
  <c r="F81" i="1"/>
  <c r="F80" i="1"/>
  <c r="F79" i="1"/>
  <c r="F77" i="1"/>
  <c r="K9" i="73" s="1"/>
  <c r="F76" i="1"/>
  <c r="K8" i="73" s="1"/>
  <c r="F75" i="1"/>
  <c r="K7" i="73" s="1"/>
  <c r="F74" i="1"/>
  <c r="K6" i="73" s="1"/>
  <c r="F66" i="1"/>
  <c r="F64" i="1"/>
  <c r="F63" i="1"/>
  <c r="F62" i="1"/>
  <c r="F61" i="1"/>
  <c r="F60" i="1"/>
  <c r="F58" i="1"/>
  <c r="F57" i="1"/>
  <c r="F56" i="1"/>
  <c r="F55" i="1"/>
  <c r="F54" i="1"/>
  <c r="F50" i="1"/>
  <c r="F49" i="1"/>
  <c r="F48" i="1"/>
  <c r="F47" i="1"/>
  <c r="F45" i="1"/>
  <c r="F44" i="1"/>
  <c r="F42" i="1"/>
  <c r="F41" i="1"/>
  <c r="F40" i="1"/>
  <c r="F39" i="1"/>
  <c r="F38" i="1"/>
  <c r="F36" i="1"/>
  <c r="F35" i="1"/>
  <c r="F34" i="1"/>
  <c r="F33" i="1"/>
  <c r="F32" i="1"/>
  <c r="F29" i="1"/>
  <c r="F28" i="1"/>
  <c r="F27" i="1"/>
  <c r="F26" i="1"/>
  <c r="F25" i="1"/>
  <c r="F24" i="1"/>
  <c r="F23" i="1"/>
  <c r="F20" i="1"/>
  <c r="F19" i="1"/>
  <c r="F18" i="1"/>
  <c r="F17" i="1"/>
  <c r="F16" i="1"/>
  <c r="F15" i="1"/>
  <c r="F13" i="1"/>
  <c r="F12" i="1"/>
  <c r="F10" i="1"/>
  <c r="F9" i="1"/>
  <c r="F8" i="1"/>
  <c r="E142" i="1"/>
  <c r="E141" i="1"/>
  <c r="E139" i="1"/>
  <c r="E138" i="1"/>
  <c r="E131" i="1"/>
  <c r="E130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5" i="1"/>
  <c r="E104" i="1"/>
  <c r="E99" i="1"/>
  <c r="E98" i="1"/>
  <c r="E96" i="1"/>
  <c r="E95" i="1"/>
  <c r="E94" i="1"/>
  <c r="E93" i="1"/>
  <c r="E92" i="1"/>
  <c r="E91" i="1"/>
  <c r="E90" i="1"/>
  <c r="E89" i="1"/>
  <c r="E88" i="1"/>
  <c r="J7" i="61" s="1"/>
  <c r="E87" i="1"/>
  <c r="J6" i="61" s="1"/>
  <c r="E85" i="1"/>
  <c r="E84" i="1"/>
  <c r="E83" i="1"/>
  <c r="E81" i="1"/>
  <c r="E80" i="1"/>
  <c r="E79" i="1"/>
  <c r="E76" i="1"/>
  <c r="J8" i="73" s="1"/>
  <c r="E74" i="1"/>
  <c r="J6" i="73" s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E19" i="1"/>
  <c r="E18" i="1"/>
  <c r="E17" i="1"/>
  <c r="E16" i="1"/>
  <c r="E15" i="1"/>
  <c r="E14" i="1"/>
  <c r="E13" i="1"/>
  <c r="E12" i="1"/>
  <c r="E10" i="1"/>
  <c r="E9" i="1"/>
  <c r="E8" i="1"/>
  <c r="D38" i="1"/>
  <c r="D39" i="1"/>
  <c r="D40" i="1"/>
  <c r="D41" i="1"/>
  <c r="D42" i="1"/>
  <c r="D20" i="61"/>
  <c r="D19" i="61" s="1"/>
  <c r="D31" i="61" s="1"/>
  <c r="D139" i="1" s="1"/>
  <c r="D20" i="73"/>
  <c r="D19" i="73" s="1"/>
  <c r="D99" i="1"/>
  <c r="I16" i="61" s="1"/>
  <c r="B10" i="64"/>
  <c r="H11" i="63"/>
  <c r="D19" i="1"/>
  <c r="D11" i="91"/>
  <c r="D77" i="1"/>
  <c r="D78" i="91"/>
  <c r="D7" i="91"/>
  <c r="D7" i="1" s="1"/>
  <c r="E69" i="3"/>
  <c r="E64" i="3" s="1"/>
  <c r="D69" i="3"/>
  <c r="D64" i="3" s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98" i="1"/>
  <c r="I11" i="73" s="1"/>
  <c r="D96" i="1"/>
  <c r="D95" i="1"/>
  <c r="D94" i="1"/>
  <c r="D93" i="1"/>
  <c r="D92" i="1"/>
  <c r="D91" i="1"/>
  <c r="D90" i="1"/>
  <c r="D85" i="1"/>
  <c r="D84" i="1"/>
  <c r="D83" i="1"/>
  <c r="D82" i="1"/>
  <c r="D81" i="1"/>
  <c r="D80" i="1"/>
  <c r="D79" i="1"/>
  <c r="D66" i="1"/>
  <c r="D64" i="1"/>
  <c r="D63" i="1"/>
  <c r="D62" i="1"/>
  <c r="D61" i="1"/>
  <c r="D60" i="1"/>
  <c r="D58" i="1"/>
  <c r="D57" i="1"/>
  <c r="D56" i="1"/>
  <c r="D55" i="1"/>
  <c r="D54" i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1" i="1" s="1"/>
  <c r="D7" i="73" s="1"/>
  <c r="D10" i="1"/>
  <c r="D9" i="1"/>
  <c r="D8" i="1"/>
  <c r="D111" i="91"/>
  <c r="D103" i="91"/>
  <c r="D97" i="91"/>
  <c r="D88" i="1"/>
  <c r="I7" i="61" s="1"/>
  <c r="D86" i="91"/>
  <c r="I8" i="73"/>
  <c r="D75" i="1"/>
  <c r="I7" i="73" s="1"/>
  <c r="D74" i="1"/>
  <c r="I6" i="73" s="1"/>
  <c r="D59" i="91"/>
  <c r="D53" i="91"/>
  <c r="D46" i="91"/>
  <c r="D43" i="91"/>
  <c r="D37" i="91"/>
  <c r="D36" i="1"/>
  <c r="D21" i="9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6" i="92"/>
  <c r="D5" i="92" s="1"/>
  <c r="D111" i="93"/>
  <c r="D103" i="93"/>
  <c r="D97" i="93"/>
  <c r="D86" i="93"/>
  <c r="D73" i="93"/>
  <c r="D59" i="93"/>
  <c r="D53" i="93"/>
  <c r="D46" i="93"/>
  <c r="D43" i="93"/>
  <c r="D37" i="93"/>
  <c r="D31" i="93"/>
  <c r="D22" i="93"/>
  <c r="D11" i="93"/>
  <c r="D6" i="93"/>
  <c r="D5" i="93" s="1"/>
  <c r="I27" i="73"/>
  <c r="D141" i="1" s="1"/>
  <c r="D24" i="73"/>
  <c r="I31" i="61"/>
  <c r="D142" i="1" s="1"/>
  <c r="D25" i="61"/>
  <c r="E95" i="3"/>
  <c r="E89" i="3"/>
  <c r="E55" i="3"/>
  <c r="E49" i="3"/>
  <c r="E46" i="3"/>
  <c r="E40" i="3"/>
  <c r="E34" i="3"/>
  <c r="E24" i="3"/>
  <c r="E14" i="3"/>
  <c r="E9" i="3"/>
  <c r="E42" i="103"/>
  <c r="E36" i="103"/>
  <c r="E22" i="103"/>
  <c r="E17" i="103"/>
  <c r="E8" i="103"/>
  <c r="E41" i="85"/>
  <c r="E35" i="85"/>
  <c r="E27" i="85"/>
  <c r="E22" i="85"/>
  <c r="E17" i="85"/>
  <c r="E8" i="85"/>
  <c r="E41" i="84"/>
  <c r="E35" i="84"/>
  <c r="E48" i="84" s="1"/>
  <c r="E27" i="84"/>
  <c r="E22" i="84"/>
  <c r="E17" i="84"/>
  <c r="E8" i="84"/>
  <c r="C29" i="107"/>
  <c r="C34" i="107" s="1"/>
  <c r="D29" i="107"/>
  <c r="D34" i="107" s="1"/>
  <c r="E29" i="107"/>
  <c r="F29" i="107"/>
  <c r="F34" i="107" s="1"/>
  <c r="G29" i="107"/>
  <c r="G34" i="107" s="1"/>
  <c r="H29" i="107"/>
  <c r="H34" i="107" s="1"/>
  <c r="B29" i="107"/>
  <c r="B34" i="107" s="1"/>
  <c r="I32" i="107"/>
  <c r="I31" i="107"/>
  <c r="I30" i="107"/>
  <c r="E34" i="107"/>
  <c r="I27" i="107"/>
  <c r="I26" i="107"/>
  <c r="D19" i="108"/>
  <c r="D30" i="108" s="1"/>
  <c r="D32" i="108" s="1"/>
  <c r="B11" i="64"/>
  <c r="H11" i="64" s="1"/>
  <c r="B9" i="64"/>
  <c r="B8" i="64"/>
  <c r="B7" i="64"/>
  <c r="B6" i="64"/>
  <c r="B5" i="64"/>
  <c r="B8" i="63"/>
  <c r="B7" i="63"/>
  <c r="B5" i="63"/>
  <c r="B6" i="63"/>
  <c r="H6" i="63" s="1"/>
  <c r="C88" i="91"/>
  <c r="C88" i="1" s="1"/>
  <c r="C87" i="91"/>
  <c r="C87" i="1" s="1"/>
  <c r="Q21" i="24" s="1"/>
  <c r="C70" i="104"/>
  <c r="C61" i="104"/>
  <c r="G52" i="104"/>
  <c r="G53" i="104" s="1"/>
  <c r="G54" i="104" s="1"/>
  <c r="C35" i="104"/>
  <c r="C37" i="104" s="1"/>
  <c r="C38" i="104" s="1"/>
  <c r="G19" i="104"/>
  <c r="C19" i="104"/>
  <c r="C20" i="104" s="1"/>
  <c r="G15" i="104"/>
  <c r="G21" i="104" s="1"/>
  <c r="C10" i="88"/>
  <c r="H6" i="24"/>
  <c r="T20" i="24"/>
  <c r="F21" i="24"/>
  <c r="E21" i="24"/>
  <c r="G6" i="24"/>
  <c r="F6" i="24"/>
  <c r="N6" i="24"/>
  <c r="M6" i="24"/>
  <c r="L6" i="24"/>
  <c r="K6" i="24"/>
  <c r="I6" i="24"/>
  <c r="E6" i="24"/>
  <c r="D6" i="24"/>
  <c r="C6" i="24"/>
  <c r="V6" i="24"/>
  <c r="N8" i="24"/>
  <c r="F8" i="24"/>
  <c r="E8" i="24"/>
  <c r="D8" i="24"/>
  <c r="C8" i="24"/>
  <c r="S8" i="24"/>
  <c r="K5" i="24"/>
  <c r="N5" i="24"/>
  <c r="M5" i="24"/>
  <c r="L5" i="24"/>
  <c r="J5" i="24"/>
  <c r="J14" i="24" s="1"/>
  <c r="I5" i="24"/>
  <c r="H5" i="24"/>
  <c r="G5" i="24"/>
  <c r="F5" i="24"/>
  <c r="F14" i="24" s="1"/>
  <c r="E5" i="24"/>
  <c r="D5" i="24"/>
  <c r="C5" i="24"/>
  <c r="I16" i="107"/>
  <c r="I15" i="107"/>
  <c r="I14" i="107"/>
  <c r="H13" i="107"/>
  <c r="H18" i="107" s="1"/>
  <c r="G13" i="107"/>
  <c r="G18" i="107" s="1"/>
  <c r="E13" i="107"/>
  <c r="E18" i="107" s="1"/>
  <c r="D13" i="107"/>
  <c r="D18" i="107" s="1"/>
  <c r="C13" i="107"/>
  <c r="C18" i="107" s="1"/>
  <c r="B13" i="107"/>
  <c r="B18" i="107" s="1"/>
  <c r="I11" i="107"/>
  <c r="I10" i="107"/>
  <c r="I9" i="107"/>
  <c r="O129" i="105"/>
  <c r="O136" i="105" s="1"/>
  <c r="Q125" i="105"/>
  <c r="O125" i="105"/>
  <c r="Q123" i="105"/>
  <c r="O123" i="105"/>
  <c r="O48" i="106"/>
  <c r="F19" i="78"/>
  <c r="F18" i="78"/>
  <c r="F7" i="78"/>
  <c r="F6" i="78"/>
  <c r="F5" i="78"/>
  <c r="C27" i="78"/>
  <c r="B41" i="71"/>
  <c r="D38" i="84"/>
  <c r="D35" i="84" s="1"/>
  <c r="D39" i="103"/>
  <c r="D36" i="103" s="1"/>
  <c r="D93" i="3"/>
  <c r="D39" i="3"/>
  <c r="D34" i="3" s="1"/>
  <c r="D42" i="103"/>
  <c r="D27" i="103"/>
  <c r="D22" i="103"/>
  <c r="D17" i="103"/>
  <c r="D8" i="103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C9" i="24"/>
  <c r="O9" i="24" s="1"/>
  <c r="T9" i="24"/>
  <c r="L16" i="24"/>
  <c r="L17" i="24" s="1"/>
  <c r="D16" i="24"/>
  <c r="D17" i="24" s="1"/>
  <c r="E16" i="24"/>
  <c r="E17" i="24" s="1"/>
  <c r="F16" i="24"/>
  <c r="F17" i="24" s="1"/>
  <c r="G16" i="24"/>
  <c r="G17" i="24" s="1"/>
  <c r="H16" i="24"/>
  <c r="H17" i="24" s="1"/>
  <c r="I16" i="24"/>
  <c r="I17" i="24" s="1"/>
  <c r="J16" i="24"/>
  <c r="J17" i="24" s="1"/>
  <c r="K16" i="24"/>
  <c r="K17" i="24" s="1"/>
  <c r="M16" i="24"/>
  <c r="N16" i="24"/>
  <c r="N27" i="24" s="1"/>
  <c r="C16" i="24"/>
  <c r="G18" i="24"/>
  <c r="H18" i="24"/>
  <c r="I18" i="24"/>
  <c r="J18" i="24"/>
  <c r="K18" i="24"/>
  <c r="L18" i="24"/>
  <c r="M18" i="24"/>
  <c r="N18" i="24"/>
  <c r="F18" i="24"/>
  <c r="E18" i="24"/>
  <c r="E11" i="24"/>
  <c r="G11" i="24"/>
  <c r="I11" i="24"/>
  <c r="K11" i="24"/>
  <c r="M11" i="24"/>
  <c r="M14" i="24" s="1"/>
  <c r="C11" i="24"/>
  <c r="T6" i="24"/>
  <c r="R15" i="24"/>
  <c r="Q25" i="24"/>
  <c r="G77" i="2"/>
  <c r="G74" i="2"/>
  <c r="G68" i="2"/>
  <c r="G65" i="2"/>
  <c r="G62" i="2"/>
  <c r="G51" i="2"/>
  <c r="G47" i="2"/>
  <c r="G34" i="2"/>
  <c r="G29" i="2"/>
  <c r="G26" i="2"/>
  <c r="G23" i="2"/>
  <c r="G20" i="2"/>
  <c r="G16" i="2" s="1"/>
  <c r="G32" i="2" s="1"/>
  <c r="G17" i="2"/>
  <c r="G10" i="2"/>
  <c r="G5" i="2"/>
  <c r="G4" i="2"/>
  <c r="G15" i="2" s="1"/>
  <c r="E9" i="70"/>
  <c r="C22" i="91"/>
  <c r="C22" i="93"/>
  <c r="C21" i="93" s="1"/>
  <c r="C77" i="91"/>
  <c r="C77" i="1" s="1"/>
  <c r="C75" i="91"/>
  <c r="C74" i="91"/>
  <c r="C74" i="1" s="1"/>
  <c r="C7" i="91"/>
  <c r="C7" i="1" s="1"/>
  <c r="C76" i="91"/>
  <c r="C76" i="1" s="1"/>
  <c r="C96" i="1"/>
  <c r="C89" i="1"/>
  <c r="Q23" i="24" s="1"/>
  <c r="C90" i="1"/>
  <c r="C91" i="1"/>
  <c r="C92" i="1"/>
  <c r="C93" i="1"/>
  <c r="C94" i="1"/>
  <c r="C95" i="1"/>
  <c r="C119" i="1"/>
  <c r="C118" i="1"/>
  <c r="C117" i="1"/>
  <c r="C116" i="1"/>
  <c r="C115" i="1"/>
  <c r="C114" i="1"/>
  <c r="C113" i="1"/>
  <c r="C112" i="1"/>
  <c r="C104" i="1"/>
  <c r="C105" i="1"/>
  <c r="C106" i="1"/>
  <c r="C107" i="1"/>
  <c r="C108" i="1"/>
  <c r="C109" i="1"/>
  <c r="C110" i="1"/>
  <c r="C98" i="1"/>
  <c r="C85" i="1"/>
  <c r="C80" i="1"/>
  <c r="C81" i="1"/>
  <c r="C82" i="1"/>
  <c r="C83" i="1"/>
  <c r="C84" i="1"/>
  <c r="C79" i="1"/>
  <c r="C78" i="91"/>
  <c r="C78" i="1" s="1"/>
  <c r="Q20" i="24" s="1"/>
  <c r="C75" i="1"/>
  <c r="Q17" i="24" s="1"/>
  <c r="C99" i="91"/>
  <c r="C99" i="1" s="1"/>
  <c r="H7" i="73"/>
  <c r="C36" i="91"/>
  <c r="C36" i="1" s="1"/>
  <c r="C32" i="1"/>
  <c r="C33" i="1"/>
  <c r="C34" i="1"/>
  <c r="C35" i="1"/>
  <c r="C66" i="1"/>
  <c r="C64" i="1"/>
  <c r="C63" i="1"/>
  <c r="C62" i="1"/>
  <c r="C61" i="1"/>
  <c r="C60" i="1"/>
  <c r="C55" i="1"/>
  <c r="C56" i="1"/>
  <c r="C53" i="1" s="1"/>
  <c r="C57" i="1"/>
  <c r="C58" i="1"/>
  <c r="C54" i="1"/>
  <c r="C50" i="1"/>
  <c r="Q12" i="24" s="1"/>
  <c r="C48" i="1"/>
  <c r="C7" i="61" s="1"/>
  <c r="C49" i="1"/>
  <c r="C47" i="1"/>
  <c r="C8" i="77" s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3" i="1"/>
  <c r="C12" i="1"/>
  <c r="C14" i="1"/>
  <c r="C15" i="1"/>
  <c r="C16" i="1"/>
  <c r="C17" i="1"/>
  <c r="C18" i="1"/>
  <c r="C19" i="1"/>
  <c r="C8" i="1"/>
  <c r="C9" i="1"/>
  <c r="C7" i="77" s="1"/>
  <c r="C10" i="1"/>
  <c r="H31" i="61"/>
  <c r="F139" i="1" s="1"/>
  <c r="C19" i="61"/>
  <c r="H27" i="73"/>
  <c r="F138" i="1" s="1"/>
  <c r="C19" i="73"/>
  <c r="C25" i="61"/>
  <c r="C24" i="73"/>
  <c r="C27" i="73" s="1"/>
  <c r="C138" i="1" s="1"/>
  <c r="C141" i="1"/>
  <c r="E73" i="87"/>
  <c r="E86" i="87"/>
  <c r="E97" i="87"/>
  <c r="E103" i="87"/>
  <c r="E111" i="87"/>
  <c r="D73" i="87"/>
  <c r="D86" i="87"/>
  <c r="D97" i="87"/>
  <c r="D103" i="87"/>
  <c r="D111" i="87"/>
  <c r="C73" i="87"/>
  <c r="C86" i="87"/>
  <c r="C97" i="87"/>
  <c r="C103" i="87"/>
  <c r="C111" i="87"/>
  <c r="E6" i="87"/>
  <c r="E11" i="87"/>
  <c r="E21" i="87"/>
  <c r="E31" i="87"/>
  <c r="E37" i="87"/>
  <c r="E43" i="87"/>
  <c r="E46" i="87"/>
  <c r="E53" i="87"/>
  <c r="E59" i="87"/>
  <c r="D6" i="87"/>
  <c r="D11" i="87"/>
  <c r="D21" i="87"/>
  <c r="D31" i="87"/>
  <c r="D37" i="87"/>
  <c r="D43" i="87"/>
  <c r="D46" i="87"/>
  <c r="D53" i="87"/>
  <c r="D59" i="87"/>
  <c r="C6" i="87"/>
  <c r="C11" i="87"/>
  <c r="C21" i="87"/>
  <c r="C31" i="87"/>
  <c r="C37" i="87"/>
  <c r="C43" i="87"/>
  <c r="C46" i="87"/>
  <c r="C53" i="87"/>
  <c r="C59" i="87"/>
  <c r="C52" i="87" s="1"/>
  <c r="D35" i="85"/>
  <c r="D41" i="85"/>
  <c r="D8" i="85"/>
  <c r="D17" i="85"/>
  <c r="D22" i="85"/>
  <c r="D27" i="85"/>
  <c r="D41" i="84"/>
  <c r="D8" i="84"/>
  <c r="D17" i="84"/>
  <c r="D22" i="84"/>
  <c r="D27" i="8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D89" i="3"/>
  <c r="D95" i="3"/>
  <c r="D9" i="3"/>
  <c r="D14" i="3"/>
  <c r="D24" i="3"/>
  <c r="D40" i="3"/>
  <c r="D46" i="3"/>
  <c r="D49" i="3"/>
  <c r="D55" i="3"/>
  <c r="C6" i="92"/>
  <c r="C11" i="92"/>
  <c r="C21" i="92"/>
  <c r="C31" i="92"/>
  <c r="C37" i="92"/>
  <c r="C43" i="92"/>
  <c r="C46" i="92"/>
  <c r="C53" i="92"/>
  <c r="C59" i="92"/>
  <c r="C73" i="92"/>
  <c r="C86" i="92"/>
  <c r="C97" i="92"/>
  <c r="C103" i="92"/>
  <c r="C111" i="92"/>
  <c r="C6" i="93"/>
  <c r="C11" i="93"/>
  <c r="C31" i="93"/>
  <c r="C37" i="93"/>
  <c r="C43" i="93"/>
  <c r="C46" i="93"/>
  <c r="C53" i="93"/>
  <c r="C59" i="93"/>
  <c r="C73" i="93"/>
  <c r="C86" i="93"/>
  <c r="C97" i="93"/>
  <c r="C103" i="93"/>
  <c r="C111" i="93"/>
  <c r="C11" i="91"/>
  <c r="C31" i="91"/>
  <c r="C37" i="91"/>
  <c r="C43" i="91"/>
  <c r="C46" i="91"/>
  <c r="C53" i="91"/>
  <c r="C52" i="91" s="1"/>
  <c r="C59" i="91"/>
  <c r="C97" i="91"/>
  <c r="C103" i="91"/>
  <c r="C111" i="91"/>
  <c r="C102" i="91" s="1"/>
  <c r="E16" i="89"/>
  <c r="F16" i="89"/>
  <c r="D16" i="89"/>
  <c r="C16" i="89"/>
  <c r="G15" i="89"/>
  <c r="G14" i="89"/>
  <c r="G13" i="89"/>
  <c r="G12" i="89"/>
  <c r="G11" i="89"/>
  <c r="G10" i="89"/>
  <c r="C13" i="78"/>
  <c r="C11" i="62"/>
  <c r="D11" i="62"/>
  <c r="E11" i="62"/>
  <c r="F8" i="62"/>
  <c r="F9" i="62"/>
  <c r="F10" i="62"/>
  <c r="F7" i="62"/>
  <c r="F6" i="62"/>
  <c r="I17" i="66"/>
  <c r="B37" i="71"/>
  <c r="E30" i="71"/>
  <c r="E37" i="71" s="1"/>
  <c r="E32" i="71"/>
  <c r="E33" i="71"/>
  <c r="E34" i="71"/>
  <c r="E35" i="71"/>
  <c r="E36" i="71"/>
  <c r="D37" i="71"/>
  <c r="C37" i="71"/>
  <c r="E6" i="71"/>
  <c r="E8" i="71"/>
  <c r="E9" i="71"/>
  <c r="E10" i="71"/>
  <c r="E11" i="71"/>
  <c r="E12" i="71"/>
  <c r="D13" i="71"/>
  <c r="C13" i="71"/>
  <c r="B13" i="71"/>
  <c r="E7" i="71"/>
  <c r="E16" i="71"/>
  <c r="E17" i="71"/>
  <c r="E18" i="71"/>
  <c r="E19" i="71"/>
  <c r="E20" i="71"/>
  <c r="E21" i="71"/>
  <c r="E22" i="71"/>
  <c r="B23" i="71"/>
  <c r="C23" i="71"/>
  <c r="D23" i="71"/>
  <c r="E31" i="71"/>
  <c r="E40" i="71"/>
  <c r="E41" i="71"/>
  <c r="E42" i="71"/>
  <c r="E43" i="71"/>
  <c r="E44" i="71"/>
  <c r="E45" i="71"/>
  <c r="E46" i="71"/>
  <c r="B47" i="71"/>
  <c r="C47" i="71"/>
  <c r="D47" i="71"/>
  <c r="D54" i="71"/>
  <c r="E38" i="70"/>
  <c r="I6" i="66"/>
  <c r="I7" i="66"/>
  <c r="I8" i="66"/>
  <c r="I9" i="66"/>
  <c r="I10" i="66"/>
  <c r="I11" i="66"/>
  <c r="I12" i="66"/>
  <c r="I13" i="66"/>
  <c r="E18" i="66"/>
  <c r="I18" i="66" s="1"/>
  <c r="G18" i="66"/>
  <c r="I14" i="66"/>
  <c r="I15" i="66"/>
  <c r="I16" i="66"/>
  <c r="D18" i="66"/>
  <c r="F18" i="66"/>
  <c r="H18" i="66"/>
  <c r="H5" i="64"/>
  <c r="H6" i="64"/>
  <c r="H7" i="64"/>
  <c r="H8" i="64"/>
  <c r="H9" i="64"/>
  <c r="H10" i="64"/>
  <c r="H12" i="64"/>
  <c r="H13" i="64"/>
  <c r="H14" i="64"/>
  <c r="H15" i="64"/>
  <c r="H16" i="64"/>
  <c r="H17" i="64"/>
  <c r="H18" i="64"/>
  <c r="H19" i="64"/>
  <c r="H20" i="64"/>
  <c r="H21" i="64"/>
  <c r="H22" i="64"/>
  <c r="H23" i="64"/>
  <c r="B24" i="64"/>
  <c r="D24" i="64"/>
  <c r="E24" i="64"/>
  <c r="H7" i="63"/>
  <c r="H8" i="63"/>
  <c r="H9" i="63"/>
  <c r="H10" i="63"/>
  <c r="H16" i="63"/>
  <c r="H17" i="63"/>
  <c r="H18" i="63"/>
  <c r="H19" i="63"/>
  <c r="H20" i="63"/>
  <c r="H21" i="63"/>
  <c r="H22" i="63"/>
  <c r="H23" i="63"/>
  <c r="D24" i="63"/>
  <c r="E24" i="63"/>
  <c r="O5" i="24"/>
  <c r="L14" i="24"/>
  <c r="H14" i="24"/>
  <c r="D14" i="24"/>
  <c r="O26" i="24"/>
  <c r="O25" i="24"/>
  <c r="R25" i="24" s="1"/>
  <c r="O24" i="24"/>
  <c r="O23" i="24"/>
  <c r="O22" i="24"/>
  <c r="O20" i="24"/>
  <c r="O19" i="24"/>
  <c r="O13" i="24"/>
  <c r="O12" i="24"/>
  <c r="O10" i="24"/>
  <c r="O7" i="24"/>
  <c r="D5" i="87"/>
  <c r="C6" i="77"/>
  <c r="C27" i="24"/>
  <c r="F13" i="107"/>
  <c r="F18" i="107" s="1"/>
  <c r="C6" i="91"/>
  <c r="Q22" i="24"/>
  <c r="R22" i="24" s="1"/>
  <c r="D101" i="92"/>
  <c r="D6" i="91"/>
  <c r="D31" i="91"/>
  <c r="D30" i="91" s="1"/>
  <c r="D33" i="3"/>
  <c r="D54" i="3" s="1"/>
  <c r="D59" i="3" s="1"/>
  <c r="C101" i="87"/>
  <c r="D87" i="1"/>
  <c r="I6" i="61" s="1"/>
  <c r="E8" i="3"/>
  <c r="I29" i="107"/>
  <c r="I34" i="107" s="1"/>
  <c r="D86" i="1"/>
  <c r="H24" i="64" l="1"/>
  <c r="I13" i="107"/>
  <c r="I18" i="107" s="1"/>
  <c r="C142" i="1"/>
  <c r="R12" i="24"/>
  <c r="C29" i="78"/>
  <c r="C5" i="92"/>
  <c r="D49" i="79"/>
  <c r="D48" i="80"/>
  <c r="K14" i="24"/>
  <c r="O16" i="24"/>
  <c r="M27" i="24"/>
  <c r="F13" i="78"/>
  <c r="F29" i="78" s="1"/>
  <c r="E14" i="24"/>
  <c r="I14" i="24"/>
  <c r="N14" i="24"/>
  <c r="O8" i="24"/>
  <c r="O6" i="24"/>
  <c r="O21" i="24"/>
  <c r="E94" i="3"/>
  <c r="E99" i="3" s="1"/>
  <c r="G26" i="103"/>
  <c r="G32" i="103" s="1"/>
  <c r="H16" i="2"/>
  <c r="H73" i="2"/>
  <c r="J73" i="2" s="1"/>
  <c r="I50" i="2"/>
  <c r="G13" i="78"/>
  <c r="D49" i="103"/>
  <c r="F49" i="103"/>
  <c r="D94" i="3"/>
  <c r="D99" i="3" s="1"/>
  <c r="F6" i="91"/>
  <c r="F5" i="91" s="1"/>
  <c r="F7" i="1"/>
  <c r="C28" i="24"/>
  <c r="C30" i="24" s="1"/>
  <c r="E47" i="71"/>
  <c r="E101" i="87"/>
  <c r="C14" i="24"/>
  <c r="G14" i="24"/>
  <c r="O14" i="24" s="1"/>
  <c r="N28" i="24"/>
  <c r="H7" i="61"/>
  <c r="C86" i="1"/>
  <c r="H5" i="63"/>
  <c r="H24" i="63" s="1"/>
  <c r="B24" i="63"/>
  <c r="D21" i="93"/>
  <c r="D51" i="93" s="1"/>
  <c r="D22" i="1"/>
  <c r="D21" i="1" s="1"/>
  <c r="D9" i="73" s="1"/>
  <c r="F11" i="91"/>
  <c r="F14" i="1"/>
  <c r="D5" i="91"/>
  <c r="F11" i="62"/>
  <c r="C30" i="91"/>
  <c r="C101" i="93"/>
  <c r="C102" i="92"/>
  <c r="C52" i="92"/>
  <c r="C30" i="92"/>
  <c r="C51" i="92" s="1"/>
  <c r="D48" i="81"/>
  <c r="D48" i="82"/>
  <c r="D26" i="84"/>
  <c r="D48" i="84"/>
  <c r="D48" i="85"/>
  <c r="C30" i="87"/>
  <c r="E52" i="87"/>
  <c r="E30" i="87"/>
  <c r="E51" i="87" s="1"/>
  <c r="E65" i="87" s="1"/>
  <c r="E67" i="87" s="1"/>
  <c r="D102" i="87"/>
  <c r="C43" i="1"/>
  <c r="Q10" i="24" s="1"/>
  <c r="R10" i="24" s="1"/>
  <c r="C46" i="1"/>
  <c r="Q11" i="24" s="1"/>
  <c r="C59" i="1"/>
  <c r="C52" i="1" s="1"/>
  <c r="C103" i="1"/>
  <c r="C111" i="1"/>
  <c r="G50" i="2"/>
  <c r="G73" i="2"/>
  <c r="C72" i="104"/>
  <c r="C73" i="104" s="1"/>
  <c r="E26" i="84"/>
  <c r="E31" i="84" s="1"/>
  <c r="E49" i="103"/>
  <c r="H122" i="1" s="1"/>
  <c r="D30" i="93"/>
  <c r="D102" i="91"/>
  <c r="D59" i="1"/>
  <c r="D97" i="1"/>
  <c r="D103" i="1"/>
  <c r="D102" i="1" s="1"/>
  <c r="D140" i="1" s="1"/>
  <c r="D111" i="1"/>
  <c r="E31" i="1"/>
  <c r="E43" i="1"/>
  <c r="E46" i="1"/>
  <c r="E53" i="1"/>
  <c r="E111" i="1"/>
  <c r="F31" i="1"/>
  <c r="F43" i="1"/>
  <c r="E102" i="91"/>
  <c r="E30" i="92"/>
  <c r="E52" i="92"/>
  <c r="E101" i="92"/>
  <c r="F52" i="92"/>
  <c r="F101" i="92"/>
  <c r="E30" i="93"/>
  <c r="E52" i="93"/>
  <c r="G86" i="104"/>
  <c r="G87" i="104" s="1"/>
  <c r="D31" i="1"/>
  <c r="D10" i="73" s="1"/>
  <c r="H6" i="61"/>
  <c r="C73" i="91"/>
  <c r="E23" i="71"/>
  <c r="E13" i="71"/>
  <c r="C5" i="91"/>
  <c r="D27" i="79"/>
  <c r="D32" i="79" s="1"/>
  <c r="D48" i="90"/>
  <c r="D102" i="93"/>
  <c r="D102" i="92"/>
  <c r="D120" i="92" s="1"/>
  <c r="D122" i="92" s="1"/>
  <c r="D53" i="1"/>
  <c r="D52" i="1" s="1"/>
  <c r="D137" i="1" s="1"/>
  <c r="E5" i="92"/>
  <c r="G16" i="89"/>
  <c r="C102" i="93"/>
  <c r="D31" i="84"/>
  <c r="E5" i="87"/>
  <c r="D101" i="87"/>
  <c r="C31" i="61"/>
  <c r="C139" i="1" s="1"/>
  <c r="D27" i="73"/>
  <c r="D138" i="1" s="1"/>
  <c r="E101" i="93"/>
  <c r="H61" i="2"/>
  <c r="H60" i="2" s="1"/>
  <c r="C11" i="1"/>
  <c r="C51" i="87"/>
  <c r="C65" i="87" s="1"/>
  <c r="C67" i="87" s="1"/>
  <c r="C7" i="73"/>
  <c r="Q6" i="24"/>
  <c r="R6" i="24" s="1"/>
  <c r="Q19" i="24"/>
  <c r="H9" i="73"/>
  <c r="H18" i="61"/>
  <c r="H32" i="61" s="1"/>
  <c r="H34" i="61" s="1"/>
  <c r="Q7" i="24"/>
  <c r="R7" i="24" s="1"/>
  <c r="O11" i="24"/>
  <c r="C86" i="91"/>
  <c r="C101" i="91" s="1"/>
  <c r="E22" i="1"/>
  <c r="E21" i="1" s="1"/>
  <c r="E78" i="91"/>
  <c r="E78" i="1" s="1"/>
  <c r="J10" i="73" s="1"/>
  <c r="E82" i="1"/>
  <c r="F97" i="91"/>
  <c r="F98" i="1"/>
  <c r="M28" i="24"/>
  <c r="C21" i="91"/>
  <c r="C22" i="1"/>
  <c r="C21" i="1" s="1"/>
  <c r="C9" i="73" s="1"/>
  <c r="E6" i="91"/>
  <c r="E7" i="1"/>
  <c r="F78" i="91"/>
  <c r="F78" i="1" s="1"/>
  <c r="K10" i="73" s="1"/>
  <c r="F82" i="1"/>
  <c r="C5" i="93"/>
  <c r="C5" i="87"/>
  <c r="C102" i="87"/>
  <c r="C120" i="87" s="1"/>
  <c r="C122" i="87" s="1"/>
  <c r="E102" i="87"/>
  <c r="E120" i="87" s="1"/>
  <c r="E122" i="87" s="1"/>
  <c r="C97" i="1"/>
  <c r="G61" i="2"/>
  <c r="G60" i="2" s="1"/>
  <c r="J27" i="24"/>
  <c r="J28" i="24" s="1"/>
  <c r="D26" i="103"/>
  <c r="D32" i="103" s="1"/>
  <c r="F27" i="78"/>
  <c r="E48" i="85"/>
  <c r="E26" i="103"/>
  <c r="E32" i="103" s="1"/>
  <c r="E33" i="3"/>
  <c r="D52" i="93"/>
  <c r="D101" i="93"/>
  <c r="D120" i="93" s="1"/>
  <c r="D122" i="93" s="1"/>
  <c r="D30" i="92"/>
  <c r="D51" i="92" s="1"/>
  <c r="D126" i="92" s="1"/>
  <c r="D52" i="92"/>
  <c r="D52" i="91"/>
  <c r="D43" i="1"/>
  <c r="D46" i="1"/>
  <c r="E52" i="91"/>
  <c r="F52" i="91"/>
  <c r="F102" i="91"/>
  <c r="E102" i="92"/>
  <c r="F102" i="92"/>
  <c r="F120" i="92" s="1"/>
  <c r="F122" i="92" s="1"/>
  <c r="E102" i="93"/>
  <c r="F30" i="93"/>
  <c r="F51" i="93" s="1"/>
  <c r="F52" i="93"/>
  <c r="F101" i="93"/>
  <c r="F120" i="93" s="1"/>
  <c r="F122" i="93" s="1"/>
  <c r="F26" i="85"/>
  <c r="F31" i="85" s="1"/>
  <c r="F48" i="85"/>
  <c r="G26" i="85"/>
  <c r="G31" i="85" s="1"/>
  <c r="G48" i="85"/>
  <c r="H32" i="2"/>
  <c r="I61" i="2"/>
  <c r="I60" i="2" s="1"/>
  <c r="C37" i="1"/>
  <c r="C13" i="61" s="1"/>
  <c r="C31" i="1"/>
  <c r="C10" i="73" s="1"/>
  <c r="J18" i="61"/>
  <c r="J32" i="61" s="1"/>
  <c r="F73" i="91"/>
  <c r="Q8" i="24"/>
  <c r="R8" i="24" s="1"/>
  <c r="C40" i="104"/>
  <c r="R11" i="24"/>
  <c r="C52" i="93"/>
  <c r="C65" i="93" s="1"/>
  <c r="C67" i="93" s="1"/>
  <c r="C30" i="93"/>
  <c r="C51" i="93" s="1"/>
  <c r="C101" i="92"/>
  <c r="C120" i="92" s="1"/>
  <c r="C122" i="92" s="1"/>
  <c r="D8" i="3"/>
  <c r="D26" i="85"/>
  <c r="D31" i="85" s="1"/>
  <c r="D120" i="87"/>
  <c r="D122" i="87" s="1"/>
  <c r="R23" i="24"/>
  <c r="I27" i="24"/>
  <c r="I28" i="24" s="1"/>
  <c r="G27" i="24"/>
  <c r="E27" i="24"/>
  <c r="E28" i="24" s="1"/>
  <c r="L27" i="24"/>
  <c r="E26" i="85"/>
  <c r="E31" i="85" s="1"/>
  <c r="E120" i="92"/>
  <c r="E122" i="92" s="1"/>
  <c r="E120" i="93"/>
  <c r="E122" i="93" s="1"/>
  <c r="F32" i="103"/>
  <c r="E41" i="70"/>
  <c r="E42" i="70" s="1"/>
  <c r="D51" i="91"/>
  <c r="D65" i="91" s="1"/>
  <c r="D67" i="91" s="1"/>
  <c r="L28" i="24"/>
  <c r="C120" i="93"/>
  <c r="C122" i="93" s="1"/>
  <c r="D52" i="87"/>
  <c r="D30" i="87"/>
  <c r="D51" i="87" s="1"/>
  <c r="G80" i="2"/>
  <c r="G82" i="2" s="1"/>
  <c r="K27" i="24"/>
  <c r="K28" i="24" s="1"/>
  <c r="H27" i="24"/>
  <c r="H28" i="24" s="1"/>
  <c r="F27" i="24"/>
  <c r="F28" i="24" s="1"/>
  <c r="E54" i="3"/>
  <c r="D65" i="92"/>
  <c r="D67" i="92" s="1"/>
  <c r="F37" i="1"/>
  <c r="F30" i="1" s="1"/>
  <c r="K18" i="61"/>
  <c r="K35" i="61" s="1"/>
  <c r="E30" i="91"/>
  <c r="E51" i="92"/>
  <c r="E126" i="92" s="1"/>
  <c r="F30" i="92"/>
  <c r="F51" i="92" s="1"/>
  <c r="E51" i="93"/>
  <c r="E126" i="93" s="1"/>
  <c r="J65" i="2"/>
  <c r="J68" i="2"/>
  <c r="J74" i="2"/>
  <c r="J77" i="2"/>
  <c r="J47" i="2"/>
  <c r="J29" i="2"/>
  <c r="J20" i="2"/>
  <c r="J15" i="2"/>
  <c r="J5" i="2"/>
  <c r="J10" i="2"/>
  <c r="J32" i="2"/>
  <c r="J50" i="2"/>
  <c r="J51" i="2"/>
  <c r="J62" i="2"/>
  <c r="J61" i="2"/>
  <c r="J34" i="2"/>
  <c r="J17" i="2"/>
  <c r="J16" i="2"/>
  <c r="C102" i="1"/>
  <c r="Q26" i="24" s="1"/>
  <c r="R26" i="24" s="1"/>
  <c r="D37" i="1"/>
  <c r="D13" i="61" s="1"/>
  <c r="D18" i="61" s="1"/>
  <c r="J4" i="2"/>
  <c r="I80" i="2"/>
  <c r="G27" i="78"/>
  <c r="C140" i="1"/>
  <c r="D6" i="1"/>
  <c r="D5" i="1" s="1"/>
  <c r="H10" i="73"/>
  <c r="K32" i="61"/>
  <c r="I18" i="61"/>
  <c r="I32" i="61" s="1"/>
  <c r="I34" i="61" s="1"/>
  <c r="J35" i="61"/>
  <c r="C18" i="61"/>
  <c r="H36" i="61" s="1"/>
  <c r="F131" i="1" s="1"/>
  <c r="E132" i="1"/>
  <c r="F22" i="1"/>
  <c r="F21" i="1" s="1"/>
  <c r="F59" i="1"/>
  <c r="F73" i="1"/>
  <c r="F86" i="1"/>
  <c r="F97" i="1"/>
  <c r="K11" i="73" s="1"/>
  <c r="K18" i="73" s="1"/>
  <c r="F103" i="1"/>
  <c r="E65" i="93"/>
  <c r="E67" i="93" s="1"/>
  <c r="E103" i="1"/>
  <c r="E102" i="1" s="1"/>
  <c r="E140" i="1" s="1"/>
  <c r="E37" i="1"/>
  <c r="E30" i="1" s="1"/>
  <c r="E86" i="1"/>
  <c r="E97" i="1"/>
  <c r="J11" i="73" s="1"/>
  <c r="J18" i="73" s="1"/>
  <c r="F5" i="92"/>
  <c r="F11" i="1"/>
  <c r="F53" i="1"/>
  <c r="F52" i="1" s="1"/>
  <c r="F137" i="1" s="1"/>
  <c r="E65" i="92"/>
  <c r="E67" i="92" s="1"/>
  <c r="E6" i="1"/>
  <c r="E11" i="1"/>
  <c r="F6" i="1"/>
  <c r="F46" i="1"/>
  <c r="F111" i="1"/>
  <c r="E51" i="91"/>
  <c r="E5" i="91"/>
  <c r="E59" i="1"/>
  <c r="E52" i="1" s="1"/>
  <c r="E137" i="1" s="1"/>
  <c r="E136" i="1" s="1"/>
  <c r="F5" i="1"/>
  <c r="C32" i="61"/>
  <c r="C34" i="61" s="1"/>
  <c r="C35" i="61"/>
  <c r="H35" i="61"/>
  <c r="Q24" i="24"/>
  <c r="H11" i="73"/>
  <c r="Q18" i="24"/>
  <c r="D18" i="24" s="1"/>
  <c r="O18" i="24" s="1"/>
  <c r="H8" i="73"/>
  <c r="H6" i="73"/>
  <c r="C73" i="1"/>
  <c r="C101" i="1" s="1"/>
  <c r="Q16" i="24"/>
  <c r="O17" i="24"/>
  <c r="C18" i="88"/>
  <c r="C36" i="88" s="1"/>
  <c r="D19" i="88"/>
  <c r="D18" i="88" s="1"/>
  <c r="D36" i="88" s="1"/>
  <c r="G22" i="104"/>
  <c r="G23" i="104" s="1"/>
  <c r="G36" i="104" s="1"/>
  <c r="D6" i="73"/>
  <c r="D18" i="73" s="1"/>
  <c r="D73" i="91"/>
  <c r="D101" i="91" s="1"/>
  <c r="D120" i="91" s="1"/>
  <c r="D122" i="91" s="1"/>
  <c r="D78" i="1"/>
  <c r="I10" i="73" s="1"/>
  <c r="C126" i="93"/>
  <c r="C6" i="1"/>
  <c r="C5" i="77"/>
  <c r="C11" i="77" s="1"/>
  <c r="I9" i="73"/>
  <c r="D73" i="1"/>
  <c r="D101" i="1" s="1"/>
  <c r="D65" i="87"/>
  <c r="D67" i="87" s="1"/>
  <c r="C30" i="1"/>
  <c r="Q9" i="24" s="1"/>
  <c r="R9" i="24" s="1"/>
  <c r="C65" i="92" l="1"/>
  <c r="C67" i="92" s="1"/>
  <c r="C126" i="92"/>
  <c r="D126" i="93"/>
  <c r="D65" i="93"/>
  <c r="D67" i="93" s="1"/>
  <c r="D120" i="1"/>
  <c r="D122" i="1" s="1"/>
  <c r="I122" i="1" s="1"/>
  <c r="C36" i="61"/>
  <c r="C131" i="1" s="1"/>
  <c r="E73" i="1"/>
  <c r="E73" i="91"/>
  <c r="E101" i="91" s="1"/>
  <c r="E120" i="91" s="1"/>
  <c r="E122" i="91" s="1"/>
  <c r="D30" i="1"/>
  <c r="G29" i="78"/>
  <c r="G28" i="24"/>
  <c r="F101" i="91"/>
  <c r="F120" i="91" s="1"/>
  <c r="F122" i="91" s="1"/>
  <c r="C51" i="91"/>
  <c r="C65" i="91" s="1"/>
  <c r="C67" i="91" s="1"/>
  <c r="D136" i="1"/>
  <c r="E59" i="3"/>
  <c r="J60" i="2"/>
  <c r="H80" i="2"/>
  <c r="H82" i="2" s="1"/>
  <c r="Q13" i="24"/>
  <c r="R13" i="24" s="1"/>
  <c r="C137" i="1"/>
  <c r="C136" i="1" s="1"/>
  <c r="E5" i="1"/>
  <c r="F51" i="91"/>
  <c r="E101" i="1"/>
  <c r="E120" i="1" s="1"/>
  <c r="E122" i="1" s="1"/>
  <c r="F101" i="1"/>
  <c r="F65" i="93"/>
  <c r="F67" i="93" s="1"/>
  <c r="F126" i="93"/>
  <c r="C120" i="91"/>
  <c r="C122" i="91" s="1"/>
  <c r="C126" i="91"/>
  <c r="D51" i="1"/>
  <c r="D65" i="1" s="1"/>
  <c r="D67" i="1" s="1"/>
  <c r="C51" i="1"/>
  <c r="D35" i="61"/>
  <c r="I35" i="61"/>
  <c r="D32" i="61"/>
  <c r="D34" i="61" s="1"/>
  <c r="D36" i="61"/>
  <c r="D131" i="1" s="1"/>
  <c r="I36" i="61"/>
  <c r="F65" i="92"/>
  <c r="F67" i="92" s="1"/>
  <c r="F126" i="92"/>
  <c r="F102" i="1"/>
  <c r="F140" i="1" s="1"/>
  <c r="I82" i="2"/>
  <c r="J82" i="2" s="1"/>
  <c r="J80" i="2"/>
  <c r="F136" i="1"/>
  <c r="J28" i="73"/>
  <c r="J32" i="73" s="1"/>
  <c r="J31" i="73"/>
  <c r="K28" i="73"/>
  <c r="K32" i="73" s="1"/>
  <c r="K31" i="73"/>
  <c r="F51" i="1"/>
  <c r="K36" i="61"/>
  <c r="K34" i="61"/>
  <c r="J36" i="61"/>
  <c r="J34" i="61"/>
  <c r="K30" i="73"/>
  <c r="J30" i="73"/>
  <c r="I18" i="73"/>
  <c r="I28" i="73" s="1"/>
  <c r="I30" i="73" s="1"/>
  <c r="I39" i="61" s="1"/>
  <c r="H18" i="73"/>
  <c r="E51" i="1"/>
  <c r="E126" i="1" s="1"/>
  <c r="E65" i="91"/>
  <c r="E67" i="91" s="1"/>
  <c r="E126" i="91"/>
  <c r="F65" i="1"/>
  <c r="F67" i="1" s="1"/>
  <c r="F126" i="1"/>
  <c r="F120" i="1"/>
  <c r="F122" i="1" s="1"/>
  <c r="E65" i="1"/>
  <c r="E67" i="1" s="1"/>
  <c r="G37" i="104"/>
  <c r="G39" i="104"/>
  <c r="Q5" i="24"/>
  <c r="C6" i="73"/>
  <c r="C18" i="73" s="1"/>
  <c r="C5" i="1"/>
  <c r="D31" i="73"/>
  <c r="D28" i="73"/>
  <c r="D30" i="73" s="1"/>
  <c r="I31" i="73"/>
  <c r="D32" i="73"/>
  <c r="D130" i="1" s="1"/>
  <c r="D132" i="1" s="1"/>
  <c r="B13" i="76"/>
  <c r="C120" i="1"/>
  <c r="D27" i="24"/>
  <c r="D126" i="1"/>
  <c r="Q27" i="24"/>
  <c r="S16" i="24"/>
  <c r="H28" i="73"/>
  <c r="D13" i="76"/>
  <c r="D126" i="91"/>
  <c r="H67" i="1" l="1"/>
  <c r="I67" i="1" s="1"/>
  <c r="K99" i="3"/>
  <c r="J39" i="61"/>
  <c r="K39" i="61"/>
  <c r="D39" i="61"/>
  <c r="F126" i="91"/>
  <c r="F65" i="91"/>
  <c r="F67" i="91" s="1"/>
  <c r="I32" i="73"/>
  <c r="D28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27" i="24"/>
  <c r="C122" i="1"/>
  <c r="B15" i="76" s="1"/>
  <c r="B14" i="76"/>
  <c r="H31" i="73"/>
  <c r="D6" i="76"/>
  <c r="C31" i="73"/>
  <c r="H32" i="73"/>
  <c r="F130" i="1" s="1"/>
  <c r="F132" i="1" s="1"/>
  <c r="C28" i="73"/>
  <c r="C32" i="73"/>
  <c r="C130" i="1" s="1"/>
  <c r="C132" i="1" s="1"/>
  <c r="R5" i="24"/>
  <c r="Q14" i="24"/>
  <c r="R14" i="24" s="1"/>
  <c r="H30" i="73"/>
  <c r="D14" i="76"/>
  <c r="B6" i="76"/>
  <c r="E6" i="76" s="1"/>
  <c r="C65" i="1"/>
  <c r="C126" i="1"/>
  <c r="E13" i="76"/>
  <c r="D15" i="76" l="1"/>
  <c r="H39" i="61"/>
  <c r="C67" i="1"/>
  <c r="B8" i="76" s="1"/>
  <c r="B7" i="76"/>
  <c r="C30" i="73"/>
  <c r="D7" i="76"/>
  <c r="E15" i="76"/>
  <c r="R27" i="24"/>
  <c r="O28" i="24"/>
  <c r="E14" i="76"/>
  <c r="D8" i="76" l="1"/>
  <c r="C39" i="61"/>
  <c r="E8" i="76"/>
  <c r="E7" i="76"/>
</calcChain>
</file>

<file path=xl/sharedStrings.xml><?xml version="1.0" encoding="utf-8"?>
<sst xmlns="http://schemas.openxmlformats.org/spreadsheetml/2006/main" count="3779" uniqueCount="1233">
  <si>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</si>
  <si>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</si>
  <si>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</si>
  <si>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</si>
  <si>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</si>
  <si>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</si>
  <si>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</si>
  <si>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</si>
  <si>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</si>
  <si>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</si>
  <si>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</si>
  <si>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</si>
  <si>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</si>
  <si>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</si>
  <si>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</si>
  <si>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</si>
  <si>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</si>
  <si>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</si>
  <si>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</si>
  <si>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</si>
  <si>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</si>
  <si>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</si>
  <si>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</si>
  <si>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</si>
  <si>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</si>
  <si>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</si>
  <si>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</si>
  <si>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</si>
  <si>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</si>
  <si>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</si>
  <si>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</si>
  <si>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</si>
  <si>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</si>
  <si>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</si>
  <si>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</si>
  <si>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</si>
  <si>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</si>
  <si>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</si>
  <si>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</si>
  <si>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</si>
  <si>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</si>
  <si>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</si>
  <si>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</si>
  <si>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</si>
  <si>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</si>
  <si>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</si>
  <si>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</si>
  <si>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</si>
  <si>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</si>
  <si>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</si>
  <si>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</si>
  <si>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</si>
  <si>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</si>
  <si>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</si>
  <si>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</si>
  <si>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</si>
  <si>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</si>
  <si>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</si>
  <si>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</si>
  <si>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</si>
  <si>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</si>
  <si>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</si>
  <si>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</si>
  <si>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</si>
  <si>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</si>
  <si>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</si>
  <si>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</si>
  <si>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</si>
  <si>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</si>
  <si>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</si>
  <si>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</si>
  <si>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</si>
  <si>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</si>
  <si>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</si>
  <si>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</si>
  <si>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</si>
  <si>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</si>
  <si>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</si>
  <si>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</si>
  <si>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</si>
  <si>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</si>
  <si>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</si>
  <si>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</si>
  <si>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</si>
  <si>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</si>
  <si>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</si>
  <si>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</si>
  <si>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</si>
  <si>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</si>
  <si>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</si>
  <si>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</si>
  <si>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</si>
  <si>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</si>
  <si>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</si>
  <si>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</si>
  <si>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</si>
  <si>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</si>
  <si>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</si>
  <si>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</si>
  <si>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</si>
  <si>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</si>
  <si>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</si>
  <si>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</si>
  <si>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</si>
  <si>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Működési célú pénzeszköz átvétel államháztartáson kívülről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</si>
  <si>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</si>
  <si>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</si>
  <si>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</si>
  <si>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</si>
  <si>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</si>
  <si>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</si>
  <si>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</si>
  <si>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</si>
  <si>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</si>
  <si>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</si>
  <si>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</si>
  <si>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</si>
  <si>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</si>
  <si>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</si>
  <si>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</si>
  <si>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</si>
  <si>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</si>
  <si>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</si>
  <si>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</si>
  <si>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</si>
  <si>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</si>
  <si>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</si>
  <si>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</si>
  <si>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</si>
  <si>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</si>
  <si>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</si>
  <si>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</si>
  <si>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</si>
  <si>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</si>
  <si>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</si>
  <si>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</si>
  <si>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</si>
  <si>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</si>
  <si>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</si>
  <si>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</si>
  <si>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</si>
  <si>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</si>
  <si>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</si>
  <si>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</si>
  <si>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</si>
  <si>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</si>
  <si>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</si>
  <si>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</si>
  <si>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</si>
  <si>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</si>
  <si>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</si>
  <si>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</si>
  <si>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</si>
  <si>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</si>
  <si>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</si>
  <si>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</si>
  <si>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</si>
  <si>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</si>
  <si>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</si>
  <si>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</si>
  <si>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</si>
  <si>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</si>
  <si>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</si>
  <si>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</si>
  <si>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</si>
  <si>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</si>
  <si>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</si>
  <si>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</si>
  <si>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</si>
  <si>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</si>
  <si>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</si>
  <si>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</si>
  <si>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</si>
  <si>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</si>
  <si>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</si>
  <si>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</si>
  <si>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</si>
  <si>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</si>
  <si>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</si>
  <si>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</si>
  <si>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</si>
  <si>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</si>
  <si>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</si>
  <si>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</si>
  <si>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</si>
  <si>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</si>
  <si>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</si>
  <si>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</si>
  <si>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</si>
  <si>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</si>
  <si>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</si>
  <si>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</si>
  <si>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</si>
  <si>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</si>
  <si>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</si>
  <si>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</si>
  <si>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</si>
  <si>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</si>
  <si>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</si>
  <si>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</si>
  <si>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</si>
  <si>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</si>
  <si>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</si>
  <si>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</si>
  <si>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</si>
  <si>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</si>
  <si>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</si>
  <si>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</si>
  <si>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</si>
  <si>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</si>
  <si>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</si>
  <si>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</si>
  <si>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</si>
  <si>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</si>
  <si>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</si>
  <si>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</si>
  <si>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</si>
  <si>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</si>
  <si>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</si>
  <si>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</si>
  <si>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</si>
  <si>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</si>
  <si>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</si>
  <si>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</si>
  <si>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</si>
  <si>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</si>
  <si>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</si>
  <si>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</si>
  <si>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</si>
  <si>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</si>
  <si>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</si>
  <si>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</si>
  <si>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</si>
  <si>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</si>
  <si>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</si>
  <si>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</si>
  <si>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</si>
  <si>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</si>
  <si>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</si>
  <si>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</si>
  <si>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</si>
  <si>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</si>
  <si>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</si>
  <si>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</si>
  <si>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</si>
  <si>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</si>
  <si>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</si>
  <si>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</si>
  <si>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</si>
  <si>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</si>
  <si>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</si>
  <si>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</si>
  <si>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</si>
  <si>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</si>
  <si>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</si>
  <si>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</si>
  <si>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Önkormányzat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</si>
  <si>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</si>
  <si>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</si>
  <si>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</si>
  <si>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</si>
  <si>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</si>
  <si>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</si>
  <si>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</si>
  <si>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</si>
  <si>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</si>
  <si>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</si>
  <si>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</si>
  <si>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</si>
  <si>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</si>
  <si>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</si>
  <si>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</si>
  <si>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</si>
  <si>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</si>
  <si>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</si>
  <si>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</si>
  <si>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</si>
  <si>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</si>
  <si>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</si>
  <si>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</si>
  <si>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</si>
  <si>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</si>
  <si>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</si>
  <si>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</si>
  <si>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</si>
  <si>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</si>
  <si>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</si>
  <si>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</si>
  <si>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</si>
  <si>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</si>
  <si>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</si>
  <si>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</si>
  <si>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</si>
  <si>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</si>
  <si>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</si>
  <si>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</si>
  <si>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</si>
  <si>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</si>
  <si>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</si>
  <si>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</si>
  <si>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</si>
  <si>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</si>
  <si>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>2013. évi előirányzat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</si>
  <si>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</si>
  <si>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</si>
  <si>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</si>
  <si>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</si>
  <si>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</si>
  <si>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</si>
  <si>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</si>
  <si>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</si>
  <si>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</si>
  <si>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</si>
  <si>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</si>
  <si>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</si>
  <si>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</si>
  <si>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</si>
  <si>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</si>
  <si>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</si>
  <si>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</si>
  <si>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</si>
  <si>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</si>
  <si>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</si>
  <si>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</si>
  <si>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</si>
  <si>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</si>
  <si>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</si>
  <si>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</si>
  <si>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</si>
  <si>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</si>
  <si>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</si>
  <si>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</si>
  <si>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</si>
  <si>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</si>
  <si>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</si>
  <si>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</si>
  <si>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</si>
  <si>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</si>
  <si>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</si>
  <si>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</si>
  <si>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</si>
  <si>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</si>
  <si>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</si>
  <si>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</si>
  <si>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</si>
  <si>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</si>
  <si>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</si>
  <si>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</si>
  <si>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</si>
  <si>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</si>
  <si>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</si>
  <si>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</si>
  <si>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</si>
  <si>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</si>
  <si>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</si>
  <si>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</si>
  <si>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</si>
  <si>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</si>
  <si>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</si>
  <si>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</si>
  <si>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</si>
  <si>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</si>
  <si>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</si>
  <si>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</si>
  <si>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</si>
  <si>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</si>
  <si>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</si>
  <si>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</si>
  <si>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</si>
  <si>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</si>
  <si>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</si>
  <si>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</si>
  <si>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</si>
  <si>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</si>
  <si>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</si>
  <si>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</si>
  <si>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</si>
  <si>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</si>
  <si>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</si>
  <si>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</si>
  <si>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</si>
  <si>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</si>
  <si>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</si>
  <si>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</si>
  <si>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</si>
  <si>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</si>
  <si>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</si>
  <si>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</si>
  <si>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</si>
  <si>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</si>
  <si>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</si>
  <si>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</si>
  <si>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</si>
  <si>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</si>
  <si>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</si>
  <si>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</si>
  <si>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</si>
  <si>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</si>
  <si>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</si>
  <si>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</si>
  <si>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</si>
  <si>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</si>
  <si>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</si>
  <si>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</si>
  <si>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</si>
  <si>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</si>
  <si>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</si>
  <si>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</si>
  <si>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</si>
  <si>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</si>
  <si>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</si>
  <si>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</si>
  <si>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</si>
  <si>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</si>
  <si>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</si>
  <si>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</si>
  <si>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</si>
  <si>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Hivatal informatikai fejlesztések szoftver vásárlás (szociális)</t>
  </si>
  <si>
    <t>Feladat</t>
  </si>
  <si>
    <t>Kifizetés jogcíme kiemelt előirányzat</t>
  </si>
  <si>
    <t>a) a környezetvédelmi szempontból károsodott környezet javítása, helyreállítása</t>
  </si>
  <si>
    <t>a/1. Patakmeder tisztítása (szakaszolásra, ütemezésre javaslat szükséges)</t>
  </si>
  <si>
    <t>dologi</t>
  </si>
  <si>
    <t>a/2. Illegálisan lerakott hulladék elszállítása</t>
  </si>
  <si>
    <t>b) az emberi egészség védelmére, az életminőség javítására</t>
  </si>
  <si>
    <t>b/1. Rágcsálóirtás</t>
  </si>
  <si>
    <t>b/2. Gyepmester</t>
  </si>
  <si>
    <t>b/3. Állati hullák ártalmatlanítása</t>
  </si>
  <si>
    <t xml:space="preserve">-    </t>
  </si>
  <si>
    <t>b/4. Az Ök. 2013. évi felújítási, felhalmozási, fejlesztési terve szerinti felújítási kiadásokra</t>
  </si>
  <si>
    <t>c) a helyi védettségű természeti értékek fenntartása, fejlesztése, állaguk megóvása</t>
  </si>
  <si>
    <t>c/1. Berda-tábla helyreállítása,</t>
  </si>
  <si>
    <t>egy csobánkai természeti érték védetté nyilvánításának költségei</t>
  </si>
  <si>
    <t>d) a helyi jelentőségű építészeti örökség állagának megóvása</t>
  </si>
  <si>
    <t xml:space="preserve">                                 –    </t>
  </si>
  <si>
    <t>e) a felszíni és felszín alatti vizek minőségi és mennyiségi megőrzése (ld. alább)</t>
  </si>
  <si>
    <t>e/1. Dera patak vízvizsgálata tavasszal a falu két határában és az Óvodánál</t>
  </si>
  <si>
    <t>f) környezetvédelemmel kapcsolatos ötletek, találmányok megvétele</t>
  </si>
  <si>
    <t>–</t>
  </si>
  <si>
    <t>g) környezetvédelmi felmérések, tanulmányok elkészíttetésére, elkészítésére</t>
  </si>
  <si>
    <t>h) pályázati pénzalapok képzése</t>
  </si>
  <si>
    <t>i) a környezetvédelemről szóló tájékoztatások, előadások költségeinek fedezésére, környezetvédelmi ismeretek terjesztésére, környezeti nevelés támogatására;</t>
  </si>
  <si>
    <t xml:space="preserve">i/1.Környezetvé-delmi tájékoztatók </t>
  </si>
  <si>
    <t>j) a lakosság környezetvédelmi szerveződéseinek támogatása</t>
  </si>
  <si>
    <t> dologi</t>
  </si>
  <si>
    <t>k) a települési környezetvédelem népszerűsítése</t>
  </si>
  <si>
    <t xml:space="preserve">k/1. Zöldhulladék házi komposztálás promóciója </t>
  </si>
  <si>
    <t>l) parkok, fák, fasorok és egyéb községi zöldterület létesítése, állapotának javítása;</t>
  </si>
  <si>
    <t>l/1. Virágosítás</t>
  </si>
  <si>
    <t>l/2. Közterületi fák karbantartása, fenntartása</t>
  </si>
  <si>
    <t xml:space="preserve">I/3 Sport utcai játszótér karbantartása. </t>
  </si>
  <si>
    <t>l/4. Honos facsemete telepítése a 288 hrsz melletti mentesített területen</t>
  </si>
  <si>
    <t>l/5. Csobánkai Tanösvény karbantartáshoz támogatás</t>
  </si>
  <si>
    <t>m) veszélyes hulladékok évenkénti egy-két alkalommal történő gyűjtésére és elszállítására;</t>
  </si>
  <si>
    <t xml:space="preserve">m/1. Veszélyes hulladékok összegyűjtése és elszállítása </t>
  </si>
  <si>
    <t>n) a Tiszta Udvar Rendes Ház mozgalom támogatására</t>
  </si>
  <si>
    <t>a)-n) Összesen</t>
  </si>
  <si>
    <r>
      <t>h/1 Szabad-felhasználású pályázati alap környezetvédelemi akciók támogatására</t>
    </r>
    <r>
      <rPr>
        <b/>
        <sz val="9"/>
        <rFont val="Times New Roman"/>
        <family val="1"/>
        <charset val="238"/>
      </rPr>
      <t>*</t>
    </r>
  </si>
  <si>
    <t>Polgármesteri Hivatal szoftver vásárlás</t>
  </si>
  <si>
    <t>Polgármesteri Hiv.inform. fejl. (gépek, szerver bőv.)</t>
  </si>
  <si>
    <r>
      <t xml:space="preserve">Teljes költség </t>
    </r>
    <r>
      <rPr>
        <b/>
        <u/>
        <sz val="9"/>
        <rFont val="Times New Roman CE"/>
        <charset val="238"/>
      </rPr>
      <t>ÁFÁ-val</t>
    </r>
  </si>
  <si>
    <t>(VH terv) Híd utca 1 ablak javítás, üvegezés</t>
  </si>
  <si>
    <t>Üdülők útja vízelvezetés</t>
  </si>
  <si>
    <t>DMRV (szivattyú felújítás)</t>
  </si>
  <si>
    <t>Szalóky és Ady E. u. támfal megerősítés</t>
  </si>
  <si>
    <t>Teljes költség ÁFÁ-val</t>
  </si>
  <si>
    <t xml:space="preserve">   Plandics téri buszforduló viacolor borítása</t>
  </si>
  <si>
    <t xml:space="preserve">   (VH terv) Fő út 63. belső burkolás (parketta) tető javítás 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</si>
  <si>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</si>
  <si>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</si>
  <si>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</si>
  <si>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</si>
  <si>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</si>
  <si>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</si>
  <si>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</si>
  <si>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</si>
  <si>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</si>
  <si>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</si>
  <si>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</si>
  <si>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</si>
  <si>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</si>
  <si>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</si>
  <si>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</si>
  <si>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</si>
  <si>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</si>
  <si>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</si>
  <si>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</si>
  <si>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</si>
  <si>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</si>
  <si>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</si>
  <si>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</si>
  <si>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</si>
  <si>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</si>
  <si>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</si>
  <si>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</si>
  <si>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</si>
  <si>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</si>
  <si>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</si>
  <si>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</si>
  <si>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</si>
  <si>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</si>
  <si>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</si>
  <si>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</si>
  <si>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</si>
  <si>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</si>
  <si>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</si>
  <si>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</si>
  <si>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</si>
  <si>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</si>
  <si>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</si>
  <si>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</si>
  <si>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</si>
  <si>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</si>
  <si>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</si>
  <si>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</si>
  <si>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</si>
  <si>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</si>
  <si>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</si>
  <si>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</si>
  <si>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</si>
  <si>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</si>
  <si>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</si>
  <si>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</si>
  <si>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</si>
  <si>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</si>
  <si>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</si>
  <si>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</si>
  <si>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</si>
  <si>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</si>
  <si>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</si>
  <si>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</si>
  <si>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Óvoda sószoba kialakítás</t>
  </si>
  <si>
    <t>DMRV csatornahálózat (szivattyú felúj.)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</si>
  <si>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</si>
  <si>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</si>
  <si>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</si>
  <si>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</si>
  <si>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</si>
  <si>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</si>
  <si>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</si>
  <si>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</si>
  <si>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</si>
  <si>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</si>
  <si>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</si>
  <si>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</si>
  <si>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</si>
  <si>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</si>
  <si>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</si>
  <si>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</si>
  <si>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</si>
  <si>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</si>
  <si>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</si>
  <si>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</si>
  <si>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</si>
  <si>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</si>
  <si>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</si>
  <si>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</si>
  <si>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</si>
  <si>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</si>
  <si>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</si>
  <si>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</si>
  <si>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</si>
  <si>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</si>
  <si>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</si>
  <si>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</si>
  <si>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</si>
  <si>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</si>
  <si>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</si>
  <si>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</si>
  <si>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</si>
  <si>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</si>
  <si>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</si>
  <si>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</si>
  <si>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</si>
  <si>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</si>
  <si>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</si>
  <si>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</si>
  <si>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</si>
  <si>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</si>
  <si>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</si>
  <si>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</si>
  <si>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</si>
  <si>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</si>
  <si>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</si>
  <si>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</si>
  <si>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</si>
  <si>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</si>
  <si>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</si>
  <si>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</si>
  <si>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</si>
  <si>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</si>
  <si>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</si>
  <si>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</si>
  <si>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</si>
  <si>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</si>
  <si>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</si>
  <si>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</si>
  <si>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</si>
  <si>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</si>
  <si>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</si>
  <si>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</si>
  <si>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</si>
  <si>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</si>
  <si>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</si>
  <si>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</si>
  <si>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</si>
  <si>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</si>
  <si>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</si>
  <si>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</si>
  <si>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</si>
  <si>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</si>
  <si>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</si>
  <si>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</si>
  <si>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</si>
  <si>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</si>
  <si>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</si>
  <si>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</si>
  <si>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</si>
  <si>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</si>
  <si>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</si>
  <si>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</si>
  <si>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</si>
  <si>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</si>
  <si>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</si>
  <si>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</si>
  <si>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</si>
  <si>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</si>
  <si>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</si>
  <si>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</si>
  <si>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</si>
  <si>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</si>
  <si>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</si>
  <si>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</si>
  <si>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</si>
  <si>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</si>
  <si>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</si>
  <si>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</si>
  <si>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</si>
  <si>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</si>
  <si>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</si>
  <si>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</si>
  <si>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</si>
  <si>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</si>
  <si>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</si>
  <si>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</si>
  <si>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</si>
  <si>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</si>
  <si>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</si>
  <si>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</si>
  <si>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</si>
  <si>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</si>
  <si>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</si>
  <si>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</si>
  <si>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</si>
  <si>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K I M U T A T Á S
a 2013. évi működési célú pénzeszközátadásokról, céljellegű támogatásokról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</si>
  <si>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</si>
  <si>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</si>
  <si>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</si>
  <si>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</si>
  <si>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</si>
  <si>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</si>
  <si>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</si>
  <si>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</si>
  <si>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</si>
  <si>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</si>
  <si>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Eredeti
előirányzat
(Ft)</t>
  </si>
  <si>
    <t>I.</t>
  </si>
  <si>
    <t>A települési önkormányzatok működésének támogatása</t>
  </si>
  <si>
    <t>a)</t>
  </si>
  <si>
    <t>Önkormányzati hivatal működésének támogatása</t>
  </si>
  <si>
    <t>aa)</t>
  </si>
  <si>
    <t>2013. év első négy hónapjára átmeneti támogatás-elismert hivatali létszám alapján</t>
  </si>
  <si>
    <t>ab)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</si>
  <si>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</si>
  <si>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</si>
  <si>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</si>
  <si>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</si>
  <si>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>Beszámítás összege</t>
  </si>
  <si>
    <t>a+b-c)</t>
  </si>
  <si>
    <t>Általános támogatás összesen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</si>
  <si>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</si>
  <si>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</si>
  <si>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</si>
  <si>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</si>
  <si>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r>
      <t>Megyei önkormányzatok működésének támogatása</t>
    </r>
    <r>
      <rPr>
        <sz val="10"/>
        <color indexed="8"/>
        <rFont val="Times New Roman"/>
        <family val="1"/>
        <charset val="238"/>
      </rPr>
      <t xml:space="preserve">  </t>
    </r>
  </si>
  <si>
    <t xml:space="preserve">A HELYI ÖNKORMÁNYZATOK MŰKÖDÉSÉNEK ÁLTALÁNOS TÁMOGATÁSA ÖSSZESEN
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</si>
  <si>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</si>
  <si>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</si>
  <si>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</si>
  <si>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</si>
  <si>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</si>
  <si>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</si>
  <si>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r>
      <t>Társulás által fenntartott óvodákba bejáró gyermekek utaztatásának támogatása</t>
    </r>
    <r>
      <rPr>
        <sz val="10"/>
        <color indexed="8"/>
        <rFont val="Times New Roman"/>
        <family val="1"/>
        <charset val="238"/>
      </rPr>
      <t xml:space="preserve"> 
</t>
    </r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</si>
  <si>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</si>
  <si>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</si>
  <si>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</si>
  <si>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</si>
  <si>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</si>
  <si>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</si>
  <si>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</si>
  <si>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</si>
  <si>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</si>
  <si>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</si>
  <si>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</si>
  <si>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</si>
  <si>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</si>
  <si>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</si>
  <si>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</si>
  <si>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</si>
  <si>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</si>
  <si>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</si>
  <si>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</si>
  <si>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</si>
  <si>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</si>
  <si>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</si>
  <si>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</si>
  <si>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A települési önkormányzatok által az idősek átmeneti és tartós, valamint a hajléktalan személyek részére nyújtott tartós szociális szakosított ellátási feladatok támogatása 
</t>
  </si>
  <si>
    <t xml:space="preserve">A finanszírozás szempontjából elismert szakmai dolgozók bértámogatása </t>
  </si>
  <si>
    <t xml:space="preserve">Intézmény-üzemeltetési támogatás </t>
  </si>
  <si>
    <t xml:space="preserve">A TELEPÜLÉSI ÖNKORMÁNYZATOK SZOCIÁLIS  ÉS GYERMEKJÓLÉTI FELADATAINAK TÁMOGATÁSA ÖSSZESEN 
</t>
  </si>
  <si>
    <t>IV.</t>
  </si>
  <si>
    <t>ebből KÖRNYEZETVÉDELMI ALAP</t>
  </si>
  <si>
    <t>Beruházások / felújítások rangsorolása</t>
  </si>
  <si>
    <t>TERVEZETT , TÖBBLET FORRÁSOK TERHÉRE MEGVALÓSÍTHATÓ BERUHÁZÁSOK / FELÚJÍTÁSOK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</si>
  <si>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</si>
  <si>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</si>
  <si>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</si>
  <si>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</si>
  <si>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</si>
  <si>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</si>
  <si>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</si>
  <si>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</si>
  <si>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</si>
  <si>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</si>
  <si>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</si>
  <si>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</si>
  <si>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>aaa)</t>
  </si>
  <si>
    <t xml:space="preserve">A nemzeti minősítésű színházművészeti szervezetek művészeti támogatása </t>
  </si>
  <si>
    <t>aab)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</si>
  <si>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</si>
  <si>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</si>
  <si>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>aba)</t>
  </si>
  <si>
    <t xml:space="preserve">A kiemelt minősítésű színházművészeti szervezetek művészeti támogatása </t>
  </si>
  <si>
    <t>abb)</t>
  </si>
  <si>
    <t xml:space="preserve">A kiemelt minősítésű színházművészeti szervezetek működési támogatása </t>
  </si>
  <si>
    <t xml:space="preserve">Táncművészeti szervezetek támogatása </t>
  </si>
  <si>
    <t>ba)</t>
  </si>
  <si>
    <t xml:space="preserve">A nemzeti minősítésű táncművészeti szervezetek művészeti támogatása </t>
  </si>
  <si>
    <t>bb)</t>
  </si>
  <si>
    <t>A nemzeti minősítésű táncművészeti szervezetek létesítmény-gazdálkodási célú működési támogatása</t>
  </si>
  <si>
    <t>bc)</t>
  </si>
  <si>
    <t xml:space="preserve">A kiemelt minősítésű táncművészeti szervezetek művészeti támogatása </t>
  </si>
  <si>
    <t>bd)</t>
  </si>
  <si>
    <t>A kiemelt minősítésű táncművészeti szervezetek létesítmény-gazdálkodási célú működési támogatása</t>
  </si>
  <si>
    <t xml:space="preserve">Zeneművészeti szervezetek támogatása </t>
  </si>
  <si>
    <t>ca)</t>
  </si>
  <si>
    <t xml:space="preserve">Zenekarok támogatása </t>
  </si>
  <si>
    <t>caa)</t>
  </si>
  <si>
    <t xml:space="preserve">A nemzeti minősítésű zenekarok támogatása </t>
  </si>
  <si>
    <t>cab)</t>
  </si>
  <si>
    <t xml:space="preserve">A kiemelt minősítésű zenekarok támogatása </t>
  </si>
  <si>
    <t>cb)</t>
  </si>
  <si>
    <t xml:space="preserve">Énekkarok támogatása </t>
  </si>
  <si>
    <t>cba)</t>
  </si>
  <si>
    <t xml:space="preserve">A nemzeti minősítésű énekkarok támogatása </t>
  </si>
  <si>
    <t>cbb)</t>
  </si>
  <si>
    <t xml:space="preserve">A kiemelt minősítésű énekkarok támogatása </t>
  </si>
  <si>
    <t xml:space="preserve"> A TELEPÜLÉSI ÖNKORMÁNYZATOK KULTURÁLIS FELADATAINAK TÁMOGATÁSA ÖSSZESEN </t>
  </si>
  <si>
    <t>Magyarország 2013. évi központi költségvetéséről szóló 2012. évi CCIV. törvény 3. számú melleklete alapján a helyi önkormányzatok által felhasználható központosított előirányzatok</t>
  </si>
  <si>
    <t>Üdülőhelyi feladatok támogatása</t>
  </si>
  <si>
    <t>Lakott külterülettel kapcsolatos feladatok támogatása</t>
  </si>
  <si>
    <t>MINDÖSSZESEN:</t>
  </si>
  <si>
    <t>Egyeztetés</t>
  </si>
  <si>
    <t>2013.04.01-jétől</t>
  </si>
  <si>
    <t>Mód. ei.</t>
  </si>
  <si>
    <t>2013. évi mód. ei.</t>
  </si>
  <si>
    <t>2013. évi           mód. ei.</t>
  </si>
  <si>
    <t>2013. évi   mód.ei.</t>
  </si>
  <si>
    <t>Óvoda udvar kialakítása</t>
  </si>
  <si>
    <t>Polgármesteri Hivatal + sópince ató cserék</t>
  </si>
  <si>
    <t>Akácos út vízelvezetés</t>
  </si>
  <si>
    <t>Polgármesteri Hivatal tető teljeskörű felújítása</t>
  </si>
  <si>
    <t>Mária utca és környezete vízelvezetés</t>
  </si>
  <si>
    <t>Áfonya, Pipacs, Cinke, Őzgida utcai közvilágítás terv.kivitel.</t>
  </si>
  <si>
    <t>Tornaszoba pályázat önerő</t>
  </si>
  <si>
    <t>Nemzetiségek Háza felújítás</t>
  </si>
  <si>
    <t>ebből 2012. évi maradvány</t>
  </si>
  <si>
    <t>2013 évi</t>
  </si>
  <si>
    <t>adóterv</t>
  </si>
  <si>
    <t>norm terv.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</si>
  <si>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</si>
  <si>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</si>
  <si>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</si>
  <si>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</si>
  <si>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</si>
  <si>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</si>
  <si>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</si>
  <si>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</si>
  <si>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</si>
  <si>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</si>
  <si>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</si>
  <si>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</si>
  <si>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</si>
  <si>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</si>
  <si>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</si>
  <si>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</si>
  <si>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Baross Péter Közösségi Ház</t>
  </si>
  <si>
    <t>2013. évi szociális ellátások alakulásának részletezése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</si>
  <si>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</si>
  <si>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</si>
  <si>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</si>
  <si>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</si>
  <si>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</si>
  <si>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Mindösszesen:</t>
  </si>
  <si>
    <t>Egyéb  támogatott projekt neve, azonosítója:</t>
  </si>
  <si>
    <t>KMOP 4.6.1/B-09-2010-0007</t>
  </si>
  <si>
    <t>Közoktatási intézmények beruházásainak támogatása</t>
  </si>
  <si>
    <t>BM- Közbiztonság növelő pályázat</t>
  </si>
  <si>
    <t>Pályázati forrás  / pénzmaradvány</t>
  </si>
  <si>
    <t>Szociális ellátás megnevezése</t>
  </si>
  <si>
    <t>Ellátás eredeti előirányzat</t>
  </si>
  <si>
    <t>Állami támogatás eredeti előirányzat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</si>
  <si>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</si>
  <si>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</si>
  <si>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</si>
  <si>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</si>
  <si>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</si>
  <si>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</si>
  <si>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</si>
  <si>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</si>
  <si>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</si>
  <si>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Önkormányzati / járási  hatáskörbe tartozó szociális ellátások</t>
  </si>
  <si>
    <t>Természetben nyújtott átmeneti segély (Utalvány)</t>
  </si>
  <si>
    <t>2. számú tájékoztató tábla</t>
  </si>
  <si>
    <t>Csobánka Község 2013. évi beruházási kiadásai feladatonként ( e Ft-ban)</t>
  </si>
  <si>
    <t>az Önkormányzat 2013. évi felújítási, felhalmozási, fejlesztési terve  szerint</t>
  </si>
  <si>
    <t>Felhalmozási kiadások</t>
  </si>
  <si>
    <t>2013. eredeti ei.</t>
  </si>
  <si>
    <t>Korábbi évekről áthúzódó, illetve folyamatban lévő beruházások</t>
  </si>
  <si>
    <t>Áfonya, Pipacs, Cinke, Őzgida utcai közvilágítás tervezési, kivitelezési költségei</t>
  </si>
  <si>
    <t>Plandics téri buszváró kialakítása</t>
  </si>
  <si>
    <t>Plandics téri buszváró viacolor borítása</t>
  </si>
  <si>
    <t>Térfigyelő kamera rendszer BM Közbiztonsági pályázat</t>
  </si>
  <si>
    <t>Egyéb gépek, berendezések Hivatal informatikai fejlesztések meglévő gépeken, szerver bővítés</t>
  </si>
  <si>
    <t>Egyéb gépek, berendezések Hivatal informatikai fejlesztések szoftver vásárlás (szociális)</t>
  </si>
  <si>
    <t>2013 évi új igény</t>
  </si>
  <si>
    <t>Sószóró beszerzés</t>
  </si>
  <si>
    <t>Kötelező vírusírtó frissítés</t>
  </si>
  <si>
    <t>Felhalmozási kiadások mindösszesen</t>
  </si>
  <si>
    <t>Felhalmozási kiadások áfája</t>
  </si>
  <si>
    <t>Felújítási kiadások</t>
  </si>
  <si>
    <t>Óvoda udvar kötelező eszköz- és felszerlés jegyzék szerinti eszk. besz., udvar rendbetétele</t>
  </si>
  <si>
    <t>Polgármesteri Hivatal tető teljes körű felújítása</t>
  </si>
  <si>
    <t xml:space="preserve">Polgármesteri Hivatal + sópince ajtó cserék (4db) </t>
  </si>
  <si>
    <t xml:space="preserve">Akácos úton vízelvezetés </t>
  </si>
  <si>
    <t xml:space="preserve">Üdülők útja vízelvezetés </t>
  </si>
  <si>
    <t>Mária utca és környezetének vízelvezetés</t>
  </si>
  <si>
    <t>Nemzetiségek Háza felújítása</t>
  </si>
  <si>
    <t>Szalóky és Ady Endre u. támfal megerősítése</t>
  </si>
  <si>
    <r>
      <rPr>
        <b/>
        <i/>
        <sz val="11"/>
        <rFont val="Calibri"/>
        <family val="2"/>
        <charset val="238"/>
      </rPr>
      <t xml:space="preserve">Vagyongazdálkodási terv szerinti feladatok </t>
    </r>
    <r>
      <rPr>
        <i/>
        <sz val="11"/>
        <rFont val="Calibri"/>
        <family val="2"/>
        <charset val="238"/>
      </rPr>
      <t xml:space="preserve">(171/2012 (XI.29.) Kt-határozat) </t>
    </r>
  </si>
  <si>
    <t>Fő út 63. belső burkolás (parketta), tető javítása</t>
  </si>
  <si>
    <t>Híd u 1. ablak javítás, üvegezés</t>
  </si>
  <si>
    <t xml:space="preserve">Rózsa u. 19. kémény felúj., kéményseprői szolg, 1 db bojler beszerelése, belső burkolás </t>
  </si>
  <si>
    <t>Felújítási kiadások mindösszesen</t>
  </si>
  <si>
    <t>Felújítási kiadások áfája</t>
  </si>
  <si>
    <t>Felhalmozások összesen</t>
  </si>
  <si>
    <t>Maximális keret</t>
  </si>
  <si>
    <t>Csobánka Község 2013. évi karbantartási kiadásai feladatonként ( e Ft-ban)</t>
  </si>
  <si>
    <t>Karbantartás</t>
  </si>
  <si>
    <t xml:space="preserve">Önkormányzat karbantartás ktgvetési soron </t>
  </si>
  <si>
    <t>Kátyúzási munkák</t>
  </si>
  <si>
    <t>II. félévre!</t>
  </si>
  <si>
    <t>Tavasz lépcsőnél lévő patak oldali buszmegállót a pataktól elválasztó korlát javítása, mázolása</t>
  </si>
  <si>
    <t xml:space="preserve">Hiányzó vízelvezető rácsok pótlása (Ady Endre út vége, Templom köz két vége, </t>
  </si>
  <si>
    <t>Béke út - Bartók Béla út csomópont)</t>
  </si>
  <si>
    <t xml:space="preserve">Közlekedési táblák felülvizsgálata, szükséges pótlások elvégzése </t>
  </si>
  <si>
    <t>Utcatáblák pótlása</t>
  </si>
  <si>
    <t>Polgármesteri Hivatal festés, mázolási munkái</t>
  </si>
  <si>
    <t>Közvilágítás kötelező karbantartási díj</t>
  </si>
  <si>
    <t>Traktor javítás</t>
  </si>
  <si>
    <t>Nádas utcai híd korrózióvédelme</t>
  </si>
  <si>
    <t>Környezetvédelmi Alap</t>
  </si>
  <si>
    <t>Csobánka közterületein elhelyezkedő lépcsők beton anyaggal történő javítása</t>
  </si>
  <si>
    <t xml:space="preserve">(Mese köz, Kukorica köz, Tavasz lépcső, Hegylaja lépcső) </t>
  </si>
  <si>
    <t xml:space="preserve">Csobánka közterületein elhelyezkedő lépcsők korlát javítási, építési munkái előzetes felméréssel,a szükséges helyeken. </t>
  </si>
  <si>
    <t>Fő téri padok, kukák, díszkút, és táblák karbantartása (csiszolás, mázolás, rögzítések)          </t>
  </si>
  <si>
    <t>Temető rendezés - vízkiépítés, földmunka</t>
  </si>
  <si>
    <t>Hulladéktároló edények (kukák) vásárlása Oszoly, és falu 20 db</t>
  </si>
  <si>
    <t xml:space="preserve">Sótároló edények (150 literes) a nehezen megközelíthető utcákba 3 db  </t>
  </si>
  <si>
    <t xml:space="preserve">Környezetvédelmi Alapból finanszírozott karbantartás </t>
  </si>
  <si>
    <t>Karbantartások mindösszesen</t>
  </si>
  <si>
    <t>Karbantartások áfája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</si>
  <si>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</si>
  <si>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</si>
  <si>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</si>
  <si>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</si>
  <si>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</si>
  <si>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</si>
  <si>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</si>
  <si>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</si>
  <si>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</si>
  <si>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</si>
  <si>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</si>
  <si>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</si>
  <si>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</si>
  <si>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</si>
  <si>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</si>
  <si>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</si>
  <si>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</si>
  <si>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</si>
  <si>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</si>
  <si>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</si>
  <si>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</si>
  <si>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</si>
  <si>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</si>
  <si>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</si>
  <si>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</si>
  <si>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</si>
  <si>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</si>
  <si>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</si>
  <si>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</si>
  <si>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</si>
  <si>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</si>
  <si>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</si>
  <si>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</si>
  <si>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</si>
  <si>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</si>
  <si>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</si>
  <si>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</si>
  <si>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</si>
  <si>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</si>
  <si>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</si>
  <si>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</si>
  <si>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</si>
  <si>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</si>
  <si>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</si>
  <si>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</si>
  <si>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</si>
  <si>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</si>
  <si>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</si>
  <si>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</si>
  <si>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</si>
  <si>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</si>
  <si>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</si>
  <si>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</si>
  <si>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</si>
  <si>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</si>
  <si>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</si>
  <si>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</si>
  <si>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</si>
  <si>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</si>
  <si>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</si>
  <si>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</si>
  <si>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</si>
  <si>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</si>
  <si>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</si>
  <si>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</si>
  <si>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</si>
  <si>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</si>
  <si>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</si>
  <si>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</si>
  <si>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</si>
  <si>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</si>
  <si>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</si>
  <si>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</si>
  <si>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</si>
  <si>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</si>
  <si>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</si>
  <si>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</si>
  <si>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</si>
  <si>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</si>
  <si>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</si>
  <si>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</si>
  <si>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</si>
  <si>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</si>
  <si>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</si>
  <si>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</si>
  <si>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</si>
  <si>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</si>
  <si>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</si>
  <si>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</si>
  <si>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</si>
  <si>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</si>
  <si>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</si>
  <si>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</si>
  <si>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</si>
  <si>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</si>
  <si>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</si>
  <si>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</si>
  <si>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</si>
  <si>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</si>
  <si>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</si>
  <si>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</si>
  <si>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</si>
  <si>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</si>
  <si>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</si>
  <si>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</si>
  <si>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</si>
  <si>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</si>
  <si>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</si>
  <si>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</si>
  <si>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</si>
  <si>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</si>
  <si>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</si>
  <si>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</si>
  <si>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</si>
  <si>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</si>
  <si>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</si>
  <si>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</si>
  <si>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</si>
  <si>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</si>
  <si>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</si>
  <si>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</si>
  <si>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</si>
  <si>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</si>
  <si>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</si>
  <si>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</si>
  <si>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</si>
  <si>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</si>
  <si>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</si>
  <si>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</si>
  <si>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</si>
  <si>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</si>
  <si>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</si>
  <si>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</si>
  <si>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</si>
  <si>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2013.01.01-jétől</t>
  </si>
  <si>
    <t>Költségvetési szervek megnevezése</t>
  </si>
  <si>
    <t>Engedélyezett létszám (fő)</t>
  </si>
  <si>
    <t>Fizikai állomány közalkalmazott</t>
  </si>
  <si>
    <t>Szakmai állomány közalkalmazott</t>
  </si>
  <si>
    <t>Fizikai állomány köztisztviselő</t>
  </si>
  <si>
    <t>Szakmai állomány köztisztviselő</t>
  </si>
  <si>
    <t>Fizikai állomány MunkaTv</t>
  </si>
  <si>
    <t>Szakmai állomány  MunkaTv</t>
  </si>
  <si>
    <t>Közfoglalk.</t>
  </si>
  <si>
    <t>Közösségi Ház és Könyvtár</t>
  </si>
  <si>
    <t>Polgármesteri Hivatal</t>
  </si>
  <si>
    <t>Önkormányzat összesen:</t>
  </si>
  <si>
    <t>Választott tisztségviselők</t>
  </si>
  <si>
    <t>Város és községgazdálkodás</t>
  </si>
  <si>
    <t>Védőnői Szolgálat</t>
  </si>
  <si>
    <t>Csobánka Község Önkormányzat adósságot keletkeztető ügyletekből és kezességvállalásokból fennálló kötelezettségei</t>
  </si>
  <si>
    <t>Pénzkészlet</t>
  </si>
  <si>
    <t>Helyi adók felhalmozási célú felhasználása</t>
  </si>
  <si>
    <t>Felhasználás
2012. XII.31-ig</t>
  </si>
  <si>
    <t xml:space="preserve">
2013. év utáni szükséglet
</t>
  </si>
  <si>
    <t>Beruházási (felhalmozási) kiadások előirányzata beruházásonként</t>
  </si>
  <si>
    <t>Felújítási kiadások előirányzata felújításonként</t>
  </si>
  <si>
    <t>2013. év utáni szükséglet
(6=2 - 4 - 5)</t>
  </si>
  <si>
    <t>Önkormányzaton kívüli EU-s projektekhez történő hozzájárulás 2013. évi előirányzat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</si>
  <si>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</si>
  <si>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</si>
  <si>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</si>
  <si>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</si>
  <si>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</si>
  <si>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</si>
  <si>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</si>
  <si>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</si>
  <si>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</si>
  <si>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</si>
  <si>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</si>
  <si>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</si>
  <si>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</si>
  <si>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</si>
  <si>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</si>
  <si>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</si>
  <si>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</si>
  <si>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</si>
  <si>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</si>
  <si>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</si>
  <si>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</si>
  <si>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</si>
  <si>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</si>
  <si>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</si>
  <si>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</si>
  <si>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</si>
  <si>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</si>
  <si>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</si>
  <si>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</si>
  <si>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</si>
  <si>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</si>
  <si>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</si>
  <si>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</si>
  <si>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</si>
  <si>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</si>
  <si>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</si>
  <si>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</si>
  <si>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</si>
  <si>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</si>
  <si>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</si>
  <si>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</si>
  <si>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</si>
  <si>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</si>
  <si>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</si>
  <si>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</si>
  <si>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</si>
  <si>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</si>
  <si>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</si>
  <si>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</si>
  <si>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</si>
  <si>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</si>
  <si>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2011. évi tény</t>
  </si>
  <si>
    <t>2012. évi 
várható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</si>
  <si>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</si>
  <si>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</si>
  <si>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</si>
  <si>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</si>
  <si>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</si>
  <si>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</si>
  <si>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</si>
  <si>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Előirányzat-felhasználási terv
2013. évre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</si>
  <si>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</si>
  <si>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</si>
  <si>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</si>
  <si>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</si>
  <si>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</si>
  <si>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</si>
  <si>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</si>
  <si>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</si>
  <si>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</si>
  <si>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A 2013. évi általános működés és ágazati feladatok támogatásának alakulása jogcímenként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</si>
  <si>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</si>
  <si>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</si>
  <si>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</si>
  <si>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</si>
  <si>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</si>
  <si>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</si>
  <si>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</si>
  <si>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</si>
  <si>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</si>
  <si>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</si>
  <si>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</si>
  <si>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</si>
  <si>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</si>
  <si>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</si>
  <si>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</si>
  <si>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</si>
  <si>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</si>
  <si>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</si>
  <si>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</si>
  <si>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</si>
  <si>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</si>
  <si>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</si>
  <si>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</si>
  <si>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</si>
  <si>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</si>
  <si>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</si>
  <si>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</si>
  <si>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</si>
  <si>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</si>
  <si>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</si>
  <si>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</si>
  <si>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</si>
  <si>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</si>
  <si>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</si>
  <si>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</si>
  <si>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</si>
  <si>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</si>
  <si>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</si>
  <si>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</si>
  <si>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</si>
  <si>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</si>
  <si>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</si>
  <si>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</si>
  <si>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</si>
  <si>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</si>
  <si>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</si>
  <si>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</si>
  <si>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</si>
  <si>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2013. I. févi  telj.</t>
  </si>
  <si>
    <t>Teljesítés %</t>
  </si>
  <si>
    <t>2013. I févi  telj</t>
  </si>
  <si>
    <t xml:space="preserve">2013. I. févi telj. </t>
  </si>
  <si>
    <t>2013. I févi telj.</t>
  </si>
  <si>
    <t>Állami támogatás módosítot előirányzat</t>
  </si>
  <si>
    <t>Állami támogatás I. févi telj.</t>
  </si>
  <si>
    <t>Ellátás mód. ei</t>
  </si>
  <si>
    <t>Ellátás I. fév telj.</t>
  </si>
  <si>
    <t>2013. előirányzat</t>
  </si>
  <si>
    <t>2013. telj.</t>
  </si>
  <si>
    <t>Telj. %</t>
  </si>
  <si>
    <t>I.fév telj</t>
  </si>
  <si>
    <t>Telj %-a</t>
  </si>
  <si>
    <t>Eredeti előirányzat</t>
  </si>
  <si>
    <t>Megjegyzés</t>
  </si>
  <si>
    <t>Teljesítés %-a</t>
  </si>
  <si>
    <t>I. févi telj.</t>
  </si>
  <si>
    <t>Csobánka község Önkormányzata Képviselő-testületének</t>
  </si>
  <si>
    <t>2013. évi Környezetvédelmi Intézkedési Terve</t>
  </si>
  <si>
    <t>az Önkormányzat 2013. évi költségvetése Környezetvédelmi Alapjának felhasználására</t>
  </si>
  <si>
    <t xml:space="preserve">   Helyi, nemzetiségi önkormányzattól, intézménytől átvett pénzeszköz</t>
  </si>
  <si>
    <t>2012 Eredeti ei.</t>
  </si>
  <si>
    <t>Teljesítés (Ft)</t>
  </si>
  <si>
    <t>Módosított
előirányzat
(Ft)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</si>
  <si>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</si>
  <si>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</si>
  <si>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</si>
  <si>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</si>
  <si>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</si>
  <si>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</si>
  <si>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Peter Cerny Alapítvány Beteg Koraszülöttek Gyógyításért közhasznú szervezet </t>
  </si>
  <si>
    <t>Vadvirág nyugdíjas Klub</t>
  </si>
  <si>
    <t>9.mell. szerinti mód.ei.</t>
  </si>
  <si>
    <t>Működési támogatás</t>
  </si>
  <si>
    <t>Támogatás módosított ei.</t>
  </si>
  <si>
    <t>Támogatás eredeti ei.</t>
  </si>
  <si>
    <t>Telj.</t>
  </si>
  <si>
    <t>Csepp Alapítvány</t>
  </si>
  <si>
    <t>táboroztatás ktg-e</t>
  </si>
  <si>
    <t>Szent Anna Plébánia</t>
  </si>
  <si>
    <t>Pomáz Város Önkormányzata</t>
  </si>
  <si>
    <t>gyermekjóléti feladatellátás tám</t>
  </si>
  <si>
    <t>Családsegító Szolg. II. féléves tám.</t>
  </si>
  <si>
    <t>Családsegító Szolg.tám I.féléves szerz.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</si>
  <si>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</si>
  <si>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</si>
  <si>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</si>
  <si>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</si>
  <si>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2013. módosított ei</t>
  </si>
  <si>
    <t>2013. mód ei.</t>
  </si>
  <si>
    <t>Szerkezetátalakítási támogatás</t>
  </si>
  <si>
    <t>Időskorúak rendkívüli segélye (karácsony)</t>
  </si>
  <si>
    <t>2013.09.01-jétől</t>
  </si>
  <si>
    <t xml:space="preserve">2.1. melléklet a …/2013. (.) önkormányzati rendelethez     </t>
  </si>
  <si>
    <t xml:space="preserve">2.2. melléklet a …/2013. (.) önkormányzati rendelethez     </t>
  </si>
  <si>
    <t>2013.10.01-jétől</t>
  </si>
  <si>
    <t>dr Kiss Annamária</t>
  </si>
  <si>
    <t>Anna-napi búcsú (Puebla)</t>
  </si>
  <si>
    <t>2013.11.01-jétől</t>
  </si>
  <si>
    <t>2012. évről áthúzódó bérkompenzáció</t>
  </si>
  <si>
    <t>(VH terv) Rózsa utca 19 felújítás</t>
  </si>
  <si>
    <t>1. melléklet az 5/2014. (III.6.)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</si>
</sst>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1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60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 CE"/>
      <charset val="238"/>
    </font>
    <font>
      <sz val="11"/>
      <color indexed="10"/>
      <name val="Calibri"/>
      <family val="2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2"/>
      <color rgb="FFFF000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i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2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i/>
      <sz val="7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rgb="FFFF0000"/>
      <name val="Times New Roman CE"/>
      <family val="1"/>
      <charset val="238"/>
    </font>
    <font>
      <b/>
      <i/>
      <sz val="8"/>
      <color rgb="FFFF0000"/>
      <name val="Times New Roman CE"/>
      <family val="1"/>
      <charset val="238"/>
    </font>
  </fonts>
  <fills count="1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1403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5" xfId="0" applyFont="1" applyBorder="1" applyAlignment="1" applyProtection="1">
      <alignment horizontal="left" vertical="center" indent="1"/>
      <protection locked="0"/>
    </xf>
    <xf numFmtId="3" fontId="30" fillId="0" borderId="22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9" xfId="0" applyNumberFormat="1" applyFont="1" applyBorder="1" applyAlignment="1" applyProtection="1">
      <alignment horizontal="right" vertical="center" indent="1"/>
      <protection locked="0"/>
    </xf>
    <xf numFmtId="0" fontId="30" fillId="0" borderId="7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3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3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19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6" xfId="0" applyNumberFormat="1" applyFont="1" applyFill="1" applyBorder="1" applyAlignment="1" applyProtection="1">
      <alignment vertical="center" wrapText="1"/>
    </xf>
    <xf numFmtId="164" fontId="20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23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21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5" xfId="0" applyNumberFormat="1" applyFont="1" applyFill="1" applyBorder="1" applyAlignment="1" applyProtection="1">
      <alignment vertical="center"/>
      <protection locked="0"/>
    </xf>
    <xf numFmtId="3" fontId="35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2" xfId="0" applyNumberFormat="1" applyFont="1" applyFill="1" applyBorder="1" applyAlignment="1" applyProtection="1">
      <alignment vertical="center"/>
      <protection locked="0"/>
    </xf>
    <xf numFmtId="3" fontId="30" fillId="0" borderId="7" xfId="0" applyNumberFormat="1" applyFont="1" applyFill="1" applyBorder="1" applyAlignment="1" applyProtection="1">
      <alignment vertical="center"/>
      <protection locked="0"/>
    </xf>
    <xf numFmtId="49" fontId="30" fillId="0" borderId="9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20" fillId="2" borderId="16" xfId="0" applyNumberFormat="1" applyFont="1" applyFill="1" applyBorder="1" applyAlignment="1" applyProtection="1">
      <alignment vertical="center" wrapText="1"/>
    </xf>
    <xf numFmtId="164" fontId="8" fillId="2" borderId="16" xfId="0" applyNumberFormat="1" applyFont="1" applyFill="1" applyBorder="1" applyAlignment="1" applyProtection="1">
      <alignment vertical="center" wrapText="1"/>
    </xf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6" xfId="4" applyFont="1" applyFill="1" applyBorder="1" applyAlignment="1" applyProtection="1">
      <alignment horizontal="left" vertical="center" wrapTex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164" fontId="37" fillId="0" borderId="37" xfId="4" applyNumberFormat="1" applyFont="1" applyFill="1" applyBorder="1" applyAlignment="1" applyProtection="1">
      <alignment horizontal="left" vertical="center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0" fontId="15" fillId="0" borderId="0" xfId="4" applyFont="1" applyFill="1" applyBorder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33" fillId="0" borderId="7" xfId="4" applyFont="1" applyFill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8" fillId="0" borderId="38" xfId="4" applyFont="1" applyFill="1" applyBorder="1" applyAlignment="1" applyProtection="1">
      <alignment horizontal="center" vertical="center" wrapTex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29" fillId="0" borderId="5" xfId="4" applyFont="1" applyFill="1" applyBorder="1" applyAlignment="1" applyProtection="1">
      <alignment horizontal="center" vertical="center" wrapText="1"/>
    </xf>
    <xf numFmtId="0" fontId="29" fillId="0" borderId="22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6" fontId="29" fillId="0" borderId="23" xfId="1" applyNumberFormat="1" applyFont="1" applyFill="1" applyBorder="1" applyProtection="1"/>
    <xf numFmtId="166" fontId="30" fillId="0" borderId="22" xfId="1" applyNumberFormat="1" applyFont="1" applyFill="1" applyBorder="1" applyProtection="1">
      <protection locked="0"/>
    </xf>
    <xf numFmtId="166" fontId="30" fillId="0" borderId="19" xfId="1" applyNumberFormat="1" applyFont="1" applyFill="1" applyBorder="1" applyProtection="1">
      <protection locked="0"/>
    </xf>
    <xf numFmtId="166" fontId="30" fillId="0" borderId="21" xfId="1" applyNumberFormat="1" applyFont="1" applyFill="1" applyBorder="1" applyProtection="1">
      <protection locked="0"/>
    </xf>
    <xf numFmtId="166" fontId="30" fillId="0" borderId="23" xfId="1" applyNumberFormat="1" applyFont="1" applyFill="1" applyBorder="1" applyProtection="1"/>
    <xf numFmtId="0" fontId="30" fillId="0" borderId="5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7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164" fontId="8" fillId="0" borderId="16" xfId="0" applyNumberFormat="1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3" xfId="0" applyFont="1" applyBorder="1" applyAlignment="1" applyProtection="1">
      <alignment horizontal="right" vertical="center" indent="1"/>
    </xf>
    <xf numFmtId="0" fontId="30" fillId="0" borderId="9" xfId="0" applyFont="1" applyBorder="1" applyAlignment="1" applyProtection="1">
      <alignment horizontal="right" vertical="center" indent="1"/>
    </xf>
    <xf numFmtId="0" fontId="30" fillId="0" borderId="12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3" fillId="0" borderId="23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7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34" xfId="0" applyFont="1" applyFill="1" applyBorder="1" applyAlignment="1" applyProtection="1">
      <alignment horizontal="center"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30" fillId="0" borderId="22" xfId="0" applyNumberFormat="1" applyFont="1" applyFill="1" applyBorder="1" applyAlignment="1" applyProtection="1">
      <alignment vertical="center"/>
    </xf>
    <xf numFmtId="49" fontId="35" fillId="0" borderId="9" xfId="0" quotePrefix="1" applyNumberFormat="1" applyFont="1" applyFill="1" applyBorder="1" applyAlignment="1" applyProtection="1">
      <alignment horizontal="left" vertical="center" indent="1"/>
    </xf>
    <xf numFmtId="3" fontId="35" fillId="0" borderId="19" xfId="0" applyNumberFormat="1" applyFont="1" applyFill="1" applyBorder="1" applyAlignment="1" applyProtection="1">
      <alignment vertical="center"/>
    </xf>
    <xf numFmtId="49" fontId="30" fillId="0" borderId="9" xfId="0" applyNumberFormat="1" applyFont="1" applyFill="1" applyBorder="1" applyAlignment="1" applyProtection="1">
      <alignment vertical="center"/>
    </xf>
    <xf numFmtId="3" fontId="30" fillId="0" borderId="19" xfId="0" applyNumberFormat="1" applyFont="1" applyFill="1" applyBorder="1" applyAlignment="1" applyProtection="1">
      <alignment vertical="center"/>
    </xf>
    <xf numFmtId="49" fontId="31" fillId="0" borderId="15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3" fontId="30" fillId="0" borderId="23" xfId="0" applyNumberFormat="1" applyFont="1" applyFill="1" applyBorder="1" applyAlignment="1" applyProtection="1">
      <alignment vertical="center"/>
    </xf>
    <xf numFmtId="49" fontId="30" fillId="0" borderId="9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0" fontId="8" fillId="0" borderId="32" xfId="0" quotePrefix="1" applyFont="1" applyFill="1" applyBorder="1" applyAlignment="1" applyProtection="1">
      <alignment horizontal="center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164" fontId="35" fillId="0" borderId="49" xfId="4" applyNumberFormat="1" applyFont="1" applyFill="1" applyBorder="1" applyAlignment="1" applyProtection="1">
      <alignment horizontal="right" vertical="center" wrapText="1" indent="1"/>
    </xf>
    <xf numFmtId="164" fontId="35" fillId="0" borderId="51" xfId="4" applyNumberFormat="1" applyFont="1" applyFill="1" applyBorder="1" applyAlignment="1" applyProtection="1">
      <alignment horizontal="right" vertical="center" wrapText="1" indent="1"/>
    </xf>
    <xf numFmtId="164" fontId="30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0" fontId="28" fillId="0" borderId="23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horizontal="right" vertical="center" wrapText="1" indent="1"/>
    </xf>
    <xf numFmtId="164" fontId="20" fillId="0" borderId="34" xfId="4" applyNumberFormat="1" applyFont="1" applyFill="1" applyBorder="1" applyAlignment="1" applyProtection="1">
      <alignment horizontal="right" vertical="center" wrapText="1" indent="1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35" fillId="0" borderId="31" xfId="4" applyNumberFormat="1" applyFont="1" applyFill="1" applyBorder="1" applyAlignment="1" applyProtection="1">
      <alignment horizontal="right" vertical="center" wrapText="1" indent="1"/>
    </xf>
    <xf numFmtId="164" fontId="35" fillId="0" borderId="19" xfId="4" applyNumberFormat="1" applyFont="1" applyFill="1" applyBorder="1" applyAlignment="1" applyProtection="1">
      <alignment horizontal="right" vertical="center" wrapText="1" indent="1"/>
    </xf>
    <xf numFmtId="164" fontId="3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0" applyNumberFormat="1" applyFont="1" applyBorder="1" applyAlignment="1" applyProtection="1">
      <alignment horizontal="right" vertical="center" wrapText="1" indent="1"/>
    </xf>
    <xf numFmtId="0" fontId="26" fillId="0" borderId="23" xfId="0" quotePrefix="1" applyFont="1" applyBorder="1" applyAlignment="1" applyProtection="1">
      <alignment horizontal="right" vertical="center" wrapText="1" indent="1"/>
      <protection locked="0"/>
    </xf>
    <xf numFmtId="164" fontId="20" fillId="0" borderId="35" xfId="4" applyNumberFormat="1" applyFont="1" applyFill="1" applyBorder="1" applyAlignment="1" applyProtection="1">
      <alignment horizontal="righ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164" fontId="29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0" fontId="27" fillId="0" borderId="31" xfId="0" applyFont="1" applyBorder="1" applyAlignment="1" applyProtection="1">
      <alignment horizontal="right" vertical="center" wrapText="1" indent="1"/>
      <protection locked="0"/>
    </xf>
    <xf numFmtId="0" fontId="27" fillId="0" borderId="19" xfId="0" applyFont="1" applyBorder="1" applyAlignment="1" applyProtection="1">
      <alignment horizontal="right" vertical="center" wrapText="1" indent="1"/>
      <protection locked="0"/>
    </xf>
    <xf numFmtId="0" fontId="27" fillId="0" borderId="21" xfId="0" applyFont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6" xfId="0" applyNumberFormat="1" applyFont="1" applyFill="1" applyBorder="1" applyAlignment="1" applyProtection="1">
      <alignment horizontal="centerContinuous" vertical="center" wrapText="1"/>
    </xf>
    <xf numFmtId="164" fontId="8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16" xfId="0" applyNumberFormat="1" applyFont="1" applyFill="1" applyBorder="1" applyAlignment="1" applyProtection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5" fillId="0" borderId="1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5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164" fontId="35" fillId="0" borderId="4" xfId="0" applyNumberFormat="1" applyFont="1" applyFill="1" applyBorder="1" applyAlignment="1" applyProtection="1">
      <alignment horizontal="right" vertical="center" wrapText="1" indent="1"/>
    </xf>
    <xf numFmtId="166" fontId="30" fillId="0" borderId="57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3" xfId="1" applyNumberFormat="1" applyFont="1" applyFill="1" applyBorder="1" applyProtection="1">
      <protection locked="0"/>
    </xf>
    <xf numFmtId="0" fontId="30" fillId="0" borderId="4" xfId="4" applyFont="1" applyFill="1" applyBorder="1" applyProtection="1"/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8" fillId="0" borderId="24" xfId="0" applyFont="1" applyBorder="1" applyAlignment="1" applyProtection="1">
      <alignment horizontal="left" vertical="center" wrapText="1" indent="1"/>
    </xf>
    <xf numFmtId="0" fontId="27" fillId="0" borderId="31" xfId="0" applyFont="1" applyBorder="1" applyAlignment="1" applyProtection="1">
      <alignment horizontal="lef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7" fillId="0" borderId="33" xfId="0" applyFont="1" applyBorder="1" applyAlignment="1" applyProtection="1">
      <alignment horizontal="left" vertical="center" wrapText="1" indent="1"/>
    </xf>
    <xf numFmtId="0" fontId="27" fillId="0" borderId="21" xfId="0" applyFont="1" applyBorder="1" applyAlignment="1" applyProtection="1">
      <alignment horizontal="left" vertical="center" wrapText="1" indent="1"/>
    </xf>
    <xf numFmtId="0" fontId="48" fillId="0" borderId="19" xfId="0" applyFont="1" applyBorder="1" applyAlignment="1" applyProtection="1">
      <alignment horizontal="left" vertical="center" wrapText="1" indent="1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0" fontId="8" fillId="0" borderId="47" xfId="0" applyFont="1" applyFill="1" applyBorder="1" applyAlignment="1" applyProtection="1">
      <alignment horizontal="right" vertical="center" indent="1"/>
    </xf>
    <xf numFmtId="164" fontId="8" fillId="0" borderId="43" xfId="0" applyNumberFormat="1" applyFont="1" applyFill="1" applyBorder="1" applyAlignment="1" applyProtection="1">
      <alignment horizontal="right" vertical="center" wrapText="1" inden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9" xfId="0" applyNumberFormat="1" applyFont="1" applyFill="1" applyBorder="1" applyAlignment="1" applyProtection="1">
      <alignment horizontal="right" vertical="center" wrapText="1" indent="1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3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5" fillId="0" borderId="19" xfId="0" applyNumberFormat="1" applyFont="1" applyFill="1" applyBorder="1" applyAlignment="1" applyProtection="1">
      <alignment horizontal="right" vertical="center" wrapText="1" indent="1"/>
    </xf>
    <xf numFmtId="164" fontId="35" fillId="0" borderId="22" xfId="0" applyNumberFormat="1" applyFont="1" applyFill="1" applyBorder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7" fillId="0" borderId="60" xfId="4" applyFont="1" applyFill="1" applyBorder="1" applyAlignment="1" applyProtection="1">
      <alignment horizontal="center" vertical="center" wrapText="1"/>
    </xf>
    <xf numFmtId="0" fontId="7" fillId="0" borderId="60" xfId="4" applyFont="1" applyFill="1" applyBorder="1" applyAlignment="1" applyProtection="1">
      <alignment vertical="center" wrapText="1"/>
    </xf>
    <xf numFmtId="164" fontId="7" fillId="0" borderId="60" xfId="4" applyNumberFormat="1" applyFont="1" applyFill="1" applyBorder="1" applyAlignment="1" applyProtection="1">
      <alignment horizontal="right" vertical="center" wrapText="1" indent="1"/>
    </xf>
    <xf numFmtId="0" fontId="22" fillId="0" borderId="60" xfId="4" applyFont="1" applyFill="1" applyBorder="1" applyAlignment="1" applyProtection="1">
      <alignment horizontal="right" vertical="center" wrapText="1" indent="1"/>
      <protection locked="0"/>
    </xf>
    <xf numFmtId="164" fontId="30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righ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164" fontId="29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2" xfId="0" applyFont="1" applyBorder="1" applyAlignment="1">
      <alignment horizontal="justify" wrapText="1"/>
    </xf>
    <xf numFmtId="0" fontId="43" fillId="0" borderId="2" xfId="0" applyFont="1" applyBorder="1" applyAlignment="1">
      <alignment wrapText="1"/>
    </xf>
    <xf numFmtId="0" fontId="43" fillId="0" borderId="32" xfId="0" applyFont="1" applyBorder="1" applyAlignment="1">
      <alignment wrapText="1"/>
    </xf>
    <xf numFmtId="0" fontId="48" fillId="0" borderId="31" xfId="0" applyFont="1" applyBorder="1" applyAlignment="1" applyProtection="1">
      <alignment horizontal="left" vertical="center" wrapText="1" indent="1"/>
    </xf>
    <xf numFmtId="0" fontId="27" fillId="0" borderId="22" xfId="0" applyFont="1" applyBorder="1" applyAlignment="1" applyProtection="1">
      <alignment horizontal="left" vertical="center" wrapText="1" indent="1"/>
    </xf>
    <xf numFmtId="0" fontId="27" fillId="0" borderId="24" xfId="0" applyFont="1" applyBorder="1" applyAlignment="1" applyProtection="1">
      <alignment horizontal="left" vertical="center" wrapText="1" indent="1"/>
    </xf>
    <xf numFmtId="0" fontId="51" fillId="0" borderId="16" xfId="0" applyFont="1" applyBorder="1" applyAlignment="1" applyProtection="1">
      <alignment horizont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0" applyNumberFormat="1" applyFont="1" applyBorder="1" applyAlignment="1" applyProtection="1">
      <alignment horizontal="right" vertical="center" wrapText="1" indent="1"/>
    </xf>
    <xf numFmtId="164" fontId="35" fillId="0" borderId="23" xfId="4" applyNumberFormat="1" applyFont="1" applyFill="1" applyBorder="1" applyAlignment="1" applyProtection="1">
      <alignment horizontal="right" vertical="center" wrapText="1" indent="1"/>
    </xf>
    <xf numFmtId="164" fontId="54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4" applyNumberFormat="1" applyFont="1" applyFill="1" applyBorder="1" applyAlignment="1" applyProtection="1">
      <alignment horizontal="right" vertical="center" wrapText="1" indent="1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" xfId="4" applyNumberFormat="1" applyFont="1" applyFill="1" applyBorder="1" applyAlignment="1" applyProtection="1">
      <alignment horizontal="right" vertical="center" wrapText="1" indent="1"/>
    </xf>
    <xf numFmtId="164" fontId="35" fillId="0" borderId="2" xfId="4" applyNumberFormat="1" applyFont="1" applyFill="1" applyBorder="1" applyAlignment="1" applyProtection="1">
      <alignment horizontal="right" vertical="center" wrapText="1" indent="1"/>
    </xf>
    <xf numFmtId="164" fontId="30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6" xfId="4" applyNumberFormat="1" applyFont="1" applyFill="1" applyBorder="1" applyAlignment="1" applyProtection="1">
      <alignment horizontal="right" vertical="center" wrapText="1" indent="1"/>
    </xf>
    <xf numFmtId="164" fontId="29" fillId="0" borderId="16" xfId="4" applyNumberFormat="1" applyFont="1" applyFill="1" applyBorder="1" applyAlignment="1" applyProtection="1">
      <alignment horizontal="right" vertical="center" wrapText="1" indent="1"/>
    </xf>
    <xf numFmtId="164" fontId="30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6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4" xfId="0" applyFont="1" applyBorder="1" applyAlignment="1" applyProtection="1">
      <alignment horizontal="right" vertical="center" wrapText="1" indent="1"/>
      <protection locked="0"/>
    </xf>
    <xf numFmtId="0" fontId="27" fillId="0" borderId="2" xfId="0" applyFont="1" applyBorder="1" applyAlignment="1" applyProtection="1">
      <alignment horizontal="right" vertical="center" wrapText="1" indent="1"/>
      <protection locked="0"/>
    </xf>
    <xf numFmtId="0" fontId="27" fillId="0" borderId="7" xfId="0" applyFont="1" applyBorder="1" applyAlignment="1" applyProtection="1">
      <alignment horizontal="right" vertical="center" wrapText="1" indent="1"/>
      <protection locked="0"/>
    </xf>
    <xf numFmtId="164" fontId="28" fillId="0" borderId="16" xfId="0" applyNumberFormat="1" applyFont="1" applyBorder="1" applyAlignment="1" applyProtection="1">
      <alignment horizontal="right" vertical="center" wrapText="1" indent="1"/>
    </xf>
    <xf numFmtId="0" fontId="26" fillId="0" borderId="16" xfId="0" quotePrefix="1" applyFont="1" applyBorder="1" applyAlignment="1" applyProtection="1">
      <alignment horizontal="right" vertical="center" wrapText="1" indent="1"/>
      <protection locked="0"/>
    </xf>
    <xf numFmtId="0" fontId="8" fillId="0" borderId="44" xfId="4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/>
    </xf>
    <xf numFmtId="3" fontId="0" fillId="0" borderId="0" xfId="0" applyNumberFormat="1" applyFont="1"/>
    <xf numFmtId="0" fontId="0" fillId="0" borderId="0" xfId="0" applyFont="1"/>
    <xf numFmtId="0" fontId="61" fillId="0" borderId="0" xfId="0" applyFont="1"/>
    <xf numFmtId="0" fontId="60" fillId="0" borderId="0" xfId="0" applyFont="1" applyFill="1" applyAlignment="1">
      <alignment horizontal="center"/>
    </xf>
    <xf numFmtId="3" fontId="62" fillId="0" borderId="7" xfId="0" applyNumberFormat="1" applyFont="1" applyFill="1" applyBorder="1" applyAlignment="1">
      <alignment horizontal="center" vertical="center"/>
    </xf>
    <xf numFmtId="0" fontId="62" fillId="0" borderId="7" xfId="0" applyFont="1" applyFill="1" applyBorder="1" applyAlignment="1">
      <alignment horizontal="center" vertical="center" wrapText="1"/>
    </xf>
    <xf numFmtId="3" fontId="62" fillId="0" borderId="7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62" fillId="0" borderId="4" xfId="0" applyFont="1" applyFill="1" applyBorder="1" applyAlignment="1">
      <alignment horizontal="center" vertical="center" wrapText="1"/>
    </xf>
    <xf numFmtId="0" fontId="62" fillId="0" borderId="36" xfId="0" applyFont="1" applyFill="1" applyBorder="1" applyAlignment="1">
      <alignment horizontal="center" vertical="center" wrapText="1"/>
    </xf>
    <xf numFmtId="3" fontId="62" fillId="0" borderId="4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3" fontId="60" fillId="0" borderId="2" xfId="0" applyNumberFormat="1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0" fillId="4" borderId="2" xfId="0" applyNumberFormat="1" applyFont="1" applyFill="1" applyBorder="1"/>
    <xf numFmtId="3" fontId="63" fillId="5" borderId="2" xfId="0" applyNumberFormat="1" applyFont="1" applyFill="1" applyBorder="1"/>
    <xf numFmtId="3" fontId="60" fillId="5" borderId="2" xfId="0" applyNumberFormat="1" applyFont="1" applyFill="1" applyBorder="1"/>
    <xf numFmtId="3" fontId="65" fillId="6" borderId="2" xfId="0" applyNumberFormat="1" applyFont="1" applyFill="1" applyBorder="1"/>
    <xf numFmtId="3" fontId="66" fillId="6" borderId="2" xfId="0" applyNumberFormat="1" applyFont="1" applyFill="1" applyBorder="1"/>
    <xf numFmtId="0" fontId="56" fillId="0" borderId="2" xfId="0" applyFont="1" applyBorder="1" applyAlignment="1">
      <alignment horizontal="center" vertical="top" wrapText="1"/>
    </xf>
    <xf numFmtId="0" fontId="56" fillId="0" borderId="6" xfId="0" applyFont="1" applyBorder="1" applyAlignment="1">
      <alignment horizontal="left" vertical="top" wrapText="1"/>
    </xf>
    <xf numFmtId="3" fontId="56" fillId="4" borderId="2" xfId="0" applyNumberFormat="1" applyFont="1" applyFill="1" applyBorder="1"/>
    <xf numFmtId="0" fontId="56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3" fontId="63" fillId="4" borderId="2" xfId="0" applyNumberFormat="1" applyFont="1" applyFill="1" applyBorder="1"/>
    <xf numFmtId="0" fontId="67" fillId="0" borderId="0" xfId="0" applyFont="1"/>
    <xf numFmtId="0" fontId="63" fillId="0" borderId="6" xfId="0" applyFont="1" applyBorder="1" applyAlignment="1">
      <alignment horizontal="left" vertical="top" wrapText="1" indent="5"/>
    </xf>
    <xf numFmtId="3" fontId="62" fillId="4" borderId="2" xfId="0" applyNumberFormat="1" applyFont="1" applyFill="1" applyBorder="1"/>
    <xf numFmtId="0" fontId="64" fillId="7" borderId="2" xfId="0" applyFont="1" applyFill="1" applyBorder="1" applyAlignment="1">
      <alignment horizontal="center" vertical="top" wrapText="1"/>
    </xf>
    <xf numFmtId="0" fontId="64" fillId="7" borderId="6" xfId="0" applyFont="1" applyFill="1" applyBorder="1" applyAlignment="1">
      <alignment horizontal="left" vertical="top" wrapText="1"/>
    </xf>
    <xf numFmtId="3" fontId="64" fillId="7" borderId="6" xfId="0" applyNumberFormat="1" applyFont="1" applyFill="1" applyBorder="1" applyAlignment="1">
      <alignment horizontal="right" vertical="center" wrapText="1"/>
    </xf>
    <xf numFmtId="0" fontId="69" fillId="0" borderId="0" xfId="0" applyFont="1"/>
    <xf numFmtId="3" fontId="70" fillId="0" borderId="0" xfId="0" applyNumberFormat="1" applyFont="1"/>
    <xf numFmtId="0" fontId="63" fillId="0" borderId="0" xfId="0" applyFont="1"/>
    <xf numFmtId="3" fontId="60" fillId="4" borderId="2" xfId="0" applyNumberFormat="1" applyFont="1" applyFill="1" applyBorder="1"/>
    <xf numFmtId="0" fontId="60" fillId="0" borderId="0" xfId="0" applyFont="1"/>
    <xf numFmtId="0" fontId="63" fillId="0" borderId="6" xfId="0" quotePrefix="1" applyFont="1" applyBorder="1" applyAlignment="1">
      <alignment horizontal="left" vertical="top" wrapText="1" indent="10"/>
    </xf>
    <xf numFmtId="0" fontId="69" fillId="0" borderId="2" xfId="0" applyFont="1" applyBorder="1" applyAlignment="1">
      <alignment horizontal="center" vertical="top" wrapText="1"/>
    </xf>
    <xf numFmtId="3" fontId="69" fillId="4" borderId="2" xfId="0" applyNumberFormat="1" applyFont="1" applyFill="1" applyBorder="1"/>
    <xf numFmtId="0" fontId="70" fillId="0" borderId="0" xfId="0" applyFont="1"/>
    <xf numFmtId="3" fontId="58" fillId="0" borderId="0" xfId="0" applyNumberFormat="1" applyFont="1"/>
    <xf numFmtId="0" fontId="58" fillId="0" borderId="0" xfId="0" applyFont="1"/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0" fontId="63" fillId="8" borderId="6" xfId="0" applyFont="1" applyFill="1" applyBorder="1" applyAlignment="1">
      <alignment horizontal="left" vertical="top" wrapText="1" indent="5"/>
    </xf>
    <xf numFmtId="3" fontId="63" fillId="4" borderId="2" xfId="0" applyNumberFormat="1" applyFont="1" applyFill="1" applyBorder="1" applyProtection="1">
      <protection locked="0"/>
    </xf>
    <xf numFmtId="3" fontId="58" fillId="4" borderId="2" xfId="0" applyNumberFormat="1" applyFont="1" applyFill="1" applyBorder="1"/>
    <xf numFmtId="0" fontId="69" fillId="0" borderId="6" xfId="0" applyFont="1" applyBorder="1" applyAlignment="1">
      <alignment horizontal="left" vertical="top" wrapText="1" indent="5"/>
    </xf>
    <xf numFmtId="0" fontId="64" fillId="7" borderId="6" xfId="0" applyFont="1" applyFill="1" applyBorder="1" applyAlignment="1" applyProtection="1">
      <alignment horizontal="left" vertical="top" wrapText="1"/>
      <protection locked="0"/>
    </xf>
    <xf numFmtId="3" fontId="64" fillId="7" borderId="6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6" xfId="0" quotePrefix="1" applyFont="1" applyBorder="1" applyAlignment="1" applyProtection="1">
      <alignment horizontal="left" vertical="top" wrapText="1" indent="10"/>
      <protection locked="0"/>
    </xf>
    <xf numFmtId="0" fontId="63" fillId="0" borderId="6" xfId="0" applyFont="1" applyBorder="1" applyAlignment="1">
      <alignment horizontal="left" vertical="top" wrapText="1" indent="10"/>
    </xf>
    <xf numFmtId="0" fontId="63" fillId="8" borderId="6" xfId="0" applyFont="1" applyFill="1" applyBorder="1" applyAlignment="1" applyProtection="1">
      <alignment horizontal="left" vertical="top" wrapText="1" indent="5"/>
      <protection locked="0"/>
    </xf>
    <xf numFmtId="0" fontId="62" fillId="8" borderId="6" xfId="0" applyFont="1" applyFill="1" applyBorder="1" applyAlignment="1">
      <alignment horizontal="left" vertical="top" wrapText="1"/>
    </xf>
    <xf numFmtId="0" fontId="62" fillId="0" borderId="0" xfId="0" applyFont="1" applyAlignment="1">
      <alignment horizontal="center" vertical="top" wrapText="1"/>
    </xf>
    <xf numFmtId="3" fontId="63" fillId="0" borderId="0" xfId="0" applyNumberFormat="1" applyFont="1"/>
    <xf numFmtId="3" fontId="60" fillId="0" borderId="0" xfId="0" applyNumberFormat="1" applyFont="1"/>
    <xf numFmtId="3" fontId="0" fillId="0" borderId="0" xfId="0" applyNumberFormat="1"/>
    <xf numFmtId="0" fontId="62" fillId="0" borderId="0" xfId="0" applyFont="1"/>
    <xf numFmtId="0" fontId="62" fillId="8" borderId="0" xfId="0" applyFont="1" applyFill="1"/>
    <xf numFmtId="0" fontId="0" fillId="8" borderId="0" xfId="0" applyFont="1" applyFill="1"/>
    <xf numFmtId="164" fontId="20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52" fillId="0" borderId="23" xfId="0" applyFont="1" applyBorder="1" applyAlignment="1" applyProtection="1">
      <alignment horizontal="right" vertical="center" wrapText="1" indent="1"/>
    </xf>
    <xf numFmtId="0" fontId="71" fillId="0" borderId="0" xfId="4" applyFont="1" applyFill="1"/>
    <xf numFmtId="0" fontId="53" fillId="0" borderId="23" xfId="0" applyFont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1" fillId="0" borderId="0" xfId="0" applyFont="1"/>
    <xf numFmtId="3" fontId="81" fillId="0" borderId="0" xfId="0" applyNumberFormat="1" applyFont="1" applyAlignment="1">
      <alignment horizontal="right"/>
    </xf>
    <xf numFmtId="0" fontId="81" fillId="0" borderId="2" xfId="0" applyFont="1" applyBorder="1" applyAlignment="1">
      <alignment horizontal="justify" vertical="center" wrapText="1"/>
    </xf>
    <xf numFmtId="0" fontId="81" fillId="0" borderId="2" xfId="0" applyFont="1" applyBorder="1" applyAlignment="1">
      <alignment horizontal="right" vertical="center" wrapText="1"/>
    </xf>
    <xf numFmtId="0" fontId="83" fillId="0" borderId="2" xfId="0" applyFont="1" applyBorder="1" applyAlignment="1">
      <alignment horizontal="left" vertical="center" wrapText="1" indent="3"/>
    </xf>
    <xf numFmtId="0" fontId="81" fillId="0" borderId="2" xfId="0" applyFont="1" applyBorder="1" applyAlignment="1">
      <alignment horizontal="center" vertical="center" wrapText="1"/>
    </xf>
    <xf numFmtId="0" fontId="81" fillId="0" borderId="2" xfId="0" applyFont="1" applyBorder="1" applyAlignment="1">
      <alignment vertical="center" wrapText="1"/>
    </xf>
    <xf numFmtId="0" fontId="83" fillId="0" borderId="2" xfId="0" applyFont="1" applyBorder="1" applyAlignment="1">
      <alignment horizontal="left" vertical="center" wrapText="1" indent="2"/>
    </xf>
    <xf numFmtId="0" fontId="83" fillId="0" borderId="2" xfId="0" applyFont="1" applyBorder="1" applyAlignment="1">
      <alignment horizontal="left" vertical="center" wrapText="1" indent="4"/>
    </xf>
    <xf numFmtId="0" fontId="82" fillId="0" borderId="0" xfId="0" applyFont="1" applyBorder="1" applyAlignment="1">
      <alignment horizontal="center" vertical="center" wrapText="1"/>
    </xf>
    <xf numFmtId="0" fontId="82" fillId="0" borderId="0" xfId="0" applyFont="1" applyBorder="1" applyAlignment="1">
      <alignment horizontal="left" vertical="center" wrapText="1"/>
    </xf>
    <xf numFmtId="3" fontId="82" fillId="0" borderId="0" xfId="0" applyNumberFormat="1" applyFont="1" applyFill="1" applyBorder="1" applyAlignment="1">
      <alignment horizontal="right" vertical="center"/>
    </xf>
    <xf numFmtId="3" fontId="72" fillId="0" borderId="19" xfId="0" applyNumberFormat="1" applyFont="1" applyFill="1" applyBorder="1" applyAlignment="1">
      <alignment horizontal="right" wrapText="1"/>
    </xf>
    <xf numFmtId="3" fontId="73" fillId="0" borderId="19" xfId="0" applyNumberFormat="1" applyFont="1" applyFill="1" applyBorder="1" applyAlignment="1">
      <alignment horizontal="right" wrapText="1"/>
    </xf>
    <xf numFmtId="3" fontId="83" fillId="0" borderId="19" xfId="0" applyNumberFormat="1" applyFont="1" applyBorder="1" applyAlignment="1">
      <alignment horizontal="right" vertical="center"/>
    </xf>
    <xf numFmtId="3" fontId="82" fillId="0" borderId="19" xfId="0" applyNumberFormat="1" applyFont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3" fillId="0" borderId="19" xfId="0" applyNumberFormat="1" applyFont="1" applyFill="1" applyBorder="1" applyAlignment="1">
      <alignment horizontal="right" vertical="center"/>
    </xf>
    <xf numFmtId="3" fontId="82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2" fillId="0" borderId="22" xfId="0" applyNumberFormat="1" applyFont="1" applyFill="1" applyBorder="1" applyAlignment="1">
      <alignment horizontal="right" vertical="center"/>
    </xf>
    <xf numFmtId="0" fontId="84" fillId="0" borderId="0" xfId="0" applyFont="1" applyBorder="1" applyAlignment="1">
      <alignment horizontal="center" vertical="center" wrapText="1"/>
    </xf>
    <xf numFmtId="0" fontId="82" fillId="0" borderId="0" xfId="0" applyFont="1" applyBorder="1" applyAlignment="1">
      <alignment horizontal="justify" vertical="center" wrapText="1"/>
    </xf>
    <xf numFmtId="0" fontId="82" fillId="0" borderId="13" xfId="0" applyFont="1" applyBorder="1" applyAlignment="1">
      <alignment horizontal="center" vertical="center"/>
    </xf>
    <xf numFmtId="0" fontId="82" fillId="0" borderId="14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wrapText="1"/>
    </xf>
    <xf numFmtId="3" fontId="82" fillId="0" borderId="21" xfId="0" applyNumberFormat="1" applyFont="1" applyBorder="1" applyAlignment="1">
      <alignment horizontal="right" vertical="center"/>
    </xf>
    <xf numFmtId="3" fontId="82" fillId="0" borderId="23" xfId="0" applyNumberFormat="1" applyFont="1" applyBorder="1" applyAlignment="1">
      <alignment horizontal="right" vertical="center"/>
    </xf>
    <xf numFmtId="0" fontId="81" fillId="0" borderId="7" xfId="0" applyFont="1" applyBorder="1" applyAlignment="1">
      <alignment vertical="center" wrapText="1"/>
    </xf>
    <xf numFmtId="0" fontId="81" fillId="0" borderId="7" xfId="0" applyFont="1" applyBorder="1" applyAlignment="1">
      <alignment horizontal="right" vertical="center" wrapText="1"/>
    </xf>
    <xf numFmtId="0" fontId="83" fillId="0" borderId="7" xfId="0" applyFont="1" applyBorder="1" applyAlignment="1">
      <alignment horizontal="left" vertical="center" wrapText="1" indent="3"/>
    </xf>
    <xf numFmtId="3" fontId="83" fillId="0" borderId="21" xfId="0" applyNumberFormat="1" applyFont="1" applyBorder="1" applyAlignment="1">
      <alignment horizontal="right" vertical="center"/>
    </xf>
    <xf numFmtId="0" fontId="81" fillId="0" borderId="7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justify" vertical="center" wrapText="1"/>
    </xf>
    <xf numFmtId="3" fontId="81" fillId="0" borderId="21" xfId="0" applyNumberFormat="1" applyFont="1" applyFill="1" applyBorder="1" applyAlignment="1">
      <alignment horizontal="right" vertical="center"/>
    </xf>
    <xf numFmtId="3" fontId="82" fillId="0" borderId="23" xfId="0" applyNumberFormat="1" applyFont="1" applyFill="1" applyBorder="1" applyAlignment="1">
      <alignment horizontal="right" vertical="center"/>
    </xf>
    <xf numFmtId="0" fontId="83" fillId="0" borderId="7" xfId="0" applyFont="1" applyBorder="1" applyAlignment="1">
      <alignment horizontal="left" vertical="center" wrapText="1" indent="4"/>
    </xf>
    <xf numFmtId="3" fontId="83" fillId="0" borderId="21" xfId="0" applyNumberFormat="1" applyFont="1" applyFill="1" applyBorder="1" applyAlignment="1">
      <alignment horizontal="right" vertical="center"/>
    </xf>
    <xf numFmtId="3" fontId="82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0" fontId="85" fillId="0" borderId="0" xfId="5" applyFont="1" applyFill="1" applyProtection="1">
      <protection locked="0"/>
    </xf>
    <xf numFmtId="0" fontId="85" fillId="0" borderId="0" xfId="5" applyFont="1" applyFill="1" applyProtection="1"/>
    <xf numFmtId="0" fontId="85" fillId="0" borderId="0" xfId="5" applyFont="1" applyFill="1" applyAlignment="1" applyProtection="1">
      <alignment vertical="center"/>
    </xf>
    <xf numFmtId="164" fontId="85" fillId="0" borderId="0" xfId="5" applyNumberFormat="1" applyFont="1" applyFill="1" applyAlignment="1" applyProtection="1">
      <alignment vertical="center"/>
    </xf>
    <xf numFmtId="3" fontId="62" fillId="0" borderId="0" xfId="0" applyNumberFormat="1" applyFont="1"/>
    <xf numFmtId="0" fontId="64" fillId="0" borderId="0" xfId="0" applyFont="1"/>
    <xf numFmtId="0" fontId="0" fillId="0" borderId="0" xfId="0" applyFont="1" applyFill="1" applyBorder="1"/>
    <xf numFmtId="0" fontId="0" fillId="0" borderId="0" xfId="0" applyFill="1" applyAlignment="1" applyProtection="1"/>
    <xf numFmtId="0" fontId="24" fillId="0" borderId="0" xfId="0" applyFont="1" applyFill="1" applyAlignment="1" applyProtection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166" fontId="30" fillId="0" borderId="61" xfId="1" applyNumberFormat="1" applyFont="1" applyFill="1" applyBorder="1" applyProtection="1">
      <protection locked="0"/>
    </xf>
    <xf numFmtId="166" fontId="30" fillId="0" borderId="55" xfId="1" applyNumberFormat="1" applyFont="1" applyFill="1" applyBorder="1" applyProtection="1">
      <protection locked="0"/>
    </xf>
    <xf numFmtId="166" fontId="30" fillId="0" borderId="62" xfId="1" applyNumberFormat="1" applyFont="1" applyFill="1" applyBorder="1" applyProtection="1">
      <protection locked="0"/>
    </xf>
    <xf numFmtId="166" fontId="30" fillId="0" borderId="35" xfId="1" applyNumberFormat="1" applyFont="1" applyFill="1" applyBorder="1" applyProtection="1"/>
    <xf numFmtId="164" fontId="5" fillId="0" borderId="0" xfId="4" applyNumberFormat="1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166" fontId="29" fillId="0" borderId="35" xfId="1" applyNumberFormat="1" applyFont="1" applyFill="1" applyBorder="1" applyProtection="1"/>
    <xf numFmtId="3" fontId="60" fillId="0" borderId="0" xfId="0" applyNumberFormat="1" applyFont="1" applyAlignment="1">
      <alignment horizontal="right"/>
    </xf>
    <xf numFmtId="0" fontId="64" fillId="9" borderId="2" xfId="0" applyFont="1" applyFill="1" applyBorder="1" applyAlignment="1">
      <alignment horizontal="center" vertical="center" wrapText="1"/>
    </xf>
    <xf numFmtId="3" fontId="64" fillId="9" borderId="2" xfId="0" applyNumberFormat="1" applyFont="1" applyFill="1" applyBorder="1" applyAlignment="1"/>
    <xf numFmtId="0" fontId="64" fillId="9" borderId="62" xfId="0" applyFont="1" applyFill="1" applyBorder="1" applyAlignment="1">
      <alignment horizontal="left"/>
    </xf>
    <xf numFmtId="0" fontId="64" fillId="9" borderId="42" xfId="0" applyFont="1" applyFill="1" applyBorder="1" applyAlignment="1">
      <alignment horizontal="left"/>
    </xf>
    <xf numFmtId="3" fontId="64" fillId="9" borderId="63" xfId="0" applyNumberFormat="1" applyFont="1" applyFill="1" applyBorder="1" applyAlignment="1"/>
    <xf numFmtId="0" fontId="64" fillId="0" borderId="62" xfId="0" applyFont="1" applyFill="1" applyBorder="1" applyAlignment="1">
      <alignment horizontal="center"/>
    </xf>
    <xf numFmtId="0" fontId="64" fillId="0" borderId="42" xfId="0" applyFont="1" applyFill="1" applyBorder="1" applyAlignment="1">
      <alignment wrapText="1"/>
    </xf>
    <xf numFmtId="3" fontId="64" fillId="0" borderId="63" xfId="0" applyNumberFormat="1" applyFont="1" applyFill="1" applyBorder="1" applyAlignment="1"/>
    <xf numFmtId="3" fontId="60" fillId="0" borderId="2" xfId="0" applyNumberFormat="1" applyFont="1" applyBorder="1" applyAlignment="1"/>
    <xf numFmtId="3" fontId="62" fillId="9" borderId="2" xfId="0" applyNumberFormat="1" applyFont="1" applyFill="1" applyBorder="1" applyAlignment="1"/>
    <xf numFmtId="0" fontId="62" fillId="0" borderId="2" xfId="0" applyFont="1" applyBorder="1" applyAlignment="1">
      <alignment horizontal="center"/>
    </xf>
    <xf numFmtId="0" fontId="62" fillId="0" borderId="2" xfId="0" applyFont="1" applyBorder="1" applyAlignment="1">
      <alignment wrapText="1"/>
    </xf>
    <xf numFmtId="3" fontId="62" fillId="0" borderId="2" xfId="0" applyNumberFormat="1" applyFont="1" applyBorder="1" applyAlignment="1"/>
    <xf numFmtId="3" fontId="64" fillId="0" borderId="2" xfId="0" applyNumberFormat="1" applyFont="1" applyBorder="1" applyAlignment="1"/>
    <xf numFmtId="0" fontId="62" fillId="0" borderId="7" xfId="0" applyFont="1" applyBorder="1" applyAlignment="1">
      <alignment horizontal="center"/>
    </xf>
    <xf numFmtId="0" fontId="62" fillId="0" borderId="7" xfId="0" applyFont="1" applyBorder="1" applyAlignment="1">
      <alignment wrapText="1"/>
    </xf>
    <xf numFmtId="3" fontId="62" fillId="0" borderId="7" xfId="0" applyNumberFormat="1" applyFont="1" applyBorder="1" applyAlignment="1"/>
    <xf numFmtId="0" fontId="62" fillId="0" borderId="4" xfId="0" applyFont="1" applyBorder="1" applyAlignment="1">
      <alignment horizontal="center"/>
    </xf>
    <xf numFmtId="0" fontId="62" fillId="0" borderId="4" xfId="0" applyFont="1" applyBorder="1" applyAlignment="1">
      <alignment wrapText="1"/>
    </xf>
    <xf numFmtId="3" fontId="62" fillId="0" borderId="4" xfId="0" applyNumberFormat="1" applyFont="1" applyBorder="1" applyAlignment="1"/>
    <xf numFmtId="0" fontId="62" fillId="0" borderId="2" xfId="0" applyFont="1" applyBorder="1" applyAlignment="1">
      <alignment horizontal="center" vertical="top"/>
    </xf>
    <xf numFmtId="0" fontId="0" fillId="0" borderId="6" xfId="0" applyBorder="1" applyAlignment="1">
      <alignment wrapText="1"/>
    </xf>
    <xf numFmtId="3" fontId="57" fillId="4" borderId="2" xfId="0" applyNumberFormat="1" applyFont="1" applyFill="1" applyBorder="1"/>
    <xf numFmtId="3" fontId="63" fillId="6" borderId="2" xfId="0" applyNumberFormat="1" applyFont="1" applyFill="1" applyBorder="1"/>
    <xf numFmtId="3" fontId="60" fillId="6" borderId="2" xfId="0" applyNumberFormat="1" applyFont="1" applyFill="1" applyBorder="1"/>
    <xf numFmtId="0" fontId="60" fillId="0" borderId="0" xfId="0" applyFont="1" applyFill="1" applyAlignment="1"/>
    <xf numFmtId="0" fontId="62" fillId="0" borderId="0" xfId="0" applyFont="1" applyAlignment="1">
      <alignment horizontal="center"/>
    </xf>
    <xf numFmtId="3" fontId="64" fillId="0" borderId="0" xfId="0" applyNumberFormat="1" applyFont="1"/>
    <xf numFmtId="0" fontId="76" fillId="0" borderId="7" xfId="0" applyFont="1" applyFill="1" applyBorder="1" applyAlignment="1">
      <alignment horizontal="center" vertical="center" wrapText="1"/>
    </xf>
    <xf numFmtId="0" fontId="76" fillId="0" borderId="63" xfId="0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0" fontId="77" fillId="0" borderId="0" xfId="0" applyFont="1"/>
    <xf numFmtId="0" fontId="76" fillId="0" borderId="4" xfId="0" applyFont="1" applyFill="1" applyBorder="1" applyAlignment="1">
      <alignment horizontal="center" vertical="center" wrapText="1"/>
    </xf>
    <xf numFmtId="0" fontId="76" fillId="0" borderId="36" xfId="0" applyFont="1" applyFill="1" applyBorder="1" applyAlignment="1">
      <alignment horizontal="center" vertical="center" wrapText="1"/>
    </xf>
    <xf numFmtId="0" fontId="76" fillId="0" borderId="4" xfId="0" applyFont="1" applyBorder="1" applyAlignment="1">
      <alignment horizontal="center" vertical="top" wrapText="1"/>
    </xf>
    <xf numFmtId="0" fontId="76" fillId="8" borderId="4" xfId="0" applyFont="1" applyFill="1" applyBorder="1" applyAlignment="1">
      <alignment horizontal="left" vertical="top" wrapText="1"/>
    </xf>
    <xf numFmtId="0" fontId="76" fillId="0" borderId="2" xfId="0" applyFont="1" applyBorder="1" applyAlignment="1">
      <alignment horizontal="center" vertical="top" wrapText="1"/>
    </xf>
    <xf numFmtId="0" fontId="76" fillId="0" borderId="2" xfId="0" applyFont="1" applyBorder="1" applyAlignment="1">
      <alignment horizontal="left" vertical="top" wrapText="1"/>
    </xf>
    <xf numFmtId="3" fontId="64" fillId="7" borderId="6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vertical="center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 indent="5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79" fillId="0" borderId="2" xfId="0" quotePrefix="1" applyFont="1" applyBorder="1" applyAlignment="1">
      <alignment horizontal="left" vertical="top" wrapText="1" indent="10"/>
    </xf>
    <xf numFmtId="0" fontId="80" fillId="0" borderId="2" xfId="0" quotePrefix="1" applyFont="1" applyBorder="1" applyAlignment="1">
      <alignment horizontal="center" vertical="top" wrapText="1"/>
    </xf>
    <xf numFmtId="0" fontId="68" fillId="0" borderId="0" xfId="0" applyFont="1" applyAlignment="1">
      <alignment horizontal="left" indent="13"/>
    </xf>
    <xf numFmtId="0" fontId="59" fillId="0" borderId="0" xfId="0" applyFont="1"/>
    <xf numFmtId="0" fontId="76" fillId="8" borderId="2" xfId="0" applyFont="1" applyFill="1" applyBorder="1" applyAlignment="1">
      <alignment horizontal="left" vertical="top" wrapText="1"/>
    </xf>
    <xf numFmtId="0" fontId="78" fillId="0" borderId="2" xfId="0" applyFont="1" applyFill="1" applyBorder="1" applyAlignment="1">
      <alignment horizontal="left" vertical="top" wrapText="1" indent="5"/>
    </xf>
    <xf numFmtId="4" fontId="62" fillId="0" borderId="0" xfId="0" applyNumberFormat="1" applyFont="1" applyAlignment="1">
      <alignment horizontal="center"/>
    </xf>
    <xf numFmtId="0" fontId="64" fillId="0" borderId="45" xfId="0" applyFont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3" fontId="64" fillId="0" borderId="15" xfId="0" applyNumberFormat="1" applyFont="1" applyBorder="1" applyAlignment="1">
      <alignment horizontal="center" vertical="center" wrapText="1"/>
    </xf>
    <xf numFmtId="3" fontId="64" fillId="0" borderId="25" xfId="0" applyNumberFormat="1" applyFont="1" applyBorder="1" applyAlignment="1">
      <alignment horizontal="center" vertical="center" wrapText="1"/>
    </xf>
    <xf numFmtId="0" fontId="62" fillId="0" borderId="53" xfId="0" applyFont="1" applyBorder="1" applyAlignment="1">
      <alignment horizontal="justify" vertical="top" wrapText="1"/>
    </xf>
    <xf numFmtId="2" fontId="62" fillId="0" borderId="53" xfId="0" applyNumberFormat="1" applyFont="1" applyBorder="1" applyAlignment="1">
      <alignment horizontal="center" vertical="center" wrapText="1"/>
    </xf>
    <xf numFmtId="4" fontId="62" fillId="0" borderId="19" xfId="0" applyNumberFormat="1" applyFont="1" applyBorder="1" applyAlignment="1">
      <alignment horizontal="center" vertical="center"/>
    </xf>
    <xf numFmtId="4" fontId="62" fillId="0" borderId="9" xfId="0" applyNumberFormat="1" applyFont="1" applyBorder="1" applyAlignment="1">
      <alignment horizontal="center" vertical="center"/>
    </xf>
    <xf numFmtId="4" fontId="62" fillId="0" borderId="26" xfId="0" applyNumberFormat="1" applyFont="1" applyBorder="1" applyAlignment="1">
      <alignment horizontal="center" vertical="center"/>
    </xf>
    <xf numFmtId="4" fontId="62" fillId="0" borderId="28" xfId="0" applyNumberFormat="1" applyFont="1" applyBorder="1" applyAlignment="1">
      <alignment horizontal="center" vertical="center"/>
    </xf>
    <xf numFmtId="0" fontId="60" fillId="7" borderId="53" xfId="0" applyFont="1" applyFill="1" applyBorder="1" applyAlignment="1">
      <alignment horizontal="justify" vertical="top" wrapText="1"/>
    </xf>
    <xf numFmtId="2" fontId="60" fillId="7" borderId="54" xfId="0" applyNumberFormat="1" applyFont="1" applyFill="1" applyBorder="1" applyAlignment="1">
      <alignment horizontal="center" vertical="center" wrapText="1"/>
    </xf>
    <xf numFmtId="2" fontId="60" fillId="7" borderId="19" xfId="0" applyNumberFormat="1" applyFont="1" applyFill="1" applyBorder="1" applyAlignment="1">
      <alignment horizontal="center" vertical="center" wrapText="1"/>
    </xf>
    <xf numFmtId="4" fontId="60" fillId="7" borderId="26" xfId="0" applyNumberFormat="1" applyFont="1" applyFill="1" applyBorder="1" applyAlignment="1">
      <alignment horizontal="center" vertical="center"/>
    </xf>
    <xf numFmtId="2" fontId="62" fillId="0" borderId="54" xfId="0" applyNumberFormat="1" applyFont="1" applyBorder="1" applyAlignment="1">
      <alignment horizontal="center" vertical="center" wrapText="1"/>
    </xf>
    <xf numFmtId="0" fontId="62" fillId="0" borderId="56" xfId="0" applyFont="1" applyBorder="1" applyAlignment="1">
      <alignment horizontal="justify" vertical="top" wrapText="1"/>
    </xf>
    <xf numFmtId="2" fontId="62" fillId="0" borderId="41" xfId="0" applyNumberFormat="1" applyFont="1" applyBorder="1" applyAlignment="1">
      <alignment horizontal="center" vertical="center" wrapText="1"/>
    </xf>
    <xf numFmtId="4" fontId="62" fillId="0" borderId="21" xfId="0" applyNumberFormat="1" applyFont="1" applyBorder="1" applyAlignment="1">
      <alignment horizontal="center" vertical="center"/>
    </xf>
    <xf numFmtId="4" fontId="62" fillId="0" borderId="12" xfId="0" applyNumberFormat="1" applyFont="1" applyBorder="1" applyAlignment="1">
      <alignment horizontal="center" vertical="center"/>
    </xf>
    <xf numFmtId="4" fontId="62" fillId="0" borderId="27" xfId="0" applyNumberFormat="1" applyFont="1" applyBorder="1" applyAlignment="1">
      <alignment horizontal="center" vertical="center"/>
    </xf>
    <xf numFmtId="0" fontId="60" fillId="0" borderId="45" xfId="0" applyFont="1" applyBorder="1" applyAlignment="1">
      <alignment horizontal="justify" vertical="top" wrapText="1"/>
    </xf>
    <xf numFmtId="2" fontId="60" fillId="0" borderId="15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/>
    </xf>
    <xf numFmtId="167" fontId="62" fillId="0" borderId="0" xfId="0" applyNumberFormat="1" applyFont="1"/>
    <xf numFmtId="2" fontId="60" fillId="0" borderId="25" xfId="0" applyNumberFormat="1" applyFont="1" applyBorder="1" applyAlignment="1">
      <alignment horizontal="center" vertical="center" wrapText="1"/>
    </xf>
    <xf numFmtId="0" fontId="64" fillId="9" borderId="55" xfId="0" applyFont="1" applyFill="1" applyBorder="1" applyAlignment="1">
      <alignment horizontal="left"/>
    </xf>
    <xf numFmtId="0" fontId="64" fillId="9" borderId="64" xfId="0" applyFont="1" applyFill="1" applyBorder="1" applyAlignment="1">
      <alignment horizontal="left"/>
    </xf>
    <xf numFmtId="3" fontId="64" fillId="9" borderId="7" xfId="0" applyNumberFormat="1" applyFont="1" applyFill="1" applyBorder="1" applyAlignment="1"/>
    <xf numFmtId="0" fontId="62" fillId="0" borderId="0" xfId="0" applyFont="1" applyAlignment="1">
      <alignment wrapText="1"/>
    </xf>
    <xf numFmtId="0" fontId="62" fillId="0" borderId="0" xfId="0" applyFont="1" applyAlignment="1">
      <alignment horizontal="center" wrapText="1"/>
    </xf>
    <xf numFmtId="3" fontId="62" fillId="0" borderId="0" xfId="0" applyNumberFormat="1" applyFont="1" applyAlignment="1"/>
    <xf numFmtId="0" fontId="62" fillId="0" borderId="55" xfId="0" applyFont="1" applyBorder="1" applyAlignment="1">
      <alignment horizontal="center"/>
    </xf>
    <xf numFmtId="0" fontId="62" fillId="0" borderId="6" xfId="0" applyFont="1" applyBorder="1" applyAlignment="1">
      <alignment wrapText="1"/>
    </xf>
    <xf numFmtId="0" fontId="62" fillId="0" borderId="55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/>
    </xf>
    <xf numFmtId="0" fontId="62" fillId="0" borderId="0" xfId="0" applyFont="1" applyBorder="1" applyAlignment="1">
      <alignment wrapText="1"/>
    </xf>
    <xf numFmtId="3" fontId="62" fillId="0" borderId="0" xfId="0" applyNumberFormat="1" applyFont="1" applyBorder="1" applyAlignment="1"/>
    <xf numFmtId="0" fontId="62" fillId="0" borderId="65" xfId="0" applyFont="1" applyBorder="1" applyAlignment="1">
      <alignment horizontal="center"/>
    </xf>
    <xf numFmtId="0" fontId="62" fillId="0" borderId="65" xfId="0" applyFont="1" applyBorder="1" applyAlignment="1">
      <alignment wrapText="1"/>
    </xf>
    <xf numFmtId="3" fontId="62" fillId="0" borderId="65" xfId="0" applyNumberFormat="1" applyFont="1" applyBorder="1" applyAlignment="1"/>
    <xf numFmtId="3" fontId="62" fillId="0" borderId="2" xfId="0" applyNumberFormat="1" applyFont="1" applyFill="1" applyBorder="1" applyAlignment="1"/>
    <xf numFmtId="0" fontId="43" fillId="0" borderId="47" xfId="0" applyFont="1" applyBorder="1" applyAlignment="1">
      <alignment horizontal="right" wrapText="1"/>
    </xf>
    <xf numFmtId="0" fontId="43" fillId="0" borderId="47" xfId="0" applyFont="1" applyBorder="1" applyAlignment="1">
      <alignment horizontal="right" vertical="top" wrapText="1"/>
    </xf>
    <xf numFmtId="0" fontId="43" fillId="0" borderId="66" xfId="0" applyFont="1" applyBorder="1" applyAlignment="1">
      <alignment vertical="top" wrapText="1"/>
    </xf>
    <xf numFmtId="0" fontId="87" fillId="0" borderId="47" xfId="0" applyFont="1" applyBorder="1" applyAlignment="1">
      <alignment horizontal="right" wrapText="1"/>
    </xf>
    <xf numFmtId="0" fontId="43" fillId="0" borderId="0" xfId="0" applyFont="1"/>
    <xf numFmtId="0" fontId="43" fillId="0" borderId="0" xfId="0" applyFont="1" applyAlignment="1">
      <alignment horizontal="justify"/>
    </xf>
    <xf numFmtId="164" fontId="0" fillId="0" borderId="9" xfId="0" applyNumberFormat="1" applyFill="1" applyBorder="1" applyAlignment="1" applyProtection="1">
      <alignment horizontal="center"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/>
      <protection locked="0"/>
    </xf>
    <xf numFmtId="2" fontId="60" fillId="7" borderId="26" xfId="0" applyNumberFormat="1" applyFont="1" applyFill="1" applyBorder="1" applyAlignment="1">
      <alignment horizontal="center" vertical="center" wrapText="1"/>
    </xf>
    <xf numFmtId="0" fontId="89" fillId="0" borderId="53" xfId="0" applyFont="1" applyBorder="1" applyAlignment="1">
      <alignment horizontal="justify" vertical="top" wrapText="1"/>
    </xf>
    <xf numFmtId="2" fontId="89" fillId="0" borderId="41" xfId="0" applyNumberFormat="1" applyFont="1" applyBorder="1" applyAlignment="1">
      <alignment horizontal="center" vertical="center" wrapText="1"/>
    </xf>
    <xf numFmtId="4" fontId="89" fillId="0" borderId="21" xfId="0" applyNumberFormat="1" applyFont="1" applyBorder="1" applyAlignment="1">
      <alignment horizontal="center" vertical="center"/>
    </xf>
    <xf numFmtId="4" fontId="89" fillId="0" borderId="12" xfId="0" applyNumberFormat="1" applyFont="1" applyBorder="1" applyAlignment="1">
      <alignment horizontal="center" vertical="center"/>
    </xf>
    <xf numFmtId="4" fontId="89" fillId="0" borderId="27" xfId="0" applyNumberFormat="1" applyFont="1" applyBorder="1" applyAlignment="1">
      <alignment horizontal="center" vertical="center"/>
    </xf>
    <xf numFmtId="0" fontId="89" fillId="0" borderId="0" xfId="0" applyFont="1"/>
    <xf numFmtId="4" fontId="89" fillId="0" borderId="26" xfId="0" applyNumberFormat="1" applyFont="1" applyBorder="1" applyAlignment="1">
      <alignment horizontal="center" vertical="center"/>
    </xf>
    <xf numFmtId="164" fontId="90" fillId="0" borderId="0" xfId="0" applyNumberFormat="1" applyFont="1" applyFill="1" applyAlignment="1">
      <alignment vertical="center" wrapText="1"/>
    </xf>
    <xf numFmtId="0" fontId="91" fillId="0" borderId="0" xfId="0" applyFont="1" applyFill="1" applyAlignment="1">
      <alignment vertical="center"/>
    </xf>
    <xf numFmtId="0" fontId="92" fillId="0" borderId="0" xfId="0" applyFont="1" applyFill="1" applyAlignment="1">
      <alignment vertical="center"/>
    </xf>
    <xf numFmtId="0" fontId="93" fillId="0" borderId="0" xfId="0" applyFont="1" applyFill="1" applyAlignment="1">
      <alignment vertical="center" wrapText="1"/>
    </xf>
    <xf numFmtId="0" fontId="91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vertical="center" wrapText="1"/>
    </xf>
    <xf numFmtId="0" fontId="95" fillId="0" borderId="0" xfId="0" applyFont="1" applyFill="1" applyAlignment="1">
      <alignment vertical="center" wrapText="1"/>
    </xf>
    <xf numFmtId="0" fontId="96" fillId="0" borderId="0" xfId="0" applyFont="1" applyFill="1" applyAlignment="1">
      <alignment vertical="center" wrapText="1"/>
    </xf>
    <xf numFmtId="0" fontId="93" fillId="0" borderId="0" xfId="0" applyFont="1" applyFill="1" applyAlignment="1" applyProtection="1">
      <alignment horizontal="left" vertical="center" wrapText="1"/>
    </xf>
    <xf numFmtId="0" fontId="93" fillId="0" borderId="0" xfId="0" applyFont="1" applyFill="1" applyAlignment="1" applyProtection="1">
      <alignment vertical="center" wrapText="1"/>
    </xf>
    <xf numFmtId="0" fontId="93" fillId="0" borderId="0" xfId="0" applyFont="1" applyFill="1" applyAlignment="1" applyProtection="1">
      <alignment horizontal="right" vertical="center" wrapText="1" indent="1"/>
    </xf>
    <xf numFmtId="0" fontId="92" fillId="0" borderId="15" xfId="0" applyFont="1" applyFill="1" applyBorder="1" applyAlignment="1" applyProtection="1">
      <alignment horizontal="left" vertical="center"/>
    </xf>
    <xf numFmtId="0" fontId="97" fillId="0" borderId="46" xfId="0" applyFont="1" applyFill="1" applyBorder="1" applyAlignment="1" applyProtection="1">
      <alignment vertical="center" wrapText="1"/>
    </xf>
    <xf numFmtId="0" fontId="92" fillId="0" borderId="44" xfId="0" applyFont="1" applyFill="1" applyBorder="1" applyAlignment="1" applyProtection="1">
      <alignment vertical="center" wrapText="1"/>
    </xf>
    <xf numFmtId="3" fontId="9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93" fillId="0" borderId="0" xfId="0" applyFont="1" applyFill="1" applyAlignment="1">
      <alignment horizontal="left" vertical="center" wrapText="1"/>
    </xf>
    <xf numFmtId="0" fontId="8" fillId="0" borderId="61" xfId="0" quotePrefix="1" applyFont="1" applyFill="1" applyBorder="1" applyAlignment="1" applyProtection="1">
      <alignment horizontal="right" vertical="center" indent="1"/>
    </xf>
    <xf numFmtId="0" fontId="8" fillId="0" borderId="57" xfId="0" quotePrefix="1" applyFont="1" applyFill="1" applyBorder="1" applyAlignment="1" applyProtection="1">
      <alignment horizontal="right" vertical="center" inden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164" fontId="29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0" xfId="0" applyNumberFormat="1" applyFont="1" applyFill="1" applyBorder="1" applyAlignment="1" applyProtection="1">
      <alignment horizontal="right" vertical="center" wrapText="1" indent="1"/>
    </xf>
    <xf numFmtId="0" fontId="51" fillId="0" borderId="44" xfId="0" applyFont="1" applyBorder="1" applyAlignment="1" applyProtection="1">
      <alignment horizontal="center" wrapText="1"/>
    </xf>
    <xf numFmtId="0" fontId="43" fillId="0" borderId="44" xfId="0" applyFont="1" applyBorder="1" applyAlignment="1" applyProtection="1">
      <alignment horizontal="center" wrapText="1"/>
    </xf>
    <xf numFmtId="164" fontId="3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26" fillId="10" borderId="45" xfId="0" applyFont="1" applyFill="1" applyBorder="1" applyAlignment="1">
      <alignment wrapText="1"/>
    </xf>
    <xf numFmtId="0" fontId="87" fillId="10" borderId="47" xfId="0" applyFont="1" applyFill="1" applyBorder="1" applyAlignment="1">
      <alignment horizontal="right" wrapText="1"/>
    </xf>
    <xf numFmtId="0" fontId="43" fillId="0" borderId="70" xfId="0" applyFont="1" applyBorder="1" applyAlignment="1">
      <alignment wrapText="1"/>
    </xf>
    <xf numFmtId="0" fontId="87" fillId="0" borderId="57" xfId="0" applyFont="1" applyBorder="1" applyAlignment="1">
      <alignment horizontal="right" wrapText="1"/>
    </xf>
    <xf numFmtId="0" fontId="43" fillId="0" borderId="39" xfId="0" applyFont="1" applyBorder="1" applyAlignment="1">
      <alignment wrapText="1"/>
    </xf>
    <xf numFmtId="0" fontId="87" fillId="0" borderId="58" xfId="0" applyFont="1" applyBorder="1" applyAlignment="1">
      <alignment horizontal="right" wrapText="1"/>
    </xf>
    <xf numFmtId="0" fontId="62" fillId="0" borderId="0" xfId="0" applyFont="1" applyAlignment="1">
      <alignment horizontal="center" wrapText="1"/>
    </xf>
    <xf numFmtId="3" fontId="43" fillId="0" borderId="59" xfId="0" applyNumberFormat="1" applyFont="1" applyBorder="1" applyAlignment="1">
      <alignment horizontal="right" wrapText="1"/>
    </xf>
    <xf numFmtId="3" fontId="43" fillId="0" borderId="47" xfId="0" applyNumberFormat="1" applyFont="1" applyBorder="1" applyAlignment="1">
      <alignment horizontal="right" wrapText="1"/>
    </xf>
    <xf numFmtId="0" fontId="43" fillId="0" borderId="0" xfId="0" applyFont="1" applyAlignment="1" applyProtection="1">
      <alignment horizontal="right" vertical="top"/>
      <protection locked="0"/>
    </xf>
    <xf numFmtId="0" fontId="43" fillId="0" borderId="57" xfId="0" applyFont="1" applyBorder="1" applyAlignment="1">
      <alignment horizontal="right" wrapText="1"/>
    </xf>
    <xf numFmtId="0" fontId="43" fillId="0" borderId="58" xfId="0" applyFont="1" applyBorder="1" applyAlignment="1">
      <alignment horizontal="right" wrapText="1"/>
    </xf>
    <xf numFmtId="0" fontId="98" fillId="0" borderId="0" xfId="4" applyFont="1" applyFill="1"/>
    <xf numFmtId="0" fontId="99" fillId="0" borderId="37" xfId="0" applyFont="1" applyFill="1" applyBorder="1" applyAlignment="1" applyProtection="1">
      <alignment horizontal="right" vertical="center"/>
    </xf>
    <xf numFmtId="0" fontId="100" fillId="0" borderId="23" xfId="4" applyFont="1" applyFill="1" applyBorder="1" applyAlignment="1" applyProtection="1">
      <alignment horizontal="center" vertical="center" wrapText="1"/>
    </xf>
    <xf numFmtId="0" fontId="101" fillId="0" borderId="23" xfId="4" applyFont="1" applyFill="1" applyBorder="1" applyAlignment="1" applyProtection="1">
      <alignment horizontal="center" vertical="center" wrapText="1"/>
    </xf>
    <xf numFmtId="164" fontId="101" fillId="0" borderId="34" xfId="4" applyNumberFormat="1" applyFont="1" applyFill="1" applyBorder="1" applyAlignment="1" applyProtection="1">
      <alignment horizontal="right" vertical="center" wrapText="1" indent="1"/>
    </xf>
    <xf numFmtId="164" fontId="101" fillId="0" borderId="38" xfId="4" applyNumberFormat="1" applyFont="1" applyFill="1" applyBorder="1" applyAlignment="1" applyProtection="1">
      <alignment horizontal="right" vertical="center" wrapText="1" indent="1"/>
    </xf>
    <xf numFmtId="164" fontId="10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01" fillId="0" borderId="23" xfId="4" applyNumberFormat="1" applyFont="1" applyFill="1" applyBorder="1" applyAlignment="1" applyProtection="1">
      <alignment horizontal="right" vertical="center" wrapText="1" indent="1"/>
    </xf>
    <xf numFmtId="164" fontId="10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03" fillId="0" borderId="51" xfId="4" applyNumberFormat="1" applyFont="1" applyFill="1" applyBorder="1" applyAlignment="1" applyProtection="1">
      <alignment horizontal="right" vertical="center" wrapText="1" indent="1"/>
    </xf>
    <xf numFmtId="164" fontId="103" fillId="0" borderId="49" xfId="4" applyNumberFormat="1" applyFont="1" applyFill="1" applyBorder="1" applyAlignment="1" applyProtection="1">
      <alignment horizontal="right" vertical="center" wrapText="1" indent="1"/>
    </xf>
    <xf numFmtId="164" fontId="101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04" fillId="0" borderId="23" xfId="4" applyNumberFormat="1" applyFont="1" applyFill="1" applyBorder="1" applyAlignment="1" applyProtection="1">
      <alignment horizontal="right" vertical="center" wrapText="1" indent="1"/>
    </xf>
    <xf numFmtId="164" fontId="105" fillId="0" borderId="23" xfId="4" applyNumberFormat="1" applyFont="1" applyFill="1" applyBorder="1" applyAlignment="1" applyProtection="1">
      <alignment horizontal="right" vertical="center" wrapText="1" indent="1"/>
    </xf>
    <xf numFmtId="164" fontId="103" fillId="0" borderId="31" xfId="4" applyNumberFormat="1" applyFont="1" applyFill="1" applyBorder="1" applyAlignment="1" applyProtection="1">
      <alignment horizontal="right" vertical="center" wrapText="1" indent="1"/>
    </xf>
    <xf numFmtId="164" fontId="103" fillId="0" borderId="19" xfId="4" applyNumberFormat="1" applyFont="1" applyFill="1" applyBorder="1" applyAlignment="1" applyProtection="1">
      <alignment horizontal="right" vertical="center" wrapText="1" indent="1"/>
    </xf>
    <xf numFmtId="164" fontId="106" fillId="0" borderId="23" xfId="4" applyNumberFormat="1" applyFont="1" applyFill="1" applyBorder="1" applyAlignment="1" applyProtection="1">
      <alignment horizontal="right" vertical="center" wrapText="1" indent="1"/>
    </xf>
    <xf numFmtId="164" fontId="107" fillId="0" borderId="0" xfId="4" applyNumberFormat="1" applyFont="1" applyFill="1" applyBorder="1" applyAlignment="1" applyProtection="1">
      <alignment horizontal="right" vertical="center" wrapText="1" indent="1"/>
    </xf>
    <xf numFmtId="0" fontId="99" fillId="0" borderId="37" xfId="0" applyFont="1" applyFill="1" applyBorder="1" applyAlignment="1" applyProtection="1">
      <alignment horizontal="right"/>
    </xf>
    <xf numFmtId="164" fontId="10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0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0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02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0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0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05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03" fillId="0" borderId="23" xfId="4" applyNumberFormat="1" applyFont="1" applyFill="1" applyBorder="1" applyAlignment="1" applyProtection="1">
      <alignment horizontal="right" vertical="center" wrapText="1" indent="1"/>
    </xf>
    <xf numFmtId="0" fontId="108" fillId="0" borderId="31" xfId="0" applyFont="1" applyBorder="1" applyAlignment="1" applyProtection="1">
      <alignment horizontal="right" vertical="center" wrapText="1" indent="1"/>
      <protection locked="0"/>
    </xf>
    <xf numFmtId="0" fontId="108" fillId="0" borderId="19" xfId="0" applyFont="1" applyBorder="1" applyAlignment="1" applyProtection="1">
      <alignment horizontal="right" vertical="center" wrapText="1" indent="1"/>
      <protection locked="0"/>
    </xf>
    <xf numFmtId="0" fontId="108" fillId="0" borderId="21" xfId="0" applyFont="1" applyBorder="1" applyAlignment="1" applyProtection="1">
      <alignment horizontal="right" vertical="center" wrapText="1" indent="1"/>
      <protection locked="0"/>
    </xf>
    <xf numFmtId="164" fontId="109" fillId="0" borderId="23" xfId="0" applyNumberFormat="1" applyFont="1" applyBorder="1" applyAlignment="1" applyProtection="1">
      <alignment horizontal="right" vertical="center" wrapText="1" indent="1"/>
    </xf>
    <xf numFmtId="0" fontId="110" fillId="0" borderId="23" xfId="0" quotePrefix="1" applyFont="1" applyBorder="1" applyAlignment="1" applyProtection="1">
      <alignment horizontal="right" vertical="center" wrapText="1" indent="1"/>
      <protection locked="0"/>
    </xf>
    <xf numFmtId="0" fontId="98" fillId="0" borderId="0" xfId="4" applyFont="1" applyFill="1" applyAlignment="1" applyProtection="1">
      <alignment horizontal="right" vertical="center" indent="1"/>
    </xf>
    <xf numFmtId="0" fontId="111" fillId="0" borderId="0" xfId="0" applyFont="1"/>
    <xf numFmtId="0" fontId="99" fillId="0" borderId="0" xfId="0" applyFont="1" applyFill="1" applyBorder="1" applyAlignment="1" applyProtection="1">
      <alignment horizontal="right" vertical="center"/>
    </xf>
    <xf numFmtId="0" fontId="111" fillId="0" borderId="0" xfId="0" applyFont="1" applyAlignment="1" applyProtection="1">
      <alignment horizontal="right" vertical="center" indent="1"/>
    </xf>
    <xf numFmtId="164" fontId="108" fillId="0" borderId="23" xfId="0" applyNumberFormat="1" applyFont="1" applyBorder="1" applyAlignment="1" applyProtection="1">
      <alignment horizontal="right" vertical="center" wrapText="1" indent="1"/>
    </xf>
    <xf numFmtId="0" fontId="112" fillId="0" borderId="23" xfId="0" applyFont="1" applyBorder="1" applyAlignment="1" applyProtection="1">
      <alignment horizontal="right" vertical="center" wrapText="1" indent="1"/>
    </xf>
    <xf numFmtId="164" fontId="112" fillId="0" borderId="23" xfId="0" applyNumberFormat="1" applyFont="1" applyBorder="1" applyAlignment="1" applyProtection="1">
      <alignment horizontal="right" vertical="center" wrapText="1" indent="1"/>
    </xf>
    <xf numFmtId="0" fontId="113" fillId="0" borderId="23" xfId="0" applyFont="1" applyBorder="1" applyAlignment="1" applyProtection="1">
      <alignment horizontal="right" vertical="center" wrapText="1" indent="1"/>
    </xf>
    <xf numFmtId="0" fontId="98" fillId="0" borderId="0" xfId="4" applyFont="1" applyFill="1" applyAlignment="1">
      <alignment horizontal="right" vertical="center" indent="1"/>
    </xf>
    <xf numFmtId="164" fontId="8" fillId="0" borderId="44" xfId="0" applyNumberFormat="1" applyFont="1" applyFill="1" applyBorder="1" applyAlignment="1" applyProtection="1">
      <alignment horizontal="centerContinuous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164" fontId="29" fillId="0" borderId="44" xfId="0" applyNumberFormat="1" applyFont="1" applyFill="1" applyBorder="1" applyAlignment="1" applyProtection="1">
      <alignment horizontal="center" vertical="center" wrapText="1"/>
    </xf>
    <xf numFmtId="164" fontId="2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4" xfId="0" applyNumberFormat="1" applyFont="1" applyFill="1" applyBorder="1" applyAlignment="1" applyProtection="1">
      <alignment horizontal="right" vertical="center" wrapText="1" indent="1"/>
    </xf>
    <xf numFmtId="164" fontId="35" fillId="0" borderId="80" xfId="0" applyNumberFormat="1" applyFont="1" applyFill="1" applyBorder="1" applyAlignment="1" applyProtection="1">
      <alignment horizontal="right" vertical="center" wrapText="1" indent="1"/>
    </xf>
    <xf numFmtId="164" fontId="30" fillId="0" borderId="80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" xfId="0" applyNumberFormat="1" applyFont="1" applyFill="1" applyBorder="1" applyAlignment="1" applyProtection="1">
      <alignment horizontal="right" vertical="center" wrapText="1" indent="1"/>
    </xf>
    <xf numFmtId="164" fontId="2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6" xfId="0" applyNumberFormat="1" applyFont="1" applyFill="1" applyBorder="1" applyAlignment="1" applyProtection="1">
      <alignment horizontal="right" vertical="center" wrapText="1" indent="1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164" fontId="29" fillId="0" borderId="35" xfId="0" applyNumberFormat="1" applyFont="1" applyFill="1" applyBorder="1" applyAlignment="1" applyProtection="1">
      <alignment horizontal="center" vertical="center" wrapText="1"/>
    </xf>
    <xf numFmtId="164" fontId="22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61" xfId="4" applyFont="1" applyFill="1" applyBorder="1" applyProtection="1">
      <protection locked="0"/>
    </xf>
    <xf numFmtId="0" fontId="30" fillId="0" borderId="55" xfId="4" applyFont="1" applyFill="1" applyBorder="1" applyProtection="1">
      <protection locked="0"/>
    </xf>
    <xf numFmtId="0" fontId="30" fillId="0" borderId="62" xfId="4" applyFont="1" applyFill="1" applyBorder="1" applyProtection="1">
      <protection locked="0"/>
    </xf>
    <xf numFmtId="0" fontId="29" fillId="0" borderId="35" xfId="4" applyFont="1" applyFill="1" applyBorder="1" applyAlignment="1" applyProtection="1">
      <alignment horizontal="left" vertical="center" wrapText="1"/>
    </xf>
    <xf numFmtId="0" fontId="29" fillId="0" borderId="70" xfId="4" applyFont="1" applyFill="1" applyBorder="1" applyAlignment="1" applyProtection="1">
      <alignment horizontal="center" vertical="center" wrapText="1"/>
    </xf>
    <xf numFmtId="0" fontId="30" fillId="0" borderId="45" xfId="4" applyFont="1" applyFill="1" applyBorder="1" applyAlignment="1" applyProtection="1">
      <alignment horizontal="center" vertical="center"/>
    </xf>
    <xf numFmtId="166" fontId="30" fillId="0" borderId="70" xfId="1" applyNumberFormat="1" applyFont="1" applyFill="1" applyBorder="1" applyProtection="1">
      <protection locked="0"/>
    </xf>
    <xf numFmtId="166" fontId="30" fillId="0" borderId="54" xfId="1" applyNumberFormat="1" applyFont="1" applyFill="1" applyBorder="1" applyProtection="1">
      <protection locked="0"/>
    </xf>
    <xf numFmtId="166" fontId="30" fillId="0" borderId="41" xfId="1" applyNumberFormat="1" applyFont="1" applyFill="1" applyBorder="1" applyProtection="1">
      <protection locked="0"/>
    </xf>
    <xf numFmtId="166" fontId="30" fillId="0" borderId="45" xfId="1" applyNumberFormat="1" applyFont="1" applyFill="1" applyBorder="1" applyProtection="1"/>
    <xf numFmtId="164" fontId="24" fillId="0" borderId="0" xfId="0" applyNumberFormat="1" applyFont="1" applyFill="1" applyAlignment="1">
      <alignment vertical="center" wrapText="1"/>
    </xf>
    <xf numFmtId="0" fontId="8" fillId="0" borderId="76" xfId="0" quotePrefix="1" applyFont="1" applyFill="1" applyBorder="1" applyAlignment="1" applyProtection="1">
      <alignment horizontal="right" vertical="center" indent="1"/>
    </xf>
    <xf numFmtId="0" fontId="8" fillId="0" borderId="73" xfId="0" applyFont="1" applyFill="1" applyBorder="1" applyAlignment="1" applyProtection="1">
      <alignment horizontal="center" vertical="center" wrapText="1"/>
    </xf>
    <xf numFmtId="0" fontId="20" fillId="0" borderId="25" xfId="0" applyFont="1" applyFill="1" applyBorder="1" applyAlignment="1" applyProtection="1">
      <alignment horizontal="center" vertical="center" wrapText="1"/>
    </xf>
    <xf numFmtId="0" fontId="26" fillId="11" borderId="25" xfId="0" applyFont="1" applyFill="1" applyBorder="1" applyAlignment="1">
      <alignment horizontal="center" vertical="center" wrapText="1"/>
    </xf>
    <xf numFmtId="0" fontId="26" fillId="11" borderId="45" xfId="0" applyFont="1" applyFill="1" applyBorder="1" applyAlignment="1">
      <alignment vertical="center" wrapText="1"/>
    </xf>
    <xf numFmtId="0" fontId="26" fillId="11" borderId="38" xfId="0" applyFont="1" applyFill="1" applyBorder="1" applyAlignment="1">
      <alignment vertical="center" wrapText="1"/>
    </xf>
    <xf numFmtId="0" fontId="43" fillId="0" borderId="0" xfId="0" applyFont="1" applyAlignment="1">
      <alignment vertical="center"/>
    </xf>
    <xf numFmtId="0" fontId="26" fillId="11" borderId="38" xfId="0" applyFont="1" applyFill="1" applyBorder="1" applyAlignment="1">
      <alignment horizontal="center" vertical="center" wrapText="1"/>
    </xf>
    <xf numFmtId="0" fontId="26" fillId="10" borderId="47" xfId="0" applyFont="1" applyFill="1" applyBorder="1" applyAlignment="1">
      <alignment horizontal="right" wrapText="1"/>
    </xf>
    <xf numFmtId="10" fontId="50" fillId="0" borderId="22" xfId="0" applyNumberFormat="1" applyFont="1" applyFill="1" applyBorder="1" applyAlignment="1">
      <alignment horizontal="right" wrapText="1"/>
    </xf>
    <xf numFmtId="10" fontId="72" fillId="0" borderId="19" xfId="0" applyNumberFormat="1" applyFont="1" applyFill="1" applyBorder="1" applyAlignment="1">
      <alignment horizontal="right" wrapText="1"/>
    </xf>
    <xf numFmtId="10" fontId="73" fillId="0" borderId="19" xfId="0" applyNumberFormat="1" applyFont="1" applyFill="1" applyBorder="1" applyAlignment="1">
      <alignment horizontal="right" wrapText="1"/>
    </xf>
    <xf numFmtId="10" fontId="83" fillId="0" borderId="19" xfId="0" applyNumberFormat="1" applyFont="1" applyBorder="1" applyAlignment="1">
      <alignment horizontal="right" vertical="center"/>
    </xf>
    <xf numFmtId="10" fontId="82" fillId="0" borderId="21" xfId="0" applyNumberFormat="1" applyFont="1" applyBorder="1" applyAlignment="1">
      <alignment horizontal="right" vertical="center"/>
    </xf>
    <xf numFmtId="10" fontId="82" fillId="0" borderId="23" xfId="0" applyNumberFormat="1" applyFont="1" applyBorder="1" applyAlignment="1">
      <alignment horizontal="right" vertical="center"/>
    </xf>
    <xf numFmtId="10" fontId="82" fillId="0" borderId="19" xfId="0" applyNumberFormat="1" applyFont="1" applyBorder="1" applyAlignment="1">
      <alignment horizontal="right" vertical="center"/>
    </xf>
    <xf numFmtId="10" fontId="83" fillId="0" borderId="21" xfId="0" applyNumberFormat="1" applyFont="1" applyBorder="1" applyAlignment="1">
      <alignment horizontal="right" vertical="center"/>
    </xf>
    <xf numFmtId="10" fontId="81" fillId="0" borderId="19" xfId="0" applyNumberFormat="1" applyFont="1" applyFill="1" applyBorder="1" applyAlignment="1">
      <alignment horizontal="right" vertical="center"/>
    </xf>
    <xf numFmtId="10" fontId="82" fillId="0" borderId="19" xfId="0" applyNumberFormat="1" applyFont="1" applyFill="1" applyBorder="1" applyAlignment="1">
      <alignment horizontal="right" vertical="center"/>
    </xf>
    <xf numFmtId="10" fontId="81" fillId="0" borderId="21" xfId="0" applyNumberFormat="1" applyFont="1" applyFill="1" applyBorder="1" applyAlignment="1">
      <alignment horizontal="right" vertical="center"/>
    </xf>
    <xf numFmtId="10" fontId="82" fillId="0" borderId="23" xfId="0" applyNumberFormat="1" applyFont="1" applyFill="1" applyBorder="1" applyAlignment="1">
      <alignment horizontal="right" vertical="center"/>
    </xf>
    <xf numFmtId="10" fontId="83" fillId="0" borderId="19" xfId="0" applyNumberFormat="1" applyFont="1" applyFill="1" applyBorder="1" applyAlignment="1">
      <alignment horizontal="right" vertical="center"/>
    </xf>
    <xf numFmtId="10" fontId="83" fillId="0" borderId="21" xfId="0" applyNumberFormat="1" applyFont="1" applyFill="1" applyBorder="1" applyAlignment="1">
      <alignment horizontal="right" vertical="center"/>
    </xf>
    <xf numFmtId="3" fontId="82" fillId="0" borderId="34" xfId="0" applyNumberFormat="1" applyFont="1" applyFill="1" applyBorder="1" applyAlignment="1">
      <alignment horizontal="right" vertical="center"/>
    </xf>
    <xf numFmtId="10" fontId="82" fillId="0" borderId="71" xfId="0" applyNumberFormat="1" applyFont="1" applyFill="1" applyBorder="1" applyAlignment="1">
      <alignment horizontal="right" vertical="center"/>
    </xf>
    <xf numFmtId="3" fontId="114" fillId="0" borderId="19" xfId="0" applyNumberFormat="1" applyFont="1" applyFill="1" applyBorder="1" applyAlignment="1">
      <alignment horizontal="right" vertical="center"/>
    </xf>
    <xf numFmtId="0" fontId="22" fillId="12" borderId="16" xfId="0" applyFont="1" applyFill="1" applyBorder="1" applyAlignment="1" applyProtection="1">
      <alignment horizontal="center" vertical="center" wrapText="1"/>
    </xf>
    <xf numFmtId="164" fontId="20" fillId="12" borderId="23" xfId="0" applyNumberFormat="1" applyFont="1" applyFill="1" applyBorder="1" applyAlignment="1" applyProtection="1">
      <alignment horizontal="right" vertical="center" wrapText="1" indent="1"/>
    </xf>
    <xf numFmtId="0" fontId="51" fillId="12" borderId="16" xfId="0" applyFont="1" applyFill="1" applyBorder="1" applyAlignment="1" applyProtection="1">
      <alignment horizontal="center" wrapText="1"/>
    </xf>
    <xf numFmtId="0" fontId="26" fillId="12" borderId="23" xfId="0" applyFont="1" applyFill="1" applyBorder="1" applyAlignment="1" applyProtection="1">
      <alignment horizontal="left" vertical="center" wrapText="1" indent="1"/>
    </xf>
    <xf numFmtId="164" fontId="29" fillId="12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51" fillId="0" borderId="75" xfId="0" applyFont="1" applyBorder="1" applyAlignment="1" applyProtection="1">
      <alignment horizontal="center" wrapText="1"/>
    </xf>
    <xf numFmtId="0" fontId="26" fillId="0" borderId="67" xfId="0" applyFont="1" applyBorder="1" applyAlignment="1" applyProtection="1">
      <alignment horizontal="left" vertical="center" wrapText="1" indent="1"/>
    </xf>
    <xf numFmtId="164" fontId="29" fillId="0" borderId="67" xfId="0" applyNumberFormat="1" applyFont="1" applyFill="1" applyBorder="1" applyAlignment="1" applyProtection="1">
      <alignment horizontal="right" vertical="center" wrapText="1" indent="1"/>
    </xf>
    <xf numFmtId="10" fontId="29" fillId="0" borderId="59" xfId="0" applyNumberFormat="1" applyFont="1" applyFill="1" applyBorder="1" applyAlignment="1" applyProtection="1">
      <alignment horizontal="right" vertical="center" wrapText="1" indent="1"/>
    </xf>
    <xf numFmtId="164" fontId="3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164" fontId="3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8" xfId="4" applyFont="1" applyFill="1" applyBorder="1" applyAlignment="1" applyProtection="1">
      <alignment horizontal="left" vertical="center" wrapText="1" inden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8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right" vertical="center" wrapText="1" indent="1"/>
    </xf>
    <xf numFmtId="164" fontId="22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3" xfId="0" applyNumberFormat="1" applyFont="1" applyFill="1" applyBorder="1" applyAlignment="1" applyProtection="1">
      <alignment horizontal="right" vertical="center" wrapText="1" indent="1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0" applyNumberFormat="1" applyFont="1" applyFill="1" applyBorder="1" applyAlignment="1" applyProtection="1">
      <alignment horizontal="right" vertical="center" wrapText="1" indent="1"/>
    </xf>
    <xf numFmtId="0" fontId="20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5" xfId="4" applyFont="1" applyFill="1" applyBorder="1" applyAlignment="1" applyProtection="1">
      <alignment horizontal="left" indent="7"/>
    </xf>
    <xf numFmtId="0" fontId="27" fillId="0" borderId="55" xfId="0" applyFont="1" applyBorder="1" applyAlignment="1" applyProtection="1">
      <alignment horizontal="left" vertical="center" wrapText="1" indent="6"/>
    </xf>
    <xf numFmtId="0" fontId="22" fillId="0" borderId="69" xfId="4" applyFont="1" applyFill="1" applyBorder="1" applyAlignment="1" applyProtection="1">
      <alignment horizontal="left" vertical="center" wrapText="1" indent="6"/>
    </xf>
    <xf numFmtId="0" fontId="22" fillId="0" borderId="55" xfId="4" applyFont="1" applyFill="1" applyBorder="1" applyAlignment="1" applyProtection="1">
      <alignment horizontal="left" vertical="center" wrapText="1" indent="6"/>
    </xf>
    <xf numFmtId="0" fontId="22" fillId="0" borderId="52" xfId="4" applyFont="1" applyFill="1" applyBorder="1" applyAlignment="1" applyProtection="1">
      <alignment horizontal="left" vertical="center" wrapText="1" indent="6"/>
    </xf>
    <xf numFmtId="0" fontId="27" fillId="0" borderId="61" xfId="0" applyFont="1" applyBorder="1" applyAlignment="1" applyProtection="1">
      <alignment horizontal="left" vertical="center" wrapText="1" indent="1"/>
    </xf>
    <xf numFmtId="0" fontId="27" fillId="0" borderId="55" xfId="0" applyFont="1" applyBorder="1" applyAlignment="1" applyProtection="1">
      <alignment horizontal="left" vertical="center" wrapText="1" indent="1"/>
    </xf>
    <xf numFmtId="0" fontId="27" fillId="0" borderId="52" xfId="0" applyFont="1" applyBorder="1" applyAlignment="1" applyProtection="1">
      <alignment horizontal="left" vertical="center" wrapText="1" indent="6"/>
    </xf>
    <xf numFmtId="0" fontId="28" fillId="0" borderId="0" xfId="0" applyFont="1" applyBorder="1" applyAlignment="1" applyProtection="1">
      <alignment horizontal="left" vertical="center" wrapText="1" indent="1"/>
    </xf>
    <xf numFmtId="0" fontId="27" fillId="0" borderId="76" xfId="0" applyFont="1" applyBorder="1" applyAlignment="1" applyProtection="1">
      <alignment horizontal="left" vertical="center" wrapText="1" indent="1"/>
    </xf>
    <xf numFmtId="0" fontId="27" fillId="0" borderId="78" xfId="0" applyFont="1" applyBorder="1" applyAlignment="1" applyProtection="1">
      <alignment horizontal="left" vertical="center" wrapText="1" indent="1"/>
    </xf>
    <xf numFmtId="0" fontId="28" fillId="0" borderId="68" xfId="0" applyFont="1" applyBorder="1" applyAlignment="1" applyProtection="1">
      <alignment horizontal="left" vertical="center" wrapText="1" indent="1"/>
    </xf>
    <xf numFmtId="0" fontId="28" fillId="0" borderId="29" xfId="0" applyFont="1" applyBorder="1" applyAlignment="1" applyProtection="1">
      <alignment horizontal="left" vertical="center" wrapText="1" indent="1"/>
    </xf>
    <xf numFmtId="0" fontId="28" fillId="0" borderId="35" xfId="0" applyFont="1" applyBorder="1" applyAlignment="1" applyProtection="1">
      <alignment horizontal="left" vertical="center" wrapText="1" indent="1"/>
    </xf>
    <xf numFmtId="0" fontId="27" fillId="0" borderId="68" xfId="0" applyFont="1" applyBorder="1" applyAlignment="1" applyProtection="1">
      <alignment horizontal="left" vertical="center" wrapText="1" indent="1"/>
    </xf>
    <xf numFmtId="0" fontId="28" fillId="12" borderId="35" xfId="0" applyFont="1" applyFill="1" applyBorder="1" applyAlignment="1" applyProtection="1">
      <alignment horizontal="left" vertical="center" wrapText="1" indent="1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5" xfId="0" applyNumberFormat="1" applyFont="1" applyFill="1" applyBorder="1" applyAlignment="1" applyProtection="1">
      <alignment horizontal="right" vertical="center" wrapText="1" indent="1"/>
    </xf>
    <xf numFmtId="164" fontId="20" fillId="12" borderId="25" xfId="0" applyNumberFormat="1" applyFont="1" applyFill="1" applyBorder="1" applyAlignment="1" applyProtection="1">
      <alignment horizontal="right" vertical="center" wrapText="1" indent="1"/>
    </xf>
    <xf numFmtId="0" fontId="30" fillId="0" borderId="52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wrapText="1" indent="1"/>
    </xf>
    <xf numFmtId="0" fontId="8" fillId="0" borderId="59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Border="1" applyAlignment="1" applyProtection="1">
      <alignment horizontal="left" vertical="center" wrapText="1" indent="1"/>
      <protection locked="0"/>
    </xf>
    <xf numFmtId="3" fontId="30" fillId="0" borderId="61" xfId="0" applyNumberFormat="1" applyFont="1" applyBorder="1" applyAlignment="1" applyProtection="1">
      <alignment horizontal="right" vertical="center" indent="1"/>
      <protection locked="0"/>
    </xf>
    <xf numFmtId="3" fontId="30" fillId="0" borderId="55" xfId="0" applyNumberFormat="1" applyFont="1" applyBorder="1" applyAlignment="1" applyProtection="1">
      <alignment horizontal="right" vertical="center" indent="1"/>
      <protection locked="0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57" xfId="0" applyNumberFormat="1" applyFont="1" applyBorder="1" applyAlignment="1" applyProtection="1">
      <alignment horizontal="right" vertical="center" indent="1"/>
      <protection locked="0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3" fontId="24" fillId="0" borderId="0" xfId="0" applyNumberFormat="1" applyFont="1" applyAlignment="1">
      <alignment horizontal="center" wrapText="1"/>
    </xf>
    <xf numFmtId="3" fontId="33" fillId="0" borderId="67" xfId="0" applyNumberFormat="1" applyFont="1" applyBorder="1" applyAlignment="1" applyProtection="1">
      <alignment horizontal="center" vertical="center" wrapText="1"/>
    </xf>
    <xf numFmtId="3" fontId="33" fillId="0" borderId="23" xfId="0" applyNumberFormat="1" applyFont="1" applyBorder="1" applyAlignment="1" applyProtection="1">
      <alignment horizontal="center" vertical="center" wrapText="1"/>
    </xf>
    <xf numFmtId="3" fontId="30" fillId="0" borderId="55" xfId="0" applyNumberFormat="1" applyFont="1" applyBorder="1" applyAlignment="1" applyProtection="1">
      <alignment horizontal="left" vertical="center" indent="1"/>
      <protection locked="0"/>
    </xf>
    <xf numFmtId="3" fontId="30" fillId="0" borderId="62" xfId="0" applyNumberFormat="1" applyFont="1" applyBorder="1" applyAlignment="1" applyProtection="1">
      <alignment horizontal="left" vertical="center" indent="1"/>
      <protection locked="0"/>
    </xf>
    <xf numFmtId="3" fontId="72" fillId="0" borderId="22" xfId="0" applyNumberFormat="1" applyFont="1" applyFill="1" applyBorder="1" applyAlignment="1">
      <alignment horizontal="right" wrapText="1"/>
    </xf>
    <xf numFmtId="0" fontId="74" fillId="0" borderId="2" xfId="0" applyFont="1" applyBorder="1" applyAlignment="1">
      <alignment horizontal="justify" vertical="center" wrapText="1"/>
    </xf>
    <xf numFmtId="0" fontId="74" fillId="0" borderId="2" xfId="0" applyFont="1" applyBorder="1" applyAlignment="1">
      <alignment horizontal="center" vertical="center" wrapText="1"/>
    </xf>
    <xf numFmtId="3" fontId="72" fillId="0" borderId="22" xfId="0" applyNumberFormat="1" applyFont="1" applyBorder="1" applyAlignment="1">
      <alignment horizontal="right" vertical="center"/>
    </xf>
    <xf numFmtId="10" fontId="72" fillId="0" borderId="22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center" vertical="center" wrapText="1"/>
    </xf>
    <xf numFmtId="0" fontId="72" fillId="0" borderId="2" xfId="0" applyFont="1" applyBorder="1" applyAlignment="1">
      <alignment horizontal="justify" vertical="center" wrapText="1"/>
    </xf>
    <xf numFmtId="3" fontId="72" fillId="0" borderId="19" xfId="0" applyNumberFormat="1" applyFont="1" applyBorder="1" applyAlignment="1">
      <alignment horizontal="right" vertical="center"/>
    </xf>
    <xf numFmtId="10" fontId="72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right" vertical="center" wrapText="1"/>
    </xf>
    <xf numFmtId="0" fontId="73" fillId="0" borderId="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10" fontId="73" fillId="0" borderId="19" xfId="0" applyNumberFormat="1" applyFont="1" applyBorder="1" applyAlignment="1">
      <alignment horizontal="right" vertical="center"/>
    </xf>
    <xf numFmtId="0" fontId="72" fillId="0" borderId="2" xfId="0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horizontal="left" vertical="center" wrapText="1"/>
    </xf>
    <xf numFmtId="0" fontId="73" fillId="0" borderId="2" xfId="0" applyFont="1" applyFill="1" applyBorder="1" applyAlignment="1">
      <alignment horizontal="left" vertical="center" wrapText="1" indent="3"/>
    </xf>
    <xf numFmtId="0" fontId="72" fillId="0" borderId="2" xfId="0" applyFont="1" applyBorder="1" applyAlignment="1">
      <alignment horizontal="center" wrapText="1"/>
    </xf>
    <xf numFmtId="3" fontId="72" fillId="0" borderId="19" xfId="0" applyNumberFormat="1" applyFont="1" applyFill="1" applyBorder="1" applyAlignment="1">
      <alignment horizontal="right" vertical="center"/>
    </xf>
    <xf numFmtId="10" fontId="72" fillId="0" borderId="19" xfId="0" applyNumberFormat="1" applyFont="1" applyFill="1" applyBorder="1" applyAlignment="1">
      <alignment horizontal="right" vertical="center"/>
    </xf>
    <xf numFmtId="0" fontId="72" fillId="0" borderId="13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0" fontId="74" fillId="0" borderId="22" xfId="0" applyNumberFormat="1" applyFont="1" applyFill="1" applyBorder="1" applyAlignment="1">
      <alignment horizontal="right" vertical="center"/>
    </xf>
    <xf numFmtId="3" fontId="74" fillId="0" borderId="19" xfId="0" applyNumberFormat="1" applyFont="1" applyFill="1" applyBorder="1" applyAlignment="1">
      <alignment horizontal="right" vertical="center"/>
    </xf>
    <xf numFmtId="10" fontId="74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166" fontId="30" fillId="0" borderId="13" xfId="1" applyNumberFormat="1" applyFont="1" applyFill="1" applyBorder="1" applyProtection="1">
      <protection locked="0"/>
    </xf>
    <xf numFmtId="166" fontId="30" fillId="0" borderId="9" xfId="1" applyNumberFormat="1" applyFont="1" applyFill="1" applyBorder="1" applyProtection="1">
      <protection locked="0"/>
    </xf>
    <xf numFmtId="166" fontId="30" fillId="0" borderId="12" xfId="1" applyNumberFormat="1" applyFont="1" applyFill="1" applyBorder="1" applyProtection="1">
      <protection locked="0"/>
    </xf>
    <xf numFmtId="166" fontId="30" fillId="0" borderId="15" xfId="1" applyNumberFormat="1" applyFont="1" applyFill="1" applyBorder="1" applyProtection="1"/>
    <xf numFmtId="0" fontId="2" fillId="0" borderId="8" xfId="4" applyFont="1" applyFill="1" applyBorder="1"/>
    <xf numFmtId="166" fontId="29" fillId="0" borderId="15" xfId="1" applyNumberFormat="1" applyFont="1" applyFill="1" applyBorder="1" applyProtection="1"/>
    <xf numFmtId="0" fontId="2" fillId="0" borderId="20" xfId="4" applyFont="1" applyFill="1" applyBorder="1"/>
    <xf numFmtId="0" fontId="64" fillId="0" borderId="45" xfId="0" applyFont="1" applyBorder="1" applyAlignment="1">
      <alignment horizontal="center" vertical="center" wrapText="1"/>
    </xf>
    <xf numFmtId="164" fontId="15" fillId="0" borderId="0" xfId="4" applyNumberFormat="1" applyFont="1" applyFill="1"/>
    <xf numFmtId="164" fontId="12" fillId="0" borderId="0" xfId="4" applyNumberFormat="1" applyFill="1"/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2" fillId="0" borderId="64" xfId="0" applyNumberFormat="1" applyFont="1" applyFill="1" applyBorder="1" applyAlignment="1" applyProtection="1">
      <alignment vertical="center" wrapText="1"/>
      <protection locked="0"/>
    </xf>
    <xf numFmtId="164" fontId="22" fillId="0" borderId="42" xfId="0" applyNumberFormat="1" applyFont="1" applyFill="1" applyBorder="1" applyAlignment="1" applyProtection="1">
      <alignment vertical="center" wrapText="1"/>
      <protection locked="0"/>
    </xf>
    <xf numFmtId="164" fontId="20" fillId="0" borderId="46" xfId="0" applyNumberFormat="1" applyFont="1" applyFill="1" applyBorder="1" applyAlignment="1" applyProtection="1">
      <alignment vertical="center" wrapText="1"/>
    </xf>
    <xf numFmtId="164" fontId="19" fillId="0" borderId="64" xfId="0" applyNumberFormat="1" applyFont="1" applyFill="1" applyBorder="1" applyAlignment="1" applyProtection="1">
      <alignment vertical="center" wrapText="1"/>
      <protection locked="0"/>
    </xf>
    <xf numFmtId="164" fontId="19" fillId="0" borderId="42" xfId="0" applyNumberFormat="1" applyFont="1" applyFill="1" applyBorder="1" applyAlignment="1" applyProtection="1">
      <alignment vertical="center" wrapText="1"/>
      <protection locked="0"/>
    </xf>
    <xf numFmtId="164" fontId="8" fillId="0" borderId="46" xfId="0" applyNumberFormat="1" applyFont="1" applyFill="1" applyBorder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  <protection locked="0"/>
    </xf>
    <xf numFmtId="0" fontId="64" fillId="0" borderId="45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4" fontId="115" fillId="0" borderId="19" xfId="0" applyNumberFormat="1" applyFont="1" applyBorder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0" fontId="111" fillId="0" borderId="0" xfId="0" applyFont="1" applyFill="1"/>
    <xf numFmtId="0" fontId="116" fillId="0" borderId="0" xfId="4" applyFont="1" applyFill="1"/>
    <xf numFmtId="3" fontId="115" fillId="0" borderId="0" xfId="0" applyNumberFormat="1" applyFont="1"/>
    <xf numFmtId="164" fontId="0" fillId="0" borderId="0" xfId="0" applyNumberFormat="1" applyFont="1" applyFill="1" applyAlignment="1">
      <alignment vertical="center" wrapText="1"/>
    </xf>
    <xf numFmtId="0" fontId="117" fillId="0" borderId="0" xfId="0" applyFont="1" applyFill="1" applyBorder="1" applyAlignment="1" applyProtection="1">
      <alignment horizontal="right"/>
    </xf>
    <xf numFmtId="0" fontId="101" fillId="0" borderId="22" xfId="4" applyFont="1" applyFill="1" applyBorder="1" applyAlignment="1" applyProtection="1">
      <alignment horizontal="center" vertical="center" wrapText="1"/>
    </xf>
    <xf numFmtId="0" fontId="102" fillId="0" borderId="23" xfId="4" applyFont="1" applyFill="1" applyBorder="1" applyAlignment="1" applyProtection="1">
      <alignment horizontal="center" vertical="center"/>
    </xf>
    <xf numFmtId="166" fontId="102" fillId="0" borderId="21" xfId="1" applyNumberFormat="1" applyFont="1" applyFill="1" applyBorder="1" applyProtection="1">
      <protection locked="0"/>
    </xf>
    <xf numFmtId="166" fontId="102" fillId="0" borderId="45" xfId="1" applyNumberFormat="1" applyFont="1" applyFill="1" applyBorder="1" applyProtection="1"/>
    <xf numFmtId="0" fontId="101" fillId="0" borderId="61" xfId="4" applyFont="1" applyFill="1" applyBorder="1" applyAlignment="1" applyProtection="1">
      <alignment horizontal="center" vertical="center" wrapText="1"/>
    </xf>
    <xf numFmtId="0" fontId="102" fillId="0" borderId="35" xfId="4" applyFont="1" applyFill="1" applyBorder="1" applyAlignment="1" applyProtection="1">
      <alignment horizontal="center" vertical="center"/>
    </xf>
    <xf numFmtId="166" fontId="102" fillId="0" borderId="62" xfId="1" applyNumberFormat="1" applyFont="1" applyFill="1" applyBorder="1" applyProtection="1">
      <protection locked="0"/>
    </xf>
    <xf numFmtId="166" fontId="102" fillId="0" borderId="35" xfId="1" applyNumberFormat="1" applyFont="1" applyFill="1" applyBorder="1" applyProtection="1"/>
    <xf numFmtId="166" fontId="101" fillId="0" borderId="35" xfId="1" applyNumberFormat="1" applyFont="1" applyFill="1" applyBorder="1" applyProtection="1"/>
    <xf numFmtId="0" fontId="101" fillId="0" borderId="38" xfId="4" applyFont="1" applyFill="1" applyBorder="1" applyAlignment="1" applyProtection="1">
      <alignment horizontal="center" vertical="center" wrapText="1"/>
    </xf>
    <xf numFmtId="0" fontId="102" fillId="0" borderId="38" xfId="4" applyFont="1" applyFill="1" applyBorder="1" applyAlignment="1" applyProtection="1">
      <alignment horizontal="center" vertical="center"/>
    </xf>
    <xf numFmtId="166" fontId="102" fillId="0" borderId="43" xfId="1" applyNumberFormat="1" applyFont="1" applyFill="1" applyBorder="1" applyProtection="1">
      <protection locked="0"/>
    </xf>
    <xf numFmtId="166" fontId="102" fillId="0" borderId="23" xfId="1" applyNumberFormat="1" applyFont="1" applyFill="1" applyBorder="1" applyProtection="1"/>
    <xf numFmtId="166" fontId="101" fillId="0" borderId="23" xfId="1" applyNumberFormat="1" applyFont="1" applyFill="1" applyBorder="1" applyProtection="1"/>
    <xf numFmtId="166" fontId="102" fillId="13" borderId="61" xfId="1" applyNumberFormat="1" applyFont="1" applyFill="1" applyBorder="1" applyProtection="1">
      <protection locked="0"/>
    </xf>
    <xf numFmtId="166" fontId="102" fillId="13" borderId="57" xfId="1" applyNumberFormat="1" applyFont="1" applyFill="1" applyBorder="1" applyProtection="1">
      <protection locked="0"/>
    </xf>
    <xf numFmtId="166" fontId="102" fillId="13" borderId="55" xfId="1" applyNumberFormat="1" applyFont="1" applyFill="1" applyBorder="1" applyProtection="1">
      <protection locked="0"/>
    </xf>
    <xf numFmtId="166" fontId="102" fillId="13" borderId="62" xfId="1" applyNumberFormat="1" applyFont="1" applyFill="1" applyBorder="1" applyProtection="1">
      <protection locked="0"/>
    </xf>
    <xf numFmtId="166" fontId="102" fillId="13" borderId="43" xfId="1" applyNumberFormat="1" applyFont="1" applyFill="1" applyBorder="1" applyProtection="1">
      <protection locked="0"/>
    </xf>
    <xf numFmtId="166" fontId="102" fillId="13" borderId="21" xfId="1" applyNumberFormat="1" applyFont="1" applyFill="1" applyBorder="1" applyProtection="1">
      <protection locked="0"/>
    </xf>
    <xf numFmtId="166" fontId="102" fillId="13" borderId="19" xfId="1" applyNumberFormat="1" applyFont="1" applyFill="1" applyBorder="1" applyProtection="1">
      <protection locked="0"/>
    </xf>
    <xf numFmtId="166" fontId="102" fillId="13" borderId="22" xfId="1" applyNumberFormat="1" applyFont="1" applyFill="1" applyBorder="1" applyProtection="1">
      <protection locked="0"/>
    </xf>
    <xf numFmtId="166" fontId="102" fillId="13" borderId="49" xfId="1" applyNumberFormat="1" applyFont="1" applyFill="1" applyBorder="1" applyProtection="1">
      <protection locked="0"/>
    </xf>
    <xf numFmtId="164" fontId="9" fillId="0" borderId="0" xfId="0" applyNumberFormat="1" applyFont="1" applyFill="1" applyAlignment="1">
      <alignment vertical="center" wrapText="1"/>
    </xf>
    <xf numFmtId="0" fontId="64" fillId="0" borderId="0" xfId="0" applyFont="1" applyAlignment="1">
      <alignment horizontal="center" wrapText="1"/>
    </xf>
    <xf numFmtId="0" fontId="62" fillId="0" borderId="0" xfId="0" applyFont="1" applyAlignment="1">
      <alignment wrapText="1"/>
    </xf>
    <xf numFmtId="0" fontId="62" fillId="0" borderId="0" xfId="0" applyFont="1" applyAlignment="1"/>
    <xf numFmtId="0" fontId="0" fillId="0" borderId="0" xfId="0" applyFont="1" applyAlignment="1"/>
    <xf numFmtId="0" fontId="64" fillId="0" borderId="0" xfId="0" applyFont="1" applyAlignment="1">
      <alignment horizontal="center"/>
    </xf>
    <xf numFmtId="0" fontId="64" fillId="0" borderId="73" xfId="0" applyFont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0" fontId="62" fillId="0" borderId="46" xfId="0" applyFont="1" applyBorder="1" applyAlignment="1"/>
    <xf numFmtId="0" fontId="0" fillId="0" borderId="38" xfId="0" applyFont="1" applyBorder="1" applyAlignment="1"/>
    <xf numFmtId="0" fontId="64" fillId="0" borderId="0" xfId="0" applyFont="1" applyAlignment="1">
      <alignment horizontal="right"/>
    </xf>
    <xf numFmtId="0" fontId="60" fillId="0" borderId="0" xfId="0" applyFont="1" applyAlignment="1">
      <alignment horizontal="right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16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6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0" fillId="0" borderId="5" xfId="0" applyFont="1" applyFill="1" applyBorder="1" applyAlignment="1" applyProtection="1">
      <alignment horizontal="right" indent="1"/>
      <protection locked="0"/>
    </xf>
    <xf numFmtId="0" fontId="30" fillId="0" borderId="22" xfId="0" applyFont="1" applyFill="1" applyBorder="1" applyAlignment="1" applyProtection="1">
      <alignment horizontal="right" indent="1"/>
      <protection locked="0"/>
    </xf>
    <xf numFmtId="0" fontId="30" fillId="0" borderId="7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6" xfId="0" applyFont="1" applyFill="1" applyBorder="1" applyAlignment="1" applyProtection="1">
      <alignment horizontal="right" indent="1"/>
    </xf>
    <xf numFmtId="0" fontId="29" fillId="0" borderId="23" xfId="0" applyFont="1" applyFill="1" applyBorder="1" applyAlignment="1" applyProtection="1">
      <alignment horizontal="right" indent="1"/>
    </xf>
    <xf numFmtId="0" fontId="31" fillId="0" borderId="18" xfId="0" applyFont="1" applyFill="1" applyBorder="1" applyAlignment="1" applyProtection="1">
      <alignment horizontal="center"/>
    </xf>
    <xf numFmtId="0" fontId="31" fillId="0" borderId="34" xfId="0" applyFont="1" applyFill="1" applyBorder="1" applyAlignment="1" applyProtection="1">
      <alignment horizontal="center"/>
    </xf>
    <xf numFmtId="0" fontId="31" fillId="0" borderId="74" xfId="0" applyFont="1" applyFill="1" applyBorder="1" applyAlignment="1" applyProtection="1">
      <alignment horizontal="center"/>
    </xf>
    <xf numFmtId="0" fontId="31" fillId="0" borderId="60" xfId="0" applyFont="1" applyFill="1" applyBorder="1" applyAlignment="1" applyProtection="1">
      <alignment horizontal="center"/>
    </xf>
    <xf numFmtId="0" fontId="31" fillId="0" borderId="75" xfId="0" applyFont="1" applyFill="1" applyBorder="1" applyAlignment="1" applyProtection="1">
      <alignment horizontal="center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0" fillId="0" borderId="76" xfId="0" applyFont="1" applyFill="1" applyBorder="1" applyAlignment="1" applyProtection="1">
      <alignment horizontal="left" indent="1"/>
      <protection locked="0"/>
    </xf>
    <xf numFmtId="0" fontId="30" fillId="0" borderId="77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4" fillId="0" borderId="37" xfId="0" applyFont="1" applyFill="1" applyBorder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3" fillId="0" borderId="37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4" fillId="0" borderId="0" xfId="0" applyFont="1" applyFill="1" applyAlignment="1">
      <alignment horizontal="right"/>
    </xf>
    <xf numFmtId="0" fontId="60" fillId="0" borderId="0" xfId="0" applyFont="1" applyFill="1" applyAlignment="1">
      <alignment horizontal="center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3" fontId="63" fillId="0" borderId="55" xfId="0" applyNumberFormat="1" applyFont="1" applyFill="1" applyBorder="1" applyAlignment="1">
      <alignment horizontal="center" vertical="center" wrapText="1"/>
    </xf>
    <xf numFmtId="3" fontId="63" fillId="0" borderId="64" xfId="0" applyNumberFormat="1" applyFont="1" applyFill="1" applyBorder="1" applyAlignment="1">
      <alignment horizontal="center" vertical="center" wrapText="1"/>
    </xf>
    <xf numFmtId="3" fontId="63" fillId="0" borderId="6" xfId="0" applyNumberFormat="1" applyFont="1" applyFill="1" applyBorder="1" applyAlignment="1">
      <alignment horizontal="center" vertical="center" wrapText="1"/>
    </xf>
    <xf numFmtId="0" fontId="64" fillId="9" borderId="55" xfId="0" applyFont="1" applyFill="1" applyBorder="1" applyAlignment="1">
      <alignment horizontal="left"/>
    </xf>
    <xf numFmtId="0" fontId="64" fillId="9" borderId="6" xfId="0" applyFont="1" applyFill="1" applyBorder="1" applyAlignment="1">
      <alignment horizontal="left"/>
    </xf>
    <xf numFmtId="0" fontId="60" fillId="0" borderId="55" xfId="0" applyFont="1" applyBorder="1" applyAlignment="1">
      <alignment horizontal="left"/>
    </xf>
    <xf numFmtId="0" fontId="60" fillId="0" borderId="6" xfId="0" applyFont="1" applyBorder="1" applyAlignment="1">
      <alignment horizontal="left"/>
    </xf>
    <xf numFmtId="0" fontId="63" fillId="0" borderId="55" xfId="0" applyFont="1" applyBorder="1" applyAlignment="1">
      <alignment horizontal="left" wrapText="1"/>
    </xf>
    <xf numFmtId="0" fontId="63" fillId="0" borderId="6" xfId="0" applyFont="1" applyBorder="1" applyAlignment="1">
      <alignment horizontal="left" wrapText="1"/>
    </xf>
    <xf numFmtId="0" fontId="62" fillId="9" borderId="55" xfId="0" applyFont="1" applyFill="1" applyBorder="1" applyAlignment="1">
      <alignment horizontal="left"/>
    </xf>
    <xf numFmtId="0" fontId="62" fillId="9" borderId="6" xfId="0" applyFont="1" applyFill="1" applyBorder="1" applyAlignment="1">
      <alignment horizontal="left"/>
    </xf>
    <xf numFmtId="0" fontId="64" fillId="9" borderId="64" xfId="0" applyFont="1" applyFill="1" applyBorder="1" applyAlignment="1">
      <alignment horizontal="left"/>
    </xf>
    <xf numFmtId="0" fontId="62" fillId="0" borderId="0" xfId="0" applyFont="1" applyAlignment="1">
      <alignment horizontal="center"/>
    </xf>
    <xf numFmtId="0" fontId="64" fillId="0" borderId="0" xfId="0" applyFont="1" applyAlignment="1">
      <alignment horizontal="right" wrapText="1"/>
    </xf>
    <xf numFmtId="0" fontId="64" fillId="0" borderId="0" xfId="0" applyFont="1" applyAlignment="1">
      <alignment horizontal="center" vertical="center"/>
    </xf>
    <xf numFmtId="3" fontId="64" fillId="0" borderId="0" xfId="0" applyNumberFormat="1" applyFont="1" applyAlignment="1">
      <alignment horizontal="right"/>
    </xf>
    <xf numFmtId="0" fontId="62" fillId="0" borderId="0" xfId="0" applyFont="1" applyAlignment="1">
      <alignment horizontal="center" wrapText="1"/>
    </xf>
    <xf numFmtId="0" fontId="62" fillId="0" borderId="6" xfId="0" applyFont="1" applyBorder="1" applyAlignment="1">
      <alignment horizontal="left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26" fillId="11" borderId="45" xfId="0" applyFont="1" applyFill="1" applyBorder="1" applyAlignment="1">
      <alignment horizontal="center" vertical="center" wrapText="1"/>
    </xf>
    <xf numFmtId="0" fontId="26" fillId="11" borderId="38" xfId="0" applyFont="1" applyFill="1" applyBorder="1" applyAlignment="1">
      <alignment horizontal="center" vertical="center" wrapText="1"/>
    </xf>
    <xf numFmtId="0" fontId="43" fillId="0" borderId="73" xfId="0" applyFont="1" applyBorder="1" applyAlignment="1">
      <alignment vertical="top" wrapText="1"/>
    </xf>
    <xf numFmtId="0" fontId="43" fillId="0" borderId="66" xfId="0" applyFont="1" applyBorder="1" applyAlignment="1">
      <alignment vertical="top" wrapText="1"/>
    </xf>
    <xf numFmtId="0" fontId="43" fillId="0" borderId="45" xfId="0" applyFont="1" applyBorder="1" applyAlignment="1">
      <alignment vertical="top" wrapText="1"/>
    </xf>
    <xf numFmtId="0" fontId="43" fillId="0" borderId="38" xfId="0" applyFont="1" applyBorder="1" applyAlignment="1">
      <alignment vertical="top" wrapText="1"/>
    </xf>
    <xf numFmtId="3" fontId="43" fillId="0" borderId="45" xfId="0" applyNumberFormat="1" applyFont="1" applyBorder="1" applyAlignment="1">
      <alignment horizontal="right" wrapText="1"/>
    </xf>
    <xf numFmtId="3" fontId="43" fillId="0" borderId="38" xfId="0" applyNumberFormat="1" applyFont="1" applyBorder="1" applyAlignment="1">
      <alignment horizontal="right" wrapText="1"/>
    </xf>
    <xf numFmtId="0" fontId="43" fillId="0" borderId="74" xfId="0" applyFont="1" applyBorder="1" applyAlignment="1">
      <alignment wrapText="1"/>
    </xf>
    <xf numFmtId="0" fontId="43" fillId="0" borderId="59" xfId="0" applyFont="1" applyBorder="1" applyAlignment="1">
      <alignment wrapText="1"/>
    </xf>
    <xf numFmtId="0" fontId="43" fillId="0" borderId="79" xfId="0" applyFont="1" applyBorder="1" applyAlignment="1">
      <alignment wrapText="1"/>
    </xf>
    <xf numFmtId="0" fontId="43" fillId="0" borderId="47" xfId="0" applyFont="1" applyBorder="1" applyAlignment="1">
      <alignment wrapText="1"/>
    </xf>
    <xf numFmtId="3" fontId="43" fillId="0" borderId="74" xfId="0" applyNumberFormat="1" applyFont="1" applyBorder="1" applyAlignment="1">
      <alignment horizontal="right" wrapText="1"/>
    </xf>
    <xf numFmtId="3" fontId="43" fillId="0" borderId="59" xfId="0" applyNumberFormat="1" applyFont="1" applyBorder="1" applyAlignment="1">
      <alignment horizontal="right" wrapText="1"/>
    </xf>
    <xf numFmtId="3" fontId="43" fillId="0" borderId="79" xfId="0" applyNumberFormat="1" applyFont="1" applyBorder="1" applyAlignment="1">
      <alignment horizontal="right" wrapText="1"/>
    </xf>
    <xf numFmtId="3" fontId="43" fillId="0" borderId="47" xfId="0" applyNumberFormat="1" applyFont="1" applyBorder="1" applyAlignment="1">
      <alignment horizontal="right" wrapText="1"/>
    </xf>
    <xf numFmtId="0" fontId="43" fillId="0" borderId="30" xfId="0" applyFont="1" applyBorder="1" applyAlignment="1">
      <alignment vertical="top" wrapText="1"/>
    </xf>
    <xf numFmtId="0" fontId="43" fillId="0" borderId="45" xfId="0" applyFont="1" applyBorder="1" applyAlignment="1">
      <alignment horizontal="right" wrapText="1"/>
    </xf>
    <xf numFmtId="0" fontId="43" fillId="0" borderId="38" xfId="0" applyFont="1" applyBorder="1" applyAlignment="1">
      <alignment horizontal="right" wrapText="1"/>
    </xf>
    <xf numFmtId="0" fontId="43" fillId="0" borderId="45" xfId="0" applyFont="1" applyBorder="1" applyAlignment="1">
      <alignment wrapText="1"/>
    </xf>
    <xf numFmtId="0" fontId="43" fillId="0" borderId="38" xfId="0" applyFont="1" applyBorder="1" applyAlignment="1">
      <alignment wrapText="1"/>
    </xf>
    <xf numFmtId="0" fontId="43" fillId="0" borderId="73" xfId="0" applyFont="1" applyBorder="1" applyAlignment="1">
      <alignment horizontal="right" wrapText="1"/>
    </xf>
    <xf numFmtId="0" fontId="43" fillId="0" borderId="66" xfId="0" applyFont="1" applyBorder="1" applyAlignment="1">
      <alignment horizontal="right" wrapText="1"/>
    </xf>
    <xf numFmtId="0" fontId="43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>
      <alignment horizontal="center" vertical="center"/>
    </xf>
    <xf numFmtId="0" fontId="43" fillId="0" borderId="73" xfId="0" applyFont="1" applyBorder="1" applyAlignment="1">
      <alignment horizontal="right" vertical="top" wrapText="1"/>
    </xf>
    <xf numFmtId="0" fontId="43" fillId="0" borderId="66" xfId="0" applyFont="1" applyBorder="1" applyAlignment="1">
      <alignment horizontal="right" vertical="top" wrapText="1"/>
    </xf>
    <xf numFmtId="3" fontId="43" fillId="0" borderId="70" xfId="0" applyNumberFormat="1" applyFont="1" applyBorder="1" applyAlignment="1">
      <alignment horizontal="right" wrapText="1"/>
    </xf>
    <xf numFmtId="0" fontId="43" fillId="0" borderId="57" xfId="0" applyFont="1" applyBorder="1" applyAlignment="1">
      <alignment horizontal="right" wrapText="1"/>
    </xf>
    <xf numFmtId="3" fontId="43" fillId="0" borderId="39" xfId="0" applyNumberFormat="1" applyFont="1" applyBorder="1" applyAlignment="1">
      <alignment horizontal="right" wrapText="1"/>
    </xf>
    <xf numFmtId="0" fontId="43" fillId="0" borderId="58" xfId="0" applyFont="1" applyBorder="1" applyAlignment="1">
      <alignment horizontal="right" wrapText="1"/>
    </xf>
    <xf numFmtId="0" fontId="43" fillId="0" borderId="70" xfId="0" applyFont="1" applyBorder="1" applyAlignment="1">
      <alignment horizontal="center" wrapText="1"/>
    </xf>
    <xf numFmtId="0" fontId="43" fillId="0" borderId="57" xfId="0" applyFont="1" applyBorder="1" applyAlignment="1">
      <alignment horizontal="center" wrapText="1"/>
    </xf>
    <xf numFmtId="0" fontId="43" fillId="0" borderId="39" xfId="0" applyFont="1" applyBorder="1" applyAlignment="1">
      <alignment horizontal="center" wrapText="1"/>
    </xf>
    <xf numFmtId="0" fontId="43" fillId="0" borderId="58" xfId="0" applyFont="1" applyBorder="1" applyAlignment="1">
      <alignment horizontal="center" wrapText="1"/>
    </xf>
    <xf numFmtId="3" fontId="26" fillId="10" borderId="45" xfId="0" applyNumberFormat="1" applyFont="1" applyFill="1" applyBorder="1" applyAlignment="1">
      <alignment horizontal="right" wrapText="1"/>
    </xf>
    <xf numFmtId="0" fontId="26" fillId="10" borderId="38" xfId="0" applyFont="1" applyFill="1" applyBorder="1" applyAlignment="1">
      <alignment horizontal="right" wrapText="1"/>
    </xf>
    <xf numFmtId="0" fontId="26" fillId="10" borderId="45" xfId="0" applyFont="1" applyFill="1" applyBorder="1" applyAlignment="1">
      <alignment horizontal="center" wrapText="1"/>
    </xf>
    <xf numFmtId="0" fontId="26" fillId="10" borderId="38" xfId="0" applyFont="1" applyFill="1" applyBorder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82" fillId="0" borderId="45" xfId="0" applyFont="1" applyFill="1" applyBorder="1" applyAlignment="1">
      <alignment horizontal="center" vertical="center" wrapText="1"/>
    </xf>
    <xf numFmtId="0" fontId="82" fillId="0" borderId="46" xfId="0" applyFont="1" applyFill="1" applyBorder="1" applyAlignment="1">
      <alignment horizontal="center" vertical="center" wrapText="1"/>
    </xf>
    <xf numFmtId="0" fontId="82" fillId="0" borderId="44" xfId="0" applyFont="1" applyFill="1" applyBorder="1" applyAlignment="1">
      <alignment horizontal="center" vertical="center" wrapText="1"/>
    </xf>
    <xf numFmtId="0" fontId="82" fillId="0" borderId="70" xfId="0" applyFont="1" applyFill="1" applyBorder="1" applyAlignment="1">
      <alignment horizontal="center" vertical="center" wrapText="1"/>
    </xf>
    <xf numFmtId="0" fontId="82" fillId="0" borderId="54" xfId="0" applyFont="1" applyFill="1" applyBorder="1" applyAlignment="1">
      <alignment horizontal="center" vertical="center" wrapText="1"/>
    </xf>
    <xf numFmtId="0" fontId="82" fillId="0" borderId="9" xfId="0" applyFont="1" applyFill="1" applyBorder="1" applyAlignment="1">
      <alignment horizontal="center" vertical="center" wrapText="1"/>
    </xf>
    <xf numFmtId="0" fontId="82" fillId="0" borderId="39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0" fontId="72" fillId="0" borderId="9" xfId="0" applyFont="1" applyFill="1" applyBorder="1" applyAlignment="1">
      <alignment horizontal="center" vertical="center" wrapText="1"/>
    </xf>
    <xf numFmtId="0" fontId="72" fillId="0" borderId="61" xfId="0" applyFont="1" applyFill="1" applyBorder="1" applyAlignment="1">
      <alignment horizontal="left" vertical="center" wrapText="1"/>
    </xf>
    <xf numFmtId="0" fontId="72" fillId="0" borderId="76" xfId="0" applyFont="1" applyFill="1" applyBorder="1" applyAlignment="1">
      <alignment horizontal="left" vertical="center" wrapText="1"/>
    </xf>
    <xf numFmtId="0" fontId="72" fillId="0" borderId="77" xfId="0" applyFont="1" applyFill="1" applyBorder="1" applyAlignment="1">
      <alignment horizontal="left" vertical="center" wrapText="1"/>
    </xf>
    <xf numFmtId="0" fontId="82" fillId="0" borderId="62" xfId="0" applyFont="1" applyBorder="1" applyAlignment="1">
      <alignment horizontal="left" vertical="center" wrapText="1"/>
    </xf>
    <xf numFmtId="0" fontId="82" fillId="0" borderId="42" xfId="0" applyFont="1" applyBorder="1" applyAlignment="1">
      <alignment horizontal="left" vertical="center" wrapText="1"/>
    </xf>
    <xf numFmtId="0" fontId="82" fillId="0" borderId="63" xfId="0" applyFont="1" applyBorder="1" applyAlignment="1">
      <alignment horizontal="left" vertical="center" wrapText="1"/>
    </xf>
    <xf numFmtId="0" fontId="75" fillId="0" borderId="45" xfId="0" applyFont="1" applyBorder="1" applyAlignment="1">
      <alignment horizontal="left" vertical="center" wrapText="1"/>
    </xf>
    <xf numFmtId="0" fontId="75" fillId="0" borderId="46" xfId="0" applyFont="1" applyBorder="1" applyAlignment="1">
      <alignment horizontal="left" vertical="center" wrapText="1"/>
    </xf>
    <xf numFmtId="0" fontId="75" fillId="0" borderId="44" xfId="0" applyFont="1" applyBorder="1" applyAlignment="1">
      <alignment horizontal="left" vertical="center" wrapText="1"/>
    </xf>
    <xf numFmtId="0" fontId="82" fillId="0" borderId="70" xfId="0" applyFont="1" applyBorder="1" applyAlignment="1">
      <alignment horizontal="center" vertical="center" wrapText="1"/>
    </xf>
    <xf numFmtId="0" fontId="82" fillId="0" borderId="54" xfId="0" applyFont="1" applyBorder="1" applyAlignment="1">
      <alignment horizontal="center" vertical="center" wrapText="1"/>
    </xf>
    <xf numFmtId="0" fontId="82" fillId="0" borderId="9" xfId="0" applyFont="1" applyBorder="1" applyAlignment="1">
      <alignment horizontal="center" vertical="center" wrapText="1"/>
    </xf>
    <xf numFmtId="0" fontId="82" fillId="0" borderId="39" xfId="0" applyFont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left" vertical="center" wrapText="1"/>
    </xf>
    <xf numFmtId="0" fontId="72" fillId="0" borderId="64" xfId="0" applyFont="1" applyBorder="1" applyAlignment="1">
      <alignment horizontal="left" vertical="center" wrapText="1"/>
    </xf>
    <xf numFmtId="0" fontId="72" fillId="0" borderId="6" xfId="0" applyFont="1" applyBorder="1" applyAlignment="1">
      <alignment horizontal="left" vertical="center" wrapText="1"/>
    </xf>
    <xf numFmtId="0" fontId="82" fillId="0" borderId="2" xfId="0" applyFont="1" applyBorder="1" applyAlignment="1">
      <alignment horizontal="center" vertical="center" wrapText="1"/>
    </xf>
    <xf numFmtId="0" fontId="82" fillId="0" borderId="7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72" fillId="0" borderId="61" xfId="0" applyFont="1" applyBorder="1" applyAlignment="1">
      <alignment horizontal="left" vertical="center" wrapText="1"/>
    </xf>
    <xf numFmtId="0" fontId="72" fillId="0" borderId="76" xfId="0" applyFont="1" applyBorder="1" applyAlignment="1">
      <alignment horizontal="left" vertical="center" wrapText="1"/>
    </xf>
    <xf numFmtId="0" fontId="72" fillId="0" borderId="77" xfId="0" applyFont="1" applyBorder="1" applyAlignment="1">
      <alignment horizontal="left" vertical="center" wrapText="1"/>
    </xf>
    <xf numFmtId="0" fontId="82" fillId="0" borderId="55" xfId="0" applyFont="1" applyBorder="1" applyAlignment="1">
      <alignment horizontal="left" vertical="center" wrapText="1"/>
    </xf>
    <xf numFmtId="0" fontId="82" fillId="0" borderId="64" xfId="0" applyFont="1" applyBorder="1" applyAlignment="1">
      <alignment horizontal="left" vertical="center" wrapText="1"/>
    </xf>
    <xf numFmtId="0" fontId="82" fillId="0" borderId="6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left" vertical="center" wrapText="1"/>
    </xf>
    <xf numFmtId="0" fontId="82" fillId="0" borderId="46" xfId="0" applyFont="1" applyBorder="1" applyAlignment="1">
      <alignment horizontal="left" vertical="center" wrapText="1"/>
    </xf>
    <xf numFmtId="0" fontId="82" fillId="0" borderId="44" xfId="0" applyFont="1" applyBorder="1" applyAlignment="1">
      <alignment horizontal="left" vertical="center" wrapText="1"/>
    </xf>
    <xf numFmtId="0" fontId="82" fillId="0" borderId="61" xfId="0" applyFont="1" applyBorder="1" applyAlignment="1">
      <alignment horizontal="left" vertical="center" wrapText="1"/>
    </xf>
    <xf numFmtId="0" fontId="82" fillId="0" borderId="76" xfId="0" applyFont="1" applyBorder="1" applyAlignment="1">
      <alignment horizontal="left" vertical="center" wrapText="1"/>
    </xf>
    <xf numFmtId="0" fontId="82" fillId="0" borderId="77" xfId="0" applyFont="1" applyBorder="1" applyAlignment="1">
      <alignment horizontal="left" vertical="center" wrapText="1"/>
    </xf>
    <xf numFmtId="0" fontId="82" fillId="0" borderId="52" xfId="0" applyFont="1" applyBorder="1" applyAlignment="1">
      <alignment horizontal="left" vertical="center" wrapText="1"/>
    </xf>
    <xf numFmtId="0" fontId="82" fillId="0" borderId="78" xfId="0" applyFont="1" applyBorder="1" applyAlignment="1">
      <alignment horizontal="left" vertical="center" wrapText="1"/>
    </xf>
    <xf numFmtId="0" fontId="82" fillId="0" borderId="40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center" wrapText="1"/>
    </xf>
    <xf numFmtId="0" fontId="82" fillId="0" borderId="46" xfId="0" applyFont="1" applyBorder="1" applyAlignment="1">
      <alignment horizontal="center" vertical="center" wrapText="1"/>
    </xf>
    <xf numFmtId="0" fontId="82" fillId="0" borderId="38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 wrapText="1"/>
    </xf>
    <xf numFmtId="0" fontId="74" fillId="0" borderId="9" xfId="0" applyFont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74" fillId="0" borderId="76" xfId="0" applyFont="1" applyBorder="1" applyAlignment="1">
      <alignment horizontal="left" vertical="center" wrapText="1"/>
    </xf>
    <xf numFmtId="0" fontId="74" fillId="0" borderId="77" xfId="0" applyFont="1" applyBorder="1" applyAlignment="1">
      <alignment horizontal="left" vertical="center" wrapText="1"/>
    </xf>
    <xf numFmtId="0" fontId="86" fillId="0" borderId="0" xfId="0" applyFont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 indent="2"/>
    </xf>
    <xf numFmtId="0" fontId="31" fillId="0" borderId="44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  <xf numFmtId="164" fontId="0" fillId="0" borderId="0" xfId="0" applyNumberForma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703" customWidth="1"/>
    <col min="2" max="16384" width="9.33203125" style="703"/>
  </cols>
  <sheetData>
    <row r="1" spans="1:1" s="702" customFormat="1" ht="15" x14ac:dyDescent="0.25">
      <c r="A1" s="702" t="s">
        <v>493</v>
      </c>
    </row>
    <row r="2" spans="1:1" s="702" customFormat="1" ht="15" x14ac:dyDescent="0.25">
      <c r="A2" s="702" t="s">
        <v>494</v>
      </c>
    </row>
    <row r="3" spans="1:1" s="702" customFormat="1" ht="15" x14ac:dyDescent="0.25">
      <c r="A3" s="702" t="s">
        <v>495</v>
      </c>
    </row>
    <row r="4" spans="1:1" s="702" customFormat="1" ht="15" x14ac:dyDescent="0.25">
      <c r="A4" s="702" t="s">
        <v>496</v>
      </c>
    </row>
    <row r="5" spans="1:1" s="702" customFormat="1" ht="15" x14ac:dyDescent="0.25">
      <c r="A5" s="702" t="s">
        <v>497</v>
      </c>
    </row>
    <row r="6" spans="1:1" s="702" customFormat="1" ht="15" x14ac:dyDescent="0.25">
      <c r="A6" s="702" t="s">
        <v>498</v>
      </c>
    </row>
    <row r="7" spans="1:1" s="702" customFormat="1" ht="15" x14ac:dyDescent="0.25">
      <c r="A7" s="702" t="s">
        <v>499</v>
      </c>
    </row>
    <row r="8" spans="1:1" s="702" customFormat="1" ht="15" x14ac:dyDescent="0.25">
      <c r="A8" s="702" t="s">
        <v>500</v>
      </c>
    </row>
    <row r="9" spans="1:1" s="702" customFormat="1" ht="15" x14ac:dyDescent="0.25">
      <c r="A9" s="702" t="s">
        <v>501</v>
      </c>
    </row>
    <row r="10" spans="1:1" s="702" customFormat="1" ht="15" x14ac:dyDescent="0.25">
      <c r="A10" s="702" t="s">
        <v>502</v>
      </c>
    </row>
    <row r="11" spans="1:1" s="702" customFormat="1" ht="15" x14ac:dyDescent="0.25">
      <c r="A11" s="702" t="s">
        <v>503</v>
      </c>
    </row>
    <row r="12" spans="1:1" s="702" customFormat="1" ht="15" x14ac:dyDescent="0.25">
      <c r="A12" s="702" t="s">
        <v>504</v>
      </c>
    </row>
    <row r="13" spans="1:1" s="702" customFormat="1" ht="15" x14ac:dyDescent="0.25">
      <c r="A13" s="702" t="s">
        <v>505</v>
      </c>
    </row>
    <row r="14" spans="1:1" s="702" customFormat="1" ht="15" x14ac:dyDescent="0.25">
      <c r="A14" s="702" t="s">
        <v>506</v>
      </c>
    </row>
    <row r="15" spans="1:1" s="702" customFormat="1" ht="15" x14ac:dyDescent="0.25">
      <c r="A15" s="702" t="s">
        <v>507</v>
      </c>
    </row>
    <row r="16" spans="1:1" s="702" customFormat="1" ht="15" x14ac:dyDescent="0.25">
      <c r="A16" s="702" t="s">
        <v>508</v>
      </c>
    </row>
    <row r="17" spans="1:1" s="702" customFormat="1" ht="15" x14ac:dyDescent="0.25">
      <c r="A17" s="702" t="s">
        <v>509</v>
      </c>
    </row>
    <row r="18" spans="1:1" s="702" customFormat="1" ht="15" x14ac:dyDescent="0.25">
      <c r="A18" s="702" t="s">
        <v>510</v>
      </c>
    </row>
    <row r="19" spans="1:1" s="702" customFormat="1" ht="15" x14ac:dyDescent="0.25">
      <c r="A19" s="702" t="s">
        <v>511</v>
      </c>
    </row>
    <row r="20" spans="1:1" s="702" customFormat="1" ht="15" x14ac:dyDescent="0.25">
      <c r="A20" s="702" t="s">
        <v>512</v>
      </c>
    </row>
    <row r="21" spans="1:1" s="702" customFormat="1" ht="15" x14ac:dyDescent="0.25">
      <c r="A21" s="702" t="s">
        <v>513</v>
      </c>
    </row>
    <row r="22" spans="1:1" s="702" customFormat="1" ht="15" x14ac:dyDescent="0.25">
      <c r="A22" s="702" t="s">
        <v>514</v>
      </c>
    </row>
    <row r="23" spans="1:1" s="702" customFormat="1" ht="15" x14ac:dyDescent="0.25">
      <c r="A23" s="702" t="s">
        <v>515</v>
      </c>
    </row>
    <row r="24" spans="1:1" s="702" customFormat="1" ht="15" x14ac:dyDescent="0.25">
      <c r="A24" s="702" t="s">
        <v>516</v>
      </c>
    </row>
    <row r="25" spans="1:1" s="702" customFormat="1" ht="15" x14ac:dyDescent="0.25">
      <c r="A25" s="702" t="s">
        <v>517</v>
      </c>
    </row>
    <row r="26" spans="1:1" s="702" customFormat="1" ht="15" x14ac:dyDescent="0.25">
      <c r="A26" s="702" t="s">
        <v>518</v>
      </c>
    </row>
    <row r="27" spans="1:1" s="702" customFormat="1" ht="15" x14ac:dyDescent="0.25">
      <c r="A27" s="702" t="s">
        <v>519</v>
      </c>
    </row>
    <row r="28" spans="1:1" s="702" customFormat="1" ht="15" x14ac:dyDescent="0.25">
      <c r="A28" s="702" t="s">
        <v>520</v>
      </c>
    </row>
    <row r="29" spans="1:1" s="702" customFormat="1" ht="15" x14ac:dyDescent="0.25">
      <c r="A29" s="702" t="s">
        <v>521</v>
      </c>
    </row>
    <row r="30" spans="1:1" s="702" customFormat="1" ht="15" x14ac:dyDescent="0.25">
      <c r="A30" s="702" t="s">
        <v>522</v>
      </c>
    </row>
    <row r="31" spans="1:1" s="702" customFormat="1" ht="15" x14ac:dyDescent="0.25">
      <c r="A31" s="702" t="s">
        <v>523</v>
      </c>
    </row>
    <row r="32" spans="1:1" s="702" customFormat="1" ht="15" x14ac:dyDescent="0.25">
      <c r="A32" s="702" t="s">
        <v>524</v>
      </c>
    </row>
    <row r="33" spans="1:1" s="702" customFormat="1" ht="15" x14ac:dyDescent="0.25">
      <c r="A33" s="702" t="s">
        <v>525</v>
      </c>
    </row>
    <row r="34" spans="1:1" s="702" customFormat="1" ht="15" x14ac:dyDescent="0.25">
      <c r="A34" s="702" t="s">
        <v>526</v>
      </c>
    </row>
    <row r="35" spans="1:1" s="702" customFormat="1" ht="15" x14ac:dyDescent="0.25">
      <c r="A35" s="702" t="s">
        <v>527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70" t="s">
        <v>118</v>
      </c>
      <c r="E1" s="173" t="s">
        <v>125</v>
      </c>
    </row>
    <row r="3" spans="1:5" x14ac:dyDescent="0.2">
      <c r="A3" s="179"/>
      <c r="B3" s="180"/>
      <c r="C3" s="179"/>
      <c r="D3" s="182"/>
      <c r="E3" s="180"/>
    </row>
    <row r="4" spans="1:5" ht="15.75" x14ac:dyDescent="0.25">
      <c r="A4" s="126" t="s">
        <v>474</v>
      </c>
      <c r="B4" s="181"/>
      <c r="C4" s="191"/>
      <c r="D4" s="182"/>
      <c r="E4" s="180"/>
    </row>
    <row r="5" spans="1:5" x14ac:dyDescent="0.2">
      <c r="A5" s="179"/>
      <c r="B5" s="180"/>
      <c r="C5" s="179"/>
      <c r="D5" s="182"/>
      <c r="E5" s="180"/>
    </row>
    <row r="6" spans="1:5" x14ac:dyDescent="0.2">
      <c r="A6" s="179" t="s">
        <v>216</v>
      </c>
      <c r="B6" s="180">
        <f>+'1.1.sz.mell.'!C51</f>
        <v>260297.60000000001</v>
      </c>
      <c r="C6" s="179" t="s">
        <v>481</v>
      </c>
      <c r="D6" s="182">
        <f>+'2.1.sz.mell  '!C18+'2.2.sz.mell  '!C18</f>
        <v>260297.60000000001</v>
      </c>
      <c r="E6" s="180">
        <f t="shared" ref="E6:E15" si="0">+B6-D6</f>
        <v>0</v>
      </c>
    </row>
    <row r="7" spans="1:5" x14ac:dyDescent="0.2">
      <c r="A7" s="179" t="s">
        <v>119</v>
      </c>
      <c r="B7" s="180">
        <f>+'1.1.sz.mell.'!C65</f>
        <v>272797.59999999998</v>
      </c>
      <c r="C7" s="179" t="s">
        <v>482</v>
      </c>
      <c r="D7" s="182">
        <f>+'2.1.sz.mell  '!C28+'2.2.sz.mell  '!C32</f>
        <v>272797.59999999998</v>
      </c>
      <c r="E7" s="180">
        <f t="shared" si="0"/>
        <v>0</v>
      </c>
    </row>
    <row r="8" spans="1:5" x14ac:dyDescent="0.2">
      <c r="A8" s="179" t="s">
        <v>472</v>
      </c>
      <c r="B8" s="180">
        <f>+'1.1.sz.mell.'!C67</f>
        <v>272797.59999999998</v>
      </c>
      <c r="C8" s="179" t="s">
        <v>483</v>
      </c>
      <c r="D8" s="182">
        <f>+'2.1.sz.mell  '!C30+'2.2.sz.mell  '!C34</f>
        <v>272797.59999999998</v>
      </c>
      <c r="E8" s="180">
        <f t="shared" si="0"/>
        <v>0</v>
      </c>
    </row>
    <row r="9" spans="1:5" x14ac:dyDescent="0.2">
      <c r="A9" s="179"/>
      <c r="B9" s="180"/>
      <c r="C9" s="179"/>
      <c r="D9" s="182"/>
      <c r="E9" s="180"/>
    </row>
    <row r="10" spans="1:5" x14ac:dyDescent="0.2">
      <c r="A10" s="179"/>
      <c r="B10" s="180"/>
      <c r="C10" s="179"/>
      <c r="D10" s="182"/>
      <c r="E10" s="180"/>
    </row>
    <row r="11" spans="1:5" ht="15.75" x14ac:dyDescent="0.25">
      <c r="A11" s="126" t="s">
        <v>475</v>
      </c>
      <c r="B11" s="181"/>
      <c r="C11" s="191"/>
      <c r="D11" s="182"/>
      <c r="E11" s="180"/>
    </row>
    <row r="12" spans="1:5" x14ac:dyDescent="0.2">
      <c r="A12" s="179"/>
      <c r="B12" s="180"/>
      <c r="C12" s="179"/>
      <c r="D12" s="182"/>
      <c r="E12" s="180"/>
    </row>
    <row r="13" spans="1:5" x14ac:dyDescent="0.2">
      <c r="A13" s="179" t="s">
        <v>143</v>
      </c>
      <c r="B13" s="180">
        <f>+'1.1.sz.mell.'!C101</f>
        <v>272798.55</v>
      </c>
      <c r="C13" s="179" t="s">
        <v>484</v>
      </c>
      <c r="D13" s="182">
        <f>+'2.1.sz.mell  '!H18+'2.2.sz.mell  '!H18</f>
        <v>272798.55</v>
      </c>
      <c r="E13" s="180">
        <f t="shared" si="0"/>
        <v>0</v>
      </c>
    </row>
    <row r="14" spans="1:5" x14ac:dyDescent="0.2">
      <c r="A14" s="179" t="s">
        <v>120</v>
      </c>
      <c r="B14" s="180">
        <f>+'1.1.sz.mell.'!C120</f>
        <v>272798.55</v>
      </c>
      <c r="C14" s="179" t="s">
        <v>485</v>
      </c>
      <c r="D14" s="182">
        <f>+'2.1.sz.mell  '!H28+'2.2.sz.mell  '!H32</f>
        <v>272798.55</v>
      </c>
      <c r="E14" s="180">
        <f t="shared" si="0"/>
        <v>0</v>
      </c>
    </row>
    <row r="15" spans="1:5" x14ac:dyDescent="0.2">
      <c r="A15" s="179" t="s">
        <v>473</v>
      </c>
      <c r="B15" s="180">
        <f>+'1.1.sz.mell.'!C122</f>
        <v>272798.55</v>
      </c>
      <c r="C15" s="179" t="s">
        <v>486</v>
      </c>
      <c r="D15" s="182">
        <f>+'2.1.sz.mell  '!H30+'2.2.sz.mell  '!H34</f>
        <v>272798.55</v>
      </c>
      <c r="E15" s="180">
        <f t="shared" si="0"/>
        <v>0</v>
      </c>
    </row>
    <row r="16" spans="1:5" x14ac:dyDescent="0.2">
      <c r="A16" s="171"/>
      <c r="B16" s="171"/>
      <c r="C16" s="179"/>
      <c r="D16" s="182"/>
      <c r="E16" s="172"/>
    </row>
    <row r="17" spans="1:5" x14ac:dyDescent="0.2">
      <c r="A17" s="171"/>
      <c r="B17" s="171"/>
      <c r="C17" s="171"/>
      <c r="D17" s="171"/>
      <c r="E17" s="171"/>
    </row>
    <row r="18" spans="1:5" x14ac:dyDescent="0.2">
      <c r="A18" s="171"/>
      <c r="B18" s="171"/>
      <c r="C18" s="171"/>
      <c r="D18" s="171"/>
      <c r="E18" s="171"/>
    </row>
    <row r="19" spans="1:5" x14ac:dyDescent="0.2">
      <c r="A19" s="171"/>
      <c r="B19" s="171"/>
      <c r="C19" s="171"/>
      <c r="D19" s="171"/>
      <c r="E19" s="171"/>
    </row>
  </sheetData>
  <sheetProtection sheet="1"/>
  <phoneticPr fontId="30" type="noConversion"/>
  <conditionalFormatting sqref="E3:E15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11"/>
  <sheetViews>
    <sheetView view="pageLayout" zoomScaleNormal="120" workbookViewId="0">
      <selection activeCell="C28" sqref="C28"/>
    </sheetView>
  </sheetViews>
  <sheetFormatPr defaultColWidth="9.33203125" defaultRowHeight="15" x14ac:dyDescent="0.25"/>
  <cols>
    <col min="1" max="1" width="5.6640625" style="195" customWidth="1"/>
    <col min="2" max="2" width="38.6640625" style="195" customWidth="1"/>
    <col min="3" max="6" width="14" style="195" customWidth="1"/>
    <col min="7" max="16384" width="9.33203125" style="195"/>
  </cols>
  <sheetData>
    <row r="1" spans="1:7" ht="33" customHeight="1" x14ac:dyDescent="0.25">
      <c r="A1" s="1220" t="s">
        <v>1042</v>
      </c>
      <c r="B1" s="1220"/>
      <c r="C1" s="1220"/>
      <c r="D1" s="1220"/>
      <c r="E1" s="1220"/>
      <c r="F1" s="1220"/>
    </row>
    <row r="2" spans="1:7" ht="15.95" customHeight="1" thickBot="1" x14ac:dyDescent="0.3">
      <c r="A2" s="196"/>
      <c r="B2" s="196"/>
      <c r="C2" s="1221"/>
      <c r="D2" s="1221"/>
      <c r="E2" s="1228" t="s">
        <v>1164</v>
      </c>
      <c r="F2" s="1228"/>
      <c r="G2" s="203"/>
    </row>
    <row r="3" spans="1:7" ht="63" customHeight="1" x14ac:dyDescent="0.25">
      <c r="A3" s="1224" t="s">
        <v>1123</v>
      </c>
      <c r="B3" s="1226" t="s">
        <v>220</v>
      </c>
      <c r="C3" s="1226" t="s">
        <v>476</v>
      </c>
      <c r="D3" s="1226"/>
      <c r="E3" s="1226"/>
      <c r="F3" s="1222" t="s">
        <v>397</v>
      </c>
    </row>
    <row r="4" spans="1:7" ht="15.75" thickBot="1" x14ac:dyDescent="0.3">
      <c r="A4" s="1225"/>
      <c r="B4" s="1227"/>
      <c r="C4" s="198" t="s">
        <v>221</v>
      </c>
      <c r="D4" s="198" t="s">
        <v>395</v>
      </c>
      <c r="E4" s="198" t="s">
        <v>396</v>
      </c>
      <c r="F4" s="1223"/>
    </row>
    <row r="5" spans="1:7" ht="15.75" thickBot="1" x14ac:dyDescent="0.3">
      <c r="A5" s="200">
        <v>1</v>
      </c>
      <c r="B5" s="201">
        <v>2</v>
      </c>
      <c r="C5" s="201">
        <v>3</v>
      </c>
      <c r="D5" s="201">
        <v>4</v>
      </c>
      <c r="E5" s="201">
        <v>5</v>
      </c>
      <c r="F5" s="202">
        <v>6</v>
      </c>
    </row>
    <row r="6" spans="1:7" x14ac:dyDescent="0.25">
      <c r="A6" s="199" t="s">
        <v>1125</v>
      </c>
      <c r="B6" s="229"/>
      <c r="C6" s="230"/>
      <c r="D6" s="230"/>
      <c r="E6" s="230"/>
      <c r="F6" s="206">
        <f>SUM(C6:E6)</f>
        <v>0</v>
      </c>
    </row>
    <row r="7" spans="1:7" x14ac:dyDescent="0.25">
      <c r="A7" s="197" t="s">
        <v>1126</v>
      </c>
      <c r="B7" s="231"/>
      <c r="C7" s="232"/>
      <c r="D7" s="232"/>
      <c r="E7" s="232"/>
      <c r="F7" s="207">
        <f>SUM(C7:E7)</f>
        <v>0</v>
      </c>
    </row>
    <row r="8" spans="1:7" x14ac:dyDescent="0.25">
      <c r="A8" s="197" t="s">
        <v>1127</v>
      </c>
      <c r="B8" s="231"/>
      <c r="C8" s="232"/>
      <c r="D8" s="232"/>
      <c r="E8" s="232"/>
      <c r="F8" s="207">
        <f>SUM(C8:E8)</f>
        <v>0</v>
      </c>
    </row>
    <row r="9" spans="1:7" x14ac:dyDescent="0.25">
      <c r="A9" s="197" t="s">
        <v>1128</v>
      </c>
      <c r="B9" s="231"/>
      <c r="C9" s="232"/>
      <c r="D9" s="232"/>
      <c r="E9" s="232"/>
      <c r="F9" s="207">
        <f>SUM(C9:E9)</f>
        <v>0</v>
      </c>
    </row>
    <row r="10" spans="1:7" ht="15.75" thickBot="1" x14ac:dyDescent="0.3">
      <c r="A10" s="204" t="s">
        <v>1129</v>
      </c>
      <c r="B10" s="233"/>
      <c r="C10" s="234"/>
      <c r="D10" s="234"/>
      <c r="E10" s="234"/>
      <c r="F10" s="207">
        <f>SUM(C10:E10)</f>
        <v>0</v>
      </c>
    </row>
    <row r="11" spans="1:7" ht="15.75" thickBot="1" x14ac:dyDescent="0.3">
      <c r="A11" s="200" t="s">
        <v>1130</v>
      </c>
      <c r="B11" s="205" t="s">
        <v>222</v>
      </c>
      <c r="C11" s="208">
        <f>SUM(C6:C10)</f>
        <v>0</v>
      </c>
      <c r="D11" s="208">
        <f>SUM(D6:D10)</f>
        <v>0</v>
      </c>
      <c r="E11" s="208">
        <f>SUM(E6:E10)</f>
        <v>0</v>
      </c>
      <c r="F11" s="209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&amp;"Times New Roman CE,Félkövér"3. melléklet a az 5/2014. (III.6.)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2"/>
  <sheetViews>
    <sheetView view="pageLayout" zoomScaleNormal="120" zoomScaleSheetLayoutView="100" workbookViewId="0">
      <selection activeCell="B15" sqref="B15"/>
    </sheetView>
  </sheetViews>
  <sheetFormatPr defaultColWidth="9.33203125" defaultRowHeight="15" x14ac:dyDescent="0.25"/>
  <cols>
    <col min="1" max="1" width="5.6640625" style="195" customWidth="1"/>
    <col min="2" max="2" width="68.6640625" style="195" customWidth="1"/>
    <col min="3" max="3" width="19.5" style="195" customWidth="1"/>
    <col min="4" max="16384" width="9.33203125" style="195"/>
  </cols>
  <sheetData>
    <row r="1" spans="1:4" ht="33" customHeight="1" x14ac:dyDescent="0.25">
      <c r="A1" s="1220" t="s">
        <v>652</v>
      </c>
      <c r="B1" s="1220"/>
      <c r="C1" s="1220"/>
    </row>
    <row r="2" spans="1:4" ht="15.95" customHeight="1" thickBot="1" x14ac:dyDescent="0.3">
      <c r="A2" s="196"/>
      <c r="B2" s="196"/>
      <c r="C2" s="210" t="s">
        <v>1164</v>
      </c>
      <c r="D2" s="203"/>
    </row>
    <row r="3" spans="1:4" ht="26.25" customHeight="1" thickBot="1" x14ac:dyDescent="0.3">
      <c r="A3" s="235" t="s">
        <v>1123</v>
      </c>
      <c r="B3" s="236" t="s">
        <v>217</v>
      </c>
      <c r="C3" s="237" t="s">
        <v>302</v>
      </c>
    </row>
    <row r="4" spans="1:4" ht="15.75" thickBot="1" x14ac:dyDescent="0.3">
      <c r="A4" s="238">
        <v>1</v>
      </c>
      <c r="B4" s="239">
        <v>2</v>
      </c>
      <c r="C4" s="240">
        <v>3</v>
      </c>
    </row>
    <row r="5" spans="1:4" x14ac:dyDescent="0.25">
      <c r="A5" s="241" t="s">
        <v>1125</v>
      </c>
      <c r="B5" s="509" t="s">
        <v>1169</v>
      </c>
      <c r="C5" s="506">
        <f>'1.1.sz.mell.'!C7</f>
        <v>100698</v>
      </c>
    </row>
    <row r="6" spans="1:4" ht="24.75" x14ac:dyDescent="0.25">
      <c r="A6" s="242" t="s">
        <v>1126</v>
      </c>
      <c r="B6" s="592" t="s">
        <v>398</v>
      </c>
      <c r="C6" s="507">
        <f>'1.1.sz.mell.'!C48</f>
        <v>400</v>
      </c>
    </row>
    <row r="7" spans="1:4" x14ac:dyDescent="0.25">
      <c r="A7" s="242" t="s">
        <v>1127</v>
      </c>
      <c r="B7" s="593" t="s">
        <v>223</v>
      </c>
      <c r="C7" s="507">
        <f>'1.1.sz.mell.'!C9</f>
        <v>3412</v>
      </c>
    </row>
    <row r="8" spans="1:4" ht="24.75" x14ac:dyDescent="0.25">
      <c r="A8" s="242" t="s">
        <v>1128</v>
      </c>
      <c r="B8" s="593" t="s">
        <v>400</v>
      </c>
      <c r="C8" s="507">
        <f>'1.1.sz.mell.'!C47</f>
        <v>0</v>
      </c>
    </row>
    <row r="9" spans="1:4" x14ac:dyDescent="0.25">
      <c r="A9" s="243" t="s">
        <v>1129</v>
      </c>
      <c r="B9" s="593" t="s">
        <v>399</v>
      </c>
      <c r="C9" s="508">
        <v>0</v>
      </c>
    </row>
    <row r="10" spans="1:4" ht="15.75" thickBot="1" x14ac:dyDescent="0.3">
      <c r="A10" s="242" t="s">
        <v>1130</v>
      </c>
      <c r="B10" s="594" t="s">
        <v>218</v>
      </c>
      <c r="C10" s="507">
        <v>0</v>
      </c>
    </row>
    <row r="11" spans="1:4" ht="15.75" thickBot="1" x14ac:dyDescent="0.3">
      <c r="A11" s="1229" t="s">
        <v>224</v>
      </c>
      <c r="B11" s="1230"/>
      <c r="C11" s="244">
        <f>SUM(C5:C10)</f>
        <v>104510</v>
      </c>
    </row>
    <row r="12" spans="1:4" ht="23.25" customHeight="1" x14ac:dyDescent="0.25">
      <c r="A12" s="1231" t="s">
        <v>262</v>
      </c>
      <c r="B12" s="1231"/>
      <c r="C12" s="1231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az 5/2014. (III.6.)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9"/>
  <sheetViews>
    <sheetView view="pageLayout" zoomScaleNormal="120" zoomScaleSheetLayoutView="100" workbookViewId="0">
      <selection sqref="A1:H1"/>
    </sheetView>
  </sheetViews>
  <sheetFormatPr defaultColWidth="9.33203125" defaultRowHeight="15" x14ac:dyDescent="0.25"/>
  <cols>
    <col min="1" max="1" width="5.6640625" style="195" customWidth="1"/>
    <col min="2" max="2" width="50.5" style="195" customWidth="1"/>
    <col min="3" max="3" width="12.33203125" style="195" customWidth="1"/>
    <col min="4" max="4" width="11.6640625" style="195" bestFit="1" customWidth="1"/>
    <col min="5" max="5" width="11.6640625" style="1168" hidden="1" customWidth="1"/>
    <col min="6" max="6" width="11.1640625" style="195" bestFit="1" customWidth="1"/>
    <col min="7" max="7" width="14" style="195" bestFit="1" customWidth="1"/>
    <col min="8" max="8" width="15.5" style="1168" hidden="1" customWidth="1"/>
    <col min="9" max="9" width="9.33203125" style="1168"/>
    <col min="10" max="16384" width="9.33203125" style="195"/>
  </cols>
  <sheetData>
    <row r="1" spans="1:25" ht="33" customHeight="1" x14ac:dyDescent="0.25">
      <c r="A1" s="1220" t="s">
        <v>807</v>
      </c>
      <c r="B1" s="1220"/>
      <c r="C1" s="1220"/>
      <c r="D1" s="1220"/>
      <c r="E1" s="1220"/>
      <c r="F1" s="1220"/>
      <c r="G1" s="1220"/>
      <c r="H1" s="1220"/>
    </row>
    <row r="2" spans="1:25" ht="15.95" customHeight="1" thickBot="1" x14ac:dyDescent="0.3">
      <c r="A2" s="771"/>
      <c r="B2" s="771"/>
      <c r="C2" s="210"/>
      <c r="D2" s="210"/>
      <c r="E2" s="1171"/>
      <c r="F2" s="210"/>
      <c r="G2" s="210" t="s">
        <v>1164</v>
      </c>
    </row>
    <row r="3" spans="1:25" ht="42.75" thickBot="1" x14ac:dyDescent="0.3">
      <c r="A3" s="235" t="s">
        <v>1123</v>
      </c>
      <c r="B3" s="765" t="s">
        <v>819</v>
      </c>
      <c r="C3" s="995" t="s">
        <v>820</v>
      </c>
      <c r="D3" s="765" t="s">
        <v>1177</v>
      </c>
      <c r="E3" s="1172" t="s">
        <v>1178</v>
      </c>
      <c r="F3" s="995" t="s">
        <v>821</v>
      </c>
      <c r="G3" s="237" t="s">
        <v>1175</v>
      </c>
      <c r="H3" s="1181" t="s">
        <v>1176</v>
      </c>
    </row>
    <row r="4" spans="1:25" ht="15.75" thickBot="1" x14ac:dyDescent="0.3">
      <c r="A4" s="238">
        <v>1</v>
      </c>
      <c r="B4" s="766">
        <v>2</v>
      </c>
      <c r="C4" s="996">
        <v>3</v>
      </c>
      <c r="D4" s="766">
        <v>4</v>
      </c>
      <c r="E4" s="1173">
        <v>5</v>
      </c>
      <c r="F4" s="996">
        <v>6</v>
      </c>
      <c r="G4" s="240">
        <v>7</v>
      </c>
      <c r="H4" s="1182">
        <v>8</v>
      </c>
    </row>
    <row r="5" spans="1:25" x14ac:dyDescent="0.25">
      <c r="A5" s="241" t="s">
        <v>1125</v>
      </c>
      <c r="B5" s="991" t="s">
        <v>808</v>
      </c>
      <c r="C5" s="997">
        <v>1955</v>
      </c>
      <c r="D5" s="767">
        <f>1955+529</f>
        <v>2484</v>
      </c>
      <c r="E5" s="1193">
        <v>2484</v>
      </c>
      <c r="F5" s="997">
        <f>C5*0.9</f>
        <v>1759.5</v>
      </c>
      <c r="G5" s="245">
        <v>2175</v>
      </c>
      <c r="H5" s="1187">
        <v>2175</v>
      </c>
    </row>
    <row r="6" spans="1:25" x14ac:dyDescent="0.25">
      <c r="A6" s="242" t="s">
        <v>1126</v>
      </c>
      <c r="B6" s="992" t="s">
        <v>823</v>
      </c>
      <c r="C6" s="998">
        <v>8182</v>
      </c>
      <c r="D6" s="768">
        <v>7551</v>
      </c>
      <c r="E6" s="1192">
        <v>7551</v>
      </c>
      <c r="F6" s="998">
        <f>C6*0.8</f>
        <v>6545.6</v>
      </c>
      <c r="G6" s="246">
        <v>6016</v>
      </c>
      <c r="H6" s="1194">
        <v>6016</v>
      </c>
    </row>
    <row r="7" spans="1:25" x14ac:dyDescent="0.25">
      <c r="A7" s="243" t="s">
        <v>1127</v>
      </c>
      <c r="B7" s="993" t="s">
        <v>824</v>
      </c>
      <c r="C7" s="999">
        <v>3117</v>
      </c>
      <c r="D7" s="769">
        <v>2431</v>
      </c>
      <c r="E7" s="1191">
        <v>2431</v>
      </c>
      <c r="F7" s="999">
        <f>C7*0.9</f>
        <v>2805.3</v>
      </c>
      <c r="G7" s="247">
        <v>2192</v>
      </c>
      <c r="H7" s="1190">
        <v>2192</v>
      </c>
    </row>
    <row r="8" spans="1:25" x14ac:dyDescent="0.25">
      <c r="A8" s="243" t="s">
        <v>1128</v>
      </c>
      <c r="B8" s="993" t="s">
        <v>812</v>
      </c>
      <c r="C8" s="999">
        <v>289</v>
      </c>
      <c r="D8" s="769">
        <v>143</v>
      </c>
      <c r="E8" s="1191">
        <v>143</v>
      </c>
      <c r="F8" s="999"/>
      <c r="G8" s="247"/>
      <c r="H8" s="1183"/>
    </row>
    <row r="9" spans="1:25" x14ac:dyDescent="0.25">
      <c r="A9" s="242" t="s">
        <v>1129</v>
      </c>
      <c r="B9" s="993" t="s">
        <v>830</v>
      </c>
      <c r="C9" s="999"/>
      <c r="D9" s="769"/>
      <c r="E9" s="1174"/>
      <c r="F9" s="999"/>
      <c r="G9" s="247"/>
      <c r="H9" s="1183"/>
    </row>
    <row r="10" spans="1:25" x14ac:dyDescent="0.25">
      <c r="A10" s="243" t="s">
        <v>1130</v>
      </c>
      <c r="B10" s="993" t="s">
        <v>809</v>
      </c>
      <c r="C10" s="999"/>
      <c r="D10" s="769"/>
      <c r="E10" s="1174"/>
      <c r="F10" s="999"/>
      <c r="G10" s="247"/>
      <c r="H10" s="1183"/>
    </row>
    <row r="11" spans="1:25" x14ac:dyDescent="0.25">
      <c r="A11" s="243" t="s">
        <v>1131</v>
      </c>
      <c r="B11" s="993" t="s">
        <v>810</v>
      </c>
      <c r="C11" s="999"/>
      <c r="D11" s="769">
        <v>390</v>
      </c>
      <c r="E11" s="1191">
        <v>390</v>
      </c>
      <c r="F11" s="999"/>
      <c r="G11" s="247">
        <v>390</v>
      </c>
      <c r="H11" s="1190">
        <v>390</v>
      </c>
    </row>
    <row r="12" spans="1:25" ht="15.75" thickBot="1" x14ac:dyDescent="0.3">
      <c r="A12" s="242" t="s">
        <v>1132</v>
      </c>
      <c r="B12" s="993"/>
      <c r="C12" s="999"/>
      <c r="D12" s="769"/>
      <c r="E12" s="1174"/>
      <c r="F12" s="999"/>
      <c r="G12" s="247"/>
      <c r="H12" s="1183"/>
    </row>
    <row r="13" spans="1:25" ht="17.25" customHeight="1" thickBot="1" x14ac:dyDescent="0.3">
      <c r="A13" s="238"/>
      <c r="B13" s="994" t="s">
        <v>822</v>
      </c>
      <c r="C13" s="1000">
        <f>SUM(C5:C12)</f>
        <v>13543</v>
      </c>
      <c r="D13" s="770">
        <f t="shared" ref="D13:E13" si="0">SUM(D5:D12)</f>
        <v>12999</v>
      </c>
      <c r="E13" s="1175">
        <f t="shared" si="0"/>
        <v>12999</v>
      </c>
      <c r="F13" s="1000">
        <f>SUM(F5:F12)</f>
        <v>11110.400000000001</v>
      </c>
      <c r="G13" s="248">
        <f>SUM(G5:G12)</f>
        <v>10773</v>
      </c>
      <c r="H13" s="1184">
        <f t="shared" ref="H13" si="1">SUM(H5:H12)</f>
        <v>10773</v>
      </c>
    </row>
    <row r="15" spans="1:25" ht="15.75" thickBot="1" x14ac:dyDescent="0.3">
      <c r="A15" s="771"/>
      <c r="B15" s="771"/>
      <c r="C15" s="210"/>
      <c r="D15" s="210"/>
      <c r="E15" s="1171"/>
      <c r="F15" s="210"/>
      <c r="G15" s="210"/>
      <c r="H15" s="1171" t="s">
        <v>1164</v>
      </c>
      <c r="I15" s="1169"/>
      <c r="J15" s="639"/>
      <c r="K15" s="640"/>
      <c r="L15" s="640"/>
      <c r="M15" s="640"/>
      <c r="N15" s="640"/>
      <c r="O15" s="640"/>
      <c r="P15" s="701"/>
      <c r="Q15" s="701"/>
      <c r="R15" s="701"/>
      <c r="S15" s="760"/>
      <c r="T15" s="701"/>
      <c r="U15" s="701"/>
      <c r="V15" s="701"/>
      <c r="W15" s="760"/>
      <c r="X15" s="640"/>
      <c r="Y15" s="640"/>
    </row>
    <row r="16" spans="1:25" ht="42.75" thickBot="1" x14ac:dyDescent="0.3">
      <c r="A16" s="235" t="s">
        <v>1123</v>
      </c>
      <c r="B16" s="236" t="s">
        <v>819</v>
      </c>
      <c r="C16" s="995" t="s">
        <v>820</v>
      </c>
      <c r="D16" s="765" t="s">
        <v>1177</v>
      </c>
      <c r="E16" s="1176" t="s">
        <v>1178</v>
      </c>
      <c r="F16" s="235" t="s">
        <v>821</v>
      </c>
      <c r="G16" s="237" t="s">
        <v>1175</v>
      </c>
      <c r="H16" s="1181" t="s">
        <v>1176</v>
      </c>
      <c r="I16" s="1169"/>
      <c r="J16" s="639"/>
      <c r="K16" s="640"/>
      <c r="L16" s="640"/>
      <c r="M16" s="762"/>
      <c r="N16" s="640"/>
      <c r="O16" s="640"/>
      <c r="P16" s="701"/>
      <c r="Q16" s="701"/>
      <c r="R16" s="701"/>
      <c r="S16" s="760"/>
      <c r="T16" s="701"/>
      <c r="U16" s="701"/>
      <c r="V16" s="701"/>
      <c r="W16" s="760"/>
      <c r="X16" s="640"/>
      <c r="Y16" s="640"/>
    </row>
    <row r="17" spans="1:8" ht="15.75" thickBot="1" x14ac:dyDescent="0.3">
      <c r="A17" s="238">
        <v>1</v>
      </c>
      <c r="B17" s="239">
        <v>2</v>
      </c>
      <c r="C17" s="996">
        <v>3</v>
      </c>
      <c r="D17" s="766">
        <v>4</v>
      </c>
      <c r="E17" s="1177">
        <v>5</v>
      </c>
      <c r="F17" s="238">
        <v>6</v>
      </c>
      <c r="G17" s="240">
        <v>7</v>
      </c>
      <c r="H17" s="1182">
        <v>8</v>
      </c>
    </row>
    <row r="18" spans="1:8" ht="15.75" thickBot="1" x14ac:dyDescent="0.3">
      <c r="A18" s="241" t="s">
        <v>1125</v>
      </c>
      <c r="B18" s="249" t="s">
        <v>541</v>
      </c>
      <c r="C18" s="767">
        <v>74</v>
      </c>
      <c r="D18" s="767">
        <v>74</v>
      </c>
      <c r="E18" s="1186">
        <v>74</v>
      </c>
      <c r="F18" s="1143">
        <f>C18*0.9</f>
        <v>66.600000000000009</v>
      </c>
      <c r="G18" s="245">
        <f>D18*0.9</f>
        <v>66.600000000000009</v>
      </c>
      <c r="H18" s="1187">
        <f>E18*0.9</f>
        <v>66.600000000000009</v>
      </c>
    </row>
    <row r="19" spans="1:8" ht="15.75" thickBot="1" x14ac:dyDescent="0.3">
      <c r="A19" s="242" t="s">
        <v>1126</v>
      </c>
      <c r="B19" s="250" t="s">
        <v>825</v>
      </c>
      <c r="C19" s="768">
        <v>304</v>
      </c>
      <c r="D19" s="768">
        <v>304</v>
      </c>
      <c r="E19" s="1188">
        <v>304</v>
      </c>
      <c r="F19" s="1144">
        <f>C19*0.75</f>
        <v>228</v>
      </c>
      <c r="G19" s="246">
        <f>D19*0.75</f>
        <v>228</v>
      </c>
      <c r="H19" s="1187">
        <f>E19*0.75</f>
        <v>228</v>
      </c>
    </row>
    <row r="20" spans="1:8" ht="15.75" thickBot="1" x14ac:dyDescent="0.3">
      <c r="A20" s="243" t="s">
        <v>1127</v>
      </c>
      <c r="B20" s="251" t="s">
        <v>826</v>
      </c>
      <c r="C20" s="769">
        <v>516</v>
      </c>
      <c r="D20" s="769">
        <f>516+114</f>
        <v>630</v>
      </c>
      <c r="E20" s="1178">
        <v>630</v>
      </c>
      <c r="F20" s="1145"/>
      <c r="G20" s="247"/>
      <c r="H20" s="1187"/>
    </row>
    <row r="21" spans="1:8" ht="15.75" thickBot="1" x14ac:dyDescent="0.3">
      <c r="A21" s="243" t="s">
        <v>1128</v>
      </c>
      <c r="B21" s="251" t="s">
        <v>827</v>
      </c>
      <c r="C21" s="769">
        <v>513</v>
      </c>
      <c r="D21" s="769">
        <v>513</v>
      </c>
      <c r="E21" s="1178">
        <v>513</v>
      </c>
      <c r="F21" s="1145"/>
      <c r="G21" s="247"/>
      <c r="H21" s="1187"/>
    </row>
    <row r="22" spans="1:8" ht="15.75" thickBot="1" x14ac:dyDescent="0.3">
      <c r="A22" s="242" t="s">
        <v>1129</v>
      </c>
      <c r="B22" s="251" t="s">
        <v>828</v>
      </c>
      <c r="C22" s="769">
        <v>60</v>
      </c>
      <c r="D22" s="769">
        <v>60</v>
      </c>
      <c r="E22" s="1178">
        <v>60</v>
      </c>
      <c r="F22" s="1145"/>
      <c r="G22" s="247"/>
      <c r="H22" s="1187"/>
    </row>
    <row r="23" spans="1:8" x14ac:dyDescent="0.25">
      <c r="A23" s="243" t="s">
        <v>1130</v>
      </c>
      <c r="B23" s="251" t="s">
        <v>829</v>
      </c>
      <c r="C23" s="769">
        <v>201</v>
      </c>
      <c r="D23" s="769">
        <v>161</v>
      </c>
      <c r="E23" s="1178">
        <f>201-40</f>
        <v>161</v>
      </c>
      <c r="F23" s="1145"/>
      <c r="G23" s="247"/>
      <c r="H23" s="1187"/>
    </row>
    <row r="24" spans="1:8" x14ac:dyDescent="0.25">
      <c r="A24" s="243" t="s">
        <v>1131</v>
      </c>
      <c r="B24" s="251" t="s">
        <v>832</v>
      </c>
      <c r="C24" s="769">
        <v>182</v>
      </c>
      <c r="D24" s="769">
        <v>182</v>
      </c>
      <c r="E24" s="1178">
        <v>182</v>
      </c>
      <c r="F24" s="1145"/>
      <c r="G24" s="247"/>
      <c r="H24" s="1183"/>
    </row>
    <row r="25" spans="1:8" x14ac:dyDescent="0.25">
      <c r="A25" s="242" t="s">
        <v>1132</v>
      </c>
      <c r="B25" s="251" t="s">
        <v>1222</v>
      </c>
      <c r="C25" s="769"/>
      <c r="D25" s="769">
        <v>500</v>
      </c>
      <c r="E25" s="1178">
        <v>500</v>
      </c>
      <c r="F25" s="1145"/>
      <c r="G25" s="247"/>
      <c r="H25" s="1183"/>
    </row>
    <row r="26" spans="1:8" ht="15.75" thickBot="1" x14ac:dyDescent="0.3">
      <c r="A26" s="243" t="s">
        <v>1133</v>
      </c>
      <c r="B26" s="251" t="s">
        <v>830</v>
      </c>
      <c r="C26" s="769"/>
      <c r="D26" s="769">
        <v>2100</v>
      </c>
      <c r="E26" s="1189">
        <v>2100</v>
      </c>
      <c r="F26" s="1145"/>
      <c r="G26" s="247">
        <v>2100</v>
      </c>
      <c r="H26" s="1190">
        <v>2100</v>
      </c>
    </row>
    <row r="27" spans="1:8" ht="21.75" thickBot="1" x14ac:dyDescent="0.3">
      <c r="A27" s="238"/>
      <c r="B27" s="174" t="s">
        <v>831</v>
      </c>
      <c r="C27" s="770">
        <f>SUM(C18:C26)</f>
        <v>1850</v>
      </c>
      <c r="D27" s="770">
        <f t="shared" ref="D27:E27" si="2">SUM(D18:D26)</f>
        <v>4524</v>
      </c>
      <c r="E27" s="1179">
        <f t="shared" si="2"/>
        <v>4524</v>
      </c>
      <c r="F27" s="1146">
        <f>SUM(F18:F26)</f>
        <v>294.60000000000002</v>
      </c>
      <c r="G27" s="248">
        <f>SUM(G18:G26)</f>
        <v>2394.6</v>
      </c>
      <c r="H27" s="1184">
        <f t="shared" ref="H27" si="3">SUM(H18:H26)</f>
        <v>2394.6</v>
      </c>
    </row>
    <row r="28" spans="1:8" ht="15.75" thickBot="1" x14ac:dyDescent="0.3">
      <c r="F28" s="1147"/>
      <c r="G28" s="1149"/>
    </row>
    <row r="29" spans="1:8" ht="15.75" thickBot="1" x14ac:dyDescent="0.3">
      <c r="A29" s="772"/>
      <c r="B29" s="174" t="s">
        <v>1158</v>
      </c>
      <c r="C29" s="773">
        <f>C27+C13</f>
        <v>15393</v>
      </c>
      <c r="D29" s="773">
        <f t="shared" ref="D29:E29" si="4">D27+D13</f>
        <v>17523</v>
      </c>
      <c r="E29" s="1180">
        <f t="shared" si="4"/>
        <v>17523</v>
      </c>
      <c r="F29" s="1148">
        <f>F27+F13</f>
        <v>11405.000000000002</v>
      </c>
      <c r="G29" s="244">
        <f>G27+G13</f>
        <v>13167.6</v>
      </c>
      <c r="H29" s="1185">
        <f t="shared" ref="H29" si="5">H27+H13</f>
        <v>13167.6</v>
      </c>
    </row>
  </sheetData>
  <mergeCells count="1">
    <mergeCell ref="A1:H1"/>
  </mergeCells>
  <phoneticPr fontId="30" type="noConversion"/>
  <printOptions horizontalCentered="1"/>
  <pageMargins left="0.59055118110236227" right="0.59055118110236227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CE,Félkövér"&amp;11 5. melléklet az 5/2014. (III.6.)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24"/>
  <sheetViews>
    <sheetView view="pageLayout" zoomScaleNormal="100" zoomScaleSheetLayoutView="100" workbookViewId="0">
      <selection activeCell="F27" sqref="F27"/>
    </sheetView>
  </sheetViews>
  <sheetFormatPr defaultColWidth="9.33203125" defaultRowHeight="12.75" x14ac:dyDescent="0.2"/>
  <cols>
    <col min="1" max="1" width="47.1640625" style="53" customWidth="1"/>
    <col min="2" max="2" width="15.6640625" style="52" hidden="1" customWidth="1"/>
    <col min="3" max="3" width="16.33203125" style="52" hidden="1" customWidth="1"/>
    <col min="4" max="4" width="18" style="52" hidden="1" customWidth="1"/>
    <col min="5" max="5" width="16.6640625" style="52" customWidth="1"/>
    <col min="6" max="6" width="17.1640625" style="52" bestFit="1" customWidth="1"/>
    <col min="7" max="7" width="15" style="52" hidden="1" customWidth="1"/>
    <col min="8" max="8" width="18.83203125" style="66" hidden="1" customWidth="1"/>
    <col min="9" max="10" width="12.83203125" style="52" customWidth="1"/>
    <col min="11" max="11" width="13.83203125" style="52" customWidth="1"/>
    <col min="12" max="16384" width="9.33203125" style="52"/>
  </cols>
  <sheetData>
    <row r="1" spans="1:8" ht="25.5" customHeight="1" x14ac:dyDescent="0.2">
      <c r="A1" s="1232" t="s">
        <v>1047</v>
      </c>
      <c r="B1" s="1232"/>
      <c r="C1" s="1232"/>
      <c r="D1" s="1232"/>
      <c r="E1" s="1232"/>
      <c r="F1" s="1232"/>
      <c r="G1" s="1232"/>
      <c r="H1" s="1001"/>
    </row>
    <row r="2" spans="1:8" ht="22.5" customHeight="1" thickBot="1" x14ac:dyDescent="0.3">
      <c r="A2" s="252"/>
      <c r="B2" s="66"/>
      <c r="C2" s="66"/>
      <c r="D2" s="66"/>
      <c r="E2" s="66"/>
      <c r="F2" s="61" t="s">
        <v>11</v>
      </c>
      <c r="G2" s="66"/>
      <c r="H2" s="61" t="s">
        <v>11</v>
      </c>
    </row>
    <row r="3" spans="1:8" s="55" customFormat="1" ht="44.25" customHeight="1" thickBot="1" x14ac:dyDescent="0.25">
      <c r="A3" s="253" t="s">
        <v>15</v>
      </c>
      <c r="B3" s="254" t="s">
        <v>460</v>
      </c>
      <c r="C3" s="254" t="s">
        <v>16</v>
      </c>
      <c r="D3" s="254" t="s">
        <v>1045</v>
      </c>
      <c r="E3" s="254" t="s">
        <v>302</v>
      </c>
      <c r="F3" s="62" t="s">
        <v>1220</v>
      </c>
      <c r="G3" s="1153" t="s">
        <v>1171</v>
      </c>
      <c r="H3" s="62" t="s">
        <v>1046</v>
      </c>
    </row>
    <row r="4" spans="1:8" s="66" customFormat="1" ht="12" customHeight="1" thickBot="1" x14ac:dyDescent="0.25">
      <c r="A4" s="63">
        <v>1</v>
      </c>
      <c r="B4" s="64">
        <v>2</v>
      </c>
      <c r="C4" s="64">
        <v>3</v>
      </c>
      <c r="D4" s="64">
        <v>4</v>
      </c>
      <c r="E4" s="64">
        <v>5</v>
      </c>
      <c r="F4" s="65"/>
      <c r="G4" s="1154"/>
      <c r="H4" s="65" t="s">
        <v>36</v>
      </c>
    </row>
    <row r="5" spans="1:8" ht="24" x14ac:dyDescent="0.2">
      <c r="A5" s="75" t="s">
        <v>842</v>
      </c>
      <c r="B5" s="33">
        <f>12500*1.27</f>
        <v>15875</v>
      </c>
      <c r="C5" s="67">
        <v>2012</v>
      </c>
      <c r="D5" s="33">
        <v>0</v>
      </c>
      <c r="E5" s="33">
        <v>15875</v>
      </c>
      <c r="F5" s="30">
        <v>15875</v>
      </c>
      <c r="G5" s="1155"/>
      <c r="H5" s="68">
        <f t="shared" ref="H5:H23" si="0">B5-D5-E5</f>
        <v>0</v>
      </c>
    </row>
    <row r="6" spans="1:8" ht="15.95" customHeight="1" x14ac:dyDescent="0.2">
      <c r="A6" s="75" t="s">
        <v>846</v>
      </c>
      <c r="B6" s="33">
        <f>100*1.27</f>
        <v>127</v>
      </c>
      <c r="C6" s="67">
        <v>2013</v>
      </c>
      <c r="D6" s="33"/>
      <c r="E6" s="33">
        <v>127</v>
      </c>
      <c r="F6" s="30">
        <v>127</v>
      </c>
      <c r="G6" s="1155"/>
      <c r="H6" s="68">
        <f t="shared" si="0"/>
        <v>0</v>
      </c>
    </row>
    <row r="7" spans="1:8" ht="15.95" customHeight="1" x14ac:dyDescent="0.2">
      <c r="A7" s="75" t="s">
        <v>459</v>
      </c>
      <c r="B7" s="33">
        <f>500*1.27</f>
        <v>635</v>
      </c>
      <c r="C7" s="67">
        <v>2013</v>
      </c>
      <c r="D7" s="33"/>
      <c r="E7" s="33">
        <v>635</v>
      </c>
      <c r="F7" s="30">
        <v>635</v>
      </c>
      <c r="G7" s="1155"/>
      <c r="H7" s="68">
        <f t="shared" si="0"/>
        <v>0</v>
      </c>
    </row>
    <row r="8" spans="1:8" ht="15.95" customHeight="1" x14ac:dyDescent="0.2">
      <c r="A8" s="75" t="s">
        <v>458</v>
      </c>
      <c r="B8" s="33">
        <f>(300-36/1.27)*1.27</f>
        <v>345.00000000000006</v>
      </c>
      <c r="C8" s="67">
        <v>2013</v>
      </c>
      <c r="D8" s="33"/>
      <c r="E8" s="33">
        <v>345</v>
      </c>
      <c r="F8" s="30">
        <v>345</v>
      </c>
      <c r="G8" s="1155"/>
      <c r="H8" s="68">
        <f t="shared" si="0"/>
        <v>0</v>
      </c>
    </row>
    <row r="9" spans="1:8" s="1142" customFormat="1" ht="15.95" customHeight="1" x14ac:dyDescent="0.2">
      <c r="A9" s="75" t="s">
        <v>531</v>
      </c>
      <c r="B9" s="33">
        <v>900</v>
      </c>
      <c r="C9" s="67">
        <v>2013</v>
      </c>
      <c r="D9" s="33"/>
      <c r="E9" s="33">
        <v>900</v>
      </c>
      <c r="F9" s="30">
        <v>900</v>
      </c>
      <c r="G9" s="1155"/>
      <c r="H9" s="68">
        <f t="shared" si="0"/>
        <v>0</v>
      </c>
    </row>
    <row r="10" spans="1:8" s="1142" customFormat="1" ht="15.95" customHeight="1" x14ac:dyDescent="0.2">
      <c r="A10" s="75" t="s">
        <v>778</v>
      </c>
      <c r="B10" s="33">
        <v>1588</v>
      </c>
      <c r="C10" s="67">
        <v>2013</v>
      </c>
      <c r="D10" s="33"/>
      <c r="E10" s="33">
        <v>1588</v>
      </c>
      <c r="F10" s="30">
        <v>1588</v>
      </c>
      <c r="G10" s="1155"/>
      <c r="H10" s="68">
        <f t="shared" si="0"/>
        <v>0</v>
      </c>
    </row>
    <row r="11" spans="1:8" s="1142" customFormat="1" ht="28.5" customHeight="1" x14ac:dyDescent="0.2">
      <c r="A11" s="75" t="s">
        <v>783</v>
      </c>
      <c r="B11" s="33">
        <v>1463</v>
      </c>
      <c r="C11" s="67">
        <v>2013</v>
      </c>
      <c r="D11" s="33"/>
      <c r="E11" s="33">
        <v>1463</v>
      </c>
      <c r="F11" s="30">
        <v>1463</v>
      </c>
      <c r="G11" s="1155"/>
      <c r="H11" s="68">
        <f>B11-D11-E11</f>
        <v>0</v>
      </c>
    </row>
    <row r="12" spans="1:8" ht="15.95" customHeight="1" x14ac:dyDescent="0.2">
      <c r="A12" s="876"/>
      <c r="B12" s="33"/>
      <c r="C12" s="67"/>
      <c r="D12" s="33"/>
      <c r="E12" s="33"/>
      <c r="F12" s="30"/>
      <c r="G12" s="1155"/>
      <c r="H12" s="68"/>
    </row>
    <row r="13" spans="1:8" ht="15.95" customHeight="1" x14ac:dyDescent="0.2">
      <c r="A13" s="876"/>
      <c r="B13" s="33"/>
      <c r="C13" s="67"/>
      <c r="D13" s="33"/>
      <c r="E13" s="33"/>
      <c r="F13" s="30"/>
      <c r="G13" s="1155"/>
      <c r="H13" s="68"/>
    </row>
    <row r="14" spans="1:8" ht="15.95" customHeight="1" x14ac:dyDescent="0.2">
      <c r="A14" s="876"/>
      <c r="B14" s="33"/>
      <c r="C14" s="67"/>
      <c r="D14" s="33"/>
      <c r="E14" s="33"/>
      <c r="F14" s="30"/>
      <c r="G14" s="1155"/>
      <c r="H14" s="68"/>
    </row>
    <row r="15" spans="1:8" ht="15.95" customHeight="1" x14ac:dyDescent="0.2">
      <c r="A15" s="876"/>
      <c r="B15" s="33"/>
      <c r="C15" s="67"/>
      <c r="D15" s="33"/>
      <c r="E15" s="33"/>
      <c r="F15" s="30"/>
      <c r="G15" s="1155"/>
      <c r="H15" s="68"/>
    </row>
    <row r="16" spans="1:8" ht="15.95" customHeight="1" x14ac:dyDescent="0.2">
      <c r="A16" s="876"/>
      <c r="B16" s="33"/>
      <c r="C16" s="67"/>
      <c r="D16" s="33"/>
      <c r="E16" s="33"/>
      <c r="F16" s="30"/>
      <c r="G16" s="1155"/>
      <c r="H16" s="68">
        <f t="shared" si="0"/>
        <v>0</v>
      </c>
    </row>
    <row r="17" spans="1:8" ht="15.95" customHeight="1" x14ac:dyDescent="0.2">
      <c r="A17" s="875"/>
      <c r="B17" s="33"/>
      <c r="C17" s="67"/>
      <c r="D17" s="33"/>
      <c r="E17" s="33"/>
      <c r="F17" s="30"/>
      <c r="G17" s="1155"/>
      <c r="H17" s="68">
        <f t="shared" si="0"/>
        <v>0</v>
      </c>
    </row>
    <row r="18" spans="1:8" ht="15.95" customHeight="1" x14ac:dyDescent="0.2">
      <c r="A18" s="875"/>
      <c r="B18" s="33"/>
      <c r="C18" s="67"/>
      <c r="D18" s="33"/>
      <c r="E18" s="33"/>
      <c r="F18" s="30"/>
      <c r="G18" s="1155"/>
      <c r="H18" s="68">
        <f t="shared" si="0"/>
        <v>0</v>
      </c>
    </row>
    <row r="19" spans="1:8" ht="15.95" customHeight="1" x14ac:dyDescent="0.2">
      <c r="A19" s="56"/>
      <c r="B19" s="33"/>
      <c r="C19" s="67"/>
      <c r="D19" s="33"/>
      <c r="E19" s="33"/>
      <c r="F19" s="30"/>
      <c r="G19" s="1155"/>
      <c r="H19" s="68">
        <f t="shared" si="0"/>
        <v>0</v>
      </c>
    </row>
    <row r="20" spans="1:8" ht="15.95" customHeight="1" x14ac:dyDescent="0.2">
      <c r="A20" s="56"/>
      <c r="B20" s="33"/>
      <c r="C20" s="67"/>
      <c r="D20" s="33"/>
      <c r="E20" s="33"/>
      <c r="F20" s="30"/>
      <c r="G20" s="1155"/>
      <c r="H20" s="68">
        <f t="shared" si="0"/>
        <v>0</v>
      </c>
    </row>
    <row r="21" spans="1:8" ht="15.95" customHeight="1" x14ac:dyDescent="0.2">
      <c r="A21" s="56"/>
      <c r="B21" s="33"/>
      <c r="C21" s="67"/>
      <c r="D21" s="33"/>
      <c r="E21" s="33"/>
      <c r="F21" s="30"/>
      <c r="G21" s="1155"/>
      <c r="H21" s="68">
        <f t="shared" si="0"/>
        <v>0</v>
      </c>
    </row>
    <row r="22" spans="1:8" ht="15.95" customHeight="1" x14ac:dyDescent="0.2">
      <c r="A22" s="56"/>
      <c r="B22" s="33"/>
      <c r="C22" s="67"/>
      <c r="D22" s="33"/>
      <c r="E22" s="33"/>
      <c r="F22" s="30"/>
      <c r="G22" s="1155"/>
      <c r="H22" s="68">
        <f t="shared" si="0"/>
        <v>0</v>
      </c>
    </row>
    <row r="23" spans="1:8" ht="15.95" customHeight="1" thickBot="1" x14ac:dyDescent="0.25">
      <c r="A23" s="69"/>
      <c r="B23" s="34"/>
      <c r="C23" s="70"/>
      <c r="D23" s="34"/>
      <c r="E23" s="34"/>
      <c r="F23" s="32"/>
      <c r="G23" s="1156"/>
      <c r="H23" s="71">
        <f t="shared" si="0"/>
        <v>0</v>
      </c>
    </row>
    <row r="24" spans="1:8" s="74" customFormat="1" ht="18" customHeight="1" thickBot="1" x14ac:dyDescent="0.25">
      <c r="A24" s="255" t="s">
        <v>14</v>
      </c>
      <c r="B24" s="72">
        <f>SUM(B5:B23)</f>
        <v>20933</v>
      </c>
      <c r="C24" s="162"/>
      <c r="D24" s="72">
        <f>SUM(D5:D23)</f>
        <v>0</v>
      </c>
      <c r="E24" s="72">
        <f>SUM(E5:E23)</f>
        <v>20933</v>
      </c>
      <c r="F24" s="73">
        <f>SUM(F5:F23)</f>
        <v>20933</v>
      </c>
      <c r="G24" s="1157"/>
      <c r="H24" s="73">
        <f>SUM(H5:H23)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orientation="portrait" horizontalDpi="300" verticalDpi="300" r:id="rId1"/>
  <headerFooter alignWithMargins="0">
    <oddHeader>&amp;R&amp;"Times New Roman CE,Félkövér dőlt"&amp;11 &amp;"Times New Roman CE,Félkövér"6. melléklet az 5/2014. (III.6.)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24"/>
  <sheetViews>
    <sheetView view="pageLayout" zoomScaleNormal="100" zoomScaleSheetLayoutView="100" workbookViewId="0">
      <selection activeCell="A7" sqref="A7"/>
    </sheetView>
  </sheetViews>
  <sheetFormatPr defaultColWidth="9.33203125" defaultRowHeight="12.75" x14ac:dyDescent="0.2"/>
  <cols>
    <col min="1" max="1" width="60.6640625" style="53" customWidth="1"/>
    <col min="2" max="2" width="15.6640625" style="52" hidden="1" customWidth="1"/>
    <col min="3" max="3" width="16.33203125" style="52" hidden="1" customWidth="1"/>
    <col min="4" max="4" width="18" style="52" hidden="1" customWidth="1"/>
    <col min="5" max="6" width="16.6640625" style="52" customWidth="1"/>
    <col min="7" max="7" width="16.6640625" style="52" hidden="1" customWidth="1"/>
    <col min="8" max="8" width="18.83203125" style="52" hidden="1" customWidth="1"/>
    <col min="9" max="10" width="12.83203125" style="52" customWidth="1"/>
    <col min="11" max="11" width="13.83203125" style="52" customWidth="1"/>
    <col min="12" max="16384" width="9.33203125" style="52"/>
  </cols>
  <sheetData>
    <row r="1" spans="1:8" ht="24.75" customHeight="1" x14ac:dyDescent="0.2">
      <c r="A1" s="1232" t="s">
        <v>1048</v>
      </c>
      <c r="B1" s="1232"/>
      <c r="C1" s="1232"/>
      <c r="D1" s="1232"/>
      <c r="E1" s="1232"/>
      <c r="F1" s="1232"/>
      <c r="G1" s="1232"/>
      <c r="H1" s="1232"/>
    </row>
    <row r="2" spans="1:8" ht="23.25" customHeight="1" thickBot="1" x14ac:dyDescent="0.3">
      <c r="A2" s="252"/>
      <c r="B2" s="66"/>
      <c r="C2" s="66"/>
      <c r="D2" s="66"/>
      <c r="E2" s="66"/>
      <c r="F2" s="61" t="s">
        <v>11</v>
      </c>
      <c r="G2" s="61" t="s">
        <v>11</v>
      </c>
      <c r="H2" s="61" t="s">
        <v>11</v>
      </c>
    </row>
    <row r="3" spans="1:8" s="55" customFormat="1" ht="48.75" customHeight="1" thickBot="1" x14ac:dyDescent="0.25">
      <c r="A3" s="253" t="s">
        <v>17</v>
      </c>
      <c r="B3" s="254" t="s">
        <v>465</v>
      </c>
      <c r="C3" s="254" t="s">
        <v>16</v>
      </c>
      <c r="D3" s="254" t="s">
        <v>1045</v>
      </c>
      <c r="E3" s="254" t="s">
        <v>302</v>
      </c>
      <c r="F3" s="62" t="s">
        <v>1219</v>
      </c>
      <c r="G3" s="1153" t="s">
        <v>1171</v>
      </c>
      <c r="H3" s="62" t="s">
        <v>1049</v>
      </c>
    </row>
    <row r="4" spans="1:8" s="66" customFormat="1" ht="15" customHeight="1" thickBot="1" x14ac:dyDescent="0.25">
      <c r="A4" s="63">
        <v>1</v>
      </c>
      <c r="B4" s="64">
        <v>2</v>
      </c>
      <c r="C4" s="64">
        <v>3</v>
      </c>
      <c r="D4" s="64">
        <v>4</v>
      </c>
      <c r="E4" s="64">
        <v>5</v>
      </c>
      <c r="F4" s="65"/>
      <c r="G4" s="1154"/>
      <c r="H4" s="65">
        <v>6</v>
      </c>
    </row>
    <row r="5" spans="1:8" ht="15.95" customHeight="1" x14ac:dyDescent="0.2">
      <c r="A5" s="876" t="s">
        <v>466</v>
      </c>
      <c r="B5" s="33">
        <f>1000*1.27</f>
        <v>1270</v>
      </c>
      <c r="C5" s="77">
        <v>2013</v>
      </c>
      <c r="D5" s="76">
        <v>0</v>
      </c>
      <c r="E5" s="76">
        <v>1270</v>
      </c>
      <c r="F5" s="1161">
        <v>1270</v>
      </c>
      <c r="G5" s="1158"/>
      <c r="H5" s="78">
        <f t="shared" ref="H5:H23" si="0">B5-D5-E5</f>
        <v>0</v>
      </c>
    </row>
    <row r="6" spans="1:8" ht="15.95" customHeight="1" x14ac:dyDescent="0.2">
      <c r="A6" s="876" t="s">
        <v>467</v>
      </c>
      <c r="B6" s="76">
        <f>40*1.27</f>
        <v>50.8</v>
      </c>
      <c r="C6" s="77">
        <v>2013</v>
      </c>
      <c r="D6" s="76"/>
      <c r="E6" s="76">
        <v>51</v>
      </c>
      <c r="F6" s="1161">
        <v>51</v>
      </c>
      <c r="G6" s="1158"/>
      <c r="H6" s="78">
        <f t="shared" si="0"/>
        <v>-0.20000000000000284</v>
      </c>
    </row>
    <row r="7" spans="1:8" ht="15.95" customHeight="1" x14ac:dyDescent="0.2">
      <c r="A7" s="75" t="s">
        <v>461</v>
      </c>
      <c r="B7" s="76">
        <f>20*1.27</f>
        <v>25.4</v>
      </c>
      <c r="C7" s="77">
        <v>2013</v>
      </c>
      <c r="D7" s="76"/>
      <c r="E7" s="76">
        <v>25</v>
      </c>
      <c r="F7" s="1161">
        <v>25</v>
      </c>
      <c r="G7" s="1158"/>
      <c r="H7" s="78">
        <f t="shared" si="0"/>
        <v>0.39999999999999858</v>
      </c>
    </row>
    <row r="8" spans="1:8" ht="15.95" customHeight="1" x14ac:dyDescent="0.2">
      <c r="A8" s="75" t="s">
        <v>1231</v>
      </c>
      <c r="B8" s="76">
        <f>120*1.27</f>
        <v>152.4</v>
      </c>
      <c r="C8" s="77">
        <v>2013</v>
      </c>
      <c r="D8" s="76"/>
      <c r="E8" s="76">
        <v>152</v>
      </c>
      <c r="F8" s="1161">
        <v>152</v>
      </c>
      <c r="G8" s="1158"/>
      <c r="H8" s="78">
        <f t="shared" si="0"/>
        <v>0.40000000000000568</v>
      </c>
    </row>
    <row r="9" spans="1:8" ht="15.95" customHeight="1" x14ac:dyDescent="0.2">
      <c r="A9" s="75" t="s">
        <v>462</v>
      </c>
      <c r="B9" s="76">
        <f>3000*1.27</f>
        <v>3810</v>
      </c>
      <c r="C9" s="77">
        <v>2013</v>
      </c>
      <c r="D9" s="76"/>
      <c r="E9" s="76">
        <v>3810</v>
      </c>
      <c r="F9" s="1161">
        <v>3810</v>
      </c>
      <c r="G9" s="1158"/>
      <c r="H9" s="78">
        <f t="shared" si="0"/>
        <v>0</v>
      </c>
    </row>
    <row r="10" spans="1:8" s="1142" customFormat="1" ht="15.95" customHeight="1" x14ac:dyDescent="0.2">
      <c r="A10" s="75" t="s">
        <v>463</v>
      </c>
      <c r="B10" s="76">
        <f>1895*1.27+364</f>
        <v>2770.65</v>
      </c>
      <c r="C10" s="77">
        <v>2013</v>
      </c>
      <c r="D10" s="76"/>
      <c r="E10" s="76">
        <v>2771</v>
      </c>
      <c r="F10" s="1161">
        <v>2771</v>
      </c>
      <c r="G10" s="1158"/>
      <c r="H10" s="78">
        <f t="shared" si="0"/>
        <v>-0.34999999999990905</v>
      </c>
    </row>
    <row r="11" spans="1:8" s="1142" customFormat="1" ht="15.95" customHeight="1" x14ac:dyDescent="0.2">
      <c r="A11" s="75" t="s">
        <v>464</v>
      </c>
      <c r="B11" s="76">
        <f>1502*1.27</f>
        <v>1907.54</v>
      </c>
      <c r="C11" s="77">
        <v>2013</v>
      </c>
      <c r="D11" s="76"/>
      <c r="E11" s="76">
        <v>1908</v>
      </c>
      <c r="F11" s="1161">
        <v>1908</v>
      </c>
      <c r="G11" s="1158"/>
      <c r="H11" s="78">
        <f t="shared" si="0"/>
        <v>-0.46000000000003638</v>
      </c>
    </row>
    <row r="12" spans="1:8" s="1142" customFormat="1" ht="15.95" customHeight="1" x14ac:dyDescent="0.2">
      <c r="A12" s="75" t="s">
        <v>779</v>
      </c>
      <c r="B12" s="76">
        <v>1000</v>
      </c>
      <c r="C12" s="77">
        <v>2013</v>
      </c>
      <c r="D12" s="76"/>
      <c r="E12" s="76">
        <v>1000</v>
      </c>
      <c r="F12" s="1161">
        <v>1000</v>
      </c>
      <c r="G12" s="1158"/>
      <c r="H12" s="78">
        <f t="shared" si="0"/>
        <v>0</v>
      </c>
    </row>
    <row r="13" spans="1:8" s="1142" customFormat="1" ht="15.95" customHeight="1" x14ac:dyDescent="0.2">
      <c r="A13" s="75" t="s">
        <v>780</v>
      </c>
      <c r="B13" s="76">
        <v>500</v>
      </c>
      <c r="C13" s="77">
        <v>2013</v>
      </c>
      <c r="D13" s="76"/>
      <c r="E13" s="76">
        <v>500</v>
      </c>
      <c r="F13" s="1161">
        <v>500</v>
      </c>
      <c r="G13" s="1158"/>
      <c r="H13" s="78">
        <f t="shared" si="0"/>
        <v>0</v>
      </c>
    </row>
    <row r="14" spans="1:8" s="1142" customFormat="1" ht="15.95" customHeight="1" x14ac:dyDescent="0.2">
      <c r="A14" s="75" t="s">
        <v>781</v>
      </c>
      <c r="B14" s="76">
        <v>1800</v>
      </c>
      <c r="C14" s="77">
        <v>2013</v>
      </c>
      <c r="D14" s="76"/>
      <c r="E14" s="76">
        <v>1800</v>
      </c>
      <c r="F14" s="1161">
        <v>1800</v>
      </c>
      <c r="G14" s="1158"/>
      <c r="H14" s="78">
        <f t="shared" si="0"/>
        <v>0</v>
      </c>
    </row>
    <row r="15" spans="1:8" s="1142" customFormat="1" ht="15.95" customHeight="1" x14ac:dyDescent="0.2">
      <c r="A15" s="75" t="s">
        <v>782</v>
      </c>
      <c r="B15" s="76">
        <v>2000</v>
      </c>
      <c r="C15" s="77">
        <v>2013</v>
      </c>
      <c r="D15" s="76"/>
      <c r="E15" s="76">
        <v>2000</v>
      </c>
      <c r="F15" s="1161">
        <v>2000</v>
      </c>
      <c r="G15" s="1158"/>
      <c r="H15" s="78">
        <f t="shared" si="0"/>
        <v>0</v>
      </c>
    </row>
    <row r="16" spans="1:8" s="1142" customFormat="1" ht="15.95" customHeight="1" x14ac:dyDescent="0.2">
      <c r="A16" s="75" t="s">
        <v>784</v>
      </c>
      <c r="B16" s="76">
        <v>3412</v>
      </c>
      <c r="C16" s="77">
        <v>2013</v>
      </c>
      <c r="D16" s="76"/>
      <c r="E16" s="76">
        <v>3412</v>
      </c>
      <c r="F16" s="1161">
        <v>3412</v>
      </c>
      <c r="G16" s="1158"/>
      <c r="H16" s="78">
        <f t="shared" si="0"/>
        <v>0</v>
      </c>
    </row>
    <row r="17" spans="1:8" s="1142" customFormat="1" ht="15.95" customHeight="1" x14ac:dyDescent="0.2">
      <c r="A17" s="75" t="s">
        <v>785</v>
      </c>
      <c r="B17" s="76">
        <v>1688</v>
      </c>
      <c r="C17" s="77">
        <v>2013</v>
      </c>
      <c r="D17" s="76"/>
      <c r="E17" s="76">
        <v>1688</v>
      </c>
      <c r="F17" s="1161">
        <v>1688</v>
      </c>
      <c r="G17" s="1158"/>
      <c r="H17" s="78">
        <f t="shared" si="0"/>
        <v>0</v>
      </c>
    </row>
    <row r="18" spans="1:8" ht="15.95" customHeight="1" x14ac:dyDescent="0.2">
      <c r="A18" s="75"/>
      <c r="B18" s="76"/>
      <c r="C18" s="77"/>
      <c r="D18" s="76"/>
      <c r="E18" s="76"/>
      <c r="F18" s="1161"/>
      <c r="G18" s="1158"/>
      <c r="H18" s="78">
        <f t="shared" si="0"/>
        <v>0</v>
      </c>
    </row>
    <row r="19" spans="1:8" ht="15.95" customHeight="1" x14ac:dyDescent="0.2">
      <c r="A19" s="75"/>
      <c r="B19" s="76"/>
      <c r="C19" s="77"/>
      <c r="D19" s="76"/>
      <c r="E19" s="76"/>
      <c r="F19" s="1161"/>
      <c r="G19" s="1158"/>
      <c r="H19" s="78">
        <f t="shared" si="0"/>
        <v>0</v>
      </c>
    </row>
    <row r="20" spans="1:8" ht="15.95" customHeight="1" x14ac:dyDescent="0.2">
      <c r="A20" s="75"/>
      <c r="B20" s="76"/>
      <c r="C20" s="77"/>
      <c r="D20" s="76"/>
      <c r="E20" s="76"/>
      <c r="F20" s="1161"/>
      <c r="G20" s="1158"/>
      <c r="H20" s="78">
        <f t="shared" si="0"/>
        <v>0</v>
      </c>
    </row>
    <row r="21" spans="1:8" ht="15.95" customHeight="1" x14ac:dyDescent="0.2">
      <c r="A21" s="75"/>
      <c r="B21" s="76"/>
      <c r="C21" s="77"/>
      <c r="D21" s="76"/>
      <c r="E21" s="76"/>
      <c r="F21" s="1161"/>
      <c r="G21" s="1158"/>
      <c r="H21" s="78">
        <f t="shared" si="0"/>
        <v>0</v>
      </c>
    </row>
    <row r="22" spans="1:8" ht="15.95" customHeight="1" x14ac:dyDescent="0.2">
      <c r="A22" s="75"/>
      <c r="B22" s="76"/>
      <c r="C22" s="77"/>
      <c r="D22" s="76"/>
      <c r="E22" s="76"/>
      <c r="F22" s="1161"/>
      <c r="G22" s="1158"/>
      <c r="H22" s="78">
        <f t="shared" si="0"/>
        <v>0</v>
      </c>
    </row>
    <row r="23" spans="1:8" ht="15.95" customHeight="1" thickBot="1" x14ac:dyDescent="0.25">
      <c r="A23" s="79"/>
      <c r="B23" s="80"/>
      <c r="C23" s="80"/>
      <c r="D23" s="80"/>
      <c r="E23" s="80"/>
      <c r="F23" s="1162"/>
      <c r="G23" s="1159"/>
      <c r="H23" s="81">
        <f t="shared" si="0"/>
        <v>0</v>
      </c>
    </row>
    <row r="24" spans="1:8" s="74" customFormat="1" ht="18" customHeight="1" thickBot="1" x14ac:dyDescent="0.25">
      <c r="A24" s="255" t="s">
        <v>14</v>
      </c>
      <c r="B24" s="256">
        <f>SUM(B5:B23)</f>
        <v>20386.79</v>
      </c>
      <c r="C24" s="163"/>
      <c r="D24" s="256">
        <f>SUM(D5:D23)</f>
        <v>0</v>
      </c>
      <c r="E24" s="256">
        <f>SUM(E5:E23)</f>
        <v>20387</v>
      </c>
      <c r="F24" s="82">
        <f>SUM(F5:F23)</f>
        <v>20387</v>
      </c>
      <c r="G24" s="1160"/>
      <c r="H24" s="82">
        <f>SUM(H5:H23)</f>
        <v>-0.20999999999994401</v>
      </c>
    </row>
  </sheetData>
  <mergeCells count="1">
    <mergeCell ref="A1:H1"/>
  </mergeCells>
  <phoneticPr fontId="0" type="noConversion"/>
  <printOptions horizontalCentered="1"/>
  <pageMargins left="0.59055118110236227" right="0.59055118110236227" top="1.2204724409448819" bottom="0.98425196850393704" header="0.78740157480314965" footer="0.78740157480314965"/>
  <pageSetup paperSize="9" orientation="portrait" horizontalDpi="300" verticalDpi="300" r:id="rId1"/>
  <headerFooter alignWithMargins="0">
    <oddHeader>&amp;R&amp;"Times New Roman CE,Félkövér dőlt"&amp;12 &amp;11 &amp;"Times New Roman CE,Félkövér"7. melléklet az 5/2014. (III.6.)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54"/>
  <sheetViews>
    <sheetView view="pageBreakPreview" zoomScaleSheetLayoutView="100" workbookViewId="0">
      <selection activeCell="C39" sqref="C39"/>
    </sheetView>
  </sheetViews>
  <sheetFormatPr defaultColWidth="9.33203125" defaultRowHeight="12.75" x14ac:dyDescent="0.2"/>
  <cols>
    <col min="1" max="1" width="38.6640625" style="57" customWidth="1"/>
    <col min="2" max="2" width="16.33203125" style="57" bestFit="1" customWidth="1"/>
    <col min="3" max="3" width="13.83203125" style="57" customWidth="1"/>
    <col min="4" max="4" width="22.33203125" style="57" customWidth="1"/>
    <col min="5" max="5" width="15.6640625" style="57" hidden="1" customWidth="1"/>
    <col min="6" max="16384" width="9.33203125" style="57"/>
  </cols>
  <sheetData>
    <row r="1" spans="1:5" x14ac:dyDescent="0.2">
      <c r="A1" s="277"/>
      <c r="B1" s="277"/>
      <c r="C1" s="277"/>
      <c r="D1" s="277"/>
      <c r="E1" s="277"/>
    </row>
    <row r="2" spans="1:5" ht="15.75" x14ac:dyDescent="0.25">
      <c r="A2" s="278" t="s">
        <v>101</v>
      </c>
      <c r="B2" s="1254" t="s">
        <v>816</v>
      </c>
      <c r="C2" s="1254"/>
      <c r="D2" s="1254"/>
      <c r="E2" s="1254"/>
    </row>
    <row r="3" spans="1:5" ht="15.75" x14ac:dyDescent="0.25">
      <c r="A3" s="764"/>
      <c r="B3" s="1254" t="s">
        <v>815</v>
      </c>
      <c r="C3" s="1254"/>
      <c r="D3" s="1254"/>
      <c r="E3" s="1254"/>
    </row>
    <row r="4" spans="1:5" ht="14.25" thickBot="1" x14ac:dyDescent="0.3">
      <c r="A4" s="277"/>
      <c r="B4" s="277"/>
      <c r="C4" s="277"/>
      <c r="D4" s="1255" t="s">
        <v>94</v>
      </c>
      <c r="E4" s="1255"/>
    </row>
    <row r="5" spans="1:5" ht="15" customHeight="1" thickBot="1" x14ac:dyDescent="0.25">
      <c r="A5" s="279" t="s">
        <v>93</v>
      </c>
      <c r="B5" s="280" t="s">
        <v>1179</v>
      </c>
      <c r="C5" s="280" t="s">
        <v>1180</v>
      </c>
      <c r="D5" s="280" t="s">
        <v>1181</v>
      </c>
      <c r="E5" s="281" t="s">
        <v>1158</v>
      </c>
    </row>
    <row r="6" spans="1:5" x14ac:dyDescent="0.2">
      <c r="A6" s="282" t="s">
        <v>95</v>
      </c>
      <c r="B6" s="127">
        <v>-1453</v>
      </c>
      <c r="C6" s="127"/>
      <c r="D6" s="127"/>
      <c r="E6" s="283">
        <f t="shared" ref="E6:E12" si="0">SUM(B6:D6)</f>
        <v>-1453</v>
      </c>
    </row>
    <row r="7" spans="1:5" x14ac:dyDescent="0.2">
      <c r="A7" s="284" t="s">
        <v>109</v>
      </c>
      <c r="B7" s="128"/>
      <c r="C7" s="128"/>
      <c r="D7" s="128"/>
      <c r="E7" s="285">
        <f t="shared" si="0"/>
        <v>0</v>
      </c>
    </row>
    <row r="8" spans="1:5" x14ac:dyDescent="0.2">
      <c r="A8" s="286" t="s">
        <v>96</v>
      </c>
      <c r="B8" s="129">
        <v>1453</v>
      </c>
      <c r="C8" s="129"/>
      <c r="D8" s="129"/>
      <c r="E8" s="287">
        <f t="shared" si="0"/>
        <v>1453</v>
      </c>
    </row>
    <row r="9" spans="1:5" x14ac:dyDescent="0.2">
      <c r="A9" s="286" t="s">
        <v>111</v>
      </c>
      <c r="B9" s="129"/>
      <c r="C9" s="129"/>
      <c r="D9" s="129"/>
      <c r="E9" s="287">
        <f t="shared" si="0"/>
        <v>0</v>
      </c>
    </row>
    <row r="10" spans="1:5" x14ac:dyDescent="0.2">
      <c r="A10" s="286" t="s">
        <v>97</v>
      </c>
      <c r="B10" s="129"/>
      <c r="C10" s="129"/>
      <c r="D10" s="129"/>
      <c r="E10" s="287">
        <f t="shared" si="0"/>
        <v>0</v>
      </c>
    </row>
    <row r="11" spans="1:5" x14ac:dyDescent="0.2">
      <c r="A11" s="286" t="s">
        <v>98</v>
      </c>
      <c r="B11" s="129"/>
      <c r="C11" s="129"/>
      <c r="D11" s="129"/>
      <c r="E11" s="287">
        <f t="shared" si="0"/>
        <v>0</v>
      </c>
    </row>
    <row r="12" spans="1:5" ht="13.5" thickBot="1" x14ac:dyDescent="0.25">
      <c r="A12" s="130"/>
      <c r="B12" s="131"/>
      <c r="C12" s="131"/>
      <c r="D12" s="131"/>
      <c r="E12" s="287">
        <f t="shared" si="0"/>
        <v>0</v>
      </c>
    </row>
    <row r="13" spans="1:5" ht="13.5" thickBot="1" x14ac:dyDescent="0.25">
      <c r="A13" s="288" t="s">
        <v>100</v>
      </c>
      <c r="B13" s="289">
        <f>B6+SUM(B8:B12)</f>
        <v>0</v>
      </c>
      <c r="C13" s="289">
        <f>C6+SUM(C8:C12)</f>
        <v>0</v>
      </c>
      <c r="D13" s="289">
        <f>D6+SUM(D8:D12)</f>
        <v>0</v>
      </c>
      <c r="E13" s="290">
        <f>E6+SUM(E8:E12)</f>
        <v>0</v>
      </c>
    </row>
    <row r="14" spans="1:5" ht="13.5" thickBot="1" x14ac:dyDescent="0.25">
      <c r="A14" s="60"/>
      <c r="B14" s="60"/>
      <c r="C14" s="60"/>
      <c r="D14" s="60"/>
      <c r="E14" s="60"/>
    </row>
    <row r="15" spans="1:5" ht="15" customHeight="1" thickBot="1" x14ac:dyDescent="0.25">
      <c r="A15" s="279" t="s">
        <v>99</v>
      </c>
      <c r="B15" s="280" t="s">
        <v>1179</v>
      </c>
      <c r="C15" s="280" t="s">
        <v>1180</v>
      </c>
      <c r="D15" s="280" t="s">
        <v>1181</v>
      </c>
      <c r="E15" s="281" t="s">
        <v>1158</v>
      </c>
    </row>
    <row r="16" spans="1:5" x14ac:dyDescent="0.2">
      <c r="A16" s="282" t="s">
        <v>105</v>
      </c>
      <c r="B16" s="127"/>
      <c r="C16" s="127"/>
      <c r="D16" s="127"/>
      <c r="E16" s="283">
        <f t="shared" ref="E16:E22" si="1">SUM(B16:D16)</f>
        <v>0</v>
      </c>
    </row>
    <row r="17" spans="1:5" x14ac:dyDescent="0.2">
      <c r="A17" s="291" t="s">
        <v>106</v>
      </c>
      <c r="B17" s="129"/>
      <c r="C17" s="129"/>
      <c r="D17" s="129"/>
      <c r="E17" s="287">
        <f t="shared" si="1"/>
        <v>0</v>
      </c>
    </row>
    <row r="18" spans="1:5" x14ac:dyDescent="0.2">
      <c r="A18" s="286" t="s">
        <v>107</v>
      </c>
      <c r="B18" s="129"/>
      <c r="C18" s="129"/>
      <c r="D18" s="129"/>
      <c r="E18" s="287">
        <f t="shared" si="1"/>
        <v>0</v>
      </c>
    </row>
    <row r="19" spans="1:5" x14ac:dyDescent="0.2">
      <c r="A19" s="286" t="s">
        <v>108</v>
      </c>
      <c r="B19" s="129"/>
      <c r="C19" s="129"/>
      <c r="D19" s="129"/>
      <c r="E19" s="287">
        <f t="shared" si="1"/>
        <v>0</v>
      </c>
    </row>
    <row r="20" spans="1:5" x14ac:dyDescent="0.2">
      <c r="A20" s="132"/>
      <c r="B20" s="129"/>
      <c r="C20" s="129"/>
      <c r="D20" s="129"/>
      <c r="E20" s="287">
        <f t="shared" si="1"/>
        <v>0</v>
      </c>
    </row>
    <row r="21" spans="1:5" x14ac:dyDescent="0.2">
      <c r="A21" s="132"/>
      <c r="B21" s="129"/>
      <c r="C21" s="129"/>
      <c r="D21" s="129"/>
      <c r="E21" s="287">
        <f t="shared" si="1"/>
        <v>0</v>
      </c>
    </row>
    <row r="22" spans="1:5" ht="13.5" thickBot="1" x14ac:dyDescent="0.25">
      <c r="A22" s="130"/>
      <c r="B22" s="131"/>
      <c r="C22" s="131"/>
      <c r="D22" s="131"/>
      <c r="E22" s="287">
        <f t="shared" si="1"/>
        <v>0</v>
      </c>
    </row>
    <row r="23" spans="1:5" ht="13.5" thickBot="1" x14ac:dyDescent="0.25">
      <c r="A23" s="288" t="s">
        <v>1160</v>
      </c>
      <c r="B23" s="289">
        <f>SUM(B16:B22)</f>
        <v>0</v>
      </c>
      <c r="C23" s="289">
        <f>SUM(C16:C22)</f>
        <v>0</v>
      </c>
      <c r="D23" s="289">
        <f>SUM(D16:D22)</f>
        <v>0</v>
      </c>
      <c r="E23" s="290">
        <f>SUM(E16:E22)</f>
        <v>0</v>
      </c>
    </row>
    <row r="24" spans="1:5" x14ac:dyDescent="0.2">
      <c r="A24" s="277"/>
      <c r="B24" s="277"/>
      <c r="C24" s="277"/>
      <c r="D24" s="277"/>
      <c r="E24" s="277"/>
    </row>
    <row r="25" spans="1:5" x14ac:dyDescent="0.2">
      <c r="A25" s="277"/>
      <c r="B25" s="277"/>
      <c r="C25" s="277"/>
      <c r="D25" s="277"/>
      <c r="E25" s="277"/>
    </row>
    <row r="26" spans="1:5" ht="15.75" x14ac:dyDescent="0.25">
      <c r="A26" s="278" t="s">
        <v>814</v>
      </c>
      <c r="B26" s="763"/>
      <c r="C26" s="1256" t="s">
        <v>817</v>
      </c>
      <c r="D26" s="1256"/>
      <c r="E26" s="1256"/>
    </row>
    <row r="27" spans="1:5" ht="15.75" x14ac:dyDescent="0.25">
      <c r="A27" s="278"/>
      <c r="B27" s="638"/>
      <c r="C27" s="638"/>
      <c r="D27" s="638"/>
      <c r="E27" s="638"/>
    </row>
    <row r="28" spans="1:5" ht="14.25" thickBot="1" x14ac:dyDescent="0.3">
      <c r="A28" s="277"/>
      <c r="B28" s="277"/>
      <c r="C28" s="277"/>
      <c r="D28" s="1255" t="s">
        <v>94</v>
      </c>
      <c r="E28" s="1255"/>
    </row>
    <row r="29" spans="1:5" ht="13.5" thickBot="1" x14ac:dyDescent="0.25">
      <c r="A29" s="279" t="s">
        <v>93</v>
      </c>
      <c r="B29" s="280" t="s">
        <v>1179</v>
      </c>
      <c r="C29" s="280" t="s">
        <v>1180</v>
      </c>
      <c r="D29" s="280" t="s">
        <v>1181</v>
      </c>
      <c r="E29" s="281" t="s">
        <v>1158</v>
      </c>
    </row>
    <row r="30" spans="1:5" x14ac:dyDescent="0.2">
      <c r="A30" s="282" t="s">
        <v>95</v>
      </c>
      <c r="B30" s="127">
        <v>2500</v>
      </c>
      <c r="C30" s="127"/>
      <c r="D30" s="127"/>
      <c r="E30" s="283">
        <f t="shared" ref="E30:E36" si="2">SUM(B30:D30)</f>
        <v>2500</v>
      </c>
    </row>
    <row r="31" spans="1:5" x14ac:dyDescent="0.2">
      <c r="A31" s="284" t="s">
        <v>109</v>
      </c>
      <c r="B31" s="128"/>
      <c r="C31" s="128"/>
      <c r="D31" s="128"/>
      <c r="E31" s="285">
        <f t="shared" si="2"/>
        <v>0</v>
      </c>
    </row>
    <row r="32" spans="1:5" x14ac:dyDescent="0.2">
      <c r="A32" s="286" t="s">
        <v>818</v>
      </c>
      <c r="B32" s="129">
        <v>10000</v>
      </c>
      <c r="C32" s="129"/>
      <c r="D32" s="129"/>
      <c r="E32" s="287">
        <f t="shared" si="2"/>
        <v>10000</v>
      </c>
    </row>
    <row r="33" spans="1:5" x14ac:dyDescent="0.2">
      <c r="A33" s="286" t="s">
        <v>111</v>
      </c>
      <c r="B33" s="129"/>
      <c r="C33" s="129"/>
      <c r="D33" s="129"/>
      <c r="E33" s="287">
        <f t="shared" si="2"/>
        <v>0</v>
      </c>
    </row>
    <row r="34" spans="1:5" x14ac:dyDescent="0.2">
      <c r="A34" s="286" t="s">
        <v>97</v>
      </c>
      <c r="B34" s="129"/>
      <c r="C34" s="129"/>
      <c r="D34" s="129"/>
      <c r="E34" s="287">
        <f t="shared" si="2"/>
        <v>0</v>
      </c>
    </row>
    <row r="35" spans="1:5" x14ac:dyDescent="0.2">
      <c r="A35" s="286" t="s">
        <v>98</v>
      </c>
      <c r="B35" s="129"/>
      <c r="C35" s="129"/>
      <c r="D35" s="129"/>
      <c r="E35" s="287">
        <f t="shared" si="2"/>
        <v>0</v>
      </c>
    </row>
    <row r="36" spans="1:5" ht="13.5" thickBot="1" x14ac:dyDescent="0.25">
      <c r="A36" s="130"/>
      <c r="B36" s="131"/>
      <c r="C36" s="131"/>
      <c r="D36" s="131"/>
      <c r="E36" s="287">
        <f t="shared" si="2"/>
        <v>0</v>
      </c>
    </row>
    <row r="37" spans="1:5" ht="13.5" thickBot="1" x14ac:dyDescent="0.25">
      <c r="A37" s="288" t="s">
        <v>100</v>
      </c>
      <c r="B37" s="289">
        <f>B30+SUM(B32:B36)</f>
        <v>12500</v>
      </c>
      <c r="C37" s="289">
        <f>C30+SUM(C32:C36)</f>
        <v>0</v>
      </c>
      <c r="D37" s="289">
        <f>D30+SUM(D32:D36)</f>
        <v>0</v>
      </c>
      <c r="E37" s="290">
        <f>E30+SUM(E32:E36)</f>
        <v>12500</v>
      </c>
    </row>
    <row r="38" spans="1:5" ht="13.5" thickBot="1" x14ac:dyDescent="0.25">
      <c r="A38" s="60"/>
      <c r="B38" s="60"/>
      <c r="C38" s="60"/>
      <c r="D38" s="60"/>
      <c r="E38" s="60"/>
    </row>
    <row r="39" spans="1:5" ht="13.5" thickBot="1" x14ac:dyDescent="0.25">
      <c r="A39" s="279" t="s">
        <v>99</v>
      </c>
      <c r="B39" s="280" t="s">
        <v>1179</v>
      </c>
      <c r="C39" s="280" t="s">
        <v>1180</v>
      </c>
      <c r="D39" s="280" t="s">
        <v>1181</v>
      </c>
      <c r="E39" s="281" t="s">
        <v>1158</v>
      </c>
    </row>
    <row r="40" spans="1:5" x14ac:dyDescent="0.2">
      <c r="A40" s="282" t="s">
        <v>105</v>
      </c>
      <c r="B40" s="127">
        <v>500</v>
      </c>
      <c r="C40" s="127"/>
      <c r="D40" s="127"/>
      <c r="E40" s="283">
        <f t="shared" ref="E40:E46" si="3">SUM(B40:D40)</f>
        <v>500</v>
      </c>
    </row>
    <row r="41" spans="1:5" x14ac:dyDescent="0.2">
      <c r="A41" s="291" t="s">
        <v>106</v>
      </c>
      <c r="B41" s="129">
        <f>12500-1400</f>
        <v>11100</v>
      </c>
      <c r="C41" s="129"/>
      <c r="D41" s="129"/>
      <c r="E41" s="287">
        <f t="shared" si="3"/>
        <v>11100</v>
      </c>
    </row>
    <row r="42" spans="1:5" x14ac:dyDescent="0.2">
      <c r="A42" s="286" t="s">
        <v>107</v>
      </c>
      <c r="B42" s="129"/>
      <c r="C42" s="129"/>
      <c r="D42" s="129"/>
      <c r="E42" s="287">
        <f t="shared" si="3"/>
        <v>0</v>
      </c>
    </row>
    <row r="43" spans="1:5" x14ac:dyDescent="0.2">
      <c r="A43" s="286" t="s">
        <v>108</v>
      </c>
      <c r="B43" s="129">
        <v>900</v>
      </c>
      <c r="C43" s="129"/>
      <c r="D43" s="129"/>
      <c r="E43" s="287">
        <f t="shared" si="3"/>
        <v>900</v>
      </c>
    </row>
    <row r="44" spans="1:5" x14ac:dyDescent="0.2">
      <c r="A44" s="132"/>
      <c r="B44" s="129"/>
      <c r="C44" s="129"/>
      <c r="D44" s="129"/>
      <c r="E44" s="287">
        <f t="shared" si="3"/>
        <v>0</v>
      </c>
    </row>
    <row r="45" spans="1:5" x14ac:dyDescent="0.2">
      <c r="A45" s="132"/>
      <c r="B45" s="129"/>
      <c r="C45" s="129"/>
      <c r="D45" s="129"/>
      <c r="E45" s="287">
        <f t="shared" si="3"/>
        <v>0</v>
      </c>
    </row>
    <row r="46" spans="1:5" ht="13.5" thickBot="1" x14ac:dyDescent="0.25">
      <c r="A46" s="130"/>
      <c r="B46" s="131"/>
      <c r="C46" s="131"/>
      <c r="D46" s="131"/>
      <c r="E46" s="287">
        <f t="shared" si="3"/>
        <v>0</v>
      </c>
    </row>
    <row r="47" spans="1:5" ht="13.5" thickBot="1" x14ac:dyDescent="0.25">
      <c r="A47" s="288" t="s">
        <v>1160</v>
      </c>
      <c r="B47" s="289">
        <f>SUM(B40:B46)</f>
        <v>12500</v>
      </c>
      <c r="C47" s="289">
        <f>SUM(C40:C46)</f>
        <v>0</v>
      </c>
      <c r="D47" s="289">
        <f>SUM(D40:D46)</f>
        <v>0</v>
      </c>
      <c r="E47" s="290">
        <f>SUM(E40:E46)</f>
        <v>12500</v>
      </c>
    </row>
    <row r="48" spans="1:5" x14ac:dyDescent="0.2">
      <c r="A48" s="277"/>
      <c r="B48" s="277"/>
      <c r="C48" s="277"/>
      <c r="D48" s="277"/>
      <c r="E48" s="277"/>
    </row>
    <row r="49" spans="1:8" ht="15.75" hidden="1" x14ac:dyDescent="0.2">
      <c r="A49" s="1240" t="s">
        <v>1050</v>
      </c>
      <c r="B49" s="1240"/>
      <c r="C49" s="1240"/>
      <c r="D49" s="1240"/>
      <c r="E49" s="1240"/>
    </row>
    <row r="50" spans="1:8" ht="13.5" hidden="1" thickBot="1" x14ac:dyDescent="0.25">
      <c r="A50" s="277"/>
      <c r="B50" s="277"/>
      <c r="C50" s="277"/>
      <c r="D50" s="277"/>
      <c r="E50" s="277"/>
    </row>
    <row r="51" spans="1:8" ht="13.5" hidden="1" thickBot="1" x14ac:dyDescent="0.25">
      <c r="A51" s="1245" t="s">
        <v>102</v>
      </c>
      <c r="B51" s="1246"/>
      <c r="C51" s="1247"/>
      <c r="D51" s="1243" t="s">
        <v>112</v>
      </c>
      <c r="E51" s="1244"/>
      <c r="H51" s="58"/>
    </row>
    <row r="52" spans="1:8" hidden="1" x14ac:dyDescent="0.2">
      <c r="A52" s="1248"/>
      <c r="B52" s="1249"/>
      <c r="C52" s="1250"/>
      <c r="D52" s="1236"/>
      <c r="E52" s="1237"/>
    </row>
    <row r="53" spans="1:8" ht="13.5" hidden="1" thickBot="1" x14ac:dyDescent="0.25">
      <c r="A53" s="1251"/>
      <c r="B53" s="1252"/>
      <c r="C53" s="1253"/>
      <c r="D53" s="1238"/>
      <c r="E53" s="1239"/>
    </row>
    <row r="54" spans="1:8" ht="13.5" hidden="1" thickBot="1" x14ac:dyDescent="0.25">
      <c r="A54" s="1233" t="s">
        <v>1160</v>
      </c>
      <c r="B54" s="1234"/>
      <c r="C54" s="1235"/>
      <c r="D54" s="1241">
        <f>SUM(D52:E53)</f>
        <v>0</v>
      </c>
      <c r="E54" s="1242"/>
    </row>
  </sheetData>
  <mergeCells count="14">
    <mergeCell ref="B2:E2"/>
    <mergeCell ref="D4:E4"/>
    <mergeCell ref="D28:E28"/>
    <mergeCell ref="B3:E3"/>
    <mergeCell ref="C26:E26"/>
    <mergeCell ref="A54:C54"/>
    <mergeCell ref="D52:E52"/>
    <mergeCell ref="D53:E53"/>
    <mergeCell ref="A49:E49"/>
    <mergeCell ref="D54:E54"/>
    <mergeCell ref="D51:E51"/>
    <mergeCell ref="A51:C51"/>
    <mergeCell ref="A52:C52"/>
    <mergeCell ref="A53:C53"/>
  </mergeCells>
  <phoneticPr fontId="30" type="noConversion"/>
  <conditionalFormatting sqref="E6:E13 B13:D13 B23:E23 E16:E22 E30:E37 B37:D37 E40:E47 B47:D47 D54:E54">
    <cfRule type="cellIs" dxfId="2" priority="1" stopIfTrue="1" operator="equal">
      <formula>0</formula>
    </cfRule>
  </conditionalFormatting>
  <printOptions horizontalCentered="1"/>
  <pageMargins left="0.59055118110236227" right="0.59055118110236227" top="1.5354330708661419" bottom="0.47244094488188981" header="0.31496062992125984" footer="0.43307086614173229"/>
  <pageSetup paperSize="9" orientation="portrait" r:id="rId1"/>
  <headerFooter alignWithMargins="0">
    <oddHeader>&amp;C&amp;11Európai uniós támogatással  illetve egyéb pályázati forrásból megvalósuló projektek bevételei, kiadásai, hozzájárulások&amp;R&amp;11 8. melléklet a .../2013. (.)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 tint="-0.249977111117893"/>
  </sheetPr>
  <dimension ref="A1:K104"/>
  <sheetViews>
    <sheetView view="pageLayout" zoomScaleNormal="115" zoomScaleSheetLayoutView="100" workbookViewId="0">
      <selection activeCell="C4" sqref="C4"/>
    </sheetView>
  </sheetViews>
  <sheetFormatPr defaultColWidth="9.33203125" defaultRowHeight="12.75" x14ac:dyDescent="0.2"/>
  <cols>
    <col min="1" max="1" width="4.6640625" style="1034" customWidth="1"/>
    <col min="2" max="2" width="9.6640625" style="1035" customWidth="1"/>
    <col min="3" max="3" width="72" style="1035" customWidth="1"/>
    <col min="4" max="4" width="11.33203125" style="1036" bestFit="1" customWidth="1"/>
    <col min="5" max="5" width="9.83203125" style="1036" bestFit="1" customWidth="1"/>
    <col min="6" max="6" width="9.83203125" style="1036" hidden="1" customWidth="1"/>
    <col min="7" max="7" width="16.6640625" style="1036" hidden="1" customWidth="1"/>
    <col min="8" max="8" width="0" style="1033" hidden="1" customWidth="1"/>
    <col min="9" max="16384" width="9.33203125" style="1033"/>
  </cols>
  <sheetData>
    <row r="1" spans="1:8" s="2" customFormat="1" ht="16.5" customHeight="1" thickBot="1" x14ac:dyDescent="0.25">
      <c r="A1" s="292"/>
      <c r="B1" s="293"/>
      <c r="C1" s="294"/>
      <c r="D1" s="921"/>
      <c r="E1" s="921"/>
      <c r="F1" s="921"/>
      <c r="G1" s="921"/>
    </row>
    <row r="2" spans="1:8" s="133" customFormat="1" ht="25.15" customHeight="1" x14ac:dyDescent="0.2">
      <c r="A2" s="1257" t="s">
        <v>257</v>
      </c>
      <c r="B2" s="1258"/>
      <c r="C2" s="513" t="s">
        <v>790</v>
      </c>
      <c r="D2" s="901"/>
      <c r="E2" s="902" t="s">
        <v>1161</v>
      </c>
      <c r="F2" s="1002"/>
      <c r="G2" s="902" t="s">
        <v>1161</v>
      </c>
    </row>
    <row r="3" spans="1:8" s="133" customFormat="1" ht="16.5" hidden="1" thickBot="1" x14ac:dyDescent="0.25">
      <c r="A3" s="295" t="s">
        <v>225</v>
      </c>
      <c r="B3" s="296"/>
      <c r="C3" s="514" t="s">
        <v>1162</v>
      </c>
      <c r="D3" s="523" t="s">
        <v>1163</v>
      </c>
      <c r="E3" s="523" t="s">
        <v>1163</v>
      </c>
      <c r="F3" s="523" t="s">
        <v>1163</v>
      </c>
      <c r="G3" s="523" t="s">
        <v>1163</v>
      </c>
    </row>
    <row r="4" spans="1:8" s="134" customFormat="1" ht="15.95" customHeight="1" thickBot="1" x14ac:dyDescent="0.3">
      <c r="A4" s="297"/>
      <c r="B4" s="297"/>
      <c r="C4" s="297"/>
      <c r="D4" s="298"/>
      <c r="E4" s="298" t="s">
        <v>1164</v>
      </c>
      <c r="F4" s="298"/>
      <c r="G4" s="298" t="s">
        <v>1164</v>
      </c>
    </row>
    <row r="5" spans="1:8" ht="13.5" thickBot="1" x14ac:dyDescent="0.25">
      <c r="A5" s="1259" t="s">
        <v>227</v>
      </c>
      <c r="B5" s="1260"/>
      <c r="C5" s="903" t="s">
        <v>1165</v>
      </c>
      <c r="D5" s="1003" t="s">
        <v>1166</v>
      </c>
      <c r="E5" s="300" t="s">
        <v>774</v>
      </c>
      <c r="F5" s="300" t="s">
        <v>1182</v>
      </c>
      <c r="G5" s="300" t="s">
        <v>1183</v>
      </c>
    </row>
    <row r="6" spans="1:8" s="83" customFormat="1" ht="12.95" customHeight="1" thickBot="1" x14ac:dyDescent="0.25">
      <c r="A6" s="260">
        <v>1</v>
      </c>
      <c r="B6" s="261">
        <v>2</v>
      </c>
      <c r="C6" s="904">
        <v>3</v>
      </c>
      <c r="D6" s="1004">
        <v>4</v>
      </c>
      <c r="E6" s="262">
        <v>5</v>
      </c>
      <c r="F6" s="262">
        <v>6</v>
      </c>
      <c r="G6" s="262">
        <v>7</v>
      </c>
    </row>
    <row r="7" spans="1:8" s="83" customFormat="1" ht="15.95" customHeight="1" thickBot="1" x14ac:dyDescent="0.25">
      <c r="A7" s="301"/>
      <c r="B7" s="302"/>
      <c r="C7" s="302" t="s">
        <v>1167</v>
      </c>
      <c r="D7" s="524"/>
      <c r="E7" s="524"/>
      <c r="F7" s="524"/>
      <c r="G7" s="524"/>
    </row>
    <row r="8" spans="1:8" s="83" customFormat="1" ht="12" customHeight="1" thickBot="1" x14ac:dyDescent="0.25">
      <c r="A8" s="260" t="s">
        <v>1125</v>
      </c>
      <c r="B8" s="304"/>
      <c r="C8" s="420" t="s">
        <v>228</v>
      </c>
      <c r="D8" s="462">
        <f>+D9+D14</f>
        <v>111598</v>
      </c>
      <c r="E8" s="462">
        <f>+E9+E14</f>
        <v>101531</v>
      </c>
      <c r="F8" s="462">
        <f t="shared" ref="F8:H8" si="0">+F9+F14</f>
        <v>101531</v>
      </c>
      <c r="G8" s="462">
        <f t="shared" si="0"/>
        <v>101531</v>
      </c>
      <c r="H8" s="462">
        <f t="shared" si="0"/>
        <v>101531</v>
      </c>
    </row>
    <row r="9" spans="1:8" s="135" customFormat="1" ht="12" customHeight="1" thickBot="1" x14ac:dyDescent="0.25">
      <c r="A9" s="260" t="s">
        <v>1126</v>
      </c>
      <c r="B9" s="304"/>
      <c r="C9" s="515" t="s">
        <v>1051</v>
      </c>
      <c r="D9" s="462">
        <f>SUM(D10:D13)</f>
        <v>104345</v>
      </c>
      <c r="E9" s="462">
        <f>SUM(E10:E13)</f>
        <v>93719</v>
      </c>
      <c r="F9" s="462">
        <f t="shared" ref="F9:H9" si="1">SUM(F10:F13)</f>
        <v>93719</v>
      </c>
      <c r="G9" s="462">
        <f t="shared" si="1"/>
        <v>93719</v>
      </c>
      <c r="H9" s="462">
        <f t="shared" si="1"/>
        <v>93719</v>
      </c>
    </row>
    <row r="10" spans="1:8" s="136" customFormat="1" ht="12" customHeight="1" x14ac:dyDescent="0.2">
      <c r="A10" s="306"/>
      <c r="B10" s="307" t="s">
        <v>66</v>
      </c>
      <c r="C10" s="516" t="s">
        <v>1169</v>
      </c>
      <c r="D10" s="460">
        <v>100698</v>
      </c>
      <c r="E10" s="460">
        <v>90506</v>
      </c>
      <c r="F10" s="460">
        <v>90506</v>
      </c>
      <c r="G10" s="460">
        <v>90506</v>
      </c>
      <c r="H10" s="460">
        <v>90506</v>
      </c>
    </row>
    <row r="11" spans="1:8" s="136" customFormat="1" ht="12" customHeight="1" x14ac:dyDescent="0.2">
      <c r="A11" s="306"/>
      <c r="B11" s="307" t="s">
        <v>67</v>
      </c>
      <c r="C11" s="517" t="s">
        <v>35</v>
      </c>
      <c r="D11" s="460"/>
      <c r="E11" s="460"/>
      <c r="F11" s="460"/>
      <c r="G11" s="460"/>
      <c r="H11" s="460"/>
    </row>
    <row r="12" spans="1:8" s="136" customFormat="1" ht="12" customHeight="1" x14ac:dyDescent="0.2">
      <c r="A12" s="306"/>
      <c r="B12" s="307" t="s">
        <v>68</v>
      </c>
      <c r="C12" s="517" t="s">
        <v>148</v>
      </c>
      <c r="D12" s="460">
        <v>3412</v>
      </c>
      <c r="E12" s="460">
        <v>3072</v>
      </c>
      <c r="F12" s="460">
        <v>3072</v>
      </c>
      <c r="G12" s="460">
        <v>3072</v>
      </c>
      <c r="H12" s="460">
        <v>3072</v>
      </c>
    </row>
    <row r="13" spans="1:8" s="136" customFormat="1" ht="12" customHeight="1" thickBot="1" x14ac:dyDescent="0.25">
      <c r="A13" s="306"/>
      <c r="B13" s="307" t="s">
        <v>69</v>
      </c>
      <c r="C13" s="518" t="s">
        <v>149</v>
      </c>
      <c r="D13" s="460">
        <v>235</v>
      </c>
      <c r="E13" s="460">
        <v>141</v>
      </c>
      <c r="F13" s="460">
        <v>141</v>
      </c>
      <c r="G13" s="460">
        <v>141</v>
      </c>
      <c r="H13" s="460">
        <v>141</v>
      </c>
    </row>
    <row r="14" spans="1:8" s="135" customFormat="1" ht="12" customHeight="1" thickBot="1" x14ac:dyDescent="0.25">
      <c r="A14" s="260" t="s">
        <v>1127</v>
      </c>
      <c r="B14" s="304"/>
      <c r="C14" s="515" t="s">
        <v>150</v>
      </c>
      <c r="D14" s="462">
        <f>SUM(D15:D22)</f>
        <v>7253</v>
      </c>
      <c r="E14" s="462">
        <f>SUM(E15:E22)</f>
        <v>7812</v>
      </c>
      <c r="F14" s="462">
        <f t="shared" ref="F14:H14" si="2">SUM(F15:F22)</f>
        <v>7812</v>
      </c>
      <c r="G14" s="462">
        <f t="shared" si="2"/>
        <v>7812</v>
      </c>
      <c r="H14" s="462">
        <f t="shared" si="2"/>
        <v>7812</v>
      </c>
    </row>
    <row r="15" spans="1:8" s="135" customFormat="1" ht="12" customHeight="1" x14ac:dyDescent="0.2">
      <c r="A15" s="308"/>
      <c r="B15" s="307" t="s">
        <v>40</v>
      </c>
      <c r="C15" s="516" t="s">
        <v>155</v>
      </c>
      <c r="D15" s="525"/>
      <c r="E15" s="525"/>
      <c r="F15" s="525"/>
      <c r="G15" s="525"/>
      <c r="H15" s="525"/>
    </row>
    <row r="16" spans="1:8" s="135" customFormat="1" ht="12" customHeight="1" x14ac:dyDescent="0.2">
      <c r="A16" s="306"/>
      <c r="B16" s="307" t="s">
        <v>41</v>
      </c>
      <c r="C16" s="517" t="s">
        <v>156</v>
      </c>
      <c r="D16" s="460"/>
      <c r="E16" s="460"/>
      <c r="F16" s="460"/>
      <c r="G16" s="460"/>
      <c r="H16" s="460"/>
    </row>
    <row r="17" spans="1:9" s="135" customFormat="1" ht="12" customHeight="1" x14ac:dyDescent="0.2">
      <c r="A17" s="306"/>
      <c r="B17" s="307" t="s">
        <v>42</v>
      </c>
      <c r="C17" s="517" t="s">
        <v>157</v>
      </c>
      <c r="D17" s="460">
        <v>6560</v>
      </c>
      <c r="E17" s="460">
        <v>6719</v>
      </c>
      <c r="F17" s="460">
        <v>6719</v>
      </c>
      <c r="G17" s="460">
        <v>6719</v>
      </c>
      <c r="H17" s="460">
        <v>6719</v>
      </c>
    </row>
    <row r="18" spans="1:9" s="135" customFormat="1" ht="12" customHeight="1" x14ac:dyDescent="0.2">
      <c r="A18" s="306"/>
      <c r="B18" s="307" t="s">
        <v>43</v>
      </c>
      <c r="C18" s="517" t="s">
        <v>158</v>
      </c>
      <c r="D18" s="460">
        <v>545</v>
      </c>
      <c r="E18" s="460">
        <v>545</v>
      </c>
      <c r="F18" s="460">
        <v>545</v>
      </c>
      <c r="G18" s="460">
        <v>545</v>
      </c>
      <c r="H18" s="460">
        <v>545</v>
      </c>
    </row>
    <row r="19" spans="1:9" s="135" customFormat="1" ht="12" customHeight="1" x14ac:dyDescent="0.2">
      <c r="A19" s="306"/>
      <c r="B19" s="307" t="s">
        <v>151</v>
      </c>
      <c r="C19" s="517" t="s">
        <v>159</v>
      </c>
      <c r="D19" s="460"/>
      <c r="E19" s="460"/>
      <c r="F19" s="460"/>
      <c r="G19" s="460"/>
      <c r="H19" s="460"/>
    </row>
    <row r="20" spans="1:9" s="135" customFormat="1" ht="12" customHeight="1" x14ac:dyDescent="0.2">
      <c r="A20" s="309"/>
      <c r="B20" s="307" t="s">
        <v>152</v>
      </c>
      <c r="C20" s="517" t="s">
        <v>263</v>
      </c>
      <c r="D20" s="526">
        <v>148</v>
      </c>
      <c r="E20" s="526">
        <v>148</v>
      </c>
      <c r="F20" s="526">
        <v>148</v>
      </c>
      <c r="G20" s="526">
        <v>148</v>
      </c>
      <c r="H20" s="526">
        <v>148</v>
      </c>
    </row>
    <row r="21" spans="1:9" s="136" customFormat="1" ht="12" customHeight="1" x14ac:dyDescent="0.2">
      <c r="A21" s="306"/>
      <c r="B21" s="307" t="s">
        <v>153</v>
      </c>
      <c r="C21" s="517" t="s">
        <v>161</v>
      </c>
      <c r="D21" s="460"/>
      <c r="E21" s="460"/>
      <c r="F21" s="460"/>
      <c r="G21" s="460"/>
      <c r="H21" s="460"/>
    </row>
    <row r="22" spans="1:9" s="136" customFormat="1" ht="12" customHeight="1" thickBot="1" x14ac:dyDescent="0.25">
      <c r="A22" s="310"/>
      <c r="B22" s="311" t="s">
        <v>154</v>
      </c>
      <c r="C22" s="518" t="s">
        <v>162</v>
      </c>
      <c r="D22" s="461"/>
      <c r="E22" s="461">
        <v>400</v>
      </c>
      <c r="F22" s="461">
        <v>400</v>
      </c>
      <c r="G22" s="461">
        <v>400</v>
      </c>
      <c r="H22" s="461">
        <v>400</v>
      </c>
    </row>
    <row r="23" spans="1:9" s="136" customFormat="1" ht="12" customHeight="1" thickBot="1" x14ac:dyDescent="0.25">
      <c r="A23" s="260" t="s">
        <v>1128</v>
      </c>
      <c r="B23" s="312"/>
      <c r="C23" s="515" t="s">
        <v>264</v>
      </c>
      <c r="D23" s="491">
        <v>9999</v>
      </c>
      <c r="E23" s="491">
        <v>9477</v>
      </c>
      <c r="F23" s="491">
        <v>9477</v>
      </c>
      <c r="G23" s="491">
        <v>9477</v>
      </c>
      <c r="H23" s="491">
        <v>9477</v>
      </c>
    </row>
    <row r="24" spans="1:9" s="135" customFormat="1" ht="12" customHeight="1" thickBot="1" x14ac:dyDescent="0.25">
      <c r="A24" s="260" t="s">
        <v>1129</v>
      </c>
      <c r="B24" s="304"/>
      <c r="C24" s="515" t="s">
        <v>1052</v>
      </c>
      <c r="D24" s="462">
        <f>SUM(D25:D32)</f>
        <v>118553</v>
      </c>
      <c r="E24" s="462">
        <f>SUM(E25:E32)</f>
        <v>136963</v>
      </c>
      <c r="F24" s="462">
        <f t="shared" ref="F24:H24" si="3">SUM(F25:F32)</f>
        <v>133009</v>
      </c>
      <c r="G24" s="462">
        <f t="shared" si="3"/>
        <v>133010</v>
      </c>
      <c r="H24" s="462">
        <f t="shared" si="3"/>
        <v>133011</v>
      </c>
    </row>
    <row r="25" spans="1:9" s="136" customFormat="1" ht="12" customHeight="1" x14ac:dyDescent="0.2">
      <c r="A25" s="306"/>
      <c r="B25" s="307" t="s">
        <v>44</v>
      </c>
      <c r="C25" s="516" t="s">
        <v>1053</v>
      </c>
      <c r="D25" s="117">
        <v>118553</v>
      </c>
      <c r="E25" s="117">
        <v>122086</v>
      </c>
      <c r="F25" s="117">
        <f t="shared" ref="F25:H25" si="4">119203+1073+1214-650-8+2631</f>
        <v>123463</v>
      </c>
      <c r="G25" s="117">
        <f t="shared" si="4"/>
        <v>123463</v>
      </c>
      <c r="H25" s="117">
        <f t="shared" si="4"/>
        <v>123463</v>
      </c>
      <c r="I25" s="1166"/>
    </row>
    <row r="26" spans="1:9" s="136" customFormat="1" ht="12" customHeight="1" x14ac:dyDescent="0.2">
      <c r="A26" s="306"/>
      <c r="B26" s="307" t="s">
        <v>45</v>
      </c>
      <c r="C26" s="517" t="s">
        <v>171</v>
      </c>
      <c r="D26" s="117"/>
      <c r="E26" s="117">
        <v>5457</v>
      </c>
      <c r="F26" s="117">
        <f t="shared" ref="F26:H26" si="5">1757+160+8</f>
        <v>1925</v>
      </c>
      <c r="G26" s="117">
        <f t="shared" si="5"/>
        <v>1925</v>
      </c>
      <c r="H26" s="117">
        <f t="shared" si="5"/>
        <v>1925</v>
      </c>
    </row>
    <row r="27" spans="1:9" s="136" customFormat="1" ht="12" customHeight="1" x14ac:dyDescent="0.2">
      <c r="A27" s="306"/>
      <c r="B27" s="307" t="s">
        <v>46</v>
      </c>
      <c r="C27" s="517" t="s">
        <v>49</v>
      </c>
      <c r="D27" s="117"/>
      <c r="E27" s="117"/>
      <c r="F27" s="117"/>
      <c r="G27" s="117"/>
      <c r="H27" s="117"/>
    </row>
    <row r="28" spans="1:9" s="136" customFormat="1" ht="12" customHeight="1" x14ac:dyDescent="0.2">
      <c r="A28" s="306"/>
      <c r="B28" s="307" t="s">
        <v>166</v>
      </c>
      <c r="C28" s="517" t="s">
        <v>1195</v>
      </c>
      <c r="D28" s="117"/>
      <c r="E28" s="117">
        <v>9420</v>
      </c>
      <c r="F28" s="117">
        <v>7621</v>
      </c>
      <c r="G28" s="117">
        <v>7622</v>
      </c>
      <c r="H28" s="117">
        <v>7623</v>
      </c>
    </row>
    <row r="29" spans="1:9" s="136" customFormat="1" ht="12" customHeight="1" x14ac:dyDescent="0.2">
      <c r="A29" s="306"/>
      <c r="B29" s="307" t="s">
        <v>167</v>
      </c>
      <c r="C29" s="517" t="s">
        <v>173</v>
      </c>
      <c r="D29" s="117"/>
      <c r="E29" s="117"/>
      <c r="F29" s="117"/>
      <c r="G29" s="117"/>
      <c r="H29" s="117"/>
    </row>
    <row r="30" spans="1:9" s="136" customFormat="1" ht="12" customHeight="1" x14ac:dyDescent="0.2">
      <c r="A30" s="306"/>
      <c r="B30" s="307" t="s">
        <v>168</v>
      </c>
      <c r="C30" s="517" t="s">
        <v>174</v>
      </c>
      <c r="D30" s="117"/>
      <c r="E30" s="117"/>
      <c r="F30" s="117"/>
      <c r="G30" s="117"/>
      <c r="H30" s="117"/>
    </row>
    <row r="31" spans="1:9" s="136" customFormat="1" ht="12" customHeight="1" x14ac:dyDescent="0.2">
      <c r="A31" s="306"/>
      <c r="B31" s="307" t="s">
        <v>169</v>
      </c>
      <c r="C31" s="517" t="s">
        <v>265</v>
      </c>
      <c r="D31" s="117"/>
      <c r="E31" s="117"/>
      <c r="F31" s="117"/>
      <c r="G31" s="117"/>
      <c r="H31" s="117"/>
    </row>
    <row r="32" spans="1:9" s="136" customFormat="1" ht="12" customHeight="1" thickBot="1" x14ac:dyDescent="0.25">
      <c r="A32" s="310"/>
      <c r="B32" s="311" t="s">
        <v>170</v>
      </c>
      <c r="C32" s="519" t="s">
        <v>229</v>
      </c>
      <c r="D32" s="527"/>
      <c r="E32" s="527"/>
      <c r="F32" s="527"/>
      <c r="G32" s="527"/>
      <c r="H32" s="527"/>
    </row>
    <row r="33" spans="1:8" s="136" customFormat="1" ht="12" customHeight="1" thickBot="1" x14ac:dyDescent="0.25">
      <c r="A33" s="268" t="s">
        <v>1130</v>
      </c>
      <c r="B33" s="167"/>
      <c r="C33" s="420" t="s">
        <v>468</v>
      </c>
      <c r="D33" s="462">
        <f>+D34+D40</f>
        <v>13014</v>
      </c>
      <c r="E33" s="462">
        <f>+E34+E40</f>
        <v>16170</v>
      </c>
      <c r="F33" s="462">
        <f t="shared" ref="F33:H33" si="6">+F34+F40</f>
        <v>13805</v>
      </c>
      <c r="G33" s="462">
        <f t="shared" si="6"/>
        <v>13806</v>
      </c>
      <c r="H33" s="462">
        <f t="shared" si="6"/>
        <v>13807</v>
      </c>
    </row>
    <row r="34" spans="1:8" s="136" customFormat="1" ht="12" customHeight="1" x14ac:dyDescent="0.2">
      <c r="A34" s="308"/>
      <c r="B34" s="212" t="s">
        <v>47</v>
      </c>
      <c r="C34" s="595" t="s">
        <v>403</v>
      </c>
      <c r="D34" s="545">
        <f>SUM(D35:D39)</f>
        <v>11561</v>
      </c>
      <c r="E34" s="545">
        <f>SUM(E35:E39)</f>
        <v>14717</v>
      </c>
      <c r="F34" s="545">
        <f t="shared" ref="F34:H34" si="7">SUM(F35:F39)</f>
        <v>12351</v>
      </c>
      <c r="G34" s="545">
        <f t="shared" si="7"/>
        <v>12351</v>
      </c>
      <c r="H34" s="545">
        <f t="shared" si="7"/>
        <v>12351</v>
      </c>
    </row>
    <row r="35" spans="1:8" s="136" customFormat="1" ht="12" customHeight="1" x14ac:dyDescent="0.2">
      <c r="A35" s="306"/>
      <c r="B35" s="194" t="s">
        <v>50</v>
      </c>
      <c r="C35" s="517" t="s">
        <v>266</v>
      </c>
      <c r="D35" s="460">
        <v>4019</v>
      </c>
      <c r="E35" s="460">
        <v>4019</v>
      </c>
      <c r="F35" s="460">
        <v>4019</v>
      </c>
      <c r="G35" s="460">
        <v>4019</v>
      </c>
      <c r="H35" s="460">
        <v>4019</v>
      </c>
    </row>
    <row r="36" spans="1:8" s="136" customFormat="1" ht="12" customHeight="1" x14ac:dyDescent="0.2">
      <c r="A36" s="306"/>
      <c r="B36" s="194" t="s">
        <v>51</v>
      </c>
      <c r="C36" s="517" t="s">
        <v>1191</v>
      </c>
      <c r="D36" s="460"/>
      <c r="E36" s="460"/>
      <c r="F36" s="460"/>
      <c r="G36" s="460"/>
      <c r="H36" s="460"/>
    </row>
    <row r="37" spans="1:8" s="136" customFormat="1" ht="12" customHeight="1" x14ac:dyDescent="0.2">
      <c r="A37" s="306"/>
      <c r="B37" s="194" t="s">
        <v>52</v>
      </c>
      <c r="C37" s="517" t="s">
        <v>268</v>
      </c>
      <c r="D37" s="460"/>
      <c r="E37" s="460"/>
      <c r="F37" s="460"/>
      <c r="G37" s="460"/>
      <c r="H37" s="460"/>
    </row>
    <row r="38" spans="1:8" s="136" customFormat="1" ht="12" customHeight="1" x14ac:dyDescent="0.2">
      <c r="A38" s="306"/>
      <c r="B38" s="194" t="s">
        <v>53</v>
      </c>
      <c r="C38" s="517" t="s">
        <v>269</v>
      </c>
      <c r="D38" s="460"/>
      <c r="E38" s="460"/>
      <c r="F38" s="460"/>
      <c r="G38" s="460"/>
      <c r="H38" s="460"/>
    </row>
    <row r="39" spans="1:8" s="136" customFormat="1" ht="12" customHeight="1" x14ac:dyDescent="0.2">
      <c r="A39" s="306"/>
      <c r="B39" s="194" t="s">
        <v>176</v>
      </c>
      <c r="C39" s="517" t="s">
        <v>404</v>
      </c>
      <c r="D39" s="460">
        <f>4874+2668</f>
        <v>7542</v>
      </c>
      <c r="E39" s="460">
        <v>10698</v>
      </c>
      <c r="F39" s="460">
        <v>8332</v>
      </c>
      <c r="G39" s="460">
        <v>8332</v>
      </c>
      <c r="H39" s="460">
        <v>8332</v>
      </c>
    </row>
    <row r="40" spans="1:8" s="136" customFormat="1" ht="12" customHeight="1" x14ac:dyDescent="0.2">
      <c r="A40" s="306"/>
      <c r="B40" s="194" t="s">
        <v>48</v>
      </c>
      <c r="C40" s="520" t="s">
        <v>405</v>
      </c>
      <c r="D40" s="544">
        <f>SUM(D41:D45)</f>
        <v>1453</v>
      </c>
      <c r="E40" s="544">
        <f>SUM(E41:E45)</f>
        <v>1453</v>
      </c>
      <c r="F40" s="544">
        <f t="shared" ref="F40:H40" si="8">SUM(F41:F45)</f>
        <v>1454</v>
      </c>
      <c r="G40" s="544">
        <f t="shared" si="8"/>
        <v>1455</v>
      </c>
      <c r="H40" s="544">
        <f t="shared" si="8"/>
        <v>1456</v>
      </c>
    </row>
    <row r="41" spans="1:8" s="136" customFormat="1" ht="12" customHeight="1" x14ac:dyDescent="0.2">
      <c r="A41" s="306"/>
      <c r="B41" s="194" t="s">
        <v>56</v>
      </c>
      <c r="C41" s="517" t="s">
        <v>266</v>
      </c>
      <c r="D41" s="460"/>
      <c r="E41" s="460"/>
      <c r="F41" s="460"/>
      <c r="G41" s="460"/>
      <c r="H41" s="460"/>
    </row>
    <row r="42" spans="1:8" s="136" customFormat="1" ht="12" customHeight="1" x14ac:dyDescent="0.2">
      <c r="A42" s="306"/>
      <c r="B42" s="194" t="s">
        <v>57</v>
      </c>
      <c r="C42" s="517" t="s">
        <v>267</v>
      </c>
      <c r="D42" s="460"/>
      <c r="E42" s="460"/>
      <c r="F42" s="460"/>
      <c r="G42" s="460"/>
      <c r="H42" s="460"/>
    </row>
    <row r="43" spans="1:8" s="136" customFormat="1" ht="12" customHeight="1" x14ac:dyDescent="0.2">
      <c r="A43" s="306"/>
      <c r="B43" s="194" t="s">
        <v>58</v>
      </c>
      <c r="C43" s="517" t="s">
        <v>268</v>
      </c>
      <c r="D43" s="460"/>
      <c r="E43" s="460"/>
      <c r="F43" s="460"/>
      <c r="G43" s="460"/>
      <c r="H43" s="460"/>
    </row>
    <row r="44" spans="1:8" s="136" customFormat="1" ht="12" customHeight="1" x14ac:dyDescent="0.2">
      <c r="A44" s="306"/>
      <c r="B44" s="194" t="s">
        <v>59</v>
      </c>
      <c r="C44" s="517" t="s">
        <v>269</v>
      </c>
      <c r="D44" s="460">
        <v>1453</v>
      </c>
      <c r="E44" s="460">
        <v>1453</v>
      </c>
      <c r="F44" s="460">
        <v>1454</v>
      </c>
      <c r="G44" s="460">
        <v>1455</v>
      </c>
      <c r="H44" s="460">
        <v>1456</v>
      </c>
    </row>
    <row r="45" spans="1:8" s="136" customFormat="1" ht="12" customHeight="1" thickBot="1" x14ac:dyDescent="0.25">
      <c r="A45" s="313"/>
      <c r="B45" s="213" t="s">
        <v>177</v>
      </c>
      <c r="C45" s="518" t="s">
        <v>406</v>
      </c>
      <c r="D45" s="528"/>
      <c r="E45" s="528"/>
      <c r="F45" s="528"/>
      <c r="G45" s="528"/>
      <c r="H45" s="528"/>
    </row>
    <row r="46" spans="1:8" s="135" customFormat="1" ht="12" customHeight="1" thickBot="1" x14ac:dyDescent="0.25">
      <c r="A46" s="268" t="s">
        <v>1131</v>
      </c>
      <c r="B46" s="304"/>
      <c r="C46" s="515" t="s">
        <v>270</v>
      </c>
      <c r="D46" s="462">
        <f>+D47+D48</f>
        <v>0</v>
      </c>
      <c r="E46" s="462">
        <f>+E47+E48</f>
        <v>400</v>
      </c>
      <c r="F46" s="462">
        <f t="shared" ref="F46:H46" si="9">+F47+F48</f>
        <v>401</v>
      </c>
      <c r="G46" s="462">
        <f t="shared" si="9"/>
        <v>402</v>
      </c>
      <c r="H46" s="462">
        <f t="shared" si="9"/>
        <v>403</v>
      </c>
    </row>
    <row r="47" spans="1:8" s="136" customFormat="1" ht="12" customHeight="1" x14ac:dyDescent="0.2">
      <c r="A47" s="306"/>
      <c r="B47" s="194" t="s">
        <v>54</v>
      </c>
      <c r="C47" s="516" t="s">
        <v>104</v>
      </c>
      <c r="D47" s="460"/>
      <c r="E47" s="460">
        <v>400</v>
      </c>
      <c r="F47" s="460">
        <v>401</v>
      </c>
      <c r="G47" s="460">
        <v>402</v>
      </c>
      <c r="H47" s="460">
        <v>403</v>
      </c>
    </row>
    <row r="48" spans="1:8" s="136" customFormat="1" ht="12" customHeight="1" thickBot="1" x14ac:dyDescent="0.25">
      <c r="A48" s="306"/>
      <c r="B48" s="194" t="s">
        <v>55</v>
      </c>
      <c r="C48" s="518" t="s">
        <v>1055</v>
      </c>
      <c r="D48" s="460"/>
      <c r="E48" s="460"/>
      <c r="F48" s="460"/>
      <c r="G48" s="460"/>
      <c r="H48" s="460"/>
    </row>
    <row r="49" spans="1:8" s="136" customFormat="1" ht="12" customHeight="1" thickBot="1" x14ac:dyDescent="0.25">
      <c r="A49" s="260" t="s">
        <v>1132</v>
      </c>
      <c r="B49" s="304"/>
      <c r="C49" s="515" t="s">
        <v>1054</v>
      </c>
      <c r="D49" s="462">
        <f>+D50+D51+D52</f>
        <v>400</v>
      </c>
      <c r="E49" s="462">
        <f>+E50+E51+E52</f>
        <v>7075</v>
      </c>
      <c r="F49" s="462">
        <f t="shared" ref="F49:H49" si="10">+F50+F51+F52</f>
        <v>401</v>
      </c>
      <c r="G49" s="462">
        <f t="shared" si="10"/>
        <v>402</v>
      </c>
      <c r="H49" s="462">
        <f t="shared" si="10"/>
        <v>403</v>
      </c>
    </row>
    <row r="50" spans="1:8" s="136" customFormat="1" ht="12" customHeight="1" x14ac:dyDescent="0.2">
      <c r="A50" s="314"/>
      <c r="B50" s="194" t="s">
        <v>181</v>
      </c>
      <c r="C50" s="516" t="s">
        <v>179</v>
      </c>
      <c r="D50" s="459">
        <v>400</v>
      </c>
      <c r="E50" s="459">
        <f>400+6675</f>
        <v>7075</v>
      </c>
      <c r="F50" s="459">
        <v>401</v>
      </c>
      <c r="G50" s="459">
        <v>402</v>
      </c>
      <c r="H50" s="459">
        <v>403</v>
      </c>
    </row>
    <row r="51" spans="1:8" s="136" customFormat="1" ht="12" customHeight="1" x14ac:dyDescent="0.2">
      <c r="A51" s="314"/>
      <c r="B51" s="194" t="s">
        <v>182</v>
      </c>
      <c r="C51" s="517" t="s">
        <v>180</v>
      </c>
      <c r="D51" s="459"/>
      <c r="E51" s="459"/>
      <c r="F51" s="459"/>
      <c r="G51" s="459"/>
      <c r="H51" s="459"/>
    </row>
    <row r="52" spans="1:8" s="136" customFormat="1" ht="12" customHeight="1" thickBot="1" x14ac:dyDescent="0.25">
      <c r="A52" s="306"/>
      <c r="B52" s="194" t="s">
        <v>333</v>
      </c>
      <c r="C52" s="519" t="s">
        <v>272</v>
      </c>
      <c r="D52" s="460"/>
      <c r="E52" s="460"/>
      <c r="F52" s="460"/>
      <c r="G52" s="460"/>
      <c r="H52" s="460"/>
    </row>
    <row r="53" spans="1:8" s="136" customFormat="1" ht="12" customHeight="1" thickBot="1" x14ac:dyDescent="0.25">
      <c r="A53" s="268" t="s">
        <v>1133</v>
      </c>
      <c r="B53" s="315"/>
      <c r="C53" s="420" t="s">
        <v>273</v>
      </c>
      <c r="D53" s="529"/>
      <c r="E53" s="529"/>
      <c r="F53" s="529"/>
      <c r="G53" s="529"/>
      <c r="H53" s="529"/>
    </row>
    <row r="54" spans="1:8" s="135" customFormat="1" ht="12" customHeight="1" thickBot="1" x14ac:dyDescent="0.25">
      <c r="A54" s="316" t="s">
        <v>1134</v>
      </c>
      <c r="B54" s="317"/>
      <c r="C54" s="420" t="s">
        <v>469</v>
      </c>
      <c r="D54" s="530">
        <f>+D9+D14+D23+D24+D33+D46+D49+D53</f>
        <v>253564</v>
      </c>
      <c r="E54" s="530">
        <f>+E9+E14+E23+E24+E33+E46+E49+E53</f>
        <v>271616</v>
      </c>
      <c r="F54" s="530">
        <f t="shared" ref="F54:H54" si="11">+F9+F14+F23+F24+F33+F46+F49+F53</f>
        <v>258624</v>
      </c>
      <c r="G54" s="530">
        <f t="shared" si="11"/>
        <v>258628</v>
      </c>
      <c r="H54" s="530">
        <f t="shared" si="11"/>
        <v>258632</v>
      </c>
    </row>
    <row r="55" spans="1:8" s="135" customFormat="1" ht="12" customHeight="1" thickBot="1" x14ac:dyDescent="0.25">
      <c r="A55" s="260" t="s">
        <v>1135</v>
      </c>
      <c r="B55" s="214"/>
      <c r="C55" s="420" t="s">
        <v>276</v>
      </c>
      <c r="D55" s="531">
        <f>+D56+D57</f>
        <v>12500</v>
      </c>
      <c r="E55" s="531">
        <f>+E56+E57</f>
        <v>51718</v>
      </c>
      <c r="F55" s="531">
        <f t="shared" ref="F55:H55" si="12">+F56+F57</f>
        <v>51719</v>
      </c>
      <c r="G55" s="531">
        <f t="shared" si="12"/>
        <v>51720</v>
      </c>
      <c r="H55" s="531">
        <f t="shared" si="12"/>
        <v>51721</v>
      </c>
    </row>
    <row r="56" spans="1:8" s="135" customFormat="1" ht="12" customHeight="1" x14ac:dyDescent="0.2">
      <c r="A56" s="308"/>
      <c r="B56" s="212" t="s">
        <v>114</v>
      </c>
      <c r="C56" s="596" t="s">
        <v>1197</v>
      </c>
      <c r="D56" s="532">
        <v>12500</v>
      </c>
      <c r="E56" s="532">
        <v>51718</v>
      </c>
      <c r="F56" s="532">
        <v>51719</v>
      </c>
      <c r="G56" s="532">
        <v>51720</v>
      </c>
      <c r="H56" s="532">
        <v>51721</v>
      </c>
    </row>
    <row r="57" spans="1:8" s="135" customFormat="1" ht="12" customHeight="1" thickBot="1" x14ac:dyDescent="0.25">
      <c r="A57" s="313"/>
      <c r="B57" s="213" t="s">
        <v>115</v>
      </c>
      <c r="C57" s="597" t="s">
        <v>1056</v>
      </c>
      <c r="D57" s="121"/>
      <c r="E57" s="121"/>
      <c r="F57" s="121"/>
      <c r="G57" s="121"/>
      <c r="H57" s="121"/>
    </row>
    <row r="58" spans="1:8" s="136" customFormat="1" ht="15" customHeight="1" thickBot="1" x14ac:dyDescent="0.25">
      <c r="A58" s="318" t="s">
        <v>1136</v>
      </c>
      <c r="B58" s="598"/>
      <c r="C58" s="599" t="s">
        <v>290</v>
      </c>
      <c r="D58" s="462"/>
      <c r="E58" s="462"/>
      <c r="F58" s="462"/>
      <c r="G58" s="462"/>
      <c r="H58" s="462"/>
    </row>
    <row r="59" spans="1:8" s="136" customFormat="1" ht="12" customHeight="1" thickBot="1" x14ac:dyDescent="0.25">
      <c r="A59" s="318" t="s">
        <v>1137</v>
      </c>
      <c r="B59" s="1030"/>
      <c r="C59" s="1031" t="s">
        <v>1199</v>
      </c>
      <c r="D59" s="1032">
        <f>+D54+D55</f>
        <v>266064</v>
      </c>
      <c r="E59" s="1032">
        <f>+E54+E55</f>
        <v>323334</v>
      </c>
      <c r="F59" s="1032">
        <f t="shared" ref="F59:H59" si="13">+F54+F55</f>
        <v>310343</v>
      </c>
      <c r="G59" s="1032">
        <f t="shared" si="13"/>
        <v>310348</v>
      </c>
      <c r="H59" s="1032">
        <f t="shared" si="13"/>
        <v>310353</v>
      </c>
    </row>
    <row r="60" spans="1:8" s="136" customFormat="1" ht="15" customHeight="1" thickBot="1" x14ac:dyDescent="0.25">
      <c r="A60" s="321"/>
      <c r="B60" s="1038"/>
      <c r="C60" s="1039"/>
      <c r="D60" s="1040"/>
      <c r="E60" s="907"/>
      <c r="F60" s="907"/>
      <c r="G60" s="1041"/>
    </row>
    <row r="61" spans="1:8" s="133" customFormat="1" ht="25.5" customHeight="1" x14ac:dyDescent="0.2">
      <c r="A61" s="1257" t="s">
        <v>257</v>
      </c>
      <c r="B61" s="1258"/>
      <c r="C61" s="513" t="s">
        <v>790</v>
      </c>
      <c r="D61" s="901"/>
      <c r="E61" s="902" t="s">
        <v>1161</v>
      </c>
      <c r="F61" s="1002"/>
      <c r="G61" s="902" t="s">
        <v>1161</v>
      </c>
    </row>
    <row r="62" spans="1:8" ht="13.5" thickBot="1" x14ac:dyDescent="0.25">
      <c r="A62" s="323"/>
      <c r="B62" s="324"/>
      <c r="C62" s="324"/>
      <c r="D62" s="534"/>
      <c r="E62" s="534"/>
      <c r="F62" s="534"/>
      <c r="G62" s="534"/>
    </row>
    <row r="63" spans="1:8" s="83" customFormat="1" ht="16.5" customHeight="1" thickBot="1" x14ac:dyDescent="0.25">
      <c r="A63" s="325"/>
      <c r="B63" s="326"/>
      <c r="C63" s="327" t="s">
        <v>1</v>
      </c>
      <c r="D63" s="1003" t="s">
        <v>1166</v>
      </c>
      <c r="E63" s="300" t="s">
        <v>774</v>
      </c>
      <c r="F63" s="300" t="s">
        <v>1182</v>
      </c>
      <c r="G63" s="300" t="s">
        <v>1183</v>
      </c>
    </row>
    <row r="64" spans="1:8" s="137" customFormat="1" ht="12" customHeight="1" thickBot="1" x14ac:dyDescent="0.25">
      <c r="A64" s="268" t="s">
        <v>1125</v>
      </c>
      <c r="B64" s="24"/>
      <c r="C64" s="1051" t="s">
        <v>1076</v>
      </c>
      <c r="D64" s="1060">
        <f>SUM(D65:D69)</f>
        <v>87234</v>
      </c>
      <c r="E64" s="462">
        <f>SUM(E65:E69)</f>
        <v>122783</v>
      </c>
      <c r="F64" s="462">
        <f t="shared" ref="F64:H64" si="14">SUM(F65:F69)</f>
        <v>116592</v>
      </c>
      <c r="G64" s="462">
        <f t="shared" si="14"/>
        <v>116592</v>
      </c>
      <c r="H64" s="462">
        <f t="shared" si="14"/>
        <v>116592</v>
      </c>
    </row>
    <row r="65" spans="1:10" ht="12" customHeight="1" x14ac:dyDescent="0.2">
      <c r="A65" s="328"/>
      <c r="B65" s="211" t="s">
        <v>60</v>
      </c>
      <c r="C65" s="1047" t="s">
        <v>1156</v>
      </c>
      <c r="D65" s="1092">
        <v>22407</v>
      </c>
      <c r="E65" s="536">
        <v>28623</v>
      </c>
      <c r="F65" s="536">
        <v>28030</v>
      </c>
      <c r="G65" s="536">
        <v>28030</v>
      </c>
      <c r="H65" s="536">
        <v>28030</v>
      </c>
    </row>
    <row r="66" spans="1:10" ht="12" customHeight="1" x14ac:dyDescent="0.2">
      <c r="A66" s="329"/>
      <c r="B66" s="194" t="s">
        <v>61</v>
      </c>
      <c r="C66" s="1048" t="s">
        <v>186</v>
      </c>
      <c r="D66" s="1075">
        <v>6030</v>
      </c>
      <c r="E66" s="537">
        <v>7685</v>
      </c>
      <c r="F66" s="537">
        <v>7525</v>
      </c>
      <c r="G66" s="537">
        <v>7525</v>
      </c>
      <c r="H66" s="537">
        <v>7525</v>
      </c>
    </row>
    <row r="67" spans="1:10" ht="12" customHeight="1" x14ac:dyDescent="0.2">
      <c r="A67" s="329"/>
      <c r="B67" s="194" t="s">
        <v>62</v>
      </c>
      <c r="C67" s="1048" t="s">
        <v>103</v>
      </c>
      <c r="D67" s="1062">
        <v>52883</v>
      </c>
      <c r="E67" s="538">
        <f>67787+3578</f>
        <v>71365</v>
      </c>
      <c r="F67" s="538">
        <f t="shared" ref="F67:H67" si="15">59689+2668+5430</f>
        <v>67787</v>
      </c>
      <c r="G67" s="538">
        <f t="shared" si="15"/>
        <v>67787</v>
      </c>
      <c r="H67" s="538">
        <f t="shared" si="15"/>
        <v>67787</v>
      </c>
      <c r="J67" s="4"/>
    </row>
    <row r="68" spans="1:10" ht="12" customHeight="1" x14ac:dyDescent="0.2">
      <c r="A68" s="329"/>
      <c r="B68" s="194" t="s">
        <v>63</v>
      </c>
      <c r="C68" s="1048" t="s">
        <v>187</v>
      </c>
      <c r="D68" s="1062">
        <v>1850</v>
      </c>
      <c r="E68" s="538">
        <v>4524</v>
      </c>
      <c r="F68" s="538">
        <f t="shared" ref="F68:H68" si="16">1964+700</f>
        <v>2664</v>
      </c>
      <c r="G68" s="538">
        <f t="shared" si="16"/>
        <v>2664</v>
      </c>
      <c r="H68" s="538">
        <f t="shared" si="16"/>
        <v>2664</v>
      </c>
      <c r="I68" s="1170"/>
    </row>
    <row r="69" spans="1:10" ht="12" customHeight="1" x14ac:dyDescent="0.2">
      <c r="A69" s="329"/>
      <c r="B69" s="194" t="s">
        <v>74</v>
      </c>
      <c r="C69" s="1048" t="s">
        <v>188</v>
      </c>
      <c r="D69" s="1062">
        <f>SUM(D71:D77)</f>
        <v>4064</v>
      </c>
      <c r="E69" s="538">
        <f>SUM(E71:E77)</f>
        <v>10586</v>
      </c>
      <c r="F69" s="538">
        <f t="shared" ref="F69:H69" si="17">SUM(F71:F77)</f>
        <v>10586</v>
      </c>
      <c r="G69" s="538">
        <f t="shared" si="17"/>
        <v>10586</v>
      </c>
      <c r="H69" s="538">
        <f t="shared" si="17"/>
        <v>10586</v>
      </c>
    </row>
    <row r="70" spans="1:10" ht="12" customHeight="1" x14ac:dyDescent="0.2">
      <c r="A70" s="329"/>
      <c r="B70" s="194" t="s">
        <v>64</v>
      </c>
      <c r="C70" s="1048" t="s">
        <v>210</v>
      </c>
      <c r="D70" s="1075"/>
      <c r="E70" s="537"/>
      <c r="F70" s="537"/>
      <c r="G70" s="537"/>
      <c r="H70" s="537"/>
    </row>
    <row r="71" spans="1:10" ht="12" customHeight="1" x14ac:dyDescent="0.2">
      <c r="A71" s="329"/>
      <c r="B71" s="194" t="s">
        <v>65</v>
      </c>
      <c r="C71" s="1076" t="s">
        <v>1057</v>
      </c>
      <c r="D71" s="1062"/>
      <c r="E71" s="538"/>
      <c r="F71" s="538"/>
      <c r="G71" s="538"/>
      <c r="H71" s="538"/>
    </row>
    <row r="72" spans="1:10" ht="12" customHeight="1" x14ac:dyDescent="0.2">
      <c r="A72" s="329"/>
      <c r="B72" s="194" t="s">
        <v>75</v>
      </c>
      <c r="C72" s="1077" t="s">
        <v>470</v>
      </c>
      <c r="D72" s="1062"/>
      <c r="E72" s="538"/>
      <c r="F72" s="538"/>
      <c r="G72" s="538"/>
      <c r="H72" s="538"/>
    </row>
    <row r="73" spans="1:10" ht="12" customHeight="1" x14ac:dyDescent="0.2">
      <c r="A73" s="329"/>
      <c r="B73" s="194" t="s">
        <v>76</v>
      </c>
      <c r="C73" s="1077" t="s">
        <v>1058</v>
      </c>
      <c r="D73" s="1062">
        <v>4034</v>
      </c>
      <c r="E73" s="538">
        <f>7293+101-2545+1534-80</f>
        <v>6303</v>
      </c>
      <c r="F73" s="538">
        <f t="shared" ref="F73:H73" si="18">7293+101-2545+1534-80</f>
        <v>6303</v>
      </c>
      <c r="G73" s="538">
        <f t="shared" si="18"/>
        <v>6303</v>
      </c>
      <c r="H73" s="538">
        <f t="shared" si="18"/>
        <v>6303</v>
      </c>
    </row>
    <row r="74" spans="1:10" ht="12" customHeight="1" x14ac:dyDescent="0.2">
      <c r="A74" s="329"/>
      <c r="B74" s="194" t="s">
        <v>77</v>
      </c>
      <c r="C74" s="1077" t="s">
        <v>471</v>
      </c>
      <c r="D74" s="1062"/>
      <c r="E74" s="538"/>
      <c r="F74" s="538"/>
      <c r="G74" s="538"/>
      <c r="H74" s="538"/>
    </row>
    <row r="75" spans="1:10" ht="12" customHeight="1" x14ac:dyDescent="0.2">
      <c r="A75" s="329"/>
      <c r="B75" s="194" t="s">
        <v>78</v>
      </c>
      <c r="C75" s="1078" t="s">
        <v>1059</v>
      </c>
      <c r="D75" s="1062"/>
      <c r="E75" s="538">
        <v>2545</v>
      </c>
      <c r="F75" s="538">
        <v>2545</v>
      </c>
      <c r="G75" s="538">
        <v>2545</v>
      </c>
      <c r="H75" s="538">
        <v>2545</v>
      </c>
    </row>
    <row r="76" spans="1:10" ht="12" customHeight="1" x14ac:dyDescent="0.2">
      <c r="A76" s="329"/>
      <c r="B76" s="194" t="s">
        <v>80</v>
      </c>
      <c r="C76" s="1079" t="s">
        <v>1060</v>
      </c>
      <c r="D76" s="1062">
        <v>30</v>
      </c>
      <c r="E76" s="538">
        <v>238</v>
      </c>
      <c r="F76" s="538">
        <v>238</v>
      </c>
      <c r="G76" s="538">
        <v>238</v>
      </c>
      <c r="H76" s="538">
        <v>238</v>
      </c>
    </row>
    <row r="77" spans="1:10" ht="12" customHeight="1" thickBot="1" x14ac:dyDescent="0.25">
      <c r="A77" s="330"/>
      <c r="B77" s="215" t="s">
        <v>189</v>
      </c>
      <c r="C77" s="1080" t="s">
        <v>1061</v>
      </c>
      <c r="D77" s="1064"/>
      <c r="E77" s="539">
        <v>1500</v>
      </c>
      <c r="F77" s="539">
        <v>1500</v>
      </c>
      <c r="G77" s="539">
        <v>1500</v>
      </c>
      <c r="H77" s="539">
        <v>1500</v>
      </c>
    </row>
    <row r="78" spans="1:10" ht="12" customHeight="1" thickBot="1" x14ac:dyDescent="0.25">
      <c r="A78" s="268" t="s">
        <v>1126</v>
      </c>
      <c r="B78" s="24"/>
      <c r="C78" s="1051" t="s">
        <v>1075</v>
      </c>
      <c r="D78" s="1060">
        <f>SUM(D79:D88)</f>
        <v>27105</v>
      </c>
      <c r="E78" s="531">
        <f t="shared" ref="E78" si="19">SUM(E79:E88)</f>
        <v>41331</v>
      </c>
      <c r="F78" s="531">
        <f t="shared" ref="F78:H78" si="20">SUM(F79:F88)</f>
        <v>41331</v>
      </c>
      <c r="G78" s="531">
        <f t="shared" si="20"/>
        <v>41331</v>
      </c>
      <c r="H78" s="531">
        <f t="shared" si="20"/>
        <v>41331</v>
      </c>
    </row>
    <row r="79" spans="1:10" s="137" customFormat="1" ht="12" customHeight="1" x14ac:dyDescent="0.2">
      <c r="A79" s="328"/>
      <c r="B79" s="211" t="s">
        <v>66</v>
      </c>
      <c r="C79" s="1081" t="s">
        <v>1062</v>
      </c>
      <c r="D79" s="1074">
        <v>17482</v>
      </c>
      <c r="E79" s="114">
        <v>20933</v>
      </c>
      <c r="F79" s="114">
        <v>20933</v>
      </c>
      <c r="G79" s="114">
        <v>20933</v>
      </c>
      <c r="H79" s="114">
        <v>20933</v>
      </c>
    </row>
    <row r="80" spans="1:10" ht="12" customHeight="1" x14ac:dyDescent="0.2">
      <c r="A80" s="329"/>
      <c r="B80" s="194" t="s">
        <v>67</v>
      </c>
      <c r="C80" s="1082" t="s">
        <v>190</v>
      </c>
      <c r="D80" s="1075">
        <v>9623</v>
      </c>
      <c r="E80" s="117">
        <v>20387</v>
      </c>
      <c r="F80" s="117">
        <v>20387</v>
      </c>
      <c r="G80" s="117">
        <v>20387</v>
      </c>
      <c r="H80" s="117">
        <v>20387</v>
      </c>
    </row>
    <row r="81" spans="1:8" ht="12" customHeight="1" x14ac:dyDescent="0.2">
      <c r="A81" s="329"/>
      <c r="B81" s="194" t="s">
        <v>68</v>
      </c>
      <c r="C81" s="1082" t="s">
        <v>305</v>
      </c>
      <c r="D81" s="1075"/>
      <c r="E81" s="117"/>
      <c r="F81" s="117"/>
      <c r="G81" s="117"/>
      <c r="H81" s="117"/>
    </row>
    <row r="82" spans="1:8" ht="12" customHeight="1" x14ac:dyDescent="0.2">
      <c r="A82" s="329"/>
      <c r="B82" s="194" t="s">
        <v>69</v>
      </c>
      <c r="C82" s="1082" t="s">
        <v>1063</v>
      </c>
      <c r="D82" s="1075"/>
      <c r="E82" s="117"/>
      <c r="F82" s="117"/>
      <c r="G82" s="117"/>
      <c r="H82" s="117"/>
    </row>
    <row r="83" spans="1:8" ht="12" customHeight="1" x14ac:dyDescent="0.2">
      <c r="A83" s="329"/>
      <c r="B83" s="194" t="s">
        <v>70</v>
      </c>
      <c r="C83" s="1077" t="s">
        <v>1068</v>
      </c>
      <c r="D83" s="1075"/>
      <c r="E83" s="117"/>
      <c r="F83" s="117"/>
      <c r="G83" s="117"/>
      <c r="H83" s="117"/>
    </row>
    <row r="84" spans="1:8" ht="12" customHeight="1" x14ac:dyDescent="0.2">
      <c r="A84" s="329"/>
      <c r="B84" s="194" t="s">
        <v>79</v>
      </c>
      <c r="C84" s="1077" t="s">
        <v>1067</v>
      </c>
      <c r="D84" s="1075"/>
      <c r="E84" s="117">
        <v>11</v>
      </c>
      <c r="F84" s="117">
        <v>11</v>
      </c>
      <c r="G84" s="117">
        <v>11</v>
      </c>
      <c r="H84" s="117">
        <v>11</v>
      </c>
    </row>
    <row r="85" spans="1:8" ht="12" customHeight="1" x14ac:dyDescent="0.2">
      <c r="A85" s="329"/>
      <c r="B85" s="194" t="s">
        <v>81</v>
      </c>
      <c r="C85" s="1077" t="s">
        <v>1066</v>
      </c>
      <c r="D85" s="1075"/>
      <c r="E85" s="117"/>
      <c r="F85" s="117"/>
      <c r="G85" s="117"/>
      <c r="H85" s="117"/>
    </row>
    <row r="86" spans="1:8" s="137" customFormat="1" ht="12" customHeight="1" x14ac:dyDescent="0.2">
      <c r="A86" s="329"/>
      <c r="B86" s="194" t="s">
        <v>191</v>
      </c>
      <c r="C86" s="1077" t="s">
        <v>1065</v>
      </c>
      <c r="D86" s="1075"/>
      <c r="E86" s="117"/>
      <c r="F86" s="117"/>
      <c r="G86" s="117"/>
      <c r="H86" s="117"/>
    </row>
    <row r="87" spans="1:8" ht="12" customHeight="1" x14ac:dyDescent="0.2">
      <c r="A87" s="329"/>
      <c r="B87" s="194" t="s">
        <v>192</v>
      </c>
      <c r="C87" s="1077" t="s">
        <v>1064</v>
      </c>
      <c r="D87" s="1075"/>
      <c r="E87" s="117"/>
      <c r="F87" s="117"/>
      <c r="G87" s="117"/>
      <c r="H87" s="117"/>
    </row>
    <row r="88" spans="1:8" ht="21" customHeight="1" thickBot="1" x14ac:dyDescent="0.25">
      <c r="A88" s="329"/>
      <c r="B88" s="194" t="s">
        <v>193</v>
      </c>
      <c r="C88" s="1083" t="s">
        <v>1069</v>
      </c>
      <c r="D88" s="1075"/>
      <c r="E88" s="117"/>
      <c r="F88" s="117"/>
      <c r="G88" s="117"/>
      <c r="H88" s="117"/>
    </row>
    <row r="89" spans="1:8" ht="12" customHeight="1" thickBot="1" x14ac:dyDescent="0.25">
      <c r="A89" s="510" t="s">
        <v>1127</v>
      </c>
      <c r="B89" s="26"/>
      <c r="C89" s="1084" t="s">
        <v>1070</v>
      </c>
      <c r="D89" s="1068">
        <f>+D90+D91</f>
        <v>4019</v>
      </c>
      <c r="E89" s="540">
        <f>+E90+E91</f>
        <v>9854</v>
      </c>
      <c r="F89" s="540">
        <f t="shared" ref="F89:H89" si="21">+F90+F91</f>
        <v>998</v>
      </c>
      <c r="G89" s="540">
        <f t="shared" si="21"/>
        <v>998</v>
      </c>
      <c r="H89" s="540">
        <f t="shared" si="21"/>
        <v>998</v>
      </c>
    </row>
    <row r="90" spans="1:8" s="137" customFormat="1" ht="12" customHeight="1" x14ac:dyDescent="0.2">
      <c r="A90" s="511"/>
      <c r="B90" s="212" t="s">
        <v>40</v>
      </c>
      <c r="C90" s="1085" t="s">
        <v>3</v>
      </c>
      <c r="D90" s="1065">
        <v>1351</v>
      </c>
      <c r="E90" s="559">
        <f>727+1118-927+80+2455-274</f>
        <v>3179</v>
      </c>
      <c r="F90" s="559">
        <f t="shared" ref="F90:H90" si="22">727+1118-927+80</f>
        <v>998</v>
      </c>
      <c r="G90" s="559">
        <f t="shared" si="22"/>
        <v>998</v>
      </c>
      <c r="H90" s="559">
        <f t="shared" si="22"/>
        <v>998</v>
      </c>
    </row>
    <row r="91" spans="1:8" s="137" customFormat="1" ht="12" customHeight="1" thickBot="1" x14ac:dyDescent="0.25">
      <c r="A91" s="512"/>
      <c r="B91" s="213" t="s">
        <v>41</v>
      </c>
      <c r="C91" s="1086" t="s">
        <v>4</v>
      </c>
      <c r="D91" s="1093">
        <v>2668</v>
      </c>
      <c r="E91" s="528">
        <v>6675</v>
      </c>
      <c r="F91" s="528">
        <v>0</v>
      </c>
      <c r="G91" s="528">
        <v>0</v>
      </c>
      <c r="H91" s="528">
        <v>0</v>
      </c>
    </row>
    <row r="92" spans="1:8" s="137" customFormat="1" ht="12" customHeight="1" thickBot="1" x14ac:dyDescent="0.25">
      <c r="A92" s="521" t="s">
        <v>1128</v>
      </c>
      <c r="B92" s="522"/>
      <c r="C92" s="1087" t="s">
        <v>310</v>
      </c>
      <c r="D92" s="1094"/>
      <c r="E92" s="600"/>
      <c r="F92" s="600"/>
      <c r="G92" s="600"/>
      <c r="H92" s="600"/>
    </row>
    <row r="93" spans="1:8" s="137" customFormat="1" ht="12" customHeight="1" thickBot="1" x14ac:dyDescent="0.25">
      <c r="A93" s="268" t="s">
        <v>1129</v>
      </c>
      <c r="B93" s="228"/>
      <c r="C93" s="1088" t="s">
        <v>259</v>
      </c>
      <c r="D93" s="1067">
        <f>64197+7699+75810</f>
        <v>147706</v>
      </c>
      <c r="E93" s="491">
        <v>149366</v>
      </c>
      <c r="F93" s="491">
        <v>151417</v>
      </c>
      <c r="G93" s="491">
        <v>151417</v>
      </c>
      <c r="H93" s="491">
        <v>151417</v>
      </c>
    </row>
    <row r="94" spans="1:8" s="137" customFormat="1" ht="12" customHeight="1" thickBot="1" x14ac:dyDescent="0.25">
      <c r="A94" s="268" t="s">
        <v>1130</v>
      </c>
      <c r="B94" s="24"/>
      <c r="C94" s="1089" t="s">
        <v>1071</v>
      </c>
      <c r="D94" s="1095">
        <f>+D64+D78+D89+D92+D93</f>
        <v>266064</v>
      </c>
      <c r="E94" s="541">
        <f>+E64+E78+E89+E92+E93</f>
        <v>323334</v>
      </c>
      <c r="F94" s="541">
        <f t="shared" ref="F94:H94" si="23">+F64+F78+F89+F92+F93</f>
        <v>310338</v>
      </c>
      <c r="G94" s="541">
        <f t="shared" si="23"/>
        <v>310338</v>
      </c>
      <c r="H94" s="541">
        <f t="shared" si="23"/>
        <v>310338</v>
      </c>
    </row>
    <row r="95" spans="1:8" s="137" customFormat="1" ht="12" customHeight="1" thickBot="1" x14ac:dyDescent="0.25">
      <c r="A95" s="268" t="s">
        <v>1131</v>
      </c>
      <c r="B95" s="24"/>
      <c r="C95" s="1089" t="s">
        <v>1074</v>
      </c>
      <c r="D95" s="1060">
        <f>+D96+D97</f>
        <v>0</v>
      </c>
      <c r="E95" s="462">
        <f>+E96+E97</f>
        <v>0</v>
      </c>
      <c r="F95" s="462">
        <f t="shared" ref="F95:H95" si="24">+F96+F97</f>
        <v>0</v>
      </c>
      <c r="G95" s="462">
        <f t="shared" si="24"/>
        <v>0</v>
      </c>
      <c r="H95" s="462">
        <f t="shared" si="24"/>
        <v>0</v>
      </c>
    </row>
    <row r="96" spans="1:8" ht="12.75" customHeight="1" x14ac:dyDescent="0.2">
      <c r="A96" s="328"/>
      <c r="B96" s="194" t="s">
        <v>258</v>
      </c>
      <c r="C96" s="1081" t="s">
        <v>1073</v>
      </c>
      <c r="D96" s="1092"/>
      <c r="E96" s="459"/>
      <c r="F96" s="459"/>
      <c r="G96" s="459"/>
      <c r="H96" s="459"/>
    </row>
    <row r="97" spans="1:11" ht="12" customHeight="1" thickBot="1" x14ac:dyDescent="0.25">
      <c r="A97" s="330"/>
      <c r="B97" s="215" t="s">
        <v>55</v>
      </c>
      <c r="C97" s="1090" t="s">
        <v>1072</v>
      </c>
      <c r="D97" s="1064"/>
      <c r="E97" s="461"/>
      <c r="F97" s="461"/>
      <c r="G97" s="461"/>
      <c r="H97" s="461"/>
    </row>
    <row r="98" spans="1:11" ht="13.5" thickBot="1" x14ac:dyDescent="0.25">
      <c r="A98" s="268" t="s">
        <v>1132</v>
      </c>
      <c r="B98" s="315"/>
      <c r="C98" s="1089" t="s">
        <v>321</v>
      </c>
      <c r="D98" s="1071"/>
      <c r="E98" s="542"/>
      <c r="F98" s="542"/>
      <c r="G98" s="542"/>
      <c r="H98" s="542"/>
    </row>
    <row r="99" spans="1:11" ht="15" customHeight="1" thickBot="1" x14ac:dyDescent="0.25">
      <c r="A99" s="268" t="s">
        <v>1133</v>
      </c>
      <c r="B99" s="1028"/>
      <c r="C99" s="1091" t="s">
        <v>1200</v>
      </c>
      <c r="D99" s="1096">
        <f>+D94+D95</f>
        <v>266064</v>
      </c>
      <c r="E99" s="1029">
        <f>+E94+E95</f>
        <v>323334</v>
      </c>
      <c r="F99" s="1029">
        <f t="shared" ref="F99:H99" si="25">+F94+F95</f>
        <v>310338</v>
      </c>
      <c r="G99" s="1029">
        <f t="shared" si="25"/>
        <v>310338</v>
      </c>
      <c r="H99" s="1029">
        <f t="shared" si="25"/>
        <v>310338</v>
      </c>
      <c r="J99" s="1170"/>
      <c r="K99" s="1170">
        <f>E99-E59</f>
        <v>0</v>
      </c>
    </row>
    <row r="100" spans="1:11" ht="15" hidden="1" customHeight="1" thickBot="1" x14ac:dyDescent="0.25">
      <c r="A100" s="334" t="s">
        <v>230</v>
      </c>
      <c r="B100" s="335"/>
      <c r="C100" s="336"/>
      <c r="D100" s="165"/>
      <c r="E100" s="165"/>
      <c r="F100" s="165"/>
      <c r="G100" s="165"/>
    </row>
    <row r="101" spans="1:11" ht="14.25" hidden="1" customHeight="1" thickBot="1" x14ac:dyDescent="0.25">
      <c r="A101" s="334" t="s">
        <v>231</v>
      </c>
      <c r="B101" s="335"/>
      <c r="C101" s="336"/>
      <c r="D101" s="165"/>
      <c r="E101" s="165"/>
      <c r="F101" s="165"/>
      <c r="G101" s="165"/>
    </row>
    <row r="102" spans="1:11" hidden="1" x14ac:dyDescent="0.2"/>
    <row r="104" spans="1:11" x14ac:dyDescent="0.2">
      <c r="F104" s="1037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94" fitToHeight="2" orientation="portrait" verticalDpi="300" r:id="rId1"/>
  <headerFooter alignWithMargins="0">
    <oddHeader>&amp;R&amp;"Times New Roman CE,Félkövér"&amp;11 9. melléklet az 5/2014. (III.6.) önkormányzati rendelethez</oddHeader>
  </headerFooter>
  <rowBreaks count="1" manualBreakCount="1">
    <brk id="60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332" customWidth="1"/>
    <col min="2" max="2" width="9.6640625" style="333" customWidth="1"/>
    <col min="3" max="3" width="72" style="333" customWidth="1"/>
    <col min="4" max="4" width="25" style="333" customWidth="1"/>
    <col min="5" max="16384" width="9.33203125" style="4"/>
  </cols>
  <sheetData>
    <row r="1" spans="1:4" s="2" customFormat="1" ht="21" customHeight="1" thickBot="1" x14ac:dyDescent="0.25">
      <c r="A1" s="292"/>
      <c r="B1" s="293"/>
      <c r="C1" s="294"/>
      <c r="D1" s="339" t="s">
        <v>1077</v>
      </c>
    </row>
    <row r="2" spans="1:4" s="133" customFormat="1" ht="25.5" customHeight="1" x14ac:dyDescent="0.2">
      <c r="A2" s="1257" t="s">
        <v>226</v>
      </c>
      <c r="B2" s="1258"/>
      <c r="C2" s="513" t="s">
        <v>233</v>
      </c>
      <c r="D2" s="554" t="s">
        <v>7</v>
      </c>
    </row>
    <row r="3" spans="1:4" s="133" customFormat="1" ht="16.5" hidden="1" thickBot="1" x14ac:dyDescent="0.25">
      <c r="A3" s="295" t="s">
        <v>225</v>
      </c>
      <c r="B3" s="296"/>
      <c r="C3" s="555" t="s">
        <v>235</v>
      </c>
      <c r="D3" s="556" t="s">
        <v>260</v>
      </c>
    </row>
    <row r="4" spans="1:4" s="134" customFormat="1" ht="15.95" customHeight="1" thickBot="1" x14ac:dyDescent="0.3">
      <c r="A4" s="297"/>
      <c r="B4" s="297"/>
      <c r="C4" s="297"/>
      <c r="D4" s="298" t="s">
        <v>1164</v>
      </c>
    </row>
    <row r="5" spans="1:4" ht="13.5" thickBot="1" x14ac:dyDescent="0.25">
      <c r="A5" s="1259" t="s">
        <v>227</v>
      </c>
      <c r="B5" s="1260"/>
      <c r="C5" s="299" t="s">
        <v>1165</v>
      </c>
      <c r="D5" s="300" t="s">
        <v>1166</v>
      </c>
    </row>
    <row r="6" spans="1:4" s="83" customFormat="1" ht="12.95" customHeight="1" thickBot="1" x14ac:dyDescent="0.25">
      <c r="A6" s="260">
        <v>1</v>
      </c>
      <c r="B6" s="261">
        <v>2</v>
      </c>
      <c r="C6" s="261">
        <v>3</v>
      </c>
      <c r="D6" s="262">
        <v>4</v>
      </c>
    </row>
    <row r="7" spans="1:4" s="83" customFormat="1" ht="15.95" customHeight="1" thickBot="1" x14ac:dyDescent="0.25">
      <c r="A7" s="301"/>
      <c r="B7" s="302"/>
      <c r="C7" s="302" t="s">
        <v>1167</v>
      </c>
      <c r="D7" s="303"/>
    </row>
    <row r="8" spans="1:4" s="135" customFormat="1" ht="12" customHeight="1" thickBot="1" x14ac:dyDescent="0.25">
      <c r="A8" s="260" t="s">
        <v>1125</v>
      </c>
      <c r="B8" s="304"/>
      <c r="C8" s="305" t="s">
        <v>232</v>
      </c>
      <c r="D8" s="462">
        <f>SUM(D9:D16)</f>
        <v>0</v>
      </c>
    </row>
    <row r="9" spans="1:4" s="135" customFormat="1" ht="12" customHeight="1" x14ac:dyDescent="0.2">
      <c r="A9" s="308"/>
      <c r="B9" s="307" t="s">
        <v>60</v>
      </c>
      <c r="C9" s="12" t="s">
        <v>155</v>
      </c>
      <c r="D9" s="525"/>
    </row>
    <row r="10" spans="1:4" s="135" customFormat="1" ht="12" customHeight="1" x14ac:dyDescent="0.2">
      <c r="A10" s="306"/>
      <c r="B10" s="307" t="s">
        <v>61</v>
      </c>
      <c r="C10" s="9" t="s">
        <v>156</v>
      </c>
      <c r="D10" s="460"/>
    </row>
    <row r="11" spans="1:4" s="135" customFormat="1" ht="12" customHeight="1" x14ac:dyDescent="0.2">
      <c r="A11" s="306"/>
      <c r="B11" s="307" t="s">
        <v>62</v>
      </c>
      <c r="C11" s="9" t="s">
        <v>157</v>
      </c>
      <c r="D11" s="460"/>
    </row>
    <row r="12" spans="1:4" s="135" customFormat="1" ht="12" customHeight="1" x14ac:dyDescent="0.2">
      <c r="A12" s="306"/>
      <c r="B12" s="307" t="s">
        <v>63</v>
      </c>
      <c r="C12" s="9" t="s">
        <v>158</v>
      </c>
      <c r="D12" s="460"/>
    </row>
    <row r="13" spans="1:4" s="135" customFormat="1" ht="12" customHeight="1" x14ac:dyDescent="0.2">
      <c r="A13" s="306"/>
      <c r="B13" s="307" t="s">
        <v>113</v>
      </c>
      <c r="C13" s="8" t="s">
        <v>159</v>
      </c>
      <c r="D13" s="460"/>
    </row>
    <row r="14" spans="1:4" s="135" customFormat="1" ht="12" customHeight="1" x14ac:dyDescent="0.2">
      <c r="A14" s="309"/>
      <c r="B14" s="307" t="s">
        <v>64</v>
      </c>
      <c r="C14" s="9" t="s">
        <v>160</v>
      </c>
      <c r="D14" s="526"/>
    </row>
    <row r="15" spans="1:4" s="136" customFormat="1" ht="12" customHeight="1" x14ac:dyDescent="0.2">
      <c r="A15" s="306"/>
      <c r="B15" s="307" t="s">
        <v>65</v>
      </c>
      <c r="C15" s="9" t="s">
        <v>1081</v>
      </c>
      <c r="D15" s="460"/>
    </row>
    <row r="16" spans="1:4" s="136" customFormat="1" ht="12" customHeight="1" thickBot="1" x14ac:dyDescent="0.25">
      <c r="A16" s="310"/>
      <c r="B16" s="311" t="s">
        <v>75</v>
      </c>
      <c r="C16" s="8" t="s">
        <v>219</v>
      </c>
      <c r="D16" s="461"/>
    </row>
    <row r="17" spans="1:4" s="135" customFormat="1" ht="12" customHeight="1" thickBot="1" x14ac:dyDescent="0.25">
      <c r="A17" s="260" t="s">
        <v>1126</v>
      </c>
      <c r="B17" s="304"/>
      <c r="C17" s="305" t="s">
        <v>1082</v>
      </c>
      <c r="D17" s="462">
        <f>SUM(D18:D21)</f>
        <v>0</v>
      </c>
    </row>
    <row r="18" spans="1:4" s="136" customFormat="1" ht="12" customHeight="1" x14ac:dyDescent="0.2">
      <c r="A18" s="306"/>
      <c r="B18" s="307" t="s">
        <v>66</v>
      </c>
      <c r="C18" s="11" t="s">
        <v>1078</v>
      </c>
      <c r="D18" s="460"/>
    </row>
    <row r="19" spans="1:4" s="136" customFormat="1" ht="12" customHeight="1" x14ac:dyDescent="0.2">
      <c r="A19" s="306"/>
      <c r="B19" s="307" t="s">
        <v>67</v>
      </c>
      <c r="C19" s="9" t="s">
        <v>1079</v>
      </c>
      <c r="D19" s="460"/>
    </row>
    <row r="20" spans="1:4" s="136" customFormat="1" ht="12" customHeight="1" x14ac:dyDescent="0.2">
      <c r="A20" s="306"/>
      <c r="B20" s="307" t="s">
        <v>68</v>
      </c>
      <c r="C20" s="9" t="s">
        <v>1080</v>
      </c>
      <c r="D20" s="460"/>
    </row>
    <row r="21" spans="1:4" s="136" customFormat="1" ht="12" customHeight="1" thickBot="1" x14ac:dyDescent="0.25">
      <c r="A21" s="306"/>
      <c r="B21" s="307" t="s">
        <v>69</v>
      </c>
      <c r="C21" s="9" t="s">
        <v>1079</v>
      </c>
      <c r="D21" s="460"/>
    </row>
    <row r="22" spans="1:4" s="136" customFormat="1" ht="12" customHeight="1" thickBot="1" x14ac:dyDescent="0.25">
      <c r="A22" s="268" t="s">
        <v>1127</v>
      </c>
      <c r="B22" s="167"/>
      <c r="C22" s="167" t="s">
        <v>1083</v>
      </c>
      <c r="D22" s="462">
        <f>+D23+D24</f>
        <v>0</v>
      </c>
    </row>
    <row r="23" spans="1:4" s="136" customFormat="1" ht="12" customHeight="1" x14ac:dyDescent="0.2">
      <c r="A23" s="511"/>
      <c r="B23" s="553" t="s">
        <v>40</v>
      </c>
      <c r="C23" s="185" t="s">
        <v>271</v>
      </c>
      <c r="D23" s="559"/>
    </row>
    <row r="24" spans="1:4" s="136" customFormat="1" ht="12" customHeight="1" thickBot="1" x14ac:dyDescent="0.25">
      <c r="A24" s="551"/>
      <c r="B24" s="552" t="s">
        <v>41</v>
      </c>
      <c r="C24" s="186" t="s">
        <v>275</v>
      </c>
      <c r="D24" s="560"/>
    </row>
    <row r="25" spans="1:4" s="136" customFormat="1" ht="12" customHeight="1" thickBot="1" x14ac:dyDescent="0.25">
      <c r="A25" s="268" t="s">
        <v>1128</v>
      </c>
      <c r="B25" s="167"/>
      <c r="C25" s="167" t="s">
        <v>261</v>
      </c>
      <c r="D25" s="491"/>
    </row>
    <row r="26" spans="1:4" s="135" customFormat="1" ht="12" customHeight="1" thickBot="1" x14ac:dyDescent="0.25">
      <c r="A26" s="268" t="s">
        <v>1129</v>
      </c>
      <c r="B26" s="304"/>
      <c r="C26" s="167" t="s">
        <v>1084</v>
      </c>
      <c r="D26" s="491"/>
    </row>
    <row r="27" spans="1:4" s="135" customFormat="1" ht="12" customHeight="1" thickBot="1" x14ac:dyDescent="0.25">
      <c r="A27" s="260" t="s">
        <v>1130</v>
      </c>
      <c r="B27" s="214"/>
      <c r="C27" s="167" t="s">
        <v>1089</v>
      </c>
      <c r="D27" s="531">
        <f>+D8+D17+D22+D25+D26</f>
        <v>0</v>
      </c>
    </row>
    <row r="28" spans="1:4" s="135" customFormat="1" ht="12" customHeight="1" thickBot="1" x14ac:dyDescent="0.25">
      <c r="A28" s="548" t="s">
        <v>1131</v>
      </c>
      <c r="B28" s="557"/>
      <c r="C28" s="550" t="s">
        <v>1085</v>
      </c>
      <c r="D28" s="561">
        <f>+D29+D30</f>
        <v>0</v>
      </c>
    </row>
    <row r="29" spans="1:4" s="135" customFormat="1" ht="12" customHeight="1" x14ac:dyDescent="0.2">
      <c r="A29" s="308"/>
      <c r="B29" s="212" t="s">
        <v>54</v>
      </c>
      <c r="C29" s="185" t="s">
        <v>380</v>
      </c>
      <c r="D29" s="559"/>
    </row>
    <row r="30" spans="1:4" s="136" customFormat="1" ht="12" customHeight="1" thickBot="1" x14ac:dyDescent="0.25">
      <c r="A30" s="558"/>
      <c r="B30" s="213" t="s">
        <v>55</v>
      </c>
      <c r="C30" s="549" t="s">
        <v>1086</v>
      </c>
      <c r="D30" s="121"/>
    </row>
    <row r="31" spans="1:4" s="136" customFormat="1" ht="12" customHeight="1" thickBot="1" x14ac:dyDescent="0.25">
      <c r="A31" s="318" t="s">
        <v>1132</v>
      </c>
      <c r="B31" s="546"/>
      <c r="C31" s="547" t="s">
        <v>1087</v>
      </c>
      <c r="D31" s="529"/>
    </row>
    <row r="32" spans="1:4" s="136" customFormat="1" ht="15" customHeight="1" thickBot="1" x14ac:dyDescent="0.25">
      <c r="A32" s="318" t="s">
        <v>1133</v>
      </c>
      <c r="B32" s="319"/>
      <c r="C32" s="320" t="s">
        <v>1088</v>
      </c>
      <c r="D32" s="535">
        <f>+D27+D28+D31</f>
        <v>0</v>
      </c>
    </row>
    <row r="33" spans="1:4" s="136" customFormat="1" ht="15" customHeight="1" x14ac:dyDescent="0.2">
      <c r="A33" s="321"/>
      <c r="B33" s="321"/>
      <c r="C33" s="322"/>
      <c r="D33" s="533"/>
    </row>
    <row r="34" spans="1:4" ht="13.5" thickBot="1" x14ac:dyDescent="0.25">
      <c r="A34" s="323"/>
      <c r="B34" s="324"/>
      <c r="C34" s="324"/>
      <c r="D34" s="534"/>
    </row>
    <row r="35" spans="1:4" s="83" customFormat="1" ht="16.5" customHeight="1" thickBot="1" x14ac:dyDescent="0.25">
      <c r="A35" s="325"/>
      <c r="B35" s="326"/>
      <c r="C35" s="327" t="s">
        <v>1</v>
      </c>
      <c r="D35" s="535"/>
    </row>
    <row r="36" spans="1:4" s="137" customFormat="1" ht="12" customHeight="1" thickBot="1" x14ac:dyDescent="0.25">
      <c r="A36" s="268" t="s">
        <v>1125</v>
      </c>
      <c r="B36" s="24"/>
      <c r="C36" s="167" t="s">
        <v>1076</v>
      </c>
      <c r="D36" s="462">
        <f>SUM(D37:D41)</f>
        <v>0</v>
      </c>
    </row>
    <row r="37" spans="1:4" ht="12" customHeight="1" x14ac:dyDescent="0.2">
      <c r="A37" s="328"/>
      <c r="B37" s="211" t="s">
        <v>60</v>
      </c>
      <c r="C37" s="11" t="s">
        <v>1156</v>
      </c>
      <c r="D37" s="114"/>
    </row>
    <row r="38" spans="1:4" ht="12" customHeight="1" x14ac:dyDescent="0.2">
      <c r="A38" s="329"/>
      <c r="B38" s="194" t="s">
        <v>61</v>
      </c>
      <c r="C38" s="9" t="s">
        <v>186</v>
      </c>
      <c r="D38" s="117"/>
    </row>
    <row r="39" spans="1:4" ht="12" customHeight="1" x14ac:dyDescent="0.2">
      <c r="A39" s="329"/>
      <c r="B39" s="194" t="s">
        <v>62</v>
      </c>
      <c r="C39" s="9" t="s">
        <v>103</v>
      </c>
      <c r="D39" s="117"/>
    </row>
    <row r="40" spans="1:4" ht="12" customHeight="1" x14ac:dyDescent="0.2">
      <c r="A40" s="329"/>
      <c r="B40" s="194" t="s">
        <v>63</v>
      </c>
      <c r="C40" s="9" t="s">
        <v>187</v>
      </c>
      <c r="D40" s="117"/>
    </row>
    <row r="41" spans="1:4" ht="12" customHeight="1" thickBot="1" x14ac:dyDescent="0.25">
      <c r="A41" s="329"/>
      <c r="B41" s="194" t="s">
        <v>74</v>
      </c>
      <c r="C41" s="9" t="s">
        <v>188</v>
      </c>
      <c r="D41" s="117"/>
    </row>
    <row r="42" spans="1:4" ht="12" customHeight="1" thickBot="1" x14ac:dyDescent="0.25">
      <c r="A42" s="268" t="s">
        <v>1126</v>
      </c>
      <c r="B42" s="24"/>
      <c r="C42" s="167" t="s">
        <v>1093</v>
      </c>
      <c r="D42" s="462">
        <f>SUM(D43:D46)</f>
        <v>0</v>
      </c>
    </row>
    <row r="43" spans="1:4" s="137" customFormat="1" ht="12" customHeight="1" x14ac:dyDescent="0.2">
      <c r="A43" s="328"/>
      <c r="B43" s="211" t="s">
        <v>66</v>
      </c>
      <c r="C43" s="11" t="s">
        <v>304</v>
      </c>
      <c r="D43" s="114"/>
    </row>
    <row r="44" spans="1:4" ht="12" customHeight="1" x14ac:dyDescent="0.2">
      <c r="A44" s="329"/>
      <c r="B44" s="194" t="s">
        <v>67</v>
      </c>
      <c r="C44" s="9" t="s">
        <v>190</v>
      </c>
      <c r="D44" s="117"/>
    </row>
    <row r="45" spans="1:4" ht="12" customHeight="1" x14ac:dyDescent="0.2">
      <c r="A45" s="329"/>
      <c r="B45" s="194" t="s">
        <v>70</v>
      </c>
      <c r="C45" s="9" t="s">
        <v>2</v>
      </c>
      <c r="D45" s="117"/>
    </row>
    <row r="46" spans="1:4" ht="12" customHeight="1" thickBot="1" x14ac:dyDescent="0.25">
      <c r="A46" s="329"/>
      <c r="B46" s="194" t="s">
        <v>81</v>
      </c>
      <c r="C46" s="9" t="s">
        <v>1090</v>
      </c>
      <c r="D46" s="117"/>
    </row>
    <row r="47" spans="1:4" ht="12" customHeight="1" thickBot="1" x14ac:dyDescent="0.25">
      <c r="A47" s="268" t="s">
        <v>1127</v>
      </c>
      <c r="B47" s="24"/>
      <c r="C47" s="24" t="s">
        <v>1091</v>
      </c>
      <c r="D47" s="491"/>
    </row>
    <row r="48" spans="1:4" s="136" customFormat="1" ht="12" customHeight="1" thickBot="1" x14ac:dyDescent="0.25">
      <c r="A48" s="318" t="s">
        <v>1128</v>
      </c>
      <c r="B48" s="546"/>
      <c r="C48" s="547" t="s">
        <v>1094</v>
      </c>
      <c r="D48" s="529"/>
    </row>
    <row r="49" spans="1:4" ht="15" customHeight="1" thickBot="1" x14ac:dyDescent="0.25">
      <c r="A49" s="268" t="s">
        <v>1129</v>
      </c>
      <c r="B49" s="315"/>
      <c r="C49" s="331" t="s">
        <v>1092</v>
      </c>
      <c r="D49" s="542">
        <f>+D36+D42+D47+D48</f>
        <v>0</v>
      </c>
    </row>
    <row r="50" spans="1:4" ht="13.5" thickBot="1" x14ac:dyDescent="0.25">
      <c r="D50" s="543"/>
    </row>
    <row r="51" spans="1:4" ht="15" customHeight="1" thickBot="1" x14ac:dyDescent="0.25">
      <c r="A51" s="334" t="s">
        <v>230</v>
      </c>
      <c r="B51" s="335"/>
      <c r="C51" s="336"/>
      <c r="D51" s="165"/>
    </row>
    <row r="52" spans="1:4" ht="14.25" customHeight="1" thickBot="1" x14ac:dyDescent="0.25">
      <c r="A52" s="334" t="s">
        <v>231</v>
      </c>
      <c r="B52" s="335"/>
      <c r="C52" s="336"/>
      <c r="D52" s="165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92"/>
      <c r="B1" s="293"/>
      <c r="C1" s="340"/>
      <c r="D1" s="339" t="s">
        <v>479</v>
      </c>
    </row>
    <row r="2" spans="1:4" s="133" customFormat="1" ht="25.5" customHeight="1" x14ac:dyDescent="0.2">
      <c r="A2" s="1257" t="s">
        <v>226</v>
      </c>
      <c r="B2" s="1258"/>
      <c r="C2" s="337" t="s">
        <v>233</v>
      </c>
      <c r="D2" s="341" t="s">
        <v>7</v>
      </c>
    </row>
    <row r="3" spans="1:4" s="133" customFormat="1" ht="16.5" thickBot="1" x14ac:dyDescent="0.25">
      <c r="A3" s="295" t="s">
        <v>225</v>
      </c>
      <c r="B3" s="296"/>
      <c r="C3" s="338" t="s">
        <v>5</v>
      </c>
      <c r="D3" s="343" t="s">
        <v>1161</v>
      </c>
    </row>
    <row r="4" spans="1:4" s="134" customFormat="1" ht="15.95" customHeight="1" thickBot="1" x14ac:dyDescent="0.3">
      <c r="A4" s="297"/>
      <c r="B4" s="297"/>
      <c r="C4" s="297"/>
      <c r="D4" s="298" t="s">
        <v>1164</v>
      </c>
    </row>
    <row r="5" spans="1:4" ht="13.5" thickBot="1" x14ac:dyDescent="0.25">
      <c r="A5" s="1259" t="s">
        <v>227</v>
      </c>
      <c r="B5" s="1260"/>
      <c r="C5" s="299" t="s">
        <v>1165</v>
      </c>
      <c r="D5" s="300" t="s">
        <v>1166</v>
      </c>
    </row>
    <row r="6" spans="1:4" s="83" customFormat="1" ht="12.95" customHeight="1" thickBot="1" x14ac:dyDescent="0.25">
      <c r="A6" s="260">
        <v>1</v>
      </c>
      <c r="B6" s="261">
        <v>2</v>
      </c>
      <c r="C6" s="261">
        <v>3</v>
      </c>
      <c r="D6" s="262">
        <v>4</v>
      </c>
    </row>
    <row r="7" spans="1:4" s="83" customFormat="1" ht="15.95" customHeight="1" thickBot="1" x14ac:dyDescent="0.25">
      <c r="A7" s="301"/>
      <c r="B7" s="302"/>
      <c r="C7" s="302" t="s">
        <v>1167</v>
      </c>
      <c r="D7" s="303"/>
    </row>
    <row r="8" spans="1:4" s="135" customFormat="1" ht="12" customHeight="1" thickBot="1" x14ac:dyDescent="0.25">
      <c r="A8" s="260" t="s">
        <v>1125</v>
      </c>
      <c r="B8" s="304"/>
      <c r="C8" s="305" t="s">
        <v>232</v>
      </c>
      <c r="D8" s="462">
        <f>SUM(D9:D16)</f>
        <v>0</v>
      </c>
    </row>
    <row r="9" spans="1:4" s="135" customFormat="1" ht="12" customHeight="1" x14ac:dyDescent="0.2">
      <c r="A9" s="308"/>
      <c r="B9" s="307" t="s">
        <v>60</v>
      </c>
      <c r="C9" s="12" t="s">
        <v>155</v>
      </c>
      <c r="D9" s="525"/>
    </row>
    <row r="10" spans="1:4" s="135" customFormat="1" ht="12" customHeight="1" x14ac:dyDescent="0.2">
      <c r="A10" s="306"/>
      <c r="B10" s="307" t="s">
        <v>61</v>
      </c>
      <c r="C10" s="9" t="s">
        <v>156</v>
      </c>
      <c r="D10" s="460"/>
    </row>
    <row r="11" spans="1:4" s="135" customFormat="1" ht="12" customHeight="1" x14ac:dyDescent="0.2">
      <c r="A11" s="306"/>
      <c r="B11" s="307" t="s">
        <v>62</v>
      </c>
      <c r="C11" s="9" t="s">
        <v>157</v>
      </c>
      <c r="D11" s="460"/>
    </row>
    <row r="12" spans="1:4" s="135" customFormat="1" ht="12" customHeight="1" x14ac:dyDescent="0.2">
      <c r="A12" s="306"/>
      <c r="B12" s="307" t="s">
        <v>63</v>
      </c>
      <c r="C12" s="9" t="s">
        <v>158</v>
      </c>
      <c r="D12" s="460"/>
    </row>
    <row r="13" spans="1:4" s="135" customFormat="1" ht="12" customHeight="1" x14ac:dyDescent="0.2">
      <c r="A13" s="306"/>
      <c r="B13" s="307" t="s">
        <v>113</v>
      </c>
      <c r="C13" s="8" t="s">
        <v>159</v>
      </c>
      <c r="D13" s="460"/>
    </row>
    <row r="14" spans="1:4" s="135" customFormat="1" ht="12" customHeight="1" x14ac:dyDescent="0.2">
      <c r="A14" s="309"/>
      <c r="B14" s="307" t="s">
        <v>64</v>
      </c>
      <c r="C14" s="9" t="s">
        <v>160</v>
      </c>
      <c r="D14" s="526"/>
    </row>
    <row r="15" spans="1:4" s="136" customFormat="1" ht="12" customHeight="1" x14ac:dyDescent="0.2">
      <c r="A15" s="306"/>
      <c r="B15" s="307" t="s">
        <v>65</v>
      </c>
      <c r="C15" s="9" t="s">
        <v>1081</v>
      </c>
      <c r="D15" s="460"/>
    </row>
    <row r="16" spans="1:4" s="136" customFormat="1" ht="12" customHeight="1" thickBot="1" x14ac:dyDescent="0.25">
      <c r="A16" s="310"/>
      <c r="B16" s="311" t="s">
        <v>75</v>
      </c>
      <c r="C16" s="8" t="s">
        <v>219</v>
      </c>
      <c r="D16" s="461"/>
    </row>
    <row r="17" spans="1:4" s="135" customFormat="1" ht="12" customHeight="1" thickBot="1" x14ac:dyDescent="0.25">
      <c r="A17" s="260" t="s">
        <v>1126</v>
      </c>
      <c r="B17" s="304"/>
      <c r="C17" s="305" t="s">
        <v>1082</v>
      </c>
      <c r="D17" s="462">
        <f>SUM(D18:D21)</f>
        <v>0</v>
      </c>
    </row>
    <row r="18" spans="1:4" s="136" customFormat="1" ht="12" customHeight="1" x14ac:dyDescent="0.2">
      <c r="A18" s="306"/>
      <c r="B18" s="307" t="s">
        <v>66</v>
      </c>
      <c r="C18" s="11" t="s">
        <v>1078</v>
      </c>
      <c r="D18" s="460"/>
    </row>
    <row r="19" spans="1:4" s="136" customFormat="1" ht="12" customHeight="1" x14ac:dyDescent="0.2">
      <c r="A19" s="306"/>
      <c r="B19" s="307" t="s">
        <v>67</v>
      </c>
      <c r="C19" s="9" t="s">
        <v>1079</v>
      </c>
      <c r="D19" s="460"/>
    </row>
    <row r="20" spans="1:4" s="136" customFormat="1" ht="12" customHeight="1" x14ac:dyDescent="0.2">
      <c r="A20" s="306"/>
      <c r="B20" s="307" t="s">
        <v>68</v>
      </c>
      <c r="C20" s="9" t="s">
        <v>1080</v>
      </c>
      <c r="D20" s="460"/>
    </row>
    <row r="21" spans="1:4" s="136" customFormat="1" ht="12" customHeight="1" thickBot="1" x14ac:dyDescent="0.25">
      <c r="A21" s="306"/>
      <c r="B21" s="307" t="s">
        <v>69</v>
      </c>
      <c r="C21" s="9" t="s">
        <v>1079</v>
      </c>
      <c r="D21" s="460"/>
    </row>
    <row r="22" spans="1:4" s="136" customFormat="1" ht="12" customHeight="1" thickBot="1" x14ac:dyDescent="0.25">
      <c r="A22" s="268" t="s">
        <v>1127</v>
      </c>
      <c r="B22" s="167"/>
      <c r="C22" s="167" t="s">
        <v>1083</v>
      </c>
      <c r="D22" s="462">
        <f>+D23+D24</f>
        <v>0</v>
      </c>
    </row>
    <row r="23" spans="1:4" s="135" customFormat="1" ht="12" customHeight="1" x14ac:dyDescent="0.2">
      <c r="A23" s="511"/>
      <c r="B23" s="553" t="s">
        <v>40</v>
      </c>
      <c r="C23" s="185" t="s">
        <v>271</v>
      </c>
      <c r="D23" s="559"/>
    </row>
    <row r="24" spans="1:4" s="135" customFormat="1" ht="12" customHeight="1" thickBot="1" x14ac:dyDescent="0.25">
      <c r="A24" s="551"/>
      <c r="B24" s="552" t="s">
        <v>41</v>
      </c>
      <c r="C24" s="186" t="s">
        <v>275</v>
      </c>
      <c r="D24" s="560"/>
    </row>
    <row r="25" spans="1:4" s="135" customFormat="1" ht="12" customHeight="1" thickBot="1" x14ac:dyDescent="0.25">
      <c r="A25" s="268" t="s">
        <v>1128</v>
      </c>
      <c r="B25" s="304"/>
      <c r="C25" s="167" t="s">
        <v>1100</v>
      </c>
      <c r="D25" s="491"/>
    </row>
    <row r="26" spans="1:4" s="136" customFormat="1" ht="12" customHeight="1" thickBot="1" x14ac:dyDescent="0.25">
      <c r="A26" s="260" t="s">
        <v>1129</v>
      </c>
      <c r="B26" s="214"/>
      <c r="C26" s="167" t="s">
        <v>1096</v>
      </c>
      <c r="D26" s="531"/>
    </row>
    <row r="27" spans="1:4" s="136" customFormat="1" ht="15" customHeight="1" thickBot="1" x14ac:dyDescent="0.25">
      <c r="A27" s="548" t="s">
        <v>1130</v>
      </c>
      <c r="B27" s="557"/>
      <c r="C27" s="550" t="s">
        <v>1098</v>
      </c>
      <c r="D27" s="561">
        <f>+D28+D29</f>
        <v>0</v>
      </c>
    </row>
    <row r="28" spans="1:4" s="136" customFormat="1" ht="15" customHeight="1" x14ac:dyDescent="0.2">
      <c r="A28" s="308"/>
      <c r="B28" s="212" t="s">
        <v>47</v>
      </c>
      <c r="C28" s="185" t="s">
        <v>380</v>
      </c>
      <c r="D28" s="559"/>
    </row>
    <row r="29" spans="1:4" ht="15.75" thickBot="1" x14ac:dyDescent="0.25">
      <c r="A29" s="558"/>
      <c r="B29" s="213" t="s">
        <v>48</v>
      </c>
      <c r="C29" s="549" t="s">
        <v>1086</v>
      </c>
      <c r="D29" s="121"/>
    </row>
    <row r="30" spans="1:4" s="83" customFormat="1" ht="16.5" customHeight="1" thickBot="1" x14ac:dyDescent="0.25">
      <c r="A30" s="318" t="s">
        <v>1131</v>
      </c>
      <c r="B30" s="546"/>
      <c r="C30" s="547" t="s">
        <v>1099</v>
      </c>
      <c r="D30" s="529"/>
    </row>
    <row r="31" spans="1:4" s="137" customFormat="1" ht="12" customHeight="1" thickBot="1" x14ac:dyDescent="0.25">
      <c r="A31" s="318" t="s">
        <v>1132</v>
      </c>
      <c r="B31" s="319"/>
      <c r="C31" s="320" t="s">
        <v>1097</v>
      </c>
      <c r="D31" s="535">
        <f>+D26+D27+D30</f>
        <v>0</v>
      </c>
    </row>
    <row r="32" spans="1:4" ht="12" customHeight="1" x14ac:dyDescent="0.2">
      <c r="A32" s="321"/>
      <c r="B32" s="321"/>
      <c r="C32" s="322"/>
      <c r="D32" s="533"/>
    </row>
    <row r="33" spans="1:4" ht="12" customHeight="1" thickBot="1" x14ac:dyDescent="0.25">
      <c r="A33" s="323"/>
      <c r="B33" s="324"/>
      <c r="C33" s="324"/>
      <c r="D33" s="534"/>
    </row>
    <row r="34" spans="1:4" ht="12" customHeight="1" thickBot="1" x14ac:dyDescent="0.25">
      <c r="A34" s="325"/>
      <c r="B34" s="326"/>
      <c r="C34" s="327" t="s">
        <v>1</v>
      </c>
      <c r="D34" s="535"/>
    </row>
    <row r="35" spans="1:4" ht="12" customHeight="1" thickBot="1" x14ac:dyDescent="0.25">
      <c r="A35" s="268" t="s">
        <v>1125</v>
      </c>
      <c r="B35" s="24"/>
      <c r="C35" s="167" t="s">
        <v>1076</v>
      </c>
      <c r="D35" s="462">
        <f>SUM(D36:D40)</f>
        <v>0</v>
      </c>
    </row>
    <row r="36" spans="1:4" ht="12" customHeight="1" x14ac:dyDescent="0.2">
      <c r="A36" s="328"/>
      <c r="B36" s="211" t="s">
        <v>60</v>
      </c>
      <c r="C36" s="11" t="s">
        <v>1156</v>
      </c>
      <c r="D36" s="114"/>
    </row>
    <row r="37" spans="1:4" ht="12" customHeight="1" x14ac:dyDescent="0.2">
      <c r="A37" s="329"/>
      <c r="B37" s="194" t="s">
        <v>61</v>
      </c>
      <c r="C37" s="9" t="s">
        <v>186</v>
      </c>
      <c r="D37" s="117"/>
    </row>
    <row r="38" spans="1:4" s="137" customFormat="1" ht="12" customHeight="1" x14ac:dyDescent="0.2">
      <c r="A38" s="329"/>
      <c r="B38" s="194" t="s">
        <v>62</v>
      </c>
      <c r="C38" s="9" t="s">
        <v>103</v>
      </c>
      <c r="D38" s="117"/>
    </row>
    <row r="39" spans="1:4" ht="12" customHeight="1" x14ac:dyDescent="0.2">
      <c r="A39" s="329"/>
      <c r="B39" s="194" t="s">
        <v>63</v>
      </c>
      <c r="C39" s="9" t="s">
        <v>187</v>
      </c>
      <c r="D39" s="117"/>
    </row>
    <row r="40" spans="1:4" ht="12" customHeight="1" thickBot="1" x14ac:dyDescent="0.25">
      <c r="A40" s="329"/>
      <c r="B40" s="194" t="s">
        <v>74</v>
      </c>
      <c r="C40" s="9" t="s">
        <v>188</v>
      </c>
      <c r="D40" s="117"/>
    </row>
    <row r="41" spans="1:4" ht="12" customHeight="1" thickBot="1" x14ac:dyDescent="0.25">
      <c r="A41" s="268" t="s">
        <v>1126</v>
      </c>
      <c r="B41" s="24"/>
      <c r="C41" s="167" t="s">
        <v>1093</v>
      </c>
      <c r="D41" s="462">
        <f>SUM(D42:D45)</f>
        <v>0</v>
      </c>
    </row>
    <row r="42" spans="1:4" ht="12" customHeight="1" x14ac:dyDescent="0.2">
      <c r="A42" s="328"/>
      <c r="B42" s="211" t="s">
        <v>66</v>
      </c>
      <c r="C42" s="11" t="s">
        <v>304</v>
      </c>
      <c r="D42" s="114"/>
    </row>
    <row r="43" spans="1:4" ht="15" customHeight="1" x14ac:dyDescent="0.2">
      <c r="A43" s="329"/>
      <c r="B43" s="194" t="s">
        <v>67</v>
      </c>
      <c r="C43" s="9" t="s">
        <v>190</v>
      </c>
      <c r="D43" s="117"/>
    </row>
    <row r="44" spans="1:4" x14ac:dyDescent="0.2">
      <c r="A44" s="329"/>
      <c r="B44" s="194" t="s">
        <v>70</v>
      </c>
      <c r="C44" s="9" t="s">
        <v>2</v>
      </c>
      <c r="D44" s="117"/>
    </row>
    <row r="45" spans="1:4" ht="15" customHeight="1" thickBot="1" x14ac:dyDescent="0.25">
      <c r="A45" s="329"/>
      <c r="B45" s="194" t="s">
        <v>81</v>
      </c>
      <c r="C45" s="9" t="s">
        <v>1090</v>
      </c>
      <c r="D45" s="117"/>
    </row>
    <row r="46" spans="1:4" ht="14.25" customHeight="1" thickBot="1" x14ac:dyDescent="0.25">
      <c r="A46" s="268" t="s">
        <v>1127</v>
      </c>
      <c r="B46" s="24"/>
      <c r="C46" s="24" t="s">
        <v>1091</v>
      </c>
      <c r="D46" s="491"/>
    </row>
    <row r="47" spans="1:4" ht="13.5" thickBot="1" x14ac:dyDescent="0.25">
      <c r="A47" s="318" t="s">
        <v>1128</v>
      </c>
      <c r="B47" s="546"/>
      <c r="C47" s="547" t="s">
        <v>1094</v>
      </c>
      <c r="D47" s="529"/>
    </row>
    <row r="48" spans="1:4" ht="13.5" thickBot="1" x14ac:dyDescent="0.25">
      <c r="A48" s="268" t="s">
        <v>1129</v>
      </c>
      <c r="B48" s="315"/>
      <c r="C48" s="331" t="s">
        <v>1092</v>
      </c>
      <c r="D48" s="542">
        <f>+D35+D41+D46+D47</f>
        <v>0</v>
      </c>
    </row>
    <row r="49" spans="1:4" ht="13.5" thickBot="1" x14ac:dyDescent="0.25">
      <c r="A49" s="332"/>
      <c r="B49" s="333"/>
      <c r="C49" s="333"/>
      <c r="D49" s="543"/>
    </row>
    <row r="50" spans="1:4" ht="13.5" thickBot="1" x14ac:dyDescent="0.25">
      <c r="A50" s="334" t="s">
        <v>230</v>
      </c>
      <c r="B50" s="335"/>
      <c r="C50" s="336"/>
      <c r="D50" s="165"/>
    </row>
    <row r="51" spans="1:4" ht="13.5" thickBot="1" x14ac:dyDescent="0.25">
      <c r="A51" s="334" t="s">
        <v>231</v>
      </c>
      <c r="B51" s="335"/>
      <c r="C51" s="336"/>
      <c r="D51" s="165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118</v>
      </c>
    </row>
    <row r="4" spans="1:2" x14ac:dyDescent="0.2">
      <c r="A4" s="179"/>
      <c r="B4" s="179"/>
    </row>
    <row r="5" spans="1:2" s="192" customFormat="1" ht="15.75" x14ac:dyDescent="0.25">
      <c r="A5" s="126" t="s">
        <v>474</v>
      </c>
      <c r="B5" s="191"/>
    </row>
    <row r="6" spans="1:2" x14ac:dyDescent="0.2">
      <c r="A6" s="179"/>
      <c r="B6" s="179"/>
    </row>
    <row r="7" spans="1:2" x14ac:dyDescent="0.2">
      <c r="A7" s="179" t="s">
        <v>216</v>
      </c>
      <c r="B7" s="179" t="s">
        <v>481</v>
      </c>
    </row>
    <row r="8" spans="1:2" x14ac:dyDescent="0.2">
      <c r="A8" s="179" t="s">
        <v>119</v>
      </c>
      <c r="B8" s="179" t="s">
        <v>482</v>
      </c>
    </row>
    <row r="9" spans="1:2" x14ac:dyDescent="0.2">
      <c r="A9" s="179" t="s">
        <v>472</v>
      </c>
      <c r="B9" s="179" t="s">
        <v>483</v>
      </c>
    </row>
    <row r="10" spans="1:2" x14ac:dyDescent="0.2">
      <c r="A10" s="179"/>
      <c r="B10" s="179"/>
    </row>
    <row r="11" spans="1:2" x14ac:dyDescent="0.2">
      <c r="A11" s="179"/>
      <c r="B11" s="179"/>
    </row>
    <row r="12" spans="1:2" s="192" customFormat="1" ht="15.75" x14ac:dyDescent="0.25">
      <c r="A12" s="126" t="s">
        <v>475</v>
      </c>
      <c r="B12" s="191"/>
    </row>
    <row r="13" spans="1:2" x14ac:dyDescent="0.2">
      <c r="A13" s="179"/>
      <c r="B13" s="179"/>
    </row>
    <row r="14" spans="1:2" x14ac:dyDescent="0.2">
      <c r="A14" s="179" t="s">
        <v>143</v>
      </c>
      <c r="B14" s="179" t="s">
        <v>484</v>
      </c>
    </row>
    <row r="15" spans="1:2" x14ac:dyDescent="0.2">
      <c r="A15" s="179" t="s">
        <v>120</v>
      </c>
      <c r="B15" s="179" t="s">
        <v>485</v>
      </c>
    </row>
    <row r="16" spans="1:2" x14ac:dyDescent="0.2">
      <c r="A16" s="179" t="s">
        <v>473</v>
      </c>
      <c r="B16" s="179" t="s">
        <v>486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92"/>
      <c r="B1" s="293"/>
      <c r="C1" s="340"/>
      <c r="D1" s="339" t="s">
        <v>478</v>
      </c>
    </row>
    <row r="2" spans="1:4" s="133" customFormat="1" ht="25.5" customHeight="1" x14ac:dyDescent="0.2">
      <c r="A2" s="1257" t="s">
        <v>226</v>
      </c>
      <c r="B2" s="1258"/>
      <c r="C2" s="337" t="s">
        <v>233</v>
      </c>
      <c r="D2" s="341" t="s">
        <v>7</v>
      </c>
    </row>
    <row r="3" spans="1:4" s="133" customFormat="1" ht="16.5" thickBot="1" x14ac:dyDescent="0.25">
      <c r="A3" s="295" t="s">
        <v>225</v>
      </c>
      <c r="B3" s="296"/>
      <c r="C3" s="338" t="s">
        <v>6</v>
      </c>
      <c r="D3" s="343" t="s">
        <v>7</v>
      </c>
    </row>
    <row r="4" spans="1:4" s="134" customFormat="1" ht="15.95" customHeight="1" thickBot="1" x14ac:dyDescent="0.3">
      <c r="A4" s="297"/>
      <c r="B4" s="297"/>
      <c r="C4" s="297"/>
      <c r="D4" s="298" t="s">
        <v>1164</v>
      </c>
    </row>
    <row r="5" spans="1:4" ht="13.5" thickBot="1" x14ac:dyDescent="0.25">
      <c r="A5" s="1259" t="s">
        <v>227</v>
      </c>
      <c r="B5" s="1260"/>
      <c r="C5" s="299" t="s">
        <v>1165</v>
      </c>
      <c r="D5" s="300" t="s">
        <v>1166</v>
      </c>
    </row>
    <row r="6" spans="1:4" s="83" customFormat="1" ht="12.95" customHeight="1" thickBot="1" x14ac:dyDescent="0.25">
      <c r="A6" s="260">
        <v>1</v>
      </c>
      <c r="B6" s="261">
        <v>2</v>
      </c>
      <c r="C6" s="261">
        <v>3</v>
      </c>
      <c r="D6" s="262">
        <v>4</v>
      </c>
    </row>
    <row r="7" spans="1:4" s="83" customFormat="1" ht="15.95" customHeight="1" thickBot="1" x14ac:dyDescent="0.25">
      <c r="A7" s="301"/>
      <c r="B7" s="302"/>
      <c r="C7" s="302" t="s">
        <v>1167</v>
      </c>
      <c r="D7" s="303"/>
    </row>
    <row r="8" spans="1:4" s="135" customFormat="1" ht="12" customHeight="1" thickBot="1" x14ac:dyDescent="0.25">
      <c r="A8" s="260" t="s">
        <v>1125</v>
      </c>
      <c r="B8" s="304"/>
      <c r="C8" s="305" t="s">
        <v>232</v>
      </c>
      <c r="D8" s="462">
        <f>SUM(D9:D16)</f>
        <v>0</v>
      </c>
    </row>
    <row r="9" spans="1:4" s="135" customFormat="1" ht="12" customHeight="1" x14ac:dyDescent="0.2">
      <c r="A9" s="308"/>
      <c r="B9" s="307" t="s">
        <v>60</v>
      </c>
      <c r="C9" s="12" t="s">
        <v>155</v>
      </c>
      <c r="D9" s="525"/>
    </row>
    <row r="10" spans="1:4" s="135" customFormat="1" ht="12" customHeight="1" x14ac:dyDescent="0.2">
      <c r="A10" s="306"/>
      <c r="B10" s="307" t="s">
        <v>61</v>
      </c>
      <c r="C10" s="9" t="s">
        <v>156</v>
      </c>
      <c r="D10" s="460"/>
    </row>
    <row r="11" spans="1:4" s="135" customFormat="1" ht="12" customHeight="1" x14ac:dyDescent="0.2">
      <c r="A11" s="306"/>
      <c r="B11" s="307" t="s">
        <v>62</v>
      </c>
      <c r="C11" s="9" t="s">
        <v>157</v>
      </c>
      <c r="D11" s="460"/>
    </row>
    <row r="12" spans="1:4" s="135" customFormat="1" ht="12" customHeight="1" x14ac:dyDescent="0.2">
      <c r="A12" s="306"/>
      <c r="B12" s="307" t="s">
        <v>63</v>
      </c>
      <c r="C12" s="9" t="s">
        <v>158</v>
      </c>
      <c r="D12" s="460"/>
    </row>
    <row r="13" spans="1:4" s="135" customFormat="1" ht="12" customHeight="1" x14ac:dyDescent="0.2">
      <c r="A13" s="306"/>
      <c r="B13" s="307" t="s">
        <v>113</v>
      </c>
      <c r="C13" s="8" t="s">
        <v>159</v>
      </c>
      <c r="D13" s="460"/>
    </row>
    <row r="14" spans="1:4" s="135" customFormat="1" ht="12" customHeight="1" x14ac:dyDescent="0.2">
      <c r="A14" s="309"/>
      <c r="B14" s="307" t="s">
        <v>64</v>
      </c>
      <c r="C14" s="9" t="s">
        <v>160</v>
      </c>
      <c r="D14" s="526"/>
    </row>
    <row r="15" spans="1:4" s="136" customFormat="1" ht="12" customHeight="1" x14ac:dyDescent="0.2">
      <c r="A15" s="306"/>
      <c r="B15" s="307" t="s">
        <v>65</v>
      </c>
      <c r="C15" s="9" t="s">
        <v>1081</v>
      </c>
      <c r="D15" s="460"/>
    </row>
    <row r="16" spans="1:4" s="136" customFormat="1" ht="12" customHeight="1" thickBot="1" x14ac:dyDescent="0.25">
      <c r="A16" s="310"/>
      <c r="B16" s="311" t="s">
        <v>75</v>
      </c>
      <c r="C16" s="8" t="s">
        <v>219</v>
      </c>
      <c r="D16" s="461"/>
    </row>
    <row r="17" spans="1:4" s="135" customFormat="1" ht="12" customHeight="1" thickBot="1" x14ac:dyDescent="0.25">
      <c r="A17" s="260" t="s">
        <v>1126</v>
      </c>
      <c r="B17" s="304"/>
      <c r="C17" s="305" t="s">
        <v>1082</v>
      </c>
      <c r="D17" s="462">
        <f>SUM(D18:D21)</f>
        <v>0</v>
      </c>
    </row>
    <row r="18" spans="1:4" s="136" customFormat="1" ht="12" customHeight="1" x14ac:dyDescent="0.2">
      <c r="A18" s="306"/>
      <c r="B18" s="307" t="s">
        <v>66</v>
      </c>
      <c r="C18" s="11" t="s">
        <v>1078</v>
      </c>
      <c r="D18" s="460"/>
    </row>
    <row r="19" spans="1:4" s="136" customFormat="1" ht="12" customHeight="1" x14ac:dyDescent="0.2">
      <c r="A19" s="306"/>
      <c r="B19" s="307" t="s">
        <v>67</v>
      </c>
      <c r="C19" s="9" t="s">
        <v>1079</v>
      </c>
      <c r="D19" s="460"/>
    </row>
    <row r="20" spans="1:4" s="136" customFormat="1" ht="12" customHeight="1" x14ac:dyDescent="0.2">
      <c r="A20" s="306"/>
      <c r="B20" s="307" t="s">
        <v>68</v>
      </c>
      <c r="C20" s="9" t="s">
        <v>1080</v>
      </c>
      <c r="D20" s="460"/>
    </row>
    <row r="21" spans="1:4" s="136" customFormat="1" ht="12" customHeight="1" thickBot="1" x14ac:dyDescent="0.25">
      <c r="A21" s="306"/>
      <c r="B21" s="307" t="s">
        <v>69</v>
      </c>
      <c r="C21" s="9" t="s">
        <v>1079</v>
      </c>
      <c r="D21" s="460"/>
    </row>
    <row r="22" spans="1:4" s="136" customFormat="1" ht="12" customHeight="1" thickBot="1" x14ac:dyDescent="0.25">
      <c r="A22" s="268" t="s">
        <v>1127</v>
      </c>
      <c r="B22" s="167"/>
      <c r="C22" s="167" t="s">
        <v>1083</v>
      </c>
      <c r="D22" s="462">
        <f>+D23+D24</f>
        <v>0</v>
      </c>
    </row>
    <row r="23" spans="1:4" s="135" customFormat="1" ht="12" customHeight="1" x14ac:dyDescent="0.2">
      <c r="A23" s="511"/>
      <c r="B23" s="553" t="s">
        <v>40</v>
      </c>
      <c r="C23" s="185" t="s">
        <v>271</v>
      </c>
      <c r="D23" s="559"/>
    </row>
    <row r="24" spans="1:4" s="135" customFormat="1" ht="12" customHeight="1" thickBot="1" x14ac:dyDescent="0.25">
      <c r="A24" s="551"/>
      <c r="B24" s="552" t="s">
        <v>41</v>
      </c>
      <c r="C24" s="186" t="s">
        <v>275</v>
      </c>
      <c r="D24" s="560"/>
    </row>
    <row r="25" spans="1:4" s="135" customFormat="1" ht="12" customHeight="1" thickBot="1" x14ac:dyDescent="0.25">
      <c r="A25" s="268" t="s">
        <v>1128</v>
      </c>
      <c r="B25" s="304"/>
      <c r="C25" s="167" t="s">
        <v>1100</v>
      </c>
      <c r="D25" s="491"/>
    </row>
    <row r="26" spans="1:4" s="135" customFormat="1" ht="12" customHeight="1" thickBot="1" x14ac:dyDescent="0.25">
      <c r="A26" s="260" t="s">
        <v>1129</v>
      </c>
      <c r="B26" s="214"/>
      <c r="C26" s="167" t="s">
        <v>1096</v>
      </c>
      <c r="D26" s="531"/>
    </row>
    <row r="27" spans="1:4" s="136" customFormat="1" ht="12" customHeight="1" thickBot="1" x14ac:dyDescent="0.25">
      <c r="A27" s="548" t="s">
        <v>1130</v>
      </c>
      <c r="B27" s="557"/>
      <c r="C27" s="550" t="s">
        <v>1098</v>
      </c>
      <c r="D27" s="561">
        <f>+D28+D29</f>
        <v>0</v>
      </c>
    </row>
    <row r="28" spans="1:4" s="136" customFormat="1" ht="15" customHeight="1" x14ac:dyDescent="0.2">
      <c r="A28" s="308"/>
      <c r="B28" s="212" t="s">
        <v>47</v>
      </c>
      <c r="C28" s="185" t="s">
        <v>380</v>
      </c>
      <c r="D28" s="559"/>
    </row>
    <row r="29" spans="1:4" s="136" customFormat="1" ht="15" customHeight="1" thickBot="1" x14ac:dyDescent="0.25">
      <c r="A29" s="558"/>
      <c r="B29" s="213" t="s">
        <v>48</v>
      </c>
      <c r="C29" s="549" t="s">
        <v>1086</v>
      </c>
      <c r="D29" s="121"/>
    </row>
    <row r="30" spans="1:4" ht="13.5" thickBot="1" x14ac:dyDescent="0.25">
      <c r="A30" s="318" t="s">
        <v>1131</v>
      </c>
      <c r="B30" s="546"/>
      <c r="C30" s="547" t="s">
        <v>1099</v>
      </c>
      <c r="D30" s="529"/>
    </row>
    <row r="31" spans="1:4" s="83" customFormat="1" ht="16.5" customHeight="1" thickBot="1" x14ac:dyDescent="0.25">
      <c r="A31" s="318" t="s">
        <v>1132</v>
      </c>
      <c r="B31" s="319"/>
      <c r="C31" s="320" t="s">
        <v>1097</v>
      </c>
      <c r="D31" s="535">
        <f>+D26+D27+D30</f>
        <v>0</v>
      </c>
    </row>
    <row r="32" spans="1:4" s="137" customFormat="1" ht="12" customHeight="1" x14ac:dyDescent="0.2">
      <c r="A32" s="321"/>
      <c r="B32" s="321"/>
      <c r="C32" s="322"/>
      <c r="D32" s="533"/>
    </row>
    <row r="33" spans="1:4" ht="12" customHeight="1" thickBot="1" x14ac:dyDescent="0.25">
      <c r="A33" s="323"/>
      <c r="B33" s="324"/>
      <c r="C33" s="324"/>
      <c r="D33" s="534"/>
    </row>
    <row r="34" spans="1:4" ht="12" customHeight="1" thickBot="1" x14ac:dyDescent="0.25">
      <c r="A34" s="325"/>
      <c r="B34" s="326"/>
      <c r="C34" s="327" t="s">
        <v>1</v>
      </c>
      <c r="D34" s="535"/>
    </row>
    <row r="35" spans="1:4" ht="12" customHeight="1" thickBot="1" x14ac:dyDescent="0.25">
      <c r="A35" s="268" t="s">
        <v>1125</v>
      </c>
      <c r="B35" s="24"/>
      <c r="C35" s="167" t="s">
        <v>1076</v>
      </c>
      <c r="D35" s="462">
        <f>SUM(D36:D40)</f>
        <v>0</v>
      </c>
    </row>
    <row r="36" spans="1:4" ht="12" customHeight="1" x14ac:dyDescent="0.2">
      <c r="A36" s="328"/>
      <c r="B36" s="211" t="s">
        <v>60</v>
      </c>
      <c r="C36" s="11" t="s">
        <v>1156</v>
      </c>
      <c r="D36" s="114"/>
    </row>
    <row r="37" spans="1:4" ht="12" customHeight="1" x14ac:dyDescent="0.2">
      <c r="A37" s="329"/>
      <c r="B37" s="194" t="s">
        <v>61</v>
      </c>
      <c r="C37" s="9" t="s">
        <v>186</v>
      </c>
      <c r="D37" s="117"/>
    </row>
    <row r="38" spans="1:4" ht="12" customHeight="1" x14ac:dyDescent="0.2">
      <c r="A38" s="329"/>
      <c r="B38" s="194" t="s">
        <v>62</v>
      </c>
      <c r="C38" s="9" t="s">
        <v>103</v>
      </c>
      <c r="D38" s="117"/>
    </row>
    <row r="39" spans="1:4" s="137" customFormat="1" ht="12" customHeight="1" x14ac:dyDescent="0.2">
      <c r="A39" s="329"/>
      <c r="B39" s="194" t="s">
        <v>63</v>
      </c>
      <c r="C39" s="9" t="s">
        <v>187</v>
      </c>
      <c r="D39" s="117"/>
    </row>
    <row r="40" spans="1:4" ht="12" customHeight="1" thickBot="1" x14ac:dyDescent="0.25">
      <c r="A40" s="329"/>
      <c r="B40" s="194" t="s">
        <v>74</v>
      </c>
      <c r="C40" s="9" t="s">
        <v>188</v>
      </c>
      <c r="D40" s="117"/>
    </row>
    <row r="41" spans="1:4" ht="12" customHeight="1" thickBot="1" x14ac:dyDescent="0.25">
      <c r="A41" s="268" t="s">
        <v>1126</v>
      </c>
      <c r="B41" s="24"/>
      <c r="C41" s="167" t="s">
        <v>1093</v>
      </c>
      <c r="D41" s="462">
        <f>SUM(D42:D45)</f>
        <v>0</v>
      </c>
    </row>
    <row r="42" spans="1:4" ht="12" customHeight="1" x14ac:dyDescent="0.2">
      <c r="A42" s="328"/>
      <c r="B42" s="211" t="s">
        <v>66</v>
      </c>
      <c r="C42" s="11" t="s">
        <v>304</v>
      </c>
      <c r="D42" s="114"/>
    </row>
    <row r="43" spans="1:4" ht="12" customHeight="1" x14ac:dyDescent="0.2">
      <c r="A43" s="329"/>
      <c r="B43" s="194" t="s">
        <v>67</v>
      </c>
      <c r="C43" s="9" t="s">
        <v>190</v>
      </c>
      <c r="D43" s="117"/>
    </row>
    <row r="44" spans="1:4" ht="15" customHeight="1" x14ac:dyDescent="0.2">
      <c r="A44" s="329"/>
      <c r="B44" s="194" t="s">
        <v>70</v>
      </c>
      <c r="C44" s="9" t="s">
        <v>2</v>
      </c>
      <c r="D44" s="117"/>
    </row>
    <row r="45" spans="1:4" ht="13.5" thickBot="1" x14ac:dyDescent="0.25">
      <c r="A45" s="329"/>
      <c r="B45" s="194" t="s">
        <v>81</v>
      </c>
      <c r="C45" s="9" t="s">
        <v>1090</v>
      </c>
      <c r="D45" s="117"/>
    </row>
    <row r="46" spans="1:4" ht="15" customHeight="1" thickBot="1" x14ac:dyDescent="0.25">
      <c r="A46" s="268" t="s">
        <v>1127</v>
      </c>
      <c r="B46" s="24"/>
      <c r="C46" s="24" t="s">
        <v>1091</v>
      </c>
      <c r="D46" s="491"/>
    </row>
    <row r="47" spans="1:4" ht="14.25" customHeight="1" thickBot="1" x14ac:dyDescent="0.25">
      <c r="A47" s="318" t="s">
        <v>1128</v>
      </c>
      <c r="B47" s="546"/>
      <c r="C47" s="547" t="s">
        <v>1094</v>
      </c>
      <c r="D47" s="529"/>
    </row>
    <row r="48" spans="1:4" ht="13.5" thickBot="1" x14ac:dyDescent="0.25">
      <c r="A48" s="268" t="s">
        <v>1129</v>
      </c>
      <c r="B48" s="315"/>
      <c r="C48" s="331" t="s">
        <v>1092</v>
      </c>
      <c r="D48" s="542">
        <f>+D35+D41+D46+D47</f>
        <v>0</v>
      </c>
    </row>
    <row r="49" spans="1:4" ht="13.5" thickBot="1" x14ac:dyDescent="0.25">
      <c r="A49" s="332"/>
      <c r="B49" s="333"/>
      <c r="C49" s="333"/>
      <c r="D49" s="543"/>
    </row>
    <row r="50" spans="1:4" ht="13.5" thickBot="1" x14ac:dyDescent="0.25">
      <c r="A50" s="334" t="s">
        <v>230</v>
      </c>
      <c r="B50" s="335"/>
      <c r="C50" s="336"/>
      <c r="D50" s="165"/>
    </row>
    <row r="51" spans="1:4" ht="13.5" thickBot="1" x14ac:dyDescent="0.25">
      <c r="A51" s="334" t="s">
        <v>231</v>
      </c>
      <c r="B51" s="335"/>
      <c r="C51" s="336"/>
      <c r="D51" s="165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92"/>
      <c r="B1" s="293"/>
      <c r="C1" s="340"/>
      <c r="D1" s="339" t="s">
        <v>477</v>
      </c>
    </row>
    <row r="2" spans="1:4" s="133" customFormat="1" ht="25.5" customHeight="1" x14ac:dyDescent="0.2">
      <c r="A2" s="1257" t="s">
        <v>226</v>
      </c>
      <c r="B2" s="1258"/>
      <c r="C2" s="337" t="s">
        <v>233</v>
      </c>
      <c r="D2" s="341" t="s">
        <v>7</v>
      </c>
    </row>
    <row r="3" spans="1:4" s="133" customFormat="1" ht="16.5" thickBot="1" x14ac:dyDescent="0.25">
      <c r="A3" s="295" t="s">
        <v>225</v>
      </c>
      <c r="B3" s="296"/>
      <c r="C3" s="338" t="s">
        <v>9</v>
      </c>
      <c r="D3" s="343" t="s">
        <v>8</v>
      </c>
    </row>
    <row r="4" spans="1:4" s="134" customFormat="1" ht="15.95" customHeight="1" thickBot="1" x14ac:dyDescent="0.3">
      <c r="A4" s="297"/>
      <c r="B4" s="297"/>
      <c r="C4" s="297"/>
      <c r="D4" s="298" t="s">
        <v>1164</v>
      </c>
    </row>
    <row r="5" spans="1:4" ht="13.5" thickBot="1" x14ac:dyDescent="0.25">
      <c r="A5" s="1259" t="s">
        <v>227</v>
      </c>
      <c r="B5" s="1260"/>
      <c r="C5" s="299" t="s">
        <v>1165</v>
      </c>
      <c r="D5" s="300" t="s">
        <v>1166</v>
      </c>
    </row>
    <row r="6" spans="1:4" s="83" customFormat="1" ht="12.95" customHeight="1" thickBot="1" x14ac:dyDescent="0.25">
      <c r="A6" s="260">
        <v>1</v>
      </c>
      <c r="B6" s="261">
        <v>2</v>
      </c>
      <c r="C6" s="261">
        <v>3</v>
      </c>
      <c r="D6" s="262">
        <v>4</v>
      </c>
    </row>
    <row r="7" spans="1:4" s="83" customFormat="1" ht="15.95" customHeight="1" thickBot="1" x14ac:dyDescent="0.25">
      <c r="A7" s="301"/>
      <c r="B7" s="302"/>
      <c r="C7" s="302" t="s">
        <v>1167</v>
      </c>
      <c r="D7" s="303"/>
    </row>
    <row r="8" spans="1:4" s="135" customFormat="1" ht="12" customHeight="1" thickBot="1" x14ac:dyDescent="0.25">
      <c r="A8" s="260" t="s">
        <v>1125</v>
      </c>
      <c r="B8" s="304"/>
      <c r="C8" s="305" t="s">
        <v>232</v>
      </c>
      <c r="D8" s="462">
        <f>SUM(D9:D16)</f>
        <v>0</v>
      </c>
    </row>
    <row r="9" spans="1:4" s="135" customFormat="1" ht="12" customHeight="1" x14ac:dyDescent="0.2">
      <c r="A9" s="308"/>
      <c r="B9" s="307" t="s">
        <v>60</v>
      </c>
      <c r="C9" s="12" t="s">
        <v>155</v>
      </c>
      <c r="D9" s="525"/>
    </row>
    <row r="10" spans="1:4" s="135" customFormat="1" ht="12" customHeight="1" x14ac:dyDescent="0.2">
      <c r="A10" s="306"/>
      <c r="B10" s="307" t="s">
        <v>61</v>
      </c>
      <c r="C10" s="9" t="s">
        <v>156</v>
      </c>
      <c r="D10" s="460"/>
    </row>
    <row r="11" spans="1:4" s="135" customFormat="1" ht="12" customHeight="1" x14ac:dyDescent="0.2">
      <c r="A11" s="306"/>
      <c r="B11" s="307" t="s">
        <v>62</v>
      </c>
      <c r="C11" s="9" t="s">
        <v>157</v>
      </c>
      <c r="D11" s="460"/>
    </row>
    <row r="12" spans="1:4" s="135" customFormat="1" ht="12" customHeight="1" x14ac:dyDescent="0.2">
      <c r="A12" s="306"/>
      <c r="B12" s="307" t="s">
        <v>63</v>
      </c>
      <c r="C12" s="9" t="s">
        <v>158</v>
      </c>
      <c r="D12" s="460"/>
    </row>
    <row r="13" spans="1:4" s="135" customFormat="1" ht="12" customHeight="1" x14ac:dyDescent="0.2">
      <c r="A13" s="306"/>
      <c r="B13" s="307" t="s">
        <v>113</v>
      </c>
      <c r="C13" s="8" t="s">
        <v>159</v>
      </c>
      <c r="D13" s="460"/>
    </row>
    <row r="14" spans="1:4" s="135" customFormat="1" ht="12" customHeight="1" x14ac:dyDescent="0.2">
      <c r="A14" s="309"/>
      <c r="B14" s="307" t="s">
        <v>64</v>
      </c>
      <c r="C14" s="9" t="s">
        <v>160</v>
      </c>
      <c r="D14" s="526"/>
    </row>
    <row r="15" spans="1:4" s="136" customFormat="1" ht="12" customHeight="1" x14ac:dyDescent="0.2">
      <c r="A15" s="306"/>
      <c r="B15" s="307" t="s">
        <v>65</v>
      </c>
      <c r="C15" s="9" t="s">
        <v>1081</v>
      </c>
      <c r="D15" s="460"/>
    </row>
    <row r="16" spans="1:4" s="136" customFormat="1" ht="12" customHeight="1" thickBot="1" x14ac:dyDescent="0.25">
      <c r="A16" s="310"/>
      <c r="B16" s="311" t="s">
        <v>75</v>
      </c>
      <c r="C16" s="8" t="s">
        <v>219</v>
      </c>
      <c r="D16" s="461"/>
    </row>
    <row r="17" spans="1:4" s="135" customFormat="1" ht="12" customHeight="1" thickBot="1" x14ac:dyDescent="0.25">
      <c r="A17" s="260" t="s">
        <v>1126</v>
      </c>
      <c r="B17" s="304"/>
      <c r="C17" s="305" t="s">
        <v>1082</v>
      </c>
      <c r="D17" s="462">
        <f>SUM(D18:D21)</f>
        <v>0</v>
      </c>
    </row>
    <row r="18" spans="1:4" s="136" customFormat="1" ht="12" customHeight="1" x14ac:dyDescent="0.2">
      <c r="A18" s="306"/>
      <c r="B18" s="307" t="s">
        <v>66</v>
      </c>
      <c r="C18" s="11" t="s">
        <v>1078</v>
      </c>
      <c r="D18" s="460"/>
    </row>
    <row r="19" spans="1:4" s="136" customFormat="1" ht="12" customHeight="1" x14ac:dyDescent="0.2">
      <c r="A19" s="306"/>
      <c r="B19" s="307" t="s">
        <v>67</v>
      </c>
      <c r="C19" s="9" t="s">
        <v>1079</v>
      </c>
      <c r="D19" s="460"/>
    </row>
    <row r="20" spans="1:4" s="136" customFormat="1" ht="12" customHeight="1" x14ac:dyDescent="0.2">
      <c r="A20" s="306"/>
      <c r="B20" s="307" t="s">
        <v>68</v>
      </c>
      <c r="C20" s="9" t="s">
        <v>1080</v>
      </c>
      <c r="D20" s="460"/>
    </row>
    <row r="21" spans="1:4" s="136" customFormat="1" ht="12" customHeight="1" thickBot="1" x14ac:dyDescent="0.25">
      <c r="A21" s="306"/>
      <c r="B21" s="307" t="s">
        <v>69</v>
      </c>
      <c r="C21" s="9" t="s">
        <v>1079</v>
      </c>
      <c r="D21" s="460"/>
    </row>
    <row r="22" spans="1:4" s="136" customFormat="1" ht="12" customHeight="1" thickBot="1" x14ac:dyDescent="0.25">
      <c r="A22" s="268" t="s">
        <v>1127</v>
      </c>
      <c r="B22" s="167"/>
      <c r="C22" s="167" t="s">
        <v>1083</v>
      </c>
      <c r="D22" s="462">
        <f>+D23+D24</f>
        <v>0</v>
      </c>
    </row>
    <row r="23" spans="1:4" s="135" customFormat="1" ht="12" customHeight="1" x14ac:dyDescent="0.2">
      <c r="A23" s="511"/>
      <c r="B23" s="553" t="s">
        <v>40</v>
      </c>
      <c r="C23" s="185" t="s">
        <v>271</v>
      </c>
      <c r="D23" s="559"/>
    </row>
    <row r="24" spans="1:4" s="135" customFormat="1" ht="12" customHeight="1" thickBot="1" x14ac:dyDescent="0.25">
      <c r="A24" s="551"/>
      <c r="B24" s="552" t="s">
        <v>41</v>
      </c>
      <c r="C24" s="186" t="s">
        <v>275</v>
      </c>
      <c r="D24" s="560"/>
    </row>
    <row r="25" spans="1:4" s="135" customFormat="1" ht="12" customHeight="1" thickBot="1" x14ac:dyDescent="0.25">
      <c r="A25" s="268" t="s">
        <v>1128</v>
      </c>
      <c r="B25" s="304"/>
      <c r="C25" s="167" t="s">
        <v>1100</v>
      </c>
      <c r="D25" s="491"/>
    </row>
    <row r="26" spans="1:4" s="135" customFormat="1" ht="12" customHeight="1" thickBot="1" x14ac:dyDescent="0.25">
      <c r="A26" s="260" t="s">
        <v>1129</v>
      </c>
      <c r="B26" s="214"/>
      <c r="C26" s="167" t="s">
        <v>1096</v>
      </c>
      <c r="D26" s="531"/>
    </row>
    <row r="27" spans="1:4" s="136" customFormat="1" ht="12" customHeight="1" thickBot="1" x14ac:dyDescent="0.25">
      <c r="A27" s="548" t="s">
        <v>1130</v>
      </c>
      <c r="B27" s="557"/>
      <c r="C27" s="550" t="s">
        <v>1098</v>
      </c>
      <c r="D27" s="561">
        <f>+D28+D29</f>
        <v>0</v>
      </c>
    </row>
    <row r="28" spans="1:4" s="136" customFormat="1" ht="15" customHeight="1" x14ac:dyDescent="0.2">
      <c r="A28" s="308"/>
      <c r="B28" s="212" t="s">
        <v>47</v>
      </c>
      <c r="C28" s="185" t="s">
        <v>380</v>
      </c>
      <c r="D28" s="559"/>
    </row>
    <row r="29" spans="1:4" s="136" customFormat="1" ht="15" customHeight="1" thickBot="1" x14ac:dyDescent="0.25">
      <c r="A29" s="558"/>
      <c r="B29" s="213" t="s">
        <v>48</v>
      </c>
      <c r="C29" s="549" t="s">
        <v>1086</v>
      </c>
      <c r="D29" s="121"/>
    </row>
    <row r="30" spans="1:4" ht="13.5" thickBot="1" x14ac:dyDescent="0.25">
      <c r="A30" s="318" t="s">
        <v>1131</v>
      </c>
      <c r="B30" s="546"/>
      <c r="C30" s="547" t="s">
        <v>1099</v>
      </c>
      <c r="D30" s="529"/>
    </row>
    <row r="31" spans="1:4" s="83" customFormat="1" ht="16.5" customHeight="1" thickBot="1" x14ac:dyDescent="0.25">
      <c r="A31" s="318" t="s">
        <v>1132</v>
      </c>
      <c r="B31" s="319"/>
      <c r="C31" s="320" t="s">
        <v>1097</v>
      </c>
      <c r="D31" s="535">
        <f>+D26+D27+D30</f>
        <v>0</v>
      </c>
    </row>
    <row r="32" spans="1:4" s="137" customFormat="1" ht="12" customHeight="1" x14ac:dyDescent="0.2">
      <c r="A32" s="321"/>
      <c r="B32" s="321"/>
      <c r="C32" s="322"/>
      <c r="D32" s="533"/>
    </row>
    <row r="33" spans="1:4" ht="12" customHeight="1" thickBot="1" x14ac:dyDescent="0.25">
      <c r="A33" s="323"/>
      <c r="B33" s="324"/>
      <c r="C33" s="324"/>
      <c r="D33" s="534"/>
    </row>
    <row r="34" spans="1:4" ht="12" customHeight="1" thickBot="1" x14ac:dyDescent="0.25">
      <c r="A34" s="325"/>
      <c r="B34" s="326"/>
      <c r="C34" s="327" t="s">
        <v>1</v>
      </c>
      <c r="D34" s="535"/>
    </row>
    <row r="35" spans="1:4" ht="12" customHeight="1" thickBot="1" x14ac:dyDescent="0.25">
      <c r="A35" s="268" t="s">
        <v>1125</v>
      </c>
      <c r="B35" s="24"/>
      <c r="C35" s="167" t="s">
        <v>1076</v>
      </c>
      <c r="D35" s="462">
        <f>SUM(D36:D40)</f>
        <v>0</v>
      </c>
    </row>
    <row r="36" spans="1:4" ht="12" customHeight="1" x14ac:dyDescent="0.2">
      <c r="A36" s="328"/>
      <c r="B36" s="211" t="s">
        <v>60</v>
      </c>
      <c r="C36" s="11" t="s">
        <v>1156</v>
      </c>
      <c r="D36" s="114"/>
    </row>
    <row r="37" spans="1:4" ht="12" customHeight="1" x14ac:dyDescent="0.2">
      <c r="A37" s="329"/>
      <c r="B37" s="194" t="s">
        <v>61</v>
      </c>
      <c r="C37" s="9" t="s">
        <v>186</v>
      </c>
      <c r="D37" s="117"/>
    </row>
    <row r="38" spans="1:4" ht="12" customHeight="1" x14ac:dyDescent="0.2">
      <c r="A38" s="329"/>
      <c r="B38" s="194" t="s">
        <v>62</v>
      </c>
      <c r="C38" s="9" t="s">
        <v>103</v>
      </c>
      <c r="D38" s="117"/>
    </row>
    <row r="39" spans="1:4" s="137" customFormat="1" ht="12" customHeight="1" x14ac:dyDescent="0.2">
      <c r="A39" s="329"/>
      <c r="B39" s="194" t="s">
        <v>63</v>
      </c>
      <c r="C39" s="9" t="s">
        <v>187</v>
      </c>
      <c r="D39" s="117"/>
    </row>
    <row r="40" spans="1:4" ht="12" customHeight="1" thickBot="1" x14ac:dyDescent="0.25">
      <c r="A40" s="329"/>
      <c r="B40" s="194" t="s">
        <v>74</v>
      </c>
      <c r="C40" s="9" t="s">
        <v>188</v>
      </c>
      <c r="D40" s="117"/>
    </row>
    <row r="41" spans="1:4" ht="12" customHeight="1" thickBot="1" x14ac:dyDescent="0.25">
      <c r="A41" s="268" t="s">
        <v>1126</v>
      </c>
      <c r="B41" s="24"/>
      <c r="C41" s="167" t="s">
        <v>1093</v>
      </c>
      <c r="D41" s="462">
        <f>SUM(D42:D45)</f>
        <v>0</v>
      </c>
    </row>
    <row r="42" spans="1:4" ht="12" customHeight="1" x14ac:dyDescent="0.2">
      <c r="A42" s="328"/>
      <c r="B42" s="211" t="s">
        <v>66</v>
      </c>
      <c r="C42" s="11" t="s">
        <v>304</v>
      </c>
      <c r="D42" s="114"/>
    </row>
    <row r="43" spans="1:4" ht="12" customHeight="1" x14ac:dyDescent="0.2">
      <c r="A43" s="329"/>
      <c r="B43" s="194" t="s">
        <v>67</v>
      </c>
      <c r="C43" s="9" t="s">
        <v>190</v>
      </c>
      <c r="D43" s="117"/>
    </row>
    <row r="44" spans="1:4" ht="15" customHeight="1" x14ac:dyDescent="0.2">
      <c r="A44" s="329"/>
      <c r="B44" s="194" t="s">
        <v>70</v>
      </c>
      <c r="C44" s="9" t="s">
        <v>2</v>
      </c>
      <c r="D44" s="117"/>
    </row>
    <row r="45" spans="1:4" ht="13.5" thickBot="1" x14ac:dyDescent="0.25">
      <c r="A45" s="329"/>
      <c r="B45" s="194" t="s">
        <v>81</v>
      </c>
      <c r="C45" s="9" t="s">
        <v>1090</v>
      </c>
      <c r="D45" s="117"/>
    </row>
    <row r="46" spans="1:4" ht="15" customHeight="1" thickBot="1" x14ac:dyDescent="0.25">
      <c r="A46" s="268" t="s">
        <v>1127</v>
      </c>
      <c r="B46" s="24"/>
      <c r="C46" s="24" t="s">
        <v>1091</v>
      </c>
      <c r="D46" s="491"/>
    </row>
    <row r="47" spans="1:4" ht="14.25" customHeight="1" thickBot="1" x14ac:dyDescent="0.25">
      <c r="A47" s="318" t="s">
        <v>1128</v>
      </c>
      <c r="B47" s="546"/>
      <c r="C47" s="547" t="s">
        <v>1094</v>
      </c>
      <c r="D47" s="529"/>
    </row>
    <row r="48" spans="1:4" ht="13.5" thickBot="1" x14ac:dyDescent="0.25">
      <c r="A48" s="268" t="s">
        <v>1129</v>
      </c>
      <c r="B48" s="315"/>
      <c r="C48" s="331" t="s">
        <v>1092</v>
      </c>
      <c r="D48" s="542">
        <f>+D35+D41+D46+D47</f>
        <v>0</v>
      </c>
    </row>
    <row r="49" spans="1:4" ht="13.5" thickBot="1" x14ac:dyDescent="0.25">
      <c r="A49" s="332"/>
      <c r="B49" s="333"/>
      <c r="C49" s="333"/>
      <c r="D49" s="543"/>
    </row>
    <row r="50" spans="1:4" ht="13.5" thickBot="1" x14ac:dyDescent="0.25">
      <c r="A50" s="334" t="s">
        <v>230</v>
      </c>
      <c r="B50" s="335"/>
      <c r="C50" s="336"/>
      <c r="D50" s="165"/>
    </row>
    <row r="51" spans="1:4" ht="13.5" thickBot="1" x14ac:dyDescent="0.25">
      <c r="A51" s="334" t="s">
        <v>231</v>
      </c>
      <c r="B51" s="335"/>
      <c r="C51" s="336"/>
      <c r="D51" s="165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92"/>
      <c r="B1" s="293"/>
      <c r="C1" s="340"/>
      <c r="D1" s="339" t="s">
        <v>1095</v>
      </c>
    </row>
    <row r="2" spans="1:4" s="133" customFormat="1" ht="25.5" customHeight="1" x14ac:dyDescent="0.2">
      <c r="A2" s="1257" t="s">
        <v>226</v>
      </c>
      <c r="B2" s="1258"/>
      <c r="C2" s="337" t="s">
        <v>233</v>
      </c>
      <c r="D2" s="341" t="s">
        <v>7</v>
      </c>
    </row>
    <row r="3" spans="1:4" s="133" customFormat="1" ht="16.5" thickBot="1" x14ac:dyDescent="0.25">
      <c r="A3" s="295" t="s">
        <v>225</v>
      </c>
      <c r="B3" s="296"/>
      <c r="C3" s="338" t="s">
        <v>234</v>
      </c>
      <c r="D3" s="343" t="s">
        <v>10</v>
      </c>
    </row>
    <row r="4" spans="1:4" s="134" customFormat="1" ht="15.95" customHeight="1" thickBot="1" x14ac:dyDescent="0.3">
      <c r="A4" s="297"/>
      <c r="B4" s="297"/>
      <c r="C4" s="297"/>
      <c r="D4" s="298" t="s">
        <v>1164</v>
      </c>
    </row>
    <row r="5" spans="1:4" ht="13.5" thickBot="1" x14ac:dyDescent="0.25">
      <c r="A5" s="1259" t="s">
        <v>227</v>
      </c>
      <c r="B5" s="1260"/>
      <c r="C5" s="299" t="s">
        <v>1165</v>
      </c>
      <c r="D5" s="300" t="s">
        <v>1166</v>
      </c>
    </row>
    <row r="6" spans="1:4" s="83" customFormat="1" ht="12.95" customHeight="1" thickBot="1" x14ac:dyDescent="0.25">
      <c r="A6" s="260">
        <v>1</v>
      </c>
      <c r="B6" s="261">
        <v>2</v>
      </c>
      <c r="C6" s="261">
        <v>3</v>
      </c>
      <c r="D6" s="262">
        <v>4</v>
      </c>
    </row>
    <row r="7" spans="1:4" s="83" customFormat="1" ht="15.95" customHeight="1" thickBot="1" x14ac:dyDescent="0.25">
      <c r="A7" s="301"/>
      <c r="B7" s="302"/>
      <c r="C7" s="302" t="s">
        <v>1167</v>
      </c>
      <c r="D7" s="303"/>
    </row>
    <row r="8" spans="1:4" s="135" customFormat="1" ht="12" customHeight="1" thickBot="1" x14ac:dyDescent="0.25">
      <c r="A8" s="260" t="s">
        <v>1125</v>
      </c>
      <c r="B8" s="304"/>
      <c r="C8" s="305" t="s">
        <v>232</v>
      </c>
      <c r="D8" s="462">
        <f>SUM(D9:D16)</f>
        <v>0</v>
      </c>
    </row>
    <row r="9" spans="1:4" s="135" customFormat="1" ht="12" customHeight="1" x14ac:dyDescent="0.2">
      <c r="A9" s="308"/>
      <c r="B9" s="307" t="s">
        <v>60</v>
      </c>
      <c r="C9" s="12" t="s">
        <v>155</v>
      </c>
      <c r="D9" s="525"/>
    </row>
    <row r="10" spans="1:4" s="135" customFormat="1" ht="12" customHeight="1" x14ac:dyDescent="0.2">
      <c r="A10" s="306"/>
      <c r="B10" s="307" t="s">
        <v>61</v>
      </c>
      <c r="C10" s="9" t="s">
        <v>156</v>
      </c>
      <c r="D10" s="460"/>
    </row>
    <row r="11" spans="1:4" s="135" customFormat="1" ht="12" customHeight="1" x14ac:dyDescent="0.2">
      <c r="A11" s="306"/>
      <c r="B11" s="307" t="s">
        <v>62</v>
      </c>
      <c r="C11" s="9" t="s">
        <v>157</v>
      </c>
      <c r="D11" s="460"/>
    </row>
    <row r="12" spans="1:4" s="135" customFormat="1" ht="12" customHeight="1" x14ac:dyDescent="0.2">
      <c r="A12" s="306"/>
      <c r="B12" s="307" t="s">
        <v>63</v>
      </c>
      <c r="C12" s="9" t="s">
        <v>158</v>
      </c>
      <c r="D12" s="460"/>
    </row>
    <row r="13" spans="1:4" s="135" customFormat="1" ht="12" customHeight="1" x14ac:dyDescent="0.2">
      <c r="A13" s="306"/>
      <c r="B13" s="307" t="s">
        <v>113</v>
      </c>
      <c r="C13" s="8" t="s">
        <v>159</v>
      </c>
      <c r="D13" s="460"/>
    </row>
    <row r="14" spans="1:4" s="135" customFormat="1" ht="12" customHeight="1" x14ac:dyDescent="0.2">
      <c r="A14" s="309"/>
      <c r="B14" s="307" t="s">
        <v>64</v>
      </c>
      <c r="C14" s="9" t="s">
        <v>160</v>
      </c>
      <c r="D14" s="526"/>
    </row>
    <row r="15" spans="1:4" s="136" customFormat="1" ht="12" customHeight="1" x14ac:dyDescent="0.2">
      <c r="A15" s="306"/>
      <c r="B15" s="307" t="s">
        <v>65</v>
      </c>
      <c r="C15" s="9" t="s">
        <v>1081</v>
      </c>
      <c r="D15" s="460"/>
    </row>
    <row r="16" spans="1:4" s="136" customFormat="1" ht="12" customHeight="1" thickBot="1" x14ac:dyDescent="0.25">
      <c r="A16" s="310"/>
      <c r="B16" s="311" t="s">
        <v>75</v>
      </c>
      <c r="C16" s="8" t="s">
        <v>219</v>
      </c>
      <c r="D16" s="461"/>
    </row>
    <row r="17" spans="1:4" s="135" customFormat="1" ht="12" customHeight="1" thickBot="1" x14ac:dyDescent="0.25">
      <c r="A17" s="260" t="s">
        <v>1126</v>
      </c>
      <c r="B17" s="304"/>
      <c r="C17" s="305" t="s">
        <v>1082</v>
      </c>
      <c r="D17" s="462">
        <f>SUM(D18:D21)</f>
        <v>0</v>
      </c>
    </row>
    <row r="18" spans="1:4" s="136" customFormat="1" ht="12" customHeight="1" x14ac:dyDescent="0.2">
      <c r="A18" s="306"/>
      <c r="B18" s="307" t="s">
        <v>66</v>
      </c>
      <c r="C18" s="11" t="s">
        <v>1078</v>
      </c>
      <c r="D18" s="460"/>
    </row>
    <row r="19" spans="1:4" s="136" customFormat="1" ht="12" customHeight="1" x14ac:dyDescent="0.2">
      <c r="A19" s="306"/>
      <c r="B19" s="307" t="s">
        <v>67</v>
      </c>
      <c r="C19" s="9" t="s">
        <v>1079</v>
      </c>
      <c r="D19" s="460"/>
    </row>
    <row r="20" spans="1:4" s="136" customFormat="1" ht="12" customHeight="1" x14ac:dyDescent="0.2">
      <c r="A20" s="306"/>
      <c r="B20" s="307" t="s">
        <v>68</v>
      </c>
      <c r="C20" s="9" t="s">
        <v>1080</v>
      </c>
      <c r="D20" s="460"/>
    </row>
    <row r="21" spans="1:4" s="136" customFormat="1" ht="12" customHeight="1" thickBot="1" x14ac:dyDescent="0.25">
      <c r="A21" s="306"/>
      <c r="B21" s="307" t="s">
        <v>69</v>
      </c>
      <c r="C21" s="9" t="s">
        <v>1079</v>
      </c>
      <c r="D21" s="460"/>
    </row>
    <row r="22" spans="1:4" s="136" customFormat="1" ht="12" customHeight="1" thickBot="1" x14ac:dyDescent="0.25">
      <c r="A22" s="268" t="s">
        <v>1127</v>
      </c>
      <c r="B22" s="167"/>
      <c r="C22" s="167" t="s">
        <v>1083</v>
      </c>
      <c r="D22" s="462">
        <f>+D23+D24</f>
        <v>0</v>
      </c>
    </row>
    <row r="23" spans="1:4" s="135" customFormat="1" ht="12" customHeight="1" x14ac:dyDescent="0.2">
      <c r="A23" s="511"/>
      <c r="B23" s="553" t="s">
        <v>40</v>
      </c>
      <c r="C23" s="185" t="s">
        <v>271</v>
      </c>
      <c r="D23" s="559"/>
    </row>
    <row r="24" spans="1:4" s="135" customFormat="1" ht="12" customHeight="1" thickBot="1" x14ac:dyDescent="0.25">
      <c r="A24" s="551"/>
      <c r="B24" s="552" t="s">
        <v>41</v>
      </c>
      <c r="C24" s="186" t="s">
        <v>275</v>
      </c>
      <c r="D24" s="560"/>
    </row>
    <row r="25" spans="1:4" s="135" customFormat="1" ht="12" customHeight="1" thickBot="1" x14ac:dyDescent="0.25">
      <c r="A25" s="268" t="s">
        <v>1128</v>
      </c>
      <c r="B25" s="304"/>
      <c r="C25" s="167" t="s">
        <v>1100</v>
      </c>
      <c r="D25" s="491"/>
    </row>
    <row r="26" spans="1:4" s="135" customFormat="1" ht="12" customHeight="1" thickBot="1" x14ac:dyDescent="0.25">
      <c r="A26" s="260" t="s">
        <v>1129</v>
      </c>
      <c r="B26" s="214"/>
      <c r="C26" s="167" t="s">
        <v>1096</v>
      </c>
      <c r="D26" s="531"/>
    </row>
    <row r="27" spans="1:4" s="136" customFormat="1" ht="12" customHeight="1" thickBot="1" x14ac:dyDescent="0.25">
      <c r="A27" s="548" t="s">
        <v>1130</v>
      </c>
      <c r="B27" s="557"/>
      <c r="C27" s="550" t="s">
        <v>1098</v>
      </c>
      <c r="D27" s="561">
        <f>+D28+D29</f>
        <v>0</v>
      </c>
    </row>
    <row r="28" spans="1:4" s="136" customFormat="1" ht="15" customHeight="1" x14ac:dyDescent="0.2">
      <c r="A28" s="308"/>
      <c r="B28" s="212" t="s">
        <v>47</v>
      </c>
      <c r="C28" s="185" t="s">
        <v>380</v>
      </c>
      <c r="D28" s="559"/>
    </row>
    <row r="29" spans="1:4" s="136" customFormat="1" ht="15" customHeight="1" thickBot="1" x14ac:dyDescent="0.25">
      <c r="A29" s="558"/>
      <c r="B29" s="213" t="s">
        <v>48</v>
      </c>
      <c r="C29" s="549" t="s">
        <v>1086</v>
      </c>
      <c r="D29" s="121"/>
    </row>
    <row r="30" spans="1:4" ht="13.5" thickBot="1" x14ac:dyDescent="0.25">
      <c r="A30" s="318" t="s">
        <v>1131</v>
      </c>
      <c r="B30" s="546"/>
      <c r="C30" s="547" t="s">
        <v>1099</v>
      </c>
      <c r="D30" s="529"/>
    </row>
    <row r="31" spans="1:4" s="83" customFormat="1" ht="16.5" customHeight="1" thickBot="1" x14ac:dyDescent="0.25">
      <c r="A31" s="318" t="s">
        <v>1132</v>
      </c>
      <c r="B31" s="319"/>
      <c r="C31" s="320" t="s">
        <v>1097</v>
      </c>
      <c r="D31" s="535">
        <f>+D26+D27+D30</f>
        <v>0</v>
      </c>
    </row>
    <row r="32" spans="1:4" s="137" customFormat="1" ht="12" customHeight="1" x14ac:dyDescent="0.2">
      <c r="A32" s="321"/>
      <c r="B32" s="321"/>
      <c r="C32" s="322"/>
      <c r="D32" s="533"/>
    </row>
    <row r="33" spans="1:4" ht="12" customHeight="1" thickBot="1" x14ac:dyDescent="0.25">
      <c r="A33" s="323"/>
      <c r="B33" s="324"/>
      <c r="C33" s="324"/>
      <c r="D33" s="534"/>
    </row>
    <row r="34" spans="1:4" ht="12" customHeight="1" thickBot="1" x14ac:dyDescent="0.25">
      <c r="A34" s="325"/>
      <c r="B34" s="326"/>
      <c r="C34" s="327" t="s">
        <v>1</v>
      </c>
      <c r="D34" s="535"/>
    </row>
    <row r="35" spans="1:4" ht="12" customHeight="1" thickBot="1" x14ac:dyDescent="0.25">
      <c r="A35" s="268" t="s">
        <v>1125</v>
      </c>
      <c r="B35" s="24"/>
      <c r="C35" s="167" t="s">
        <v>1076</v>
      </c>
      <c r="D35" s="462">
        <f>SUM(D36:D40)</f>
        <v>0</v>
      </c>
    </row>
    <row r="36" spans="1:4" ht="12" customHeight="1" x14ac:dyDescent="0.2">
      <c r="A36" s="328"/>
      <c r="B36" s="211" t="s">
        <v>60</v>
      </c>
      <c r="C36" s="11" t="s">
        <v>1156</v>
      </c>
      <c r="D36" s="114"/>
    </row>
    <row r="37" spans="1:4" ht="12" customHeight="1" x14ac:dyDescent="0.2">
      <c r="A37" s="329"/>
      <c r="B37" s="194" t="s">
        <v>61</v>
      </c>
      <c r="C37" s="9" t="s">
        <v>186</v>
      </c>
      <c r="D37" s="117"/>
    </row>
    <row r="38" spans="1:4" ht="12" customHeight="1" x14ac:dyDescent="0.2">
      <c r="A38" s="329"/>
      <c r="B38" s="194" t="s">
        <v>62</v>
      </c>
      <c r="C38" s="9" t="s">
        <v>103</v>
      </c>
      <c r="D38" s="117"/>
    </row>
    <row r="39" spans="1:4" s="137" customFormat="1" ht="12" customHeight="1" x14ac:dyDescent="0.2">
      <c r="A39" s="329"/>
      <c r="B39" s="194" t="s">
        <v>63</v>
      </c>
      <c r="C39" s="9" t="s">
        <v>187</v>
      </c>
      <c r="D39" s="117"/>
    </row>
    <row r="40" spans="1:4" ht="12" customHeight="1" thickBot="1" x14ac:dyDescent="0.25">
      <c r="A40" s="329"/>
      <c r="B40" s="194" t="s">
        <v>74</v>
      </c>
      <c r="C40" s="9" t="s">
        <v>188</v>
      </c>
      <c r="D40" s="117"/>
    </row>
    <row r="41" spans="1:4" ht="12" customHeight="1" thickBot="1" x14ac:dyDescent="0.25">
      <c r="A41" s="268" t="s">
        <v>1126</v>
      </c>
      <c r="B41" s="24"/>
      <c r="C41" s="167" t="s">
        <v>1093</v>
      </c>
      <c r="D41" s="462">
        <f>SUM(D42:D45)</f>
        <v>0</v>
      </c>
    </row>
    <row r="42" spans="1:4" ht="12" customHeight="1" x14ac:dyDescent="0.2">
      <c r="A42" s="328"/>
      <c r="B42" s="211" t="s">
        <v>66</v>
      </c>
      <c r="C42" s="11" t="s">
        <v>304</v>
      </c>
      <c r="D42" s="114"/>
    </row>
    <row r="43" spans="1:4" ht="12" customHeight="1" x14ac:dyDescent="0.2">
      <c r="A43" s="329"/>
      <c r="B43" s="194" t="s">
        <v>67</v>
      </c>
      <c r="C43" s="9" t="s">
        <v>190</v>
      </c>
      <c r="D43" s="117"/>
    </row>
    <row r="44" spans="1:4" ht="15" customHeight="1" x14ac:dyDescent="0.2">
      <c r="A44" s="329"/>
      <c r="B44" s="194" t="s">
        <v>70</v>
      </c>
      <c r="C44" s="9" t="s">
        <v>2</v>
      </c>
      <c r="D44" s="117"/>
    </row>
    <row r="45" spans="1:4" ht="13.5" thickBot="1" x14ac:dyDescent="0.25">
      <c r="A45" s="329"/>
      <c r="B45" s="194" t="s">
        <v>81</v>
      </c>
      <c r="C45" s="9" t="s">
        <v>1090</v>
      </c>
      <c r="D45" s="117"/>
    </row>
    <row r="46" spans="1:4" ht="15" customHeight="1" thickBot="1" x14ac:dyDescent="0.25">
      <c r="A46" s="268" t="s">
        <v>1127</v>
      </c>
      <c r="B46" s="24"/>
      <c r="C46" s="24" t="s">
        <v>1091</v>
      </c>
      <c r="D46" s="491"/>
    </row>
    <row r="47" spans="1:4" ht="14.25" customHeight="1" thickBot="1" x14ac:dyDescent="0.25">
      <c r="A47" s="318" t="s">
        <v>1128</v>
      </c>
      <c r="B47" s="546"/>
      <c r="C47" s="547" t="s">
        <v>1094</v>
      </c>
      <c r="D47" s="529"/>
    </row>
    <row r="48" spans="1:4" ht="13.5" thickBot="1" x14ac:dyDescent="0.25">
      <c r="A48" s="268" t="s">
        <v>1129</v>
      </c>
      <c r="B48" s="315"/>
      <c r="C48" s="331" t="s">
        <v>1092</v>
      </c>
      <c r="D48" s="542">
        <f>+D35+D41+D46+D47</f>
        <v>0</v>
      </c>
    </row>
    <row r="49" spans="1:4" ht="13.5" thickBot="1" x14ac:dyDescent="0.25">
      <c r="A49" s="332"/>
      <c r="B49" s="333"/>
      <c r="C49" s="333"/>
      <c r="D49" s="543"/>
    </row>
    <row r="50" spans="1:4" ht="13.5" thickBot="1" x14ac:dyDescent="0.25">
      <c r="A50" s="334" t="s">
        <v>230</v>
      </c>
      <c r="B50" s="335"/>
      <c r="C50" s="336"/>
      <c r="D50" s="165"/>
    </row>
    <row r="51" spans="1:4" ht="13.5" thickBot="1" x14ac:dyDescent="0.25">
      <c r="A51" s="334" t="s">
        <v>231</v>
      </c>
      <c r="B51" s="335"/>
      <c r="C51" s="336"/>
      <c r="D51" s="165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52"/>
  <sheetViews>
    <sheetView view="pageLayout" topLeftCell="B1" zoomScaleNormal="100" zoomScaleSheetLayoutView="100" workbookViewId="0">
      <selection activeCell="E26" sqref="E26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2" style="4" customWidth="1"/>
    <col min="4" max="4" width="11.33203125" style="4" bestFit="1" customWidth="1"/>
    <col min="5" max="5" width="8.1640625" style="4" bestFit="1" customWidth="1"/>
    <col min="6" max="6" width="8.33203125" style="4" hidden="1" customWidth="1"/>
    <col min="7" max="7" width="16.6640625" style="4" hidden="1" customWidth="1"/>
    <col min="8" max="16384" width="9.33203125" style="4"/>
  </cols>
  <sheetData>
    <row r="1" spans="1:7" s="2" customFormat="1" ht="21" customHeight="1" thickBot="1" x14ac:dyDescent="0.25">
      <c r="A1" s="292"/>
      <c r="B1" s="293"/>
      <c r="C1" s="340"/>
      <c r="D1" s="339"/>
      <c r="E1" s="339"/>
      <c r="F1" s="921"/>
      <c r="G1" s="921"/>
    </row>
    <row r="2" spans="1:7" s="133" customFormat="1" ht="25.5" customHeight="1" x14ac:dyDescent="0.2">
      <c r="A2" s="1257" t="s">
        <v>226</v>
      </c>
      <c r="B2" s="1258"/>
      <c r="C2" s="337" t="s">
        <v>805</v>
      </c>
      <c r="D2" s="901"/>
      <c r="E2" s="902" t="s">
        <v>7</v>
      </c>
      <c r="F2" s="1002"/>
      <c r="G2" s="902" t="s">
        <v>7</v>
      </c>
    </row>
    <row r="3" spans="1:7" s="133" customFormat="1" ht="16.5" hidden="1" thickBot="1" x14ac:dyDescent="0.25">
      <c r="A3" s="295" t="s">
        <v>225</v>
      </c>
      <c r="B3" s="296"/>
      <c r="C3" s="342" t="s">
        <v>235</v>
      </c>
      <c r="D3" s="523" t="s">
        <v>1163</v>
      </c>
      <c r="E3" s="523" t="s">
        <v>1163</v>
      </c>
      <c r="F3" s="523" t="s">
        <v>1163</v>
      </c>
      <c r="G3" s="523" t="s">
        <v>1163</v>
      </c>
    </row>
    <row r="4" spans="1:7" s="134" customFormat="1" ht="15.95" customHeight="1" thickBot="1" x14ac:dyDescent="0.3">
      <c r="A4" s="297"/>
      <c r="B4" s="297"/>
      <c r="C4" s="297"/>
      <c r="D4" s="298"/>
      <c r="E4" s="298" t="s">
        <v>1164</v>
      </c>
      <c r="F4" s="298"/>
      <c r="G4" s="298" t="s">
        <v>1164</v>
      </c>
    </row>
    <row r="5" spans="1:7" ht="13.5" thickBot="1" x14ac:dyDescent="0.25">
      <c r="A5" s="1259" t="s">
        <v>227</v>
      </c>
      <c r="B5" s="1260"/>
      <c r="C5" s="903" t="s">
        <v>1165</v>
      </c>
      <c r="D5" s="1003" t="s">
        <v>1166</v>
      </c>
      <c r="E5" s="300" t="s">
        <v>774</v>
      </c>
      <c r="F5" s="300" t="s">
        <v>1182</v>
      </c>
      <c r="G5" s="300" t="s">
        <v>1183</v>
      </c>
    </row>
    <row r="6" spans="1:7" s="83" customFormat="1" ht="12.95" customHeight="1" thickBot="1" x14ac:dyDescent="0.25">
      <c r="A6" s="260">
        <v>1</v>
      </c>
      <c r="B6" s="261">
        <v>2</v>
      </c>
      <c r="C6" s="904">
        <v>3</v>
      </c>
      <c r="D6" s="1004">
        <v>4</v>
      </c>
      <c r="E6" s="262">
        <v>5</v>
      </c>
      <c r="F6" s="262">
        <v>6</v>
      </c>
      <c r="G6" s="262">
        <v>7</v>
      </c>
    </row>
    <row r="7" spans="1:7" s="83" customFormat="1" ht="15.95" customHeight="1" thickBot="1" x14ac:dyDescent="0.25">
      <c r="A7" s="301"/>
      <c r="B7" s="302"/>
      <c r="C7" s="302" t="s">
        <v>1167</v>
      </c>
      <c r="D7" s="1059"/>
      <c r="E7" s="303"/>
      <c r="F7" s="303"/>
      <c r="G7" s="303"/>
    </row>
    <row r="8" spans="1:7" s="135" customFormat="1" ht="12" customHeight="1" thickBot="1" x14ac:dyDescent="0.25">
      <c r="A8" s="260" t="s">
        <v>1125</v>
      </c>
      <c r="B8" s="304"/>
      <c r="C8" s="1046" t="s">
        <v>232</v>
      </c>
      <c r="D8" s="1060">
        <f>SUM(D9:D16)</f>
        <v>0</v>
      </c>
      <c r="E8" s="462">
        <f>SUM(E9:E16)</f>
        <v>0</v>
      </c>
      <c r="F8" s="462">
        <f t="shared" ref="F8:G8" si="0">SUM(F9:F16)</f>
        <v>35</v>
      </c>
      <c r="G8" s="462">
        <f t="shared" si="0"/>
        <v>0</v>
      </c>
    </row>
    <row r="9" spans="1:7" s="135" customFormat="1" ht="12" customHeight="1" x14ac:dyDescent="0.2">
      <c r="A9" s="308"/>
      <c r="B9" s="307" t="s">
        <v>60</v>
      </c>
      <c r="C9" s="1047" t="s">
        <v>155</v>
      </c>
      <c r="D9" s="1061"/>
      <c r="E9" s="525"/>
      <c r="F9" s="525"/>
      <c r="G9" s="525"/>
    </row>
    <row r="10" spans="1:7" s="135" customFormat="1" ht="12" customHeight="1" x14ac:dyDescent="0.2">
      <c r="A10" s="306"/>
      <c r="B10" s="307" t="s">
        <v>61</v>
      </c>
      <c r="C10" s="1048" t="s">
        <v>156</v>
      </c>
      <c r="D10" s="1062"/>
      <c r="E10" s="460"/>
      <c r="F10" s="460">
        <v>35</v>
      </c>
      <c r="G10" s="460"/>
    </row>
    <row r="11" spans="1:7" s="135" customFormat="1" ht="12" customHeight="1" x14ac:dyDescent="0.2">
      <c r="A11" s="306"/>
      <c r="B11" s="307" t="s">
        <v>62</v>
      </c>
      <c r="C11" s="1048" t="s">
        <v>157</v>
      </c>
      <c r="D11" s="1062"/>
      <c r="E11" s="460"/>
      <c r="F11" s="460"/>
      <c r="G11" s="460"/>
    </row>
    <row r="12" spans="1:7" s="135" customFormat="1" ht="12" customHeight="1" x14ac:dyDescent="0.2">
      <c r="A12" s="306"/>
      <c r="B12" s="307" t="s">
        <v>63</v>
      </c>
      <c r="C12" s="1048" t="s">
        <v>158</v>
      </c>
      <c r="D12" s="1062"/>
      <c r="E12" s="460"/>
      <c r="F12" s="460"/>
      <c r="G12" s="460"/>
    </row>
    <row r="13" spans="1:7" s="135" customFormat="1" ht="12" customHeight="1" x14ac:dyDescent="0.2">
      <c r="A13" s="306"/>
      <c r="B13" s="307" t="s">
        <v>113</v>
      </c>
      <c r="C13" s="1049" t="s">
        <v>159</v>
      </c>
      <c r="D13" s="1062"/>
      <c r="E13" s="460"/>
      <c r="F13" s="460"/>
      <c r="G13" s="460"/>
    </row>
    <row r="14" spans="1:7" s="135" customFormat="1" ht="12" customHeight="1" x14ac:dyDescent="0.2">
      <c r="A14" s="309"/>
      <c r="B14" s="307" t="s">
        <v>64</v>
      </c>
      <c r="C14" s="1048" t="s">
        <v>160</v>
      </c>
      <c r="D14" s="1063"/>
      <c r="E14" s="526"/>
      <c r="F14" s="526"/>
      <c r="G14" s="526"/>
    </row>
    <row r="15" spans="1:7" s="136" customFormat="1" ht="12" customHeight="1" x14ac:dyDescent="0.2">
      <c r="A15" s="306"/>
      <c r="B15" s="307" t="s">
        <v>65</v>
      </c>
      <c r="C15" s="1048" t="s">
        <v>1081</v>
      </c>
      <c r="D15" s="1062"/>
      <c r="E15" s="460"/>
      <c r="F15" s="460"/>
      <c r="G15" s="460"/>
    </row>
    <row r="16" spans="1:7" s="136" customFormat="1" ht="12" customHeight="1" thickBot="1" x14ac:dyDescent="0.25">
      <c r="A16" s="310"/>
      <c r="B16" s="311" t="s">
        <v>75</v>
      </c>
      <c r="C16" s="1049" t="s">
        <v>219</v>
      </c>
      <c r="D16" s="1064"/>
      <c r="E16" s="461"/>
      <c r="F16" s="461"/>
      <c r="G16" s="461"/>
    </row>
    <row r="17" spans="1:7" s="135" customFormat="1" ht="12" customHeight="1" thickBot="1" x14ac:dyDescent="0.25">
      <c r="A17" s="260" t="s">
        <v>1126</v>
      </c>
      <c r="B17" s="304"/>
      <c r="C17" s="1046" t="s">
        <v>1082</v>
      </c>
      <c r="D17" s="1060">
        <f>SUM(D18:D21)</f>
        <v>0</v>
      </c>
      <c r="E17" s="462">
        <f>SUM(E18:E21)</f>
        <v>0</v>
      </c>
      <c r="F17" s="462">
        <f>SUM(F18:F21)</f>
        <v>0</v>
      </c>
      <c r="G17" s="462">
        <f>SUM(G18:G21)</f>
        <v>0</v>
      </c>
    </row>
    <row r="18" spans="1:7" s="136" customFormat="1" ht="12" customHeight="1" x14ac:dyDescent="0.2">
      <c r="A18" s="306"/>
      <c r="B18" s="307" t="s">
        <v>66</v>
      </c>
      <c r="C18" s="1050" t="s">
        <v>1078</v>
      </c>
      <c r="D18" s="1062"/>
      <c r="E18" s="460"/>
      <c r="F18" s="460"/>
      <c r="G18" s="460"/>
    </row>
    <row r="19" spans="1:7" s="136" customFormat="1" ht="12" customHeight="1" x14ac:dyDescent="0.2">
      <c r="A19" s="306"/>
      <c r="B19" s="307" t="s">
        <v>67</v>
      </c>
      <c r="C19" s="1048" t="s">
        <v>1079</v>
      </c>
      <c r="D19" s="1062"/>
      <c r="E19" s="460"/>
      <c r="F19" s="460"/>
      <c r="G19" s="460"/>
    </row>
    <row r="20" spans="1:7" s="136" customFormat="1" ht="12" customHeight="1" x14ac:dyDescent="0.2">
      <c r="A20" s="306"/>
      <c r="B20" s="307" t="s">
        <v>68</v>
      </c>
      <c r="C20" s="1048" t="s">
        <v>1080</v>
      </c>
      <c r="D20" s="1062"/>
      <c r="E20" s="460"/>
      <c r="F20" s="460"/>
      <c r="G20" s="460"/>
    </row>
    <row r="21" spans="1:7" s="136" customFormat="1" ht="12" customHeight="1" thickBot="1" x14ac:dyDescent="0.25">
      <c r="A21" s="306"/>
      <c r="B21" s="307" t="s">
        <v>69</v>
      </c>
      <c r="C21" s="1048" t="s">
        <v>1079</v>
      </c>
      <c r="D21" s="1062"/>
      <c r="E21" s="460"/>
      <c r="F21" s="460"/>
      <c r="G21" s="460"/>
    </row>
    <row r="22" spans="1:7" s="136" customFormat="1" ht="12" customHeight="1" thickBot="1" x14ac:dyDescent="0.25">
      <c r="A22" s="268" t="s">
        <v>1127</v>
      </c>
      <c r="B22" s="167"/>
      <c r="C22" s="1051" t="s">
        <v>1083</v>
      </c>
      <c r="D22" s="1060">
        <f>+D23+D24</f>
        <v>0</v>
      </c>
      <c r="E22" s="462">
        <f>+E23+E24</f>
        <v>0</v>
      </c>
      <c r="F22" s="462">
        <f>+F23+F24</f>
        <v>0</v>
      </c>
      <c r="G22" s="462">
        <f>+G23+G24</f>
        <v>0</v>
      </c>
    </row>
    <row r="23" spans="1:7" s="135" customFormat="1" ht="12" customHeight="1" x14ac:dyDescent="0.2">
      <c r="A23" s="511"/>
      <c r="B23" s="553" t="s">
        <v>40</v>
      </c>
      <c r="C23" s="1052" t="s">
        <v>271</v>
      </c>
      <c r="D23" s="1065"/>
      <c r="E23" s="559"/>
      <c r="F23" s="559"/>
      <c r="G23" s="559"/>
    </row>
    <row r="24" spans="1:7" s="135" customFormat="1" ht="12" customHeight="1" thickBot="1" x14ac:dyDescent="0.25">
      <c r="A24" s="551"/>
      <c r="B24" s="552" t="s">
        <v>41</v>
      </c>
      <c r="C24" s="1053" t="s">
        <v>275</v>
      </c>
      <c r="D24" s="1066"/>
      <c r="E24" s="560"/>
      <c r="F24" s="560"/>
      <c r="G24" s="560"/>
    </row>
    <row r="25" spans="1:7" s="135" customFormat="1" ht="12" customHeight="1" thickBot="1" x14ac:dyDescent="0.25">
      <c r="A25" s="268" t="s">
        <v>1128</v>
      </c>
      <c r="B25" s="304"/>
      <c r="C25" s="1051" t="s">
        <v>1100</v>
      </c>
      <c r="D25" s="1067">
        <v>75810</v>
      </c>
      <c r="E25" s="491">
        <f>78451-1777+479</f>
        <v>77153</v>
      </c>
      <c r="F25" s="491">
        <v>79204</v>
      </c>
      <c r="G25" s="491">
        <v>79204</v>
      </c>
    </row>
    <row r="26" spans="1:7" s="135" customFormat="1" ht="12" customHeight="1" thickBot="1" x14ac:dyDescent="0.25">
      <c r="A26" s="260" t="s">
        <v>1129</v>
      </c>
      <c r="B26" s="214"/>
      <c r="C26" s="1051" t="s">
        <v>1096</v>
      </c>
      <c r="D26" s="1060">
        <f>+D8+D17+D22+D25</f>
        <v>75810</v>
      </c>
      <c r="E26" s="531">
        <f>+E8+E17+E22+E25</f>
        <v>77153</v>
      </c>
      <c r="F26" s="531">
        <f t="shared" ref="F26:G26" si="1">+F8+F17+F22+F25</f>
        <v>79239</v>
      </c>
      <c r="G26" s="531">
        <f t="shared" si="1"/>
        <v>79204</v>
      </c>
    </row>
    <row r="27" spans="1:7" s="136" customFormat="1" ht="12" customHeight="1" thickBot="1" x14ac:dyDescent="0.25">
      <c r="A27" s="548" t="s">
        <v>1130</v>
      </c>
      <c r="B27" s="557"/>
      <c r="C27" s="1054" t="s">
        <v>1098</v>
      </c>
      <c r="D27" s="1068">
        <f>+D28+D29</f>
        <v>0</v>
      </c>
      <c r="E27" s="561">
        <f>+E28+E29+E30</f>
        <v>414</v>
      </c>
      <c r="F27" s="561">
        <f t="shared" ref="F27:G27" si="2">+F28+F29+F30</f>
        <v>432</v>
      </c>
      <c r="G27" s="561">
        <f t="shared" si="2"/>
        <v>414</v>
      </c>
    </row>
    <row r="28" spans="1:7" s="136" customFormat="1" ht="15" customHeight="1" x14ac:dyDescent="0.2">
      <c r="A28" s="308"/>
      <c r="B28" s="212" t="s">
        <v>47</v>
      </c>
      <c r="C28" s="1052" t="s">
        <v>380</v>
      </c>
      <c r="D28" s="1065"/>
      <c r="E28" s="559">
        <v>414</v>
      </c>
      <c r="F28" s="559">
        <v>414</v>
      </c>
      <c r="G28" s="559">
        <v>414</v>
      </c>
    </row>
    <row r="29" spans="1:7" s="136" customFormat="1" ht="15" customHeight="1" x14ac:dyDescent="0.2">
      <c r="A29" s="1043"/>
      <c r="B29" s="215" t="s">
        <v>48</v>
      </c>
      <c r="C29" s="1055" t="s">
        <v>1086</v>
      </c>
      <c r="D29" s="1069"/>
      <c r="E29" s="527"/>
      <c r="F29" s="527"/>
      <c r="G29" s="527"/>
    </row>
    <row r="30" spans="1:7" s="136" customFormat="1" ht="15" customHeight="1" thickBot="1" x14ac:dyDescent="0.25">
      <c r="A30" s="558"/>
      <c r="B30" s="1044" t="s">
        <v>1196</v>
      </c>
      <c r="C30" s="1056" t="s">
        <v>1198</v>
      </c>
      <c r="D30" s="1070"/>
      <c r="E30" s="1045"/>
      <c r="F30" s="1045">
        <v>18</v>
      </c>
      <c r="G30" s="1045"/>
    </row>
    <row r="31" spans="1:7" ht="13.5" thickBot="1" x14ac:dyDescent="0.25">
      <c r="A31" s="318" t="s">
        <v>1131</v>
      </c>
      <c r="B31" s="546"/>
      <c r="C31" s="1057" t="s">
        <v>1099</v>
      </c>
      <c r="D31" s="1067"/>
      <c r="E31" s="529"/>
      <c r="F31" s="529">
        <v>20</v>
      </c>
      <c r="G31" s="529"/>
    </row>
    <row r="32" spans="1:7" s="83" customFormat="1" ht="16.5" customHeight="1" thickBot="1" x14ac:dyDescent="0.25">
      <c r="A32" s="318" t="s">
        <v>1132</v>
      </c>
      <c r="B32" s="319"/>
      <c r="C32" s="1058" t="s">
        <v>1097</v>
      </c>
      <c r="D32" s="1071">
        <f>+D26+D27+D31</f>
        <v>75810</v>
      </c>
      <c r="E32" s="535">
        <f>+E26+E27+E31</f>
        <v>77567</v>
      </c>
      <c r="F32" s="535">
        <f t="shared" ref="F32:G32" si="3">+F26+F27+F31</f>
        <v>79691</v>
      </c>
      <c r="G32" s="535">
        <f t="shared" si="3"/>
        <v>79618</v>
      </c>
    </row>
    <row r="33" spans="1:9" s="137" customFormat="1" ht="12" customHeight="1" x14ac:dyDescent="0.2">
      <c r="A33" s="321"/>
      <c r="B33" s="321"/>
      <c r="C33" s="322"/>
      <c r="D33" s="533"/>
      <c r="E33" s="533"/>
      <c r="F33" s="533"/>
      <c r="G33" s="533"/>
    </row>
    <row r="34" spans="1:9" ht="12" customHeight="1" thickBot="1" x14ac:dyDescent="0.25">
      <c r="A34" s="323"/>
      <c r="B34" s="324"/>
      <c r="C34" s="324"/>
      <c r="D34" s="534"/>
      <c r="E34" s="534"/>
      <c r="F34" s="534"/>
      <c r="G34" s="534"/>
    </row>
    <row r="35" spans="1:9" ht="12" customHeight="1" thickBot="1" x14ac:dyDescent="0.25">
      <c r="A35" s="325"/>
      <c r="B35" s="326"/>
      <c r="C35" s="327" t="s">
        <v>1</v>
      </c>
      <c r="D35" s="1003" t="s">
        <v>1166</v>
      </c>
      <c r="E35" s="300" t="s">
        <v>774</v>
      </c>
      <c r="F35" s="300" t="s">
        <v>1182</v>
      </c>
      <c r="G35" s="300" t="s">
        <v>1183</v>
      </c>
    </row>
    <row r="36" spans="1:9" ht="12" customHeight="1" thickBot="1" x14ac:dyDescent="0.25">
      <c r="A36" s="268" t="s">
        <v>1125</v>
      </c>
      <c r="B36" s="24"/>
      <c r="C36" s="1051" t="s">
        <v>1076</v>
      </c>
      <c r="D36" s="1060">
        <f>SUM(D37:D41)</f>
        <v>75810</v>
      </c>
      <c r="E36" s="462">
        <f>SUM(E37:E41)</f>
        <v>77567</v>
      </c>
      <c r="F36" s="462">
        <f t="shared" ref="F36:G36" si="4">SUM(F37:F41)</f>
        <v>36648</v>
      </c>
      <c r="G36" s="462">
        <f t="shared" si="4"/>
        <v>77372</v>
      </c>
    </row>
    <row r="37" spans="1:9" ht="12" customHeight="1" x14ac:dyDescent="0.2">
      <c r="A37" s="328"/>
      <c r="B37" s="211" t="s">
        <v>60</v>
      </c>
      <c r="C37" s="1050" t="s">
        <v>1156</v>
      </c>
      <c r="D37" s="1074">
        <v>37773</v>
      </c>
      <c r="E37" s="114">
        <v>40136</v>
      </c>
      <c r="F37" s="114">
        <v>19301</v>
      </c>
      <c r="G37" s="114">
        <v>38955</v>
      </c>
    </row>
    <row r="38" spans="1:9" ht="12" customHeight="1" x14ac:dyDescent="0.2">
      <c r="A38" s="329"/>
      <c r="B38" s="194" t="s">
        <v>61</v>
      </c>
      <c r="C38" s="1048" t="s">
        <v>186</v>
      </c>
      <c r="D38" s="1075">
        <v>9265</v>
      </c>
      <c r="E38" s="117">
        <f>9514+479</f>
        <v>9993</v>
      </c>
      <c r="F38" s="117">
        <v>4844</v>
      </c>
      <c r="G38" s="117">
        <v>9296</v>
      </c>
    </row>
    <row r="39" spans="1:9" ht="12" customHeight="1" x14ac:dyDescent="0.2">
      <c r="A39" s="329"/>
      <c r="B39" s="194" t="s">
        <v>62</v>
      </c>
      <c r="C39" s="1048" t="s">
        <v>103</v>
      </c>
      <c r="D39" s="1075">
        <f>15229-10</f>
        <v>15219</v>
      </c>
      <c r="E39" s="117">
        <f>15568-1139</f>
        <v>14429</v>
      </c>
      <c r="F39" s="117">
        <f>5913-21</f>
        <v>5892</v>
      </c>
      <c r="G39" s="117">
        <v>15568</v>
      </c>
    </row>
    <row r="40" spans="1:9" s="137" customFormat="1" ht="12" customHeight="1" x14ac:dyDescent="0.2">
      <c r="A40" s="329"/>
      <c r="B40" s="194" t="s">
        <v>63</v>
      </c>
      <c r="C40" s="1048" t="s">
        <v>187</v>
      </c>
      <c r="D40" s="1075">
        <v>13543</v>
      </c>
      <c r="E40" s="117">
        <f>14776-1777</f>
        <v>12999</v>
      </c>
      <c r="F40" s="117">
        <v>6590</v>
      </c>
      <c r="G40" s="117">
        <v>13543</v>
      </c>
      <c r="I40" s="1195"/>
    </row>
    <row r="41" spans="1:9" ht="12" customHeight="1" thickBot="1" x14ac:dyDescent="0.25">
      <c r="A41" s="329"/>
      <c r="B41" s="194" t="s">
        <v>74</v>
      </c>
      <c r="C41" s="1048" t="s">
        <v>188</v>
      </c>
      <c r="D41" s="1075">
        <v>10</v>
      </c>
      <c r="E41" s="117">
        <v>10</v>
      </c>
      <c r="F41" s="117">
        <v>21</v>
      </c>
      <c r="G41" s="117">
        <v>10</v>
      </c>
    </row>
    <row r="42" spans="1:9" ht="12" customHeight="1" thickBot="1" x14ac:dyDescent="0.25">
      <c r="A42" s="268" t="s">
        <v>1126</v>
      </c>
      <c r="B42" s="24"/>
      <c r="C42" s="1051" t="s">
        <v>1093</v>
      </c>
      <c r="D42" s="1060">
        <f>SUM(D43:D46)</f>
        <v>0</v>
      </c>
      <c r="E42" s="462">
        <f>SUM(E43:E46)</f>
        <v>0</v>
      </c>
      <c r="F42" s="462">
        <f>SUM(F43:F46)</f>
        <v>0</v>
      </c>
      <c r="G42" s="462">
        <f>SUM(G43:G46)</f>
        <v>0</v>
      </c>
    </row>
    <row r="43" spans="1:9" ht="12" customHeight="1" x14ac:dyDescent="0.2">
      <c r="A43" s="328"/>
      <c r="B43" s="211" t="s">
        <v>66</v>
      </c>
      <c r="C43" s="1050" t="s">
        <v>304</v>
      </c>
      <c r="D43" s="1074"/>
      <c r="E43" s="114"/>
      <c r="F43" s="114"/>
      <c r="G43" s="114"/>
    </row>
    <row r="44" spans="1:9" ht="12" customHeight="1" x14ac:dyDescent="0.2">
      <c r="A44" s="329"/>
      <c r="B44" s="194" t="s">
        <v>67</v>
      </c>
      <c r="C44" s="1048" t="s">
        <v>190</v>
      </c>
      <c r="D44" s="1075"/>
      <c r="E44" s="117"/>
      <c r="F44" s="117"/>
      <c r="G44" s="117"/>
    </row>
    <row r="45" spans="1:9" ht="15" customHeight="1" x14ac:dyDescent="0.2">
      <c r="A45" s="329"/>
      <c r="B45" s="194" t="s">
        <v>70</v>
      </c>
      <c r="C45" s="1048" t="s">
        <v>2</v>
      </c>
      <c r="D45" s="1075"/>
      <c r="E45" s="117"/>
      <c r="F45" s="117"/>
      <c r="G45" s="117"/>
    </row>
    <row r="46" spans="1:9" ht="13.5" thickBot="1" x14ac:dyDescent="0.25">
      <c r="A46" s="329"/>
      <c r="B46" s="194" t="s">
        <v>81</v>
      </c>
      <c r="C46" s="1048" t="s">
        <v>1090</v>
      </c>
      <c r="D46" s="1075"/>
      <c r="E46" s="117"/>
      <c r="F46" s="117"/>
      <c r="G46" s="117"/>
    </row>
    <row r="47" spans="1:9" ht="15" customHeight="1" thickBot="1" x14ac:dyDescent="0.25">
      <c r="A47" s="268" t="s">
        <v>1127</v>
      </c>
      <c r="B47" s="24"/>
      <c r="C47" s="1072" t="s">
        <v>1091</v>
      </c>
      <c r="D47" s="1067"/>
      <c r="E47" s="491"/>
      <c r="F47" s="491"/>
      <c r="G47" s="491"/>
    </row>
    <row r="48" spans="1:9" ht="14.25" customHeight="1" thickBot="1" x14ac:dyDescent="0.25">
      <c r="A48" s="318" t="s">
        <v>1128</v>
      </c>
      <c r="B48" s="546"/>
      <c r="C48" s="1057" t="s">
        <v>1094</v>
      </c>
      <c r="D48" s="1067"/>
      <c r="E48" s="529"/>
      <c r="F48" s="529">
        <v>-161</v>
      </c>
      <c r="G48" s="529"/>
    </row>
    <row r="49" spans="1:7" ht="13.5" thickBot="1" x14ac:dyDescent="0.25">
      <c r="A49" s="268" t="s">
        <v>1129</v>
      </c>
      <c r="B49" s="315"/>
      <c r="C49" s="1073" t="s">
        <v>1092</v>
      </c>
      <c r="D49" s="1071">
        <f>+D36+D42+D47+D48</f>
        <v>75810</v>
      </c>
      <c r="E49" s="542">
        <f>+E36+E42+E47+E48</f>
        <v>77567</v>
      </c>
      <c r="F49" s="542">
        <f t="shared" ref="F49:G49" si="5">+F36+F42+F47+F48</f>
        <v>36487</v>
      </c>
      <c r="G49" s="542">
        <f t="shared" si="5"/>
        <v>77372</v>
      </c>
    </row>
    <row r="50" spans="1:7" x14ac:dyDescent="0.2">
      <c r="A50" s="332"/>
      <c r="B50" s="333"/>
      <c r="C50" s="333"/>
      <c r="D50" s="543"/>
      <c r="E50" s="543"/>
      <c r="F50" s="543"/>
      <c r="G50" s="543"/>
    </row>
    <row r="51" spans="1:7" ht="13.5" hidden="1" thickBot="1" x14ac:dyDescent="0.25">
      <c r="A51" s="334" t="s">
        <v>230</v>
      </c>
      <c r="B51" s="335"/>
      <c r="C51" s="336"/>
      <c r="D51" s="165"/>
      <c r="E51" s="165"/>
      <c r="F51" s="165"/>
      <c r="G51" s="165"/>
    </row>
    <row r="52" spans="1:7" ht="13.5" hidden="1" thickBot="1" x14ac:dyDescent="0.25">
      <c r="A52" s="334" t="s">
        <v>231</v>
      </c>
      <c r="B52" s="335"/>
      <c r="C52" s="336"/>
      <c r="D52" s="165"/>
      <c r="E52" s="165"/>
      <c r="F52" s="165"/>
      <c r="G52" s="165"/>
    </row>
  </sheetData>
  <mergeCells count="2">
    <mergeCell ref="A2:B2"/>
    <mergeCell ref="A5:B5"/>
  </mergeCells>
  <phoneticPr fontId="30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95" orientation="portrait" r:id="rId1"/>
  <headerFooter>
    <oddHeader>&amp;R&amp;"Times New Roman CE,Félkövér"&amp;11 10. melléklet az 5/2014. (III.6.)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51"/>
  <sheetViews>
    <sheetView view="pageLayout" topLeftCell="C1" zoomScaleNormal="100" zoomScaleSheetLayoutView="100" workbookViewId="0">
      <selection activeCell="C47" sqref="C47"/>
    </sheetView>
  </sheetViews>
  <sheetFormatPr defaultColWidth="9.33203125" defaultRowHeight="12.75" x14ac:dyDescent="0.2"/>
  <cols>
    <col min="1" max="1" width="4.83203125" style="900" customWidth="1"/>
    <col min="2" max="2" width="8.83203125" style="888" customWidth="1"/>
    <col min="3" max="3" width="72" style="888" customWidth="1"/>
    <col min="4" max="4" width="13.33203125" style="888" customWidth="1"/>
    <col min="5" max="5" width="14.5" style="888" customWidth="1"/>
    <col min="6" max="7" width="14.5" style="888" hidden="1" customWidth="1"/>
    <col min="8" max="16384" width="9.33203125" style="888"/>
  </cols>
  <sheetData>
    <row r="1" spans="1:7" s="885" customFormat="1" ht="21" customHeight="1" thickBot="1" x14ac:dyDescent="0.25">
      <c r="A1" s="292"/>
      <c r="B1" s="293"/>
      <c r="C1" s="1261"/>
      <c r="D1" s="1261"/>
      <c r="E1" s="1261"/>
    </row>
    <row r="2" spans="1:7" s="886" customFormat="1" ht="25.5" customHeight="1" x14ac:dyDescent="0.2">
      <c r="A2" s="1257" t="s">
        <v>226</v>
      </c>
      <c r="B2" s="1258"/>
      <c r="C2" s="337" t="s">
        <v>557</v>
      </c>
      <c r="D2" s="901"/>
      <c r="E2" s="902" t="s">
        <v>8</v>
      </c>
      <c r="F2" s="1002"/>
      <c r="G2" s="902" t="s">
        <v>8</v>
      </c>
    </row>
    <row r="3" spans="1:7" s="886" customFormat="1" ht="16.5" hidden="1" thickBot="1" x14ac:dyDescent="0.25">
      <c r="A3" s="295" t="s">
        <v>225</v>
      </c>
      <c r="B3" s="296"/>
      <c r="C3" s="342" t="s">
        <v>235</v>
      </c>
      <c r="D3" s="523" t="s">
        <v>1163</v>
      </c>
      <c r="E3" s="523" t="s">
        <v>1163</v>
      </c>
      <c r="F3" s="523" t="s">
        <v>1163</v>
      </c>
      <c r="G3" s="523" t="s">
        <v>1163</v>
      </c>
    </row>
    <row r="4" spans="1:7" s="887" customFormat="1" ht="15.95" customHeight="1" thickBot="1" x14ac:dyDescent="0.3">
      <c r="A4" s="297"/>
      <c r="B4" s="297"/>
      <c r="C4" s="297"/>
      <c r="D4" s="298"/>
      <c r="E4" s="298" t="s">
        <v>1164</v>
      </c>
      <c r="F4" s="298"/>
      <c r="G4" s="298" t="s">
        <v>1164</v>
      </c>
    </row>
    <row r="5" spans="1:7" ht="13.5" thickBot="1" x14ac:dyDescent="0.25">
      <c r="A5" s="1259" t="s">
        <v>227</v>
      </c>
      <c r="B5" s="1260"/>
      <c r="C5" s="903" t="s">
        <v>1165</v>
      </c>
      <c r="D5" s="1003" t="s">
        <v>1166</v>
      </c>
      <c r="E5" s="1099" t="s">
        <v>774</v>
      </c>
      <c r="F5" s="300" t="s">
        <v>1182</v>
      </c>
      <c r="G5" s="300" t="s">
        <v>1183</v>
      </c>
    </row>
    <row r="6" spans="1:7" s="889" customFormat="1" ht="12.95" customHeight="1" thickBot="1" x14ac:dyDescent="0.25">
      <c r="A6" s="260">
        <v>1</v>
      </c>
      <c r="B6" s="261">
        <v>2</v>
      </c>
      <c r="C6" s="904">
        <v>3</v>
      </c>
      <c r="D6" s="1004">
        <v>4</v>
      </c>
      <c r="E6" s="1100">
        <v>5</v>
      </c>
      <c r="F6" s="262">
        <v>6</v>
      </c>
      <c r="G6" s="262">
        <v>7</v>
      </c>
    </row>
    <row r="7" spans="1:7" s="889" customFormat="1" ht="15.95" customHeight="1" thickBot="1" x14ac:dyDescent="0.25">
      <c r="A7" s="301"/>
      <c r="B7" s="302"/>
      <c r="C7" s="302" t="s">
        <v>1167</v>
      </c>
      <c r="D7" s="1059"/>
      <c r="E7" s="303"/>
      <c r="F7" s="303"/>
      <c r="G7" s="303"/>
    </row>
    <row r="8" spans="1:7" s="890" customFormat="1" ht="12" customHeight="1" thickBot="1" x14ac:dyDescent="0.25">
      <c r="A8" s="260" t="s">
        <v>1125</v>
      </c>
      <c r="B8" s="304"/>
      <c r="C8" s="1046" t="s">
        <v>232</v>
      </c>
      <c r="D8" s="1060">
        <f>SUM(D9:D16)</f>
        <v>6483</v>
      </c>
      <c r="E8" s="531">
        <f>SUM(E9:E16)</f>
        <v>6483</v>
      </c>
      <c r="F8" s="531">
        <f t="shared" ref="F8:G8" si="0">SUM(F9:F16)</f>
        <v>6483</v>
      </c>
      <c r="G8" s="531">
        <f t="shared" si="0"/>
        <v>6483</v>
      </c>
    </row>
    <row r="9" spans="1:7" s="890" customFormat="1" ht="12" customHeight="1" x14ac:dyDescent="0.2">
      <c r="A9" s="308"/>
      <c r="B9" s="307" t="s">
        <v>60</v>
      </c>
      <c r="C9" s="1047" t="s">
        <v>155</v>
      </c>
      <c r="D9" s="1061"/>
      <c r="E9" s="1101"/>
      <c r="F9" s="1101"/>
      <c r="G9" s="1101"/>
    </row>
    <row r="10" spans="1:7" s="890" customFormat="1" ht="12" customHeight="1" x14ac:dyDescent="0.2">
      <c r="A10" s="306"/>
      <c r="B10" s="307" t="s">
        <v>61</v>
      </c>
      <c r="C10" s="1048" t="s">
        <v>156</v>
      </c>
      <c r="D10" s="1062"/>
      <c r="E10" s="538"/>
      <c r="F10" s="538"/>
      <c r="G10" s="538"/>
    </row>
    <row r="11" spans="1:7" s="890" customFormat="1" ht="12" customHeight="1" x14ac:dyDescent="0.2">
      <c r="A11" s="306"/>
      <c r="B11" s="307" t="s">
        <v>62</v>
      </c>
      <c r="C11" s="1048" t="s">
        <v>157</v>
      </c>
      <c r="D11" s="1062"/>
      <c r="E11" s="538"/>
      <c r="F11" s="538"/>
      <c r="G11" s="538"/>
    </row>
    <row r="12" spans="1:7" s="890" customFormat="1" ht="12" customHeight="1" x14ac:dyDescent="0.2">
      <c r="A12" s="306"/>
      <c r="B12" s="307" t="s">
        <v>63</v>
      </c>
      <c r="C12" s="1048" t="s">
        <v>158</v>
      </c>
      <c r="D12" s="1062">
        <v>5105</v>
      </c>
      <c r="E12" s="538">
        <v>5105</v>
      </c>
      <c r="F12" s="538">
        <v>5105</v>
      </c>
      <c r="G12" s="538">
        <v>5105</v>
      </c>
    </row>
    <row r="13" spans="1:7" s="890" customFormat="1" ht="12" customHeight="1" x14ac:dyDescent="0.2">
      <c r="A13" s="306"/>
      <c r="B13" s="307" t="s">
        <v>113</v>
      </c>
      <c r="C13" s="1049" t="s">
        <v>159</v>
      </c>
      <c r="D13" s="1062"/>
      <c r="E13" s="538"/>
      <c r="F13" s="538"/>
      <c r="G13" s="538"/>
    </row>
    <row r="14" spans="1:7" s="890" customFormat="1" ht="12" customHeight="1" x14ac:dyDescent="0.2">
      <c r="A14" s="309"/>
      <c r="B14" s="307" t="s">
        <v>64</v>
      </c>
      <c r="C14" s="1048" t="s">
        <v>160</v>
      </c>
      <c r="D14" s="1063">
        <v>1378</v>
      </c>
      <c r="E14" s="986">
        <v>1378</v>
      </c>
      <c r="F14" s="986">
        <v>1378</v>
      </c>
      <c r="G14" s="986">
        <v>1378</v>
      </c>
    </row>
    <row r="15" spans="1:7" s="891" customFormat="1" ht="12" customHeight="1" x14ac:dyDescent="0.2">
      <c r="A15" s="306"/>
      <c r="B15" s="307" t="s">
        <v>65</v>
      </c>
      <c r="C15" s="1048" t="s">
        <v>1081</v>
      </c>
      <c r="D15" s="1062"/>
      <c r="E15" s="538"/>
      <c r="F15" s="538"/>
      <c r="G15" s="538"/>
    </row>
    <row r="16" spans="1:7" s="891" customFormat="1" ht="12" customHeight="1" thickBot="1" x14ac:dyDescent="0.25">
      <c r="A16" s="310"/>
      <c r="B16" s="311" t="s">
        <v>75</v>
      </c>
      <c r="C16" s="1049" t="s">
        <v>219</v>
      </c>
      <c r="D16" s="1064"/>
      <c r="E16" s="539"/>
      <c r="F16" s="539"/>
      <c r="G16" s="539"/>
    </row>
    <row r="17" spans="1:7" s="890" customFormat="1" ht="12" customHeight="1" thickBot="1" x14ac:dyDescent="0.25">
      <c r="A17" s="260" t="s">
        <v>1126</v>
      </c>
      <c r="B17" s="304"/>
      <c r="C17" s="1046" t="s">
        <v>1082</v>
      </c>
      <c r="D17" s="1060">
        <f>SUM(D18:D21)</f>
        <v>0</v>
      </c>
      <c r="E17" s="531">
        <f>SUM(E18:E21)</f>
        <v>0</v>
      </c>
      <c r="F17" s="531">
        <f t="shared" ref="F17:G17" si="1">SUM(F18:F21)</f>
        <v>0</v>
      </c>
      <c r="G17" s="531">
        <f t="shared" si="1"/>
        <v>0</v>
      </c>
    </row>
    <row r="18" spans="1:7" s="891" customFormat="1" ht="12" customHeight="1" x14ac:dyDescent="0.2">
      <c r="A18" s="306"/>
      <c r="B18" s="307" t="s">
        <v>66</v>
      </c>
      <c r="C18" s="1050" t="s">
        <v>1078</v>
      </c>
      <c r="D18" s="1062"/>
      <c r="E18" s="538"/>
      <c r="F18" s="538"/>
      <c r="G18" s="538"/>
    </row>
    <row r="19" spans="1:7" s="891" customFormat="1" ht="12" customHeight="1" x14ac:dyDescent="0.2">
      <c r="A19" s="306"/>
      <c r="B19" s="307" t="s">
        <v>67</v>
      </c>
      <c r="C19" s="1048" t="s">
        <v>1079</v>
      </c>
      <c r="D19" s="1062"/>
      <c r="E19" s="538"/>
      <c r="F19" s="538"/>
      <c r="G19" s="538"/>
    </row>
    <row r="20" spans="1:7" s="891" customFormat="1" ht="12" customHeight="1" x14ac:dyDescent="0.2">
      <c r="A20" s="306"/>
      <c r="B20" s="307" t="s">
        <v>68</v>
      </c>
      <c r="C20" s="1048" t="s">
        <v>1080</v>
      </c>
      <c r="D20" s="1062"/>
      <c r="E20" s="538"/>
      <c r="F20" s="538"/>
      <c r="G20" s="538"/>
    </row>
    <row r="21" spans="1:7" s="891" customFormat="1" ht="12" customHeight="1" thickBot="1" x14ac:dyDescent="0.25">
      <c r="A21" s="306"/>
      <c r="B21" s="307" t="s">
        <v>69</v>
      </c>
      <c r="C21" s="1048" t="s">
        <v>1079</v>
      </c>
      <c r="D21" s="1062"/>
      <c r="E21" s="538"/>
      <c r="F21" s="538"/>
      <c r="G21" s="538"/>
    </row>
    <row r="22" spans="1:7" s="891" customFormat="1" ht="12" customHeight="1" thickBot="1" x14ac:dyDescent="0.25">
      <c r="A22" s="268" t="s">
        <v>1127</v>
      </c>
      <c r="B22" s="167"/>
      <c r="C22" s="1051" t="s">
        <v>1083</v>
      </c>
      <c r="D22" s="1060">
        <f>+D23+D24</f>
        <v>0</v>
      </c>
      <c r="E22" s="531">
        <f>+E23+E24</f>
        <v>0</v>
      </c>
      <c r="F22" s="531">
        <f t="shared" ref="F22:G22" si="2">+F23+F24</f>
        <v>0</v>
      </c>
      <c r="G22" s="531">
        <f t="shared" si="2"/>
        <v>0</v>
      </c>
    </row>
    <row r="23" spans="1:7" s="890" customFormat="1" ht="12" customHeight="1" x14ac:dyDescent="0.2">
      <c r="A23" s="511"/>
      <c r="B23" s="553" t="s">
        <v>40</v>
      </c>
      <c r="C23" s="1052" t="s">
        <v>271</v>
      </c>
      <c r="D23" s="1065"/>
      <c r="E23" s="1102"/>
      <c r="F23" s="1102"/>
      <c r="G23" s="1102"/>
    </row>
    <row r="24" spans="1:7" s="890" customFormat="1" ht="12" customHeight="1" thickBot="1" x14ac:dyDescent="0.25">
      <c r="A24" s="551"/>
      <c r="B24" s="552" t="s">
        <v>41</v>
      </c>
      <c r="C24" s="1053" t="s">
        <v>275</v>
      </c>
      <c r="D24" s="1066"/>
      <c r="E24" s="1042"/>
      <c r="F24" s="1042"/>
      <c r="G24" s="1042"/>
    </row>
    <row r="25" spans="1:7" s="890" customFormat="1" ht="12" customHeight="1" thickBot="1" x14ac:dyDescent="0.25">
      <c r="A25" s="268" t="s">
        <v>1128</v>
      </c>
      <c r="B25" s="304"/>
      <c r="C25" s="1051" t="s">
        <v>1100</v>
      </c>
      <c r="D25" s="1067">
        <v>64197</v>
      </c>
      <c r="E25" s="529">
        <f>66555+585+3259</f>
        <v>70399</v>
      </c>
      <c r="F25" s="529">
        <f t="shared" ref="F25:G25" si="3">66555+585+3259</f>
        <v>70399</v>
      </c>
      <c r="G25" s="529">
        <f t="shared" si="3"/>
        <v>70399</v>
      </c>
    </row>
    <row r="26" spans="1:7" s="890" customFormat="1" ht="12" customHeight="1" thickBot="1" x14ac:dyDescent="0.25">
      <c r="A26" s="260" t="s">
        <v>1129</v>
      </c>
      <c r="B26" s="214"/>
      <c r="C26" s="1051" t="s">
        <v>1096</v>
      </c>
      <c r="D26" s="1060">
        <f>+D8+D17+D22+D25</f>
        <v>70680</v>
      </c>
      <c r="E26" s="531">
        <f>+E8+E17+E22+E25</f>
        <v>76882</v>
      </c>
      <c r="F26" s="531">
        <f t="shared" ref="F26:G26" si="4">+F8+F17+F22+F25</f>
        <v>76882</v>
      </c>
      <c r="G26" s="531">
        <f t="shared" si="4"/>
        <v>76882</v>
      </c>
    </row>
    <row r="27" spans="1:7" s="891" customFormat="1" ht="12" customHeight="1" thickBot="1" x14ac:dyDescent="0.25">
      <c r="A27" s="548" t="s">
        <v>1130</v>
      </c>
      <c r="B27" s="557"/>
      <c r="C27" s="1054" t="s">
        <v>1098</v>
      </c>
      <c r="D27" s="1068">
        <f>+D28+D29</f>
        <v>0</v>
      </c>
      <c r="E27" s="561">
        <f>+E28+E29</f>
        <v>418</v>
      </c>
      <c r="F27" s="561">
        <f t="shared" ref="F27:G27" si="5">+F28+F29</f>
        <v>419</v>
      </c>
      <c r="G27" s="561">
        <f t="shared" si="5"/>
        <v>420</v>
      </c>
    </row>
    <row r="28" spans="1:7" s="891" customFormat="1" ht="15" customHeight="1" x14ac:dyDescent="0.2">
      <c r="A28" s="308"/>
      <c r="B28" s="212" t="s">
        <v>47</v>
      </c>
      <c r="C28" s="1052" t="s">
        <v>380</v>
      </c>
      <c r="D28" s="1065"/>
      <c r="E28" s="1102">
        <v>418</v>
      </c>
      <c r="F28" s="1102">
        <v>419</v>
      </c>
      <c r="G28" s="1102">
        <v>420</v>
      </c>
    </row>
    <row r="29" spans="1:7" s="891" customFormat="1" ht="15" customHeight="1" thickBot="1" x14ac:dyDescent="0.25">
      <c r="A29" s="558"/>
      <c r="B29" s="213" t="s">
        <v>48</v>
      </c>
      <c r="C29" s="1097" t="s">
        <v>1086</v>
      </c>
      <c r="D29" s="1070"/>
      <c r="E29" s="1045"/>
      <c r="F29" s="1045"/>
      <c r="G29" s="1045"/>
    </row>
    <row r="30" spans="1:7" ht="13.5" thickBot="1" x14ac:dyDescent="0.25">
      <c r="A30" s="318" t="s">
        <v>1131</v>
      </c>
      <c r="B30" s="908"/>
      <c r="C30" s="1057" t="s">
        <v>1099</v>
      </c>
      <c r="D30" s="1067"/>
      <c r="E30" s="529"/>
      <c r="F30" s="529"/>
      <c r="G30" s="529"/>
    </row>
    <row r="31" spans="1:7" s="889" customFormat="1" ht="16.5" customHeight="1" thickBot="1" x14ac:dyDescent="0.25">
      <c r="A31" s="318" t="s">
        <v>1132</v>
      </c>
      <c r="B31" s="909"/>
      <c r="C31" s="1098" t="s">
        <v>1097</v>
      </c>
      <c r="D31" s="1071">
        <f>+D26+D27+D30</f>
        <v>70680</v>
      </c>
      <c r="E31" s="535">
        <f>+E26+E27+E30</f>
        <v>77300</v>
      </c>
      <c r="F31" s="535">
        <f t="shared" ref="F31:G31" si="6">+F26+F27+F30</f>
        <v>77301</v>
      </c>
      <c r="G31" s="535">
        <f t="shared" si="6"/>
        <v>77302</v>
      </c>
    </row>
    <row r="32" spans="1:7" s="892" customFormat="1" ht="12" customHeight="1" x14ac:dyDescent="0.2">
      <c r="A32" s="321"/>
      <c r="B32" s="321"/>
      <c r="C32" s="322"/>
      <c r="D32" s="533"/>
      <c r="E32" s="533"/>
      <c r="F32" s="533"/>
      <c r="G32" s="533"/>
    </row>
    <row r="33" spans="1:7" ht="12" customHeight="1" thickBot="1" x14ac:dyDescent="0.25">
      <c r="A33" s="323"/>
      <c r="B33" s="324"/>
      <c r="C33" s="324"/>
      <c r="D33" s="534"/>
      <c r="E33" s="534"/>
      <c r="F33" s="534"/>
      <c r="G33" s="534"/>
    </row>
    <row r="34" spans="1:7" ht="12" customHeight="1" thickBot="1" x14ac:dyDescent="0.25">
      <c r="A34" s="325"/>
      <c r="B34" s="326"/>
      <c r="C34" s="327" t="s">
        <v>1</v>
      </c>
      <c r="D34" s="1003" t="s">
        <v>1166</v>
      </c>
      <c r="E34" s="300" t="s">
        <v>774</v>
      </c>
      <c r="F34" s="300" t="s">
        <v>1182</v>
      </c>
      <c r="G34" s="300" t="s">
        <v>1183</v>
      </c>
    </row>
    <row r="35" spans="1:7" ht="12" customHeight="1" thickBot="1" x14ac:dyDescent="0.25">
      <c r="A35" s="268" t="s">
        <v>1125</v>
      </c>
      <c r="B35" s="24"/>
      <c r="C35" s="1051" t="s">
        <v>1076</v>
      </c>
      <c r="D35" s="1060">
        <f>SUM(D36:D40)</f>
        <v>70680</v>
      </c>
      <c r="E35" s="531">
        <f>SUM(E36:E40)</f>
        <v>77300</v>
      </c>
      <c r="F35" s="531">
        <f t="shared" ref="F35:G35" si="7">SUM(F36:F40)</f>
        <v>33776</v>
      </c>
      <c r="G35" s="531">
        <f t="shared" si="7"/>
        <v>73456</v>
      </c>
    </row>
    <row r="36" spans="1:7" ht="12" customHeight="1" x14ac:dyDescent="0.2">
      <c r="A36" s="328"/>
      <c r="B36" s="211" t="s">
        <v>60</v>
      </c>
      <c r="C36" s="1050" t="s">
        <v>1156</v>
      </c>
      <c r="D36" s="1074">
        <v>34936</v>
      </c>
      <c r="E36" s="987">
        <f>36546+461+2566</f>
        <v>39573</v>
      </c>
      <c r="F36" s="114">
        <v>18006</v>
      </c>
      <c r="G36" s="114">
        <v>36546</v>
      </c>
    </row>
    <row r="37" spans="1:7" ht="12" customHeight="1" x14ac:dyDescent="0.2">
      <c r="A37" s="329"/>
      <c r="B37" s="194" t="s">
        <v>61</v>
      </c>
      <c r="C37" s="1048" t="s">
        <v>186</v>
      </c>
      <c r="D37" s="1075">
        <v>10276</v>
      </c>
      <c r="E37" s="537">
        <f>10167+124+693</f>
        <v>10984</v>
      </c>
      <c r="F37" s="117">
        <v>4505</v>
      </c>
      <c r="G37" s="117">
        <v>10167</v>
      </c>
    </row>
    <row r="38" spans="1:7" ht="12" customHeight="1" x14ac:dyDescent="0.2">
      <c r="A38" s="329"/>
      <c r="B38" s="194" t="s">
        <v>62</v>
      </c>
      <c r="C38" s="1048" t="s">
        <v>103</v>
      </c>
      <c r="D38" s="1075">
        <f>25468-10</f>
        <v>25458</v>
      </c>
      <c r="E38" s="537">
        <v>26733</v>
      </c>
      <c r="F38" s="117">
        <v>11262</v>
      </c>
      <c r="G38" s="117">
        <v>26733</v>
      </c>
    </row>
    <row r="39" spans="1:7" s="892" customFormat="1" ht="12" customHeight="1" x14ac:dyDescent="0.2">
      <c r="A39" s="329"/>
      <c r="B39" s="194" t="s">
        <v>63</v>
      </c>
      <c r="C39" s="1048" t="s">
        <v>187</v>
      </c>
      <c r="D39" s="1075"/>
      <c r="E39" s="537"/>
      <c r="F39" s="117"/>
      <c r="G39" s="117"/>
    </row>
    <row r="40" spans="1:7" ht="12" customHeight="1" thickBot="1" x14ac:dyDescent="0.25">
      <c r="A40" s="329"/>
      <c r="B40" s="194" t="s">
        <v>74</v>
      </c>
      <c r="C40" s="1048" t="s">
        <v>188</v>
      </c>
      <c r="D40" s="1075">
        <v>10</v>
      </c>
      <c r="E40" s="537">
        <v>10</v>
      </c>
      <c r="F40" s="117">
        <v>3</v>
      </c>
      <c r="G40" s="117">
        <v>10</v>
      </c>
    </row>
    <row r="41" spans="1:7" ht="12" customHeight="1" thickBot="1" x14ac:dyDescent="0.25">
      <c r="A41" s="268" t="s">
        <v>1126</v>
      </c>
      <c r="B41" s="24"/>
      <c r="C41" s="1051" t="s">
        <v>1093</v>
      </c>
      <c r="D41" s="1060">
        <f>SUM(D42:D45)</f>
        <v>0</v>
      </c>
      <c r="E41" s="531">
        <f>SUM(E42:E45)</f>
        <v>0</v>
      </c>
      <c r="F41" s="531">
        <f t="shared" ref="F41:G41" si="8">SUM(F42:F45)</f>
        <v>0</v>
      </c>
      <c r="G41" s="531">
        <f t="shared" si="8"/>
        <v>0</v>
      </c>
    </row>
    <row r="42" spans="1:7" ht="12" customHeight="1" x14ac:dyDescent="0.2">
      <c r="A42" s="328"/>
      <c r="B42" s="211" t="s">
        <v>66</v>
      </c>
      <c r="C42" s="1050" t="s">
        <v>304</v>
      </c>
      <c r="D42" s="1074"/>
      <c r="E42" s="987"/>
      <c r="F42" s="987"/>
      <c r="G42" s="987"/>
    </row>
    <row r="43" spans="1:7" ht="12" customHeight="1" x14ac:dyDescent="0.2">
      <c r="A43" s="329"/>
      <c r="B43" s="194" t="s">
        <v>67</v>
      </c>
      <c r="C43" s="1048" t="s">
        <v>190</v>
      </c>
      <c r="D43" s="1075"/>
      <c r="E43" s="537"/>
      <c r="F43" s="537"/>
      <c r="G43" s="537"/>
    </row>
    <row r="44" spans="1:7" ht="15" customHeight="1" x14ac:dyDescent="0.2">
      <c r="A44" s="329"/>
      <c r="B44" s="194" t="s">
        <v>70</v>
      </c>
      <c r="C44" s="1048" t="s">
        <v>2</v>
      </c>
      <c r="D44" s="1075"/>
      <c r="E44" s="537"/>
      <c r="F44" s="537"/>
      <c r="G44" s="537"/>
    </row>
    <row r="45" spans="1:7" ht="13.5" thickBot="1" x14ac:dyDescent="0.25">
      <c r="A45" s="329"/>
      <c r="B45" s="194" t="s">
        <v>81</v>
      </c>
      <c r="C45" s="1048" t="s">
        <v>1090</v>
      </c>
      <c r="D45" s="1075"/>
      <c r="E45" s="537"/>
      <c r="F45" s="537"/>
      <c r="G45" s="537"/>
    </row>
    <row r="46" spans="1:7" ht="15" customHeight="1" thickBot="1" x14ac:dyDescent="0.25">
      <c r="A46" s="268" t="s">
        <v>1127</v>
      </c>
      <c r="B46" s="24"/>
      <c r="C46" s="1072" t="s">
        <v>1091</v>
      </c>
      <c r="D46" s="1067"/>
      <c r="E46" s="529"/>
      <c r="F46" s="529"/>
      <c r="G46" s="529"/>
    </row>
    <row r="47" spans="1:7" ht="14.25" customHeight="1" thickBot="1" x14ac:dyDescent="0.25">
      <c r="A47" s="318" t="s">
        <v>1128</v>
      </c>
      <c r="B47" s="908"/>
      <c r="C47" s="1057" t="s">
        <v>1094</v>
      </c>
      <c r="D47" s="1067"/>
      <c r="E47" s="529"/>
      <c r="F47" s="529"/>
      <c r="G47" s="529"/>
    </row>
    <row r="48" spans="1:7" ht="13.5" thickBot="1" x14ac:dyDescent="0.25">
      <c r="A48" s="268" t="s">
        <v>1129</v>
      </c>
      <c r="B48" s="315"/>
      <c r="C48" s="1073" t="s">
        <v>1092</v>
      </c>
      <c r="D48" s="1071">
        <f>+D35+D41+D46+D47</f>
        <v>70680</v>
      </c>
      <c r="E48" s="535">
        <f>+E35+E41+E46+E47</f>
        <v>77300</v>
      </c>
      <c r="F48" s="535">
        <f t="shared" ref="F48:G48" si="9">+F35+F41+F46+F47</f>
        <v>33776</v>
      </c>
      <c r="G48" s="535">
        <f t="shared" si="9"/>
        <v>73456</v>
      </c>
    </row>
    <row r="49" spans="1:7" x14ac:dyDescent="0.2">
      <c r="A49" s="893"/>
      <c r="B49" s="894"/>
      <c r="C49" s="894"/>
      <c r="D49" s="895"/>
      <c r="E49" s="895"/>
      <c r="F49" s="895"/>
      <c r="G49" s="895"/>
    </row>
    <row r="50" spans="1:7" ht="13.5" hidden="1" thickBot="1" x14ac:dyDescent="0.25">
      <c r="A50" s="896" t="s">
        <v>230</v>
      </c>
      <c r="B50" s="897"/>
      <c r="C50" s="898"/>
      <c r="D50" s="899"/>
      <c r="E50" s="899"/>
      <c r="F50" s="899"/>
      <c r="G50" s="899"/>
    </row>
    <row r="51" spans="1:7" ht="13.5" hidden="1" thickBot="1" x14ac:dyDescent="0.25">
      <c r="A51" s="896" t="s">
        <v>231</v>
      </c>
      <c r="B51" s="897"/>
      <c r="C51" s="898"/>
      <c r="D51" s="899"/>
      <c r="E51" s="899"/>
      <c r="F51" s="899"/>
      <c r="G51" s="899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59055118110236227" right="0.59055118110236227" top="0.98425196850393704" bottom="0.98425196850393704" header="0.55118110236220474" footer="0.78740157480314965"/>
  <pageSetup paperSize="9" scale="89" orientation="portrait" verticalDpi="300" r:id="rId1"/>
  <headerFooter alignWithMargins="0">
    <oddHeader>&amp;R&amp;"Times New Roman CE,Félkövér"&amp;11 11. melléklet a az 5/2014. (III.6.)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51"/>
  <sheetViews>
    <sheetView view="pageLayout" zoomScaleNormal="100" zoomScaleSheetLayoutView="100" workbookViewId="0">
      <selection activeCell="I41" sqref="I41"/>
    </sheetView>
  </sheetViews>
  <sheetFormatPr defaultColWidth="9.33203125" defaultRowHeight="12.75" x14ac:dyDescent="0.2"/>
  <cols>
    <col min="1" max="1" width="5" style="3" customWidth="1"/>
    <col min="2" max="2" width="8.5" style="4" customWidth="1"/>
    <col min="3" max="3" width="60" style="4" bestFit="1" customWidth="1"/>
    <col min="4" max="4" width="13.33203125" style="4" customWidth="1"/>
    <col min="5" max="5" width="15.6640625" style="4" customWidth="1"/>
    <col min="6" max="7" width="15.6640625" style="4" hidden="1" customWidth="1"/>
    <col min="8" max="8" width="11.6640625" style="4" bestFit="1" customWidth="1"/>
    <col min="9" max="16384" width="9.33203125" style="4"/>
  </cols>
  <sheetData>
    <row r="1" spans="1:7" s="2" customFormat="1" ht="21" customHeight="1" thickBot="1" x14ac:dyDescent="0.25">
      <c r="A1" s="292"/>
      <c r="B1" s="293"/>
      <c r="C1" s="340"/>
      <c r="D1" s="339"/>
      <c r="E1" s="339"/>
      <c r="F1" s="921"/>
      <c r="G1" s="921"/>
    </row>
    <row r="2" spans="1:7" s="133" customFormat="1" ht="37.15" customHeight="1" x14ac:dyDescent="0.2">
      <c r="A2" s="1257" t="s">
        <v>226</v>
      </c>
      <c r="B2" s="1258"/>
      <c r="C2" s="337" t="s">
        <v>806</v>
      </c>
      <c r="D2" s="901"/>
      <c r="E2" s="902" t="s">
        <v>10</v>
      </c>
      <c r="F2" s="1002"/>
      <c r="G2" s="902" t="s">
        <v>10</v>
      </c>
    </row>
    <row r="3" spans="1:7" s="133" customFormat="1" ht="16.5" hidden="1" thickBot="1" x14ac:dyDescent="0.25">
      <c r="A3" s="295" t="s">
        <v>225</v>
      </c>
      <c r="B3" s="296"/>
      <c r="C3" s="342" t="s">
        <v>235</v>
      </c>
      <c r="D3" s="523" t="s">
        <v>1163</v>
      </c>
      <c r="E3" s="523" t="s">
        <v>1163</v>
      </c>
      <c r="F3" s="523" t="s">
        <v>1163</v>
      </c>
      <c r="G3" s="523" t="s">
        <v>1163</v>
      </c>
    </row>
    <row r="4" spans="1:7" s="134" customFormat="1" ht="15.95" customHeight="1" thickBot="1" x14ac:dyDescent="0.3">
      <c r="A4" s="297"/>
      <c r="B4" s="297"/>
      <c r="C4" s="297"/>
      <c r="D4" s="298"/>
      <c r="E4" s="298" t="s">
        <v>1164</v>
      </c>
      <c r="F4" s="298"/>
      <c r="G4" s="298" t="s">
        <v>1164</v>
      </c>
    </row>
    <row r="5" spans="1:7" ht="13.5" thickBot="1" x14ac:dyDescent="0.25">
      <c r="A5" s="1259" t="s">
        <v>227</v>
      </c>
      <c r="B5" s="1260"/>
      <c r="C5" s="299" t="s">
        <v>1165</v>
      </c>
      <c r="D5" s="1003" t="s">
        <v>1166</v>
      </c>
      <c r="E5" s="300" t="s">
        <v>774</v>
      </c>
      <c r="F5" s="300" t="s">
        <v>1182</v>
      </c>
      <c r="G5" s="300" t="s">
        <v>1183</v>
      </c>
    </row>
    <row r="6" spans="1:7" s="83" customFormat="1" ht="12.95" customHeight="1" thickBot="1" x14ac:dyDescent="0.25">
      <c r="A6" s="260">
        <v>1</v>
      </c>
      <c r="B6" s="261">
        <v>2</v>
      </c>
      <c r="C6" s="261">
        <v>3</v>
      </c>
      <c r="D6" s="1004">
        <v>4</v>
      </c>
      <c r="E6" s="262">
        <v>5</v>
      </c>
      <c r="F6" s="262">
        <v>6</v>
      </c>
      <c r="G6" s="262">
        <v>7</v>
      </c>
    </row>
    <row r="7" spans="1:7" s="83" customFormat="1" ht="15.95" customHeight="1" thickBot="1" x14ac:dyDescent="0.25">
      <c r="A7" s="301"/>
      <c r="B7" s="302"/>
      <c r="C7" s="302" t="s">
        <v>1167</v>
      </c>
      <c r="D7" s="303"/>
      <c r="E7" s="303"/>
      <c r="F7" s="303"/>
      <c r="G7" s="303"/>
    </row>
    <row r="8" spans="1:7" s="135" customFormat="1" ht="12" customHeight="1" thickBot="1" x14ac:dyDescent="0.25">
      <c r="A8" s="260" t="s">
        <v>1125</v>
      </c>
      <c r="B8" s="304"/>
      <c r="C8" s="305" t="s">
        <v>232</v>
      </c>
      <c r="D8" s="462">
        <f>SUM(D9:D16)</f>
        <v>250</v>
      </c>
      <c r="E8" s="462">
        <f>SUM(E9:E16)</f>
        <v>93</v>
      </c>
      <c r="F8" s="462">
        <f>SUM(F9:F16)</f>
        <v>93</v>
      </c>
      <c r="G8" s="462">
        <f>SUM(G9:G16)</f>
        <v>93</v>
      </c>
    </row>
    <row r="9" spans="1:7" s="135" customFormat="1" ht="12" customHeight="1" x14ac:dyDescent="0.2">
      <c r="A9" s="308"/>
      <c r="B9" s="307" t="s">
        <v>60</v>
      </c>
      <c r="C9" s="12" t="s">
        <v>155</v>
      </c>
      <c r="D9" s="525"/>
      <c r="E9" s="525"/>
      <c r="F9" s="525"/>
      <c r="G9" s="525"/>
    </row>
    <row r="10" spans="1:7" s="135" customFormat="1" ht="12" customHeight="1" x14ac:dyDescent="0.2">
      <c r="A10" s="306"/>
      <c r="B10" s="307" t="s">
        <v>61</v>
      </c>
      <c r="C10" s="9" t="s">
        <v>156</v>
      </c>
      <c r="D10" s="460"/>
      <c r="E10" s="460"/>
      <c r="F10" s="460"/>
      <c r="G10" s="460"/>
    </row>
    <row r="11" spans="1:7" s="135" customFormat="1" ht="12" customHeight="1" x14ac:dyDescent="0.2">
      <c r="A11" s="306"/>
      <c r="B11" s="307" t="s">
        <v>62</v>
      </c>
      <c r="C11" s="9" t="s">
        <v>157</v>
      </c>
      <c r="D11" s="460">
        <v>250</v>
      </c>
      <c r="E11" s="460">
        <v>92</v>
      </c>
      <c r="F11" s="460">
        <v>92</v>
      </c>
      <c r="G11" s="460">
        <v>92</v>
      </c>
    </row>
    <row r="12" spans="1:7" s="135" customFormat="1" ht="12" customHeight="1" x14ac:dyDescent="0.2">
      <c r="A12" s="306"/>
      <c r="B12" s="307" t="s">
        <v>63</v>
      </c>
      <c r="C12" s="9" t="s">
        <v>158</v>
      </c>
      <c r="D12" s="460"/>
      <c r="E12" s="460"/>
      <c r="F12" s="460"/>
      <c r="G12" s="460"/>
    </row>
    <row r="13" spans="1:7" s="135" customFormat="1" ht="12" customHeight="1" x14ac:dyDescent="0.2">
      <c r="A13" s="306"/>
      <c r="B13" s="307" t="s">
        <v>113</v>
      </c>
      <c r="C13" s="8" t="s">
        <v>159</v>
      </c>
      <c r="D13" s="460"/>
      <c r="E13" s="460"/>
      <c r="F13" s="460"/>
      <c r="G13" s="460"/>
    </row>
    <row r="14" spans="1:7" s="135" customFormat="1" ht="12" customHeight="1" x14ac:dyDescent="0.2">
      <c r="A14" s="309"/>
      <c r="B14" s="307" t="s">
        <v>64</v>
      </c>
      <c r="C14" s="9" t="s">
        <v>160</v>
      </c>
      <c r="D14" s="526"/>
      <c r="E14" s="526"/>
      <c r="F14" s="526"/>
      <c r="G14" s="526"/>
    </row>
    <row r="15" spans="1:7" s="136" customFormat="1" ht="12" customHeight="1" x14ac:dyDescent="0.2">
      <c r="A15" s="306"/>
      <c r="B15" s="307" t="s">
        <v>65</v>
      </c>
      <c r="C15" s="9" t="s">
        <v>1081</v>
      </c>
      <c r="D15" s="460"/>
      <c r="E15" s="460"/>
      <c r="F15" s="460"/>
      <c r="G15" s="460"/>
    </row>
    <row r="16" spans="1:7" s="136" customFormat="1" ht="12" customHeight="1" thickBot="1" x14ac:dyDescent="0.25">
      <c r="A16" s="310"/>
      <c r="B16" s="311" t="s">
        <v>75</v>
      </c>
      <c r="C16" s="8" t="s">
        <v>219</v>
      </c>
      <c r="D16" s="461"/>
      <c r="E16" s="461">
        <v>1</v>
      </c>
      <c r="F16" s="461">
        <v>1</v>
      </c>
      <c r="G16" s="461">
        <v>1</v>
      </c>
    </row>
    <row r="17" spans="1:7" s="135" customFormat="1" ht="12" customHeight="1" thickBot="1" x14ac:dyDescent="0.25">
      <c r="A17" s="260" t="s">
        <v>1126</v>
      </c>
      <c r="B17" s="304"/>
      <c r="C17" s="305" t="s">
        <v>1082</v>
      </c>
      <c r="D17" s="462">
        <f>SUM(D18:D21)</f>
        <v>0</v>
      </c>
      <c r="E17" s="462">
        <f>SUM(E18:E21)</f>
        <v>0</v>
      </c>
      <c r="F17" s="462">
        <f>SUM(F18:F21)</f>
        <v>0</v>
      </c>
      <c r="G17" s="462">
        <f>SUM(G18:G21)</f>
        <v>0</v>
      </c>
    </row>
    <row r="18" spans="1:7" s="136" customFormat="1" ht="12" customHeight="1" x14ac:dyDescent="0.2">
      <c r="A18" s="306"/>
      <c r="B18" s="307" t="s">
        <v>66</v>
      </c>
      <c r="C18" s="11" t="s">
        <v>1078</v>
      </c>
      <c r="D18" s="460"/>
      <c r="E18" s="460"/>
      <c r="F18" s="460"/>
      <c r="G18" s="460"/>
    </row>
    <row r="19" spans="1:7" s="136" customFormat="1" ht="12" customHeight="1" x14ac:dyDescent="0.2">
      <c r="A19" s="306"/>
      <c r="B19" s="307" t="s">
        <v>67</v>
      </c>
      <c r="C19" s="9" t="s">
        <v>1079</v>
      </c>
      <c r="D19" s="460"/>
      <c r="E19" s="460"/>
      <c r="F19" s="460"/>
      <c r="G19" s="460"/>
    </row>
    <row r="20" spans="1:7" s="136" customFormat="1" ht="12" customHeight="1" x14ac:dyDescent="0.2">
      <c r="A20" s="306"/>
      <c r="B20" s="307" t="s">
        <v>68</v>
      </c>
      <c r="C20" s="9" t="s">
        <v>1080</v>
      </c>
      <c r="D20" s="460"/>
      <c r="E20" s="460"/>
      <c r="F20" s="460"/>
      <c r="G20" s="460"/>
    </row>
    <row r="21" spans="1:7" s="136" customFormat="1" ht="12" customHeight="1" thickBot="1" x14ac:dyDescent="0.25">
      <c r="A21" s="306"/>
      <c r="B21" s="307" t="s">
        <v>69</v>
      </c>
      <c r="C21" s="9" t="s">
        <v>1079</v>
      </c>
      <c r="D21" s="460"/>
      <c r="E21" s="460"/>
      <c r="F21" s="460"/>
      <c r="G21" s="460"/>
    </row>
    <row r="22" spans="1:7" s="136" customFormat="1" ht="12" customHeight="1" thickBot="1" x14ac:dyDescent="0.25">
      <c r="A22" s="268" t="s">
        <v>1127</v>
      </c>
      <c r="B22" s="167"/>
      <c r="C22" s="167" t="s">
        <v>1083</v>
      </c>
      <c r="D22" s="462">
        <f>+D23+D24</f>
        <v>0</v>
      </c>
      <c r="E22" s="462">
        <f>+E23+E24</f>
        <v>0</v>
      </c>
      <c r="F22" s="462">
        <f>+F23+F24</f>
        <v>0</v>
      </c>
      <c r="G22" s="462">
        <f>+G23+G24</f>
        <v>0</v>
      </c>
    </row>
    <row r="23" spans="1:7" s="135" customFormat="1" ht="12" customHeight="1" x14ac:dyDescent="0.2">
      <c r="A23" s="511"/>
      <c r="B23" s="553" t="s">
        <v>40</v>
      </c>
      <c r="C23" s="185" t="s">
        <v>271</v>
      </c>
      <c r="D23" s="559"/>
      <c r="E23" s="559"/>
      <c r="F23" s="559"/>
      <c r="G23" s="559"/>
    </row>
    <row r="24" spans="1:7" s="135" customFormat="1" ht="12" customHeight="1" thickBot="1" x14ac:dyDescent="0.25">
      <c r="A24" s="551"/>
      <c r="B24" s="552" t="s">
        <v>41</v>
      </c>
      <c r="C24" s="186" t="s">
        <v>275</v>
      </c>
      <c r="D24" s="560"/>
      <c r="E24" s="560"/>
      <c r="F24" s="560"/>
      <c r="G24" s="560"/>
    </row>
    <row r="25" spans="1:7" s="135" customFormat="1" ht="12" customHeight="1" thickBot="1" x14ac:dyDescent="0.25">
      <c r="A25" s="268" t="s">
        <v>1128</v>
      </c>
      <c r="B25" s="304"/>
      <c r="C25" s="167" t="s">
        <v>1100</v>
      </c>
      <c r="D25" s="491">
        <v>7699</v>
      </c>
      <c r="E25" s="491">
        <v>1813</v>
      </c>
      <c r="F25" s="491">
        <v>1813</v>
      </c>
      <c r="G25" s="491">
        <v>1813</v>
      </c>
    </row>
    <row r="26" spans="1:7" s="135" customFormat="1" ht="12" customHeight="1" thickBot="1" x14ac:dyDescent="0.25">
      <c r="A26" s="260" t="s">
        <v>1129</v>
      </c>
      <c r="B26" s="214"/>
      <c r="C26" s="167" t="s">
        <v>1096</v>
      </c>
      <c r="D26" s="531">
        <f>+D8+D17+D22+D25</f>
        <v>7949</v>
      </c>
      <c r="E26" s="531">
        <f>+E8+E17+E22+E25</f>
        <v>1906</v>
      </c>
      <c r="F26" s="531">
        <f>+F8+F17+F22+F25</f>
        <v>1906</v>
      </c>
      <c r="G26" s="531">
        <f>+G8+G17+G22+G25</f>
        <v>1906</v>
      </c>
    </row>
    <row r="27" spans="1:7" s="136" customFormat="1" ht="12" customHeight="1" thickBot="1" x14ac:dyDescent="0.25">
      <c r="A27" s="548" t="s">
        <v>1130</v>
      </c>
      <c r="B27" s="557"/>
      <c r="C27" s="550" t="s">
        <v>1098</v>
      </c>
      <c r="D27" s="561">
        <f>+D28+D29</f>
        <v>0</v>
      </c>
      <c r="E27" s="561">
        <f>+E28+E29</f>
        <v>47</v>
      </c>
      <c r="F27" s="561">
        <f>+F28+F29</f>
        <v>47</v>
      </c>
      <c r="G27" s="561">
        <f>+G28+G29</f>
        <v>47</v>
      </c>
    </row>
    <row r="28" spans="1:7" s="136" customFormat="1" ht="15" customHeight="1" x14ac:dyDescent="0.2">
      <c r="A28" s="308"/>
      <c r="B28" s="212" t="s">
        <v>47</v>
      </c>
      <c r="C28" s="185" t="s">
        <v>380</v>
      </c>
      <c r="D28" s="559"/>
      <c r="E28" s="559">
        <v>47</v>
      </c>
      <c r="F28" s="559">
        <v>47</v>
      </c>
      <c r="G28" s="559">
        <v>47</v>
      </c>
    </row>
    <row r="29" spans="1:7" s="136" customFormat="1" ht="15" customHeight="1" thickBot="1" x14ac:dyDescent="0.25">
      <c r="A29" s="558"/>
      <c r="B29" s="213" t="s">
        <v>48</v>
      </c>
      <c r="C29" s="549" t="s">
        <v>1086</v>
      </c>
      <c r="D29" s="121"/>
      <c r="E29" s="121"/>
      <c r="F29" s="121"/>
      <c r="G29" s="121"/>
    </row>
    <row r="30" spans="1:7" ht="13.5" thickBot="1" x14ac:dyDescent="0.25">
      <c r="A30" s="318" t="s">
        <v>1131</v>
      </c>
      <c r="B30" s="546"/>
      <c r="C30" s="547" t="s">
        <v>1099</v>
      </c>
      <c r="D30" s="529"/>
      <c r="E30" s="529"/>
      <c r="F30" s="529"/>
      <c r="G30" s="529"/>
    </row>
    <row r="31" spans="1:7" s="83" customFormat="1" ht="16.5" customHeight="1" thickBot="1" x14ac:dyDescent="0.25">
      <c r="A31" s="318" t="s">
        <v>1132</v>
      </c>
      <c r="B31" s="319"/>
      <c r="C31" s="320" t="s">
        <v>1097</v>
      </c>
      <c r="D31" s="535">
        <f>+D26+D27+D30</f>
        <v>7949</v>
      </c>
      <c r="E31" s="535">
        <f>+E26+E27+E30</f>
        <v>1953</v>
      </c>
      <c r="F31" s="535">
        <f>+F26+F27+F30</f>
        <v>1953</v>
      </c>
      <c r="G31" s="535">
        <f>+G26+G27+G30</f>
        <v>1953</v>
      </c>
    </row>
    <row r="32" spans="1:7" s="137" customFormat="1" ht="12" customHeight="1" x14ac:dyDescent="0.2">
      <c r="A32" s="321"/>
      <c r="B32" s="321"/>
      <c r="C32" s="322"/>
      <c r="D32" s="533"/>
      <c r="E32" s="533"/>
      <c r="F32" s="533"/>
      <c r="G32" s="533"/>
    </row>
    <row r="33" spans="1:7" ht="12" customHeight="1" thickBot="1" x14ac:dyDescent="0.25">
      <c r="A33" s="323"/>
      <c r="B33" s="324"/>
      <c r="C33" s="324"/>
      <c r="D33" s="534"/>
      <c r="E33" s="534"/>
      <c r="F33" s="534"/>
      <c r="G33" s="534"/>
    </row>
    <row r="34" spans="1:7" ht="12" customHeight="1" thickBot="1" x14ac:dyDescent="0.25">
      <c r="A34" s="325"/>
      <c r="B34" s="326"/>
      <c r="C34" s="327" t="s">
        <v>1</v>
      </c>
      <c r="D34" s="535"/>
      <c r="E34" s="535"/>
      <c r="F34" s="535"/>
      <c r="G34" s="535"/>
    </row>
    <row r="35" spans="1:7" ht="12" customHeight="1" thickBot="1" x14ac:dyDescent="0.25">
      <c r="A35" s="268" t="s">
        <v>1125</v>
      </c>
      <c r="B35" s="24"/>
      <c r="C35" s="167" t="s">
        <v>1076</v>
      </c>
      <c r="D35" s="462">
        <f>SUM(D36:D40)</f>
        <v>7949</v>
      </c>
      <c r="E35" s="462">
        <f>SUM(E36:E40)</f>
        <v>1953</v>
      </c>
      <c r="F35" s="462">
        <f>SUM(F36:F40)</f>
        <v>1953</v>
      </c>
      <c r="G35" s="462">
        <f>SUM(G36:G40)</f>
        <v>1953</v>
      </c>
    </row>
    <row r="36" spans="1:7" ht="12" customHeight="1" x14ac:dyDescent="0.2">
      <c r="A36" s="328"/>
      <c r="B36" s="211" t="s">
        <v>60</v>
      </c>
      <c r="C36" s="11" t="s">
        <v>1156</v>
      </c>
      <c r="D36" s="114">
        <v>3714</v>
      </c>
      <c r="E36" s="114">
        <v>671</v>
      </c>
      <c r="F36" s="114">
        <v>671</v>
      </c>
      <c r="G36" s="114">
        <v>671</v>
      </c>
    </row>
    <row r="37" spans="1:7" ht="12" customHeight="1" x14ac:dyDescent="0.2">
      <c r="A37" s="329"/>
      <c r="B37" s="194" t="s">
        <v>61</v>
      </c>
      <c r="C37" s="9" t="s">
        <v>186</v>
      </c>
      <c r="D37" s="117">
        <v>1003</v>
      </c>
      <c r="E37" s="117">
        <v>169</v>
      </c>
      <c r="F37" s="117">
        <v>169</v>
      </c>
      <c r="G37" s="117">
        <v>169</v>
      </c>
    </row>
    <row r="38" spans="1:7" ht="12" customHeight="1" x14ac:dyDescent="0.2">
      <c r="A38" s="329"/>
      <c r="B38" s="194" t="s">
        <v>62</v>
      </c>
      <c r="C38" s="9" t="s">
        <v>103</v>
      </c>
      <c r="D38" s="117">
        <v>3222</v>
      </c>
      <c r="E38" s="117">
        <v>1111</v>
      </c>
      <c r="F38" s="117">
        <v>1111</v>
      </c>
      <c r="G38" s="117">
        <v>1111</v>
      </c>
    </row>
    <row r="39" spans="1:7" s="137" customFormat="1" ht="12" customHeight="1" x14ac:dyDescent="0.2">
      <c r="A39" s="329"/>
      <c r="B39" s="194" t="s">
        <v>63</v>
      </c>
      <c r="C39" s="9" t="s">
        <v>187</v>
      </c>
      <c r="D39" s="117"/>
      <c r="E39" s="117"/>
      <c r="F39" s="117"/>
      <c r="G39" s="117"/>
    </row>
    <row r="40" spans="1:7" ht="12" customHeight="1" thickBot="1" x14ac:dyDescent="0.25">
      <c r="A40" s="329"/>
      <c r="B40" s="194" t="s">
        <v>74</v>
      </c>
      <c r="C40" s="9" t="s">
        <v>188</v>
      </c>
      <c r="D40" s="117">
        <v>10</v>
      </c>
      <c r="E40" s="117">
        <v>2</v>
      </c>
      <c r="F40" s="117">
        <v>2</v>
      </c>
      <c r="G40" s="117">
        <v>2</v>
      </c>
    </row>
    <row r="41" spans="1:7" ht="12" customHeight="1" thickBot="1" x14ac:dyDescent="0.25">
      <c r="A41" s="268" t="s">
        <v>1126</v>
      </c>
      <c r="B41" s="24"/>
      <c r="C41" s="167" t="s">
        <v>1093</v>
      </c>
      <c r="D41" s="462">
        <f>SUM(D42:D45)</f>
        <v>0</v>
      </c>
      <c r="E41" s="462">
        <f>SUM(E42:E45)</f>
        <v>0</v>
      </c>
      <c r="F41" s="462">
        <f>SUM(F42:F45)</f>
        <v>0</v>
      </c>
      <c r="G41" s="462">
        <f>SUM(G42:G45)</f>
        <v>0</v>
      </c>
    </row>
    <row r="42" spans="1:7" ht="12" customHeight="1" x14ac:dyDescent="0.2">
      <c r="A42" s="328"/>
      <c r="B42" s="211" t="s">
        <v>66</v>
      </c>
      <c r="C42" s="11" t="s">
        <v>304</v>
      </c>
      <c r="D42" s="114"/>
      <c r="E42" s="114"/>
      <c r="F42" s="114"/>
      <c r="G42" s="114"/>
    </row>
    <row r="43" spans="1:7" ht="12" customHeight="1" x14ac:dyDescent="0.2">
      <c r="A43" s="329"/>
      <c r="B43" s="194" t="s">
        <v>67</v>
      </c>
      <c r="C43" s="9" t="s">
        <v>190</v>
      </c>
      <c r="D43" s="117"/>
      <c r="E43" s="117"/>
      <c r="F43" s="117"/>
      <c r="G43" s="117"/>
    </row>
    <row r="44" spans="1:7" ht="15" customHeight="1" x14ac:dyDescent="0.2">
      <c r="A44" s="329"/>
      <c r="B44" s="194" t="s">
        <v>70</v>
      </c>
      <c r="C44" s="9" t="s">
        <v>2</v>
      </c>
      <c r="D44" s="117"/>
      <c r="E44" s="117"/>
      <c r="F44" s="117"/>
      <c r="G44" s="117"/>
    </row>
    <row r="45" spans="1:7" ht="23.25" thickBot="1" x14ac:dyDescent="0.25">
      <c r="A45" s="329"/>
      <c r="B45" s="194" t="s">
        <v>81</v>
      </c>
      <c r="C45" s="9" t="s">
        <v>1090</v>
      </c>
      <c r="D45" s="117"/>
      <c r="E45" s="117"/>
      <c r="F45" s="117"/>
      <c r="G45" s="117"/>
    </row>
    <row r="46" spans="1:7" ht="15" customHeight="1" thickBot="1" x14ac:dyDescent="0.25">
      <c r="A46" s="268" t="s">
        <v>1127</v>
      </c>
      <c r="B46" s="24"/>
      <c r="C46" s="24" t="s">
        <v>1091</v>
      </c>
      <c r="D46" s="491"/>
      <c r="E46" s="491"/>
      <c r="F46" s="491"/>
      <c r="G46" s="491"/>
    </row>
    <row r="47" spans="1:7" ht="14.25" customHeight="1" thickBot="1" x14ac:dyDescent="0.25">
      <c r="A47" s="318" t="s">
        <v>1128</v>
      </c>
      <c r="B47" s="546"/>
      <c r="C47" s="547" t="s">
        <v>1094</v>
      </c>
      <c r="D47" s="529"/>
      <c r="E47" s="529"/>
      <c r="F47" s="529"/>
      <c r="G47" s="529"/>
    </row>
    <row r="48" spans="1:7" ht="13.5" thickBot="1" x14ac:dyDescent="0.25">
      <c r="A48" s="268" t="s">
        <v>1129</v>
      </c>
      <c r="B48" s="315"/>
      <c r="C48" s="331" t="s">
        <v>1092</v>
      </c>
      <c r="D48" s="542">
        <f>+D35+D41+D46+D47</f>
        <v>7949</v>
      </c>
      <c r="E48" s="542">
        <f>+E35+E41+E46+E47</f>
        <v>1953</v>
      </c>
      <c r="F48" s="542">
        <f>+F35+F41+F46+F47</f>
        <v>1953</v>
      </c>
      <c r="G48" s="542">
        <f>+G35+G41+G46+G47</f>
        <v>1953</v>
      </c>
    </row>
    <row r="49" spans="1:7" x14ac:dyDescent="0.2">
      <c r="A49" s="332"/>
      <c r="B49" s="333"/>
      <c r="C49" s="333"/>
      <c r="D49" s="543"/>
      <c r="E49" s="543"/>
      <c r="F49" s="543"/>
      <c r="G49" s="543"/>
    </row>
    <row r="50" spans="1:7" ht="13.5" hidden="1" thickBot="1" x14ac:dyDescent="0.25">
      <c r="A50" s="334" t="s">
        <v>230</v>
      </c>
      <c r="B50" s="335"/>
      <c r="C50" s="336"/>
      <c r="D50" s="165"/>
      <c r="E50" s="165"/>
      <c r="F50" s="165"/>
      <c r="G50" s="165"/>
    </row>
    <row r="51" spans="1:7" ht="13.5" hidden="1" thickBot="1" x14ac:dyDescent="0.25">
      <c r="A51" s="334" t="s">
        <v>231</v>
      </c>
      <c r="B51" s="335"/>
      <c r="C51" s="336"/>
      <c r="D51" s="165"/>
      <c r="E51" s="165"/>
      <c r="F51" s="165"/>
      <c r="G51" s="165"/>
    </row>
  </sheetData>
  <sheetProtection selectLockedCells="1" selectUnlockedCells="1"/>
  <mergeCells count="2">
    <mergeCell ref="A2:B2"/>
    <mergeCell ref="A5:B5"/>
  </mergeCells>
  <phoneticPr fontId="30" type="noConversion"/>
  <printOptions horizontalCentered="1"/>
  <pageMargins left="0.59055118110236227" right="0.59055118110236227" top="0.98425196850393704" bottom="0.98425196850393704" header="0.55118110236220474" footer="0.78740157480314965"/>
  <pageSetup paperSize="9" scale="95" orientation="portrait" verticalDpi="300" r:id="rId1"/>
  <headerFooter alignWithMargins="0">
    <oddHeader>&amp;R&amp;"Times New Roman CE,Félkövér"&amp;11 12. melléklet az 5/2014. (III.6.)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7" customWidth="1"/>
    <col min="2" max="2" width="33.1640625" style="57" customWidth="1"/>
    <col min="3" max="3" width="12.33203125" style="57" customWidth="1"/>
    <col min="4" max="4" width="11.5" style="57" customWidth="1"/>
    <col min="5" max="5" width="11.33203125" style="57" customWidth="1"/>
    <col min="6" max="6" width="11" style="57" customWidth="1"/>
    <col min="7" max="7" width="14.33203125" style="57" customWidth="1"/>
    <col min="8" max="16384" width="9.33203125" style="57"/>
  </cols>
  <sheetData>
    <row r="1" spans="1:7" ht="43.5" customHeight="1" x14ac:dyDescent="0.25">
      <c r="A1" s="1263" t="s">
        <v>1101</v>
      </c>
      <c r="B1" s="1263"/>
      <c r="C1" s="1263"/>
      <c r="D1" s="1263"/>
      <c r="E1" s="1263"/>
      <c r="F1" s="1263"/>
      <c r="G1" s="1263"/>
    </row>
    <row r="3" spans="1:7" s="219" customFormat="1" ht="27" customHeight="1" x14ac:dyDescent="0.25">
      <c r="A3" s="217" t="s">
        <v>239</v>
      </c>
      <c r="B3" s="218"/>
      <c r="C3" s="1262" t="s">
        <v>240</v>
      </c>
      <c r="D3" s="1262"/>
      <c r="E3" s="1262"/>
      <c r="F3" s="1262"/>
      <c r="G3" s="1262"/>
    </row>
    <row r="4" spans="1:7" s="219" customFormat="1" ht="15.75" x14ac:dyDescent="0.25">
      <c r="A4" s="218"/>
      <c r="B4" s="218"/>
      <c r="C4" s="218"/>
      <c r="D4" s="218"/>
      <c r="E4" s="218"/>
      <c r="F4" s="218"/>
      <c r="G4" s="218"/>
    </row>
    <row r="5" spans="1:7" s="219" customFormat="1" ht="24.75" customHeight="1" x14ac:dyDescent="0.25">
      <c r="A5" s="217" t="s">
        <v>241</v>
      </c>
      <c r="B5" s="218"/>
      <c r="C5" s="1262" t="s">
        <v>240</v>
      </c>
      <c r="D5" s="1262"/>
      <c r="E5" s="1262"/>
      <c r="F5" s="1262"/>
      <c r="G5" s="218"/>
    </row>
    <row r="6" spans="1:7" s="220" customFormat="1" x14ac:dyDescent="0.2">
      <c r="A6" s="277"/>
      <c r="B6" s="277"/>
      <c r="C6" s="277"/>
      <c r="D6" s="277"/>
      <c r="E6" s="277"/>
      <c r="F6" s="277"/>
      <c r="G6" s="277"/>
    </row>
    <row r="7" spans="1:7" s="221" customFormat="1" ht="15" customHeight="1" x14ac:dyDescent="0.25">
      <c r="A7" s="359" t="s">
        <v>242</v>
      </c>
      <c r="B7" s="358"/>
      <c r="C7" s="358"/>
      <c r="D7" s="344"/>
      <c r="E7" s="344"/>
      <c r="F7" s="344"/>
      <c r="G7" s="344"/>
    </row>
    <row r="8" spans="1:7" s="221" customFormat="1" ht="15" customHeight="1" thickBot="1" x14ac:dyDescent="0.3">
      <c r="A8" s="359" t="s">
        <v>243</v>
      </c>
      <c r="B8" s="344"/>
      <c r="C8" s="344"/>
      <c r="D8" s="344"/>
      <c r="E8" s="344"/>
      <c r="F8" s="344"/>
      <c r="G8" s="344"/>
    </row>
    <row r="9" spans="1:7" s="113" customFormat="1" ht="42" customHeight="1" thickBot="1" x14ac:dyDescent="0.25">
      <c r="A9" s="257" t="s">
        <v>1123</v>
      </c>
      <c r="B9" s="258" t="s">
        <v>244</v>
      </c>
      <c r="C9" s="258" t="s">
        <v>245</v>
      </c>
      <c r="D9" s="258" t="s">
        <v>246</v>
      </c>
      <c r="E9" s="258" t="s">
        <v>247</v>
      </c>
      <c r="F9" s="258" t="s">
        <v>248</v>
      </c>
      <c r="G9" s="259" t="s">
        <v>1160</v>
      </c>
    </row>
    <row r="10" spans="1:7" ht="24" customHeight="1" x14ac:dyDescent="0.2">
      <c r="A10" s="345" t="s">
        <v>1125</v>
      </c>
      <c r="B10" s="266" t="s">
        <v>249</v>
      </c>
      <c r="C10" s="222"/>
      <c r="D10" s="222"/>
      <c r="E10" s="222"/>
      <c r="F10" s="222"/>
      <c r="G10" s="346">
        <f>SUM(C10:F10)</f>
        <v>0</v>
      </c>
    </row>
    <row r="11" spans="1:7" ht="24" customHeight="1" x14ac:dyDescent="0.2">
      <c r="A11" s="347" t="s">
        <v>1126</v>
      </c>
      <c r="B11" s="267" t="s">
        <v>250</v>
      </c>
      <c r="C11" s="223"/>
      <c r="D11" s="223"/>
      <c r="E11" s="223"/>
      <c r="F11" s="223"/>
      <c r="G11" s="348">
        <f t="shared" ref="G11:G16" si="0">SUM(C11:F11)</f>
        <v>0</v>
      </c>
    </row>
    <row r="12" spans="1:7" ht="24" customHeight="1" x14ac:dyDescent="0.2">
      <c r="A12" s="347" t="s">
        <v>1127</v>
      </c>
      <c r="B12" s="267" t="s">
        <v>251</v>
      </c>
      <c r="C12" s="223"/>
      <c r="D12" s="223"/>
      <c r="E12" s="223"/>
      <c r="F12" s="223"/>
      <c r="G12" s="348">
        <f t="shared" si="0"/>
        <v>0</v>
      </c>
    </row>
    <row r="13" spans="1:7" ht="24" customHeight="1" x14ac:dyDescent="0.2">
      <c r="A13" s="347" t="s">
        <v>1128</v>
      </c>
      <c r="B13" s="267" t="s">
        <v>252</v>
      </c>
      <c r="C13" s="223"/>
      <c r="D13" s="223"/>
      <c r="E13" s="223"/>
      <c r="F13" s="223"/>
      <c r="G13" s="348">
        <f t="shared" si="0"/>
        <v>0</v>
      </c>
    </row>
    <row r="14" spans="1:7" ht="24" customHeight="1" x14ac:dyDescent="0.2">
      <c r="A14" s="347" t="s">
        <v>1129</v>
      </c>
      <c r="B14" s="267" t="s">
        <v>253</v>
      </c>
      <c r="C14" s="223"/>
      <c r="D14" s="223"/>
      <c r="E14" s="223"/>
      <c r="F14" s="223"/>
      <c r="G14" s="348">
        <f t="shared" si="0"/>
        <v>0</v>
      </c>
    </row>
    <row r="15" spans="1:7" ht="24" customHeight="1" thickBot="1" x14ac:dyDescent="0.25">
      <c r="A15" s="349" t="s">
        <v>1130</v>
      </c>
      <c r="B15" s="350" t="s">
        <v>254</v>
      </c>
      <c r="C15" s="224"/>
      <c r="D15" s="224"/>
      <c r="E15" s="224"/>
      <c r="F15" s="224"/>
      <c r="G15" s="351">
        <f t="shared" si="0"/>
        <v>0</v>
      </c>
    </row>
    <row r="16" spans="1:7" s="225" customFormat="1" ht="24" customHeight="1" thickBot="1" x14ac:dyDescent="0.25">
      <c r="A16" s="352" t="s">
        <v>1131</v>
      </c>
      <c r="B16" s="353" t="s">
        <v>1160</v>
      </c>
      <c r="C16" s="354">
        <f>SUM(C10:C15)</f>
        <v>0</v>
      </c>
      <c r="D16" s="354">
        <f>SUM(D10:D15)</f>
        <v>0</v>
      </c>
      <c r="E16" s="354">
        <f>SUM(E10:E15)</f>
        <v>0</v>
      </c>
      <c r="F16" s="354">
        <f>SUM(F10:F15)</f>
        <v>0</v>
      </c>
      <c r="G16" s="355">
        <f t="shared" si="0"/>
        <v>0</v>
      </c>
    </row>
    <row r="17" spans="1:7" s="220" customFormat="1" x14ac:dyDescent="0.2">
      <c r="A17" s="277"/>
      <c r="B17" s="277"/>
      <c r="C17" s="277"/>
      <c r="D17" s="277"/>
      <c r="E17" s="277"/>
      <c r="F17" s="277"/>
      <c r="G17" s="277"/>
    </row>
    <row r="18" spans="1:7" s="220" customFormat="1" x14ac:dyDescent="0.2">
      <c r="A18" s="277"/>
      <c r="B18" s="277"/>
      <c r="C18" s="277"/>
      <c r="D18" s="277"/>
      <c r="E18" s="277"/>
      <c r="F18" s="277"/>
      <c r="G18" s="277"/>
    </row>
    <row r="19" spans="1:7" s="220" customFormat="1" x14ac:dyDescent="0.2">
      <c r="A19" s="277"/>
      <c r="B19" s="277"/>
      <c r="C19" s="277"/>
      <c r="D19" s="277"/>
      <c r="E19" s="277"/>
      <c r="F19" s="277"/>
      <c r="G19" s="277"/>
    </row>
    <row r="20" spans="1:7" s="220" customFormat="1" ht="15.75" x14ac:dyDescent="0.25">
      <c r="A20" s="219" t="s">
        <v>480</v>
      </c>
      <c r="B20" s="277"/>
      <c r="C20" s="277"/>
      <c r="D20" s="277"/>
      <c r="E20" s="277"/>
      <c r="F20" s="277"/>
      <c r="G20" s="277"/>
    </row>
    <row r="21" spans="1:7" s="220" customFormat="1" x14ac:dyDescent="0.2">
      <c r="A21" s="277"/>
      <c r="B21" s="277"/>
      <c r="C21" s="277"/>
      <c r="D21" s="277"/>
      <c r="E21" s="277"/>
      <c r="F21" s="277"/>
      <c r="G21" s="277"/>
    </row>
    <row r="22" spans="1:7" x14ac:dyDescent="0.2">
      <c r="A22" s="277"/>
      <c r="B22" s="277"/>
      <c r="C22" s="277"/>
      <c r="D22" s="277"/>
      <c r="E22" s="277"/>
      <c r="F22" s="277"/>
      <c r="G22" s="277"/>
    </row>
    <row r="23" spans="1:7" x14ac:dyDescent="0.2">
      <c r="A23" s="277"/>
      <c r="B23" s="277"/>
      <c r="C23" s="220"/>
      <c r="D23" s="220"/>
      <c r="E23" s="220"/>
      <c r="F23" s="220"/>
      <c r="G23" s="277"/>
    </row>
    <row r="24" spans="1:7" ht="13.5" x14ac:dyDescent="0.25">
      <c r="A24" s="277"/>
      <c r="B24" s="277"/>
      <c r="C24" s="356"/>
      <c r="D24" s="357" t="s">
        <v>255</v>
      </c>
      <c r="E24" s="357"/>
      <c r="F24" s="356"/>
      <c r="G24" s="277"/>
    </row>
    <row r="25" spans="1:7" ht="13.5" x14ac:dyDescent="0.25">
      <c r="C25" s="226"/>
      <c r="D25" s="227"/>
      <c r="E25" s="227"/>
      <c r="F25" s="226"/>
    </row>
    <row r="26" spans="1:7" ht="13.5" x14ac:dyDescent="0.25">
      <c r="C26" s="226"/>
      <c r="D26" s="227"/>
      <c r="E26" s="227"/>
      <c r="F26" s="226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zoomScale="120" zoomScaleNormal="120" zoomScaleSheetLayoutView="130" workbookViewId="0">
      <selection activeCell="C102" sqref="C102"/>
    </sheetView>
  </sheetViews>
  <sheetFormatPr defaultColWidth="9.33203125" defaultRowHeight="15.75" x14ac:dyDescent="0.25"/>
  <cols>
    <col min="1" max="1" width="9" style="589" customWidth="1"/>
    <col min="2" max="2" width="75.83203125" style="589" customWidth="1"/>
    <col min="3" max="3" width="15.5" style="590" customWidth="1"/>
    <col min="4" max="5" width="15.5" style="589" customWidth="1"/>
    <col min="6" max="6" width="9" style="48" customWidth="1"/>
    <col min="7" max="16384" width="9.33203125" style="48"/>
  </cols>
  <sheetData>
    <row r="1" spans="1:5" ht="15.95" customHeight="1" x14ac:dyDescent="0.25">
      <c r="A1" s="1210" t="s">
        <v>1122</v>
      </c>
      <c r="B1" s="1210"/>
      <c r="C1" s="1210"/>
      <c r="D1" s="1210"/>
      <c r="E1" s="1210"/>
    </row>
    <row r="2" spans="1:5" ht="15.95" customHeight="1" thickBot="1" x14ac:dyDescent="0.3">
      <c r="A2" s="1212" t="s">
        <v>121</v>
      </c>
      <c r="B2" s="1212"/>
      <c r="D2" s="184"/>
      <c r="E2" s="445" t="s">
        <v>324</v>
      </c>
    </row>
    <row r="3" spans="1:5" ht="38.1" customHeight="1" thickBot="1" x14ac:dyDescent="0.3">
      <c r="A3" s="28" t="s">
        <v>19</v>
      </c>
      <c r="B3" s="29" t="s">
        <v>1124</v>
      </c>
      <c r="C3" s="29" t="s">
        <v>1102</v>
      </c>
      <c r="D3" s="637" t="s">
        <v>1103</v>
      </c>
      <c r="E3" s="216" t="s">
        <v>302</v>
      </c>
    </row>
    <row r="4" spans="1:5" s="50" customFormat="1" ht="12" customHeight="1" thickBot="1" x14ac:dyDescent="0.25">
      <c r="A4" s="42">
        <v>1</v>
      </c>
      <c r="B4" s="43">
        <v>2</v>
      </c>
      <c r="C4" s="43">
        <v>3</v>
      </c>
      <c r="D4" s="43">
        <v>4</v>
      </c>
      <c r="E4" s="44">
        <v>5</v>
      </c>
    </row>
    <row r="5" spans="1:5" s="1" customFormat="1" ht="12" customHeight="1" thickBot="1" x14ac:dyDescent="0.25">
      <c r="A5" s="25" t="s">
        <v>1125</v>
      </c>
      <c r="B5" s="24" t="s">
        <v>147</v>
      </c>
      <c r="C5" s="607">
        <f>+C6+C11+C20</f>
        <v>0</v>
      </c>
      <c r="D5" s="607">
        <f>+D6+D11+D20</f>
        <v>0</v>
      </c>
      <c r="E5" s="424">
        <f>+E6+E11+E20</f>
        <v>0</v>
      </c>
    </row>
    <row r="6" spans="1:5" s="1" customFormat="1" ht="12" customHeight="1" thickBot="1" x14ac:dyDescent="0.25">
      <c r="A6" s="23" t="s">
        <v>1126</v>
      </c>
      <c r="B6" s="401" t="s">
        <v>401</v>
      </c>
      <c r="C6" s="608">
        <f>+C7+C8+C9+C10</f>
        <v>0</v>
      </c>
      <c r="D6" s="608">
        <f>+D7+D8+D9+D10</f>
        <v>0</v>
      </c>
      <c r="E6" s="425">
        <f>+E7+E8+E9+E10</f>
        <v>0</v>
      </c>
    </row>
    <row r="7" spans="1:5" s="1" customFormat="1" ht="12" customHeight="1" x14ac:dyDescent="0.2">
      <c r="A7" s="16" t="s">
        <v>66</v>
      </c>
      <c r="B7" s="571" t="s">
        <v>1169</v>
      </c>
      <c r="C7" s="609"/>
      <c r="D7" s="609"/>
      <c r="E7" s="427"/>
    </row>
    <row r="8" spans="1:5" s="1" customFormat="1" ht="12" customHeight="1" x14ac:dyDescent="0.2">
      <c r="A8" s="16" t="s">
        <v>67</v>
      </c>
      <c r="B8" s="415" t="s">
        <v>35</v>
      </c>
      <c r="C8" s="609"/>
      <c r="D8" s="609"/>
      <c r="E8" s="427"/>
    </row>
    <row r="9" spans="1:5" s="1" customFormat="1" ht="12" customHeight="1" x14ac:dyDescent="0.2">
      <c r="A9" s="16" t="s">
        <v>68</v>
      </c>
      <c r="B9" s="415" t="s">
        <v>148</v>
      </c>
      <c r="C9" s="609"/>
      <c r="D9" s="609"/>
      <c r="E9" s="427"/>
    </row>
    <row r="10" spans="1:5" s="1" customFormat="1" ht="12" customHeight="1" thickBot="1" x14ac:dyDescent="0.25">
      <c r="A10" s="16" t="s">
        <v>69</v>
      </c>
      <c r="B10" s="572" t="s">
        <v>149</v>
      </c>
      <c r="C10" s="609"/>
      <c r="D10" s="609"/>
      <c r="E10" s="427"/>
    </row>
    <row r="11" spans="1:5" s="1" customFormat="1" ht="12" customHeight="1" thickBot="1" x14ac:dyDescent="0.25">
      <c r="A11" s="23" t="s">
        <v>1127</v>
      </c>
      <c r="B11" s="24" t="s">
        <v>150</v>
      </c>
      <c r="C11" s="608">
        <f>+C12+C13+C14+C15+C16+C17+C18+C19</f>
        <v>0</v>
      </c>
      <c r="D11" s="608">
        <f>+D12+D13+D14+D15+D16+D17+D18+D19</f>
        <v>0</v>
      </c>
      <c r="E11" s="425">
        <f>+E12+E13+E14+E15+E16+E17+E18+E19</f>
        <v>0</v>
      </c>
    </row>
    <row r="12" spans="1:5" s="1" customFormat="1" ht="12" customHeight="1" x14ac:dyDescent="0.2">
      <c r="A12" s="20" t="s">
        <v>40</v>
      </c>
      <c r="B12" s="12" t="s">
        <v>155</v>
      </c>
      <c r="C12" s="610"/>
      <c r="D12" s="610"/>
      <c r="E12" s="426"/>
    </row>
    <row r="13" spans="1:5" s="1" customFormat="1" ht="12" customHeight="1" x14ac:dyDescent="0.2">
      <c r="A13" s="16" t="s">
        <v>41</v>
      </c>
      <c r="B13" s="9" t="s">
        <v>156</v>
      </c>
      <c r="C13" s="609"/>
      <c r="D13" s="609"/>
      <c r="E13" s="427"/>
    </row>
    <row r="14" spans="1:5" s="1" customFormat="1" ht="12" customHeight="1" x14ac:dyDescent="0.2">
      <c r="A14" s="16" t="s">
        <v>42</v>
      </c>
      <c r="B14" s="9" t="s">
        <v>157</v>
      </c>
      <c r="C14" s="609"/>
      <c r="D14" s="609"/>
      <c r="E14" s="427"/>
    </row>
    <row r="15" spans="1:5" s="1" customFormat="1" ht="12" customHeight="1" x14ac:dyDescent="0.2">
      <c r="A15" s="16" t="s">
        <v>43</v>
      </c>
      <c r="B15" s="9" t="s">
        <v>158</v>
      </c>
      <c r="C15" s="609"/>
      <c r="D15" s="609"/>
      <c r="E15" s="427"/>
    </row>
    <row r="16" spans="1:5" s="1" customFormat="1" ht="12" customHeight="1" x14ac:dyDescent="0.2">
      <c r="A16" s="15" t="s">
        <v>151</v>
      </c>
      <c r="B16" s="8" t="s">
        <v>159</v>
      </c>
      <c r="C16" s="611"/>
      <c r="D16" s="611"/>
      <c r="E16" s="428"/>
    </row>
    <row r="17" spans="1:5" s="1" customFormat="1" ht="12" customHeight="1" x14ac:dyDescent="0.2">
      <c r="A17" s="16" t="s">
        <v>152</v>
      </c>
      <c r="B17" s="9" t="s">
        <v>263</v>
      </c>
      <c r="C17" s="609"/>
      <c r="D17" s="609"/>
      <c r="E17" s="427"/>
    </row>
    <row r="18" spans="1:5" s="1" customFormat="1" ht="12" customHeight="1" x14ac:dyDescent="0.2">
      <c r="A18" s="16" t="s">
        <v>153</v>
      </c>
      <c r="B18" s="9" t="s">
        <v>161</v>
      </c>
      <c r="C18" s="609"/>
      <c r="D18" s="609"/>
      <c r="E18" s="427"/>
    </row>
    <row r="19" spans="1:5" s="1" customFormat="1" ht="12" customHeight="1" thickBot="1" x14ac:dyDescent="0.25">
      <c r="A19" s="17" t="s">
        <v>154</v>
      </c>
      <c r="B19" s="10" t="s">
        <v>162</v>
      </c>
      <c r="C19" s="612"/>
      <c r="D19" s="612"/>
      <c r="E19" s="429"/>
    </row>
    <row r="20" spans="1:5" s="1" customFormat="1" ht="12" customHeight="1" thickBot="1" x14ac:dyDescent="0.25">
      <c r="A20" s="23" t="s">
        <v>163</v>
      </c>
      <c r="B20" s="24" t="s">
        <v>264</v>
      </c>
      <c r="C20" s="613"/>
      <c r="D20" s="613"/>
      <c r="E20" s="430"/>
    </row>
    <row r="21" spans="1:5" s="1" customFormat="1" ht="12" customHeight="1" thickBot="1" x14ac:dyDescent="0.25">
      <c r="A21" s="23" t="s">
        <v>1129</v>
      </c>
      <c r="B21" s="24" t="s">
        <v>165</v>
      </c>
      <c r="C21" s="608">
        <f>+C22+C23+C24+C25+C26+C27+C28+C29</f>
        <v>0</v>
      </c>
      <c r="D21" s="608">
        <f>+D22+D23+D24+D25+D26+D27+D28+D29</f>
        <v>0</v>
      </c>
      <c r="E21" s="425">
        <f>+E22+E23+E24+E25+E26+E27+E28+E29</f>
        <v>0</v>
      </c>
    </row>
    <row r="22" spans="1:5" s="1" customFormat="1" ht="12" customHeight="1" x14ac:dyDescent="0.2">
      <c r="A22" s="18" t="s">
        <v>44</v>
      </c>
      <c r="B22" s="11" t="s">
        <v>1053</v>
      </c>
      <c r="C22" s="614"/>
      <c r="D22" s="614"/>
      <c r="E22" s="431"/>
    </row>
    <row r="23" spans="1:5" s="1" customFormat="1" ht="12" customHeight="1" x14ac:dyDescent="0.2">
      <c r="A23" s="16" t="s">
        <v>45</v>
      </c>
      <c r="B23" s="9" t="s">
        <v>171</v>
      </c>
      <c r="C23" s="609"/>
      <c r="D23" s="609"/>
      <c r="E23" s="427"/>
    </row>
    <row r="24" spans="1:5" s="1" customFormat="1" ht="12" customHeight="1" x14ac:dyDescent="0.2">
      <c r="A24" s="16" t="s">
        <v>46</v>
      </c>
      <c r="B24" s="9" t="s">
        <v>49</v>
      </c>
      <c r="C24" s="609"/>
      <c r="D24" s="609"/>
      <c r="E24" s="427"/>
    </row>
    <row r="25" spans="1:5" s="1" customFormat="1" ht="12" customHeight="1" x14ac:dyDescent="0.2">
      <c r="A25" s="19" t="s">
        <v>166</v>
      </c>
      <c r="B25" s="9" t="s">
        <v>172</v>
      </c>
      <c r="C25" s="615"/>
      <c r="D25" s="615"/>
      <c r="E25" s="432"/>
    </row>
    <row r="26" spans="1:5" s="1" customFormat="1" ht="12" customHeight="1" x14ac:dyDescent="0.2">
      <c r="A26" s="19" t="s">
        <v>167</v>
      </c>
      <c r="B26" s="9" t="s">
        <v>173</v>
      </c>
      <c r="C26" s="615"/>
      <c r="D26" s="615"/>
      <c r="E26" s="432"/>
    </row>
    <row r="27" spans="1:5" s="1" customFormat="1" ht="12" customHeight="1" x14ac:dyDescent="0.2">
      <c r="A27" s="16" t="s">
        <v>168</v>
      </c>
      <c r="B27" s="9" t="s">
        <v>174</v>
      </c>
      <c r="C27" s="609"/>
      <c r="D27" s="609"/>
      <c r="E27" s="427"/>
    </row>
    <row r="28" spans="1:5" s="1" customFormat="1" ht="12" customHeight="1" x14ac:dyDescent="0.2">
      <c r="A28" s="16" t="s">
        <v>169</v>
      </c>
      <c r="B28" s="9" t="s">
        <v>265</v>
      </c>
      <c r="C28" s="616"/>
      <c r="D28" s="616"/>
      <c r="E28" s="433"/>
    </row>
    <row r="29" spans="1:5" s="1" customFormat="1" ht="12" customHeight="1" thickBot="1" x14ac:dyDescent="0.25">
      <c r="A29" s="16" t="s">
        <v>170</v>
      </c>
      <c r="B29" s="14" t="s">
        <v>175</v>
      </c>
      <c r="C29" s="616"/>
      <c r="D29" s="616"/>
      <c r="E29" s="433"/>
    </row>
    <row r="30" spans="1:5" s="1" customFormat="1" ht="12" customHeight="1" thickBot="1" x14ac:dyDescent="0.25">
      <c r="A30" s="394" t="s">
        <v>1130</v>
      </c>
      <c r="B30" s="24" t="s">
        <v>402</v>
      </c>
      <c r="C30" s="608">
        <f>+C31+C37</f>
        <v>0</v>
      </c>
      <c r="D30" s="608">
        <f>+D31+D37</f>
        <v>0</v>
      </c>
      <c r="E30" s="425">
        <f>+E31+E37</f>
        <v>0</v>
      </c>
    </row>
    <row r="31" spans="1:5" s="1" customFormat="1" ht="12" customHeight="1" x14ac:dyDescent="0.2">
      <c r="A31" s="395" t="s">
        <v>47</v>
      </c>
      <c r="B31" s="573" t="s">
        <v>403</v>
      </c>
      <c r="C31" s="617">
        <f>+C32+C33+C34+C35+C36</f>
        <v>0</v>
      </c>
      <c r="D31" s="617">
        <f>+D32+D33+D34+D35+D36</f>
        <v>0</v>
      </c>
      <c r="E31" s="437">
        <f>+E32+E33+E34+E35+E36</f>
        <v>0</v>
      </c>
    </row>
    <row r="32" spans="1:5" s="1" customFormat="1" ht="12" customHeight="1" x14ac:dyDescent="0.2">
      <c r="A32" s="396" t="s">
        <v>50</v>
      </c>
      <c r="B32" s="402" t="s">
        <v>266</v>
      </c>
      <c r="C32" s="616"/>
      <c r="D32" s="616"/>
      <c r="E32" s="433"/>
    </row>
    <row r="33" spans="1:5" s="1" customFormat="1" ht="12" customHeight="1" x14ac:dyDescent="0.2">
      <c r="A33" s="396" t="s">
        <v>51</v>
      </c>
      <c r="B33" s="402" t="s">
        <v>267</v>
      </c>
      <c r="C33" s="616"/>
      <c r="D33" s="616"/>
      <c r="E33" s="433"/>
    </row>
    <row r="34" spans="1:5" s="1" customFormat="1" ht="12" customHeight="1" x14ac:dyDescent="0.2">
      <c r="A34" s="396" t="s">
        <v>52</v>
      </c>
      <c r="B34" s="402" t="s">
        <v>268</v>
      </c>
      <c r="C34" s="616"/>
      <c r="D34" s="616"/>
      <c r="E34" s="433"/>
    </row>
    <row r="35" spans="1:5" s="1" customFormat="1" ht="12" customHeight="1" x14ac:dyDescent="0.2">
      <c r="A35" s="396" t="s">
        <v>53</v>
      </c>
      <c r="B35" s="402" t="s">
        <v>269</v>
      </c>
      <c r="C35" s="616"/>
      <c r="D35" s="616"/>
      <c r="E35" s="433"/>
    </row>
    <row r="36" spans="1:5" s="1" customFormat="1" ht="12" customHeight="1" x14ac:dyDescent="0.2">
      <c r="A36" s="396" t="s">
        <v>176</v>
      </c>
      <c r="B36" s="402" t="s">
        <v>404</v>
      </c>
      <c r="C36" s="616"/>
      <c r="D36" s="616"/>
      <c r="E36" s="433"/>
    </row>
    <row r="37" spans="1:5" s="1" customFormat="1" ht="12" customHeight="1" x14ac:dyDescent="0.2">
      <c r="A37" s="396" t="s">
        <v>48</v>
      </c>
      <c r="B37" s="403" t="s">
        <v>405</v>
      </c>
      <c r="C37" s="618">
        <f>+C38+C39+C40+C41+C42</f>
        <v>0</v>
      </c>
      <c r="D37" s="618">
        <f>+D38+D39+D40+D41+D42</f>
        <v>0</v>
      </c>
      <c r="E37" s="438">
        <f>+E38+E39+E40+E41+E42</f>
        <v>0</v>
      </c>
    </row>
    <row r="38" spans="1:5" s="1" customFormat="1" ht="12" customHeight="1" x14ac:dyDescent="0.2">
      <c r="A38" s="396" t="s">
        <v>56</v>
      </c>
      <c r="B38" s="402" t="s">
        <v>266</v>
      </c>
      <c r="C38" s="616"/>
      <c r="D38" s="616"/>
      <c r="E38" s="433"/>
    </row>
    <row r="39" spans="1:5" s="1" customFormat="1" ht="12" customHeight="1" x14ac:dyDescent="0.2">
      <c r="A39" s="396" t="s">
        <v>57</v>
      </c>
      <c r="B39" s="402" t="s">
        <v>267</v>
      </c>
      <c r="C39" s="616"/>
      <c r="D39" s="616"/>
      <c r="E39" s="433"/>
    </row>
    <row r="40" spans="1:5" s="1" customFormat="1" ht="12" customHeight="1" x14ac:dyDescent="0.2">
      <c r="A40" s="396" t="s">
        <v>58</v>
      </c>
      <c r="B40" s="402" t="s">
        <v>268</v>
      </c>
      <c r="C40" s="616"/>
      <c r="D40" s="616"/>
      <c r="E40" s="433"/>
    </row>
    <row r="41" spans="1:5" s="1" customFormat="1" ht="12" customHeight="1" x14ac:dyDescent="0.2">
      <c r="A41" s="396" t="s">
        <v>59</v>
      </c>
      <c r="B41" s="404" t="s">
        <v>269</v>
      </c>
      <c r="C41" s="616"/>
      <c r="D41" s="616"/>
      <c r="E41" s="433"/>
    </row>
    <row r="42" spans="1:5" s="1" customFormat="1" ht="12" customHeight="1" thickBot="1" x14ac:dyDescent="0.25">
      <c r="A42" s="397" t="s">
        <v>177</v>
      </c>
      <c r="B42" s="405" t="s">
        <v>406</v>
      </c>
      <c r="C42" s="619"/>
      <c r="D42" s="619"/>
      <c r="E42" s="620"/>
    </row>
    <row r="43" spans="1:5" s="1" customFormat="1" ht="12" customHeight="1" thickBot="1" x14ac:dyDescent="0.25">
      <c r="A43" s="23" t="s">
        <v>178</v>
      </c>
      <c r="B43" s="574" t="s">
        <v>270</v>
      </c>
      <c r="C43" s="608">
        <f>+C44+C45</f>
        <v>0</v>
      </c>
      <c r="D43" s="608">
        <f>+D44+D45</f>
        <v>0</v>
      </c>
      <c r="E43" s="425">
        <f>+E44+E45</f>
        <v>0</v>
      </c>
    </row>
    <row r="44" spans="1:5" s="1" customFormat="1" ht="12" customHeight="1" x14ac:dyDescent="0.2">
      <c r="A44" s="18" t="s">
        <v>54</v>
      </c>
      <c r="B44" s="415" t="s">
        <v>271</v>
      </c>
      <c r="C44" s="614"/>
      <c r="D44" s="614"/>
      <c r="E44" s="431"/>
    </row>
    <row r="45" spans="1:5" s="1" customFormat="1" ht="12" customHeight="1" thickBot="1" x14ac:dyDescent="0.25">
      <c r="A45" s="15" t="s">
        <v>55</v>
      </c>
      <c r="B45" s="410" t="s">
        <v>275</v>
      </c>
      <c r="C45" s="611"/>
      <c r="D45" s="611"/>
      <c r="E45" s="428"/>
    </row>
    <row r="46" spans="1:5" s="1" customFormat="1" ht="12" customHeight="1" thickBot="1" x14ac:dyDescent="0.25">
      <c r="A46" s="23" t="s">
        <v>1132</v>
      </c>
      <c r="B46" s="574" t="s">
        <v>274</v>
      </c>
      <c r="C46" s="608">
        <f>+C47+C48+C49</f>
        <v>0</v>
      </c>
      <c r="D46" s="608">
        <f>+D47+D48+D49</f>
        <v>0</v>
      </c>
      <c r="E46" s="425">
        <f>+E47+E48+E49</f>
        <v>0</v>
      </c>
    </row>
    <row r="47" spans="1:5" s="1" customFormat="1" ht="12" customHeight="1" x14ac:dyDescent="0.2">
      <c r="A47" s="18" t="s">
        <v>181</v>
      </c>
      <c r="B47" s="415" t="s">
        <v>179</v>
      </c>
      <c r="C47" s="621"/>
      <c r="D47" s="621"/>
      <c r="E47" s="622"/>
    </row>
    <row r="48" spans="1:5" s="1" customFormat="1" ht="12" customHeight="1" x14ac:dyDescent="0.2">
      <c r="A48" s="16" t="s">
        <v>182</v>
      </c>
      <c r="B48" s="402" t="s">
        <v>180</v>
      </c>
      <c r="C48" s="616"/>
      <c r="D48" s="616"/>
      <c r="E48" s="433"/>
    </row>
    <row r="49" spans="1:7" s="1" customFormat="1" ht="12" customHeight="1" thickBot="1" x14ac:dyDescent="0.25">
      <c r="A49" s="15" t="s">
        <v>333</v>
      </c>
      <c r="B49" s="410" t="s">
        <v>272</v>
      </c>
      <c r="C49" s="623"/>
      <c r="D49" s="623"/>
      <c r="E49" s="624"/>
    </row>
    <row r="50" spans="1:7" s="1" customFormat="1" ht="12" customHeight="1" thickBot="1" x14ac:dyDescent="0.25">
      <c r="A50" s="23" t="s">
        <v>183</v>
      </c>
      <c r="B50" s="575" t="s">
        <v>273</v>
      </c>
      <c r="C50" s="625"/>
      <c r="D50" s="625"/>
      <c r="E50" s="434"/>
    </row>
    <row r="51" spans="1:7" s="1" customFormat="1" ht="12" customHeight="1" thickBot="1" x14ac:dyDescent="0.25">
      <c r="A51" s="23" t="s">
        <v>1134</v>
      </c>
      <c r="B51" s="27" t="s">
        <v>184</v>
      </c>
      <c r="C51" s="626">
        <f>+C6+C11+C20+C21+C30+C43+C46+C50</f>
        <v>0</v>
      </c>
      <c r="D51" s="626">
        <f>+D6+D11+D20+D21+D30+D43+D46+D50</f>
        <v>0</v>
      </c>
      <c r="E51" s="435">
        <f>+E6+E11+E20+E21+E30+E43+E46+E50</f>
        <v>0</v>
      </c>
    </row>
    <row r="52" spans="1:7" s="1" customFormat="1" ht="17.25" customHeight="1" thickBot="1" x14ac:dyDescent="0.3">
      <c r="A52" s="406" t="s">
        <v>1135</v>
      </c>
      <c r="B52" s="401" t="s">
        <v>276</v>
      </c>
      <c r="C52" s="627">
        <f>+C53+C59</f>
        <v>0</v>
      </c>
      <c r="D52" s="627">
        <f>+D53+D59</f>
        <v>0</v>
      </c>
      <c r="E52" s="436">
        <f>+E53+E59</f>
        <v>0</v>
      </c>
      <c r="G52" s="51"/>
    </row>
    <row r="53" spans="1:7" s="1" customFormat="1" ht="12" customHeight="1" x14ac:dyDescent="0.2">
      <c r="A53" s="576" t="s">
        <v>114</v>
      </c>
      <c r="B53" s="573" t="s">
        <v>363</v>
      </c>
      <c r="C53" s="617">
        <f>+C54+C55+C56+C57+C58</f>
        <v>0</v>
      </c>
      <c r="D53" s="617">
        <f>+D54+D55+D56+D57+D58</f>
        <v>0</v>
      </c>
      <c r="E53" s="437">
        <f>+E54+E55+E56+E57+E58</f>
        <v>0</v>
      </c>
    </row>
    <row r="54" spans="1:7" s="1" customFormat="1" ht="12" customHeight="1" x14ac:dyDescent="0.2">
      <c r="A54" s="407" t="s">
        <v>292</v>
      </c>
      <c r="B54" s="402" t="s">
        <v>278</v>
      </c>
      <c r="C54" s="616"/>
      <c r="D54" s="616"/>
      <c r="E54" s="433"/>
    </row>
    <row r="55" spans="1:7" s="1" customFormat="1" ht="12" customHeight="1" x14ac:dyDescent="0.2">
      <c r="A55" s="407" t="s">
        <v>293</v>
      </c>
      <c r="B55" s="402" t="s">
        <v>279</v>
      </c>
      <c r="C55" s="616"/>
      <c r="D55" s="616"/>
      <c r="E55" s="433"/>
    </row>
    <row r="56" spans="1:7" s="1" customFormat="1" ht="12" customHeight="1" x14ac:dyDescent="0.2">
      <c r="A56" s="407" t="s">
        <v>294</v>
      </c>
      <c r="B56" s="402" t="s">
        <v>280</v>
      </c>
      <c r="C56" s="616"/>
      <c r="D56" s="616"/>
      <c r="E56" s="433"/>
    </row>
    <row r="57" spans="1:7" s="1" customFormat="1" ht="12" customHeight="1" x14ac:dyDescent="0.2">
      <c r="A57" s="407" t="s">
        <v>295</v>
      </c>
      <c r="B57" s="402" t="s">
        <v>281</v>
      </c>
      <c r="C57" s="616"/>
      <c r="D57" s="616"/>
      <c r="E57" s="433"/>
    </row>
    <row r="58" spans="1:7" s="1" customFormat="1" ht="12" customHeight="1" x14ac:dyDescent="0.2">
      <c r="A58" s="407" t="s">
        <v>296</v>
      </c>
      <c r="B58" s="402" t="s">
        <v>282</v>
      </c>
      <c r="C58" s="616"/>
      <c r="D58" s="616"/>
      <c r="E58" s="433"/>
    </row>
    <row r="59" spans="1:7" s="1" customFormat="1" ht="12" customHeight="1" x14ac:dyDescent="0.2">
      <c r="A59" s="408" t="s">
        <v>115</v>
      </c>
      <c r="B59" s="403" t="s">
        <v>362</v>
      </c>
      <c r="C59" s="618">
        <f>+C60+C61+C62+C63+C64</f>
        <v>0</v>
      </c>
      <c r="D59" s="618">
        <f>+D60+D61+D62+D63+D64</f>
        <v>0</v>
      </c>
      <c r="E59" s="438">
        <f>+E60+E61+E62+E63+E64</f>
        <v>0</v>
      </c>
    </row>
    <row r="60" spans="1:7" s="1" customFormat="1" ht="12" customHeight="1" x14ac:dyDescent="0.2">
      <c r="A60" s="407" t="s">
        <v>297</v>
      </c>
      <c r="B60" s="402" t="s">
        <v>284</v>
      </c>
      <c r="C60" s="616"/>
      <c r="D60" s="616"/>
      <c r="E60" s="433"/>
    </row>
    <row r="61" spans="1:7" s="1" customFormat="1" ht="12" customHeight="1" x14ac:dyDescent="0.2">
      <c r="A61" s="407" t="s">
        <v>298</v>
      </c>
      <c r="B61" s="402" t="s">
        <v>285</v>
      </c>
      <c r="C61" s="616"/>
      <c r="D61" s="616"/>
      <c r="E61" s="433"/>
    </row>
    <row r="62" spans="1:7" s="1" customFormat="1" ht="12" customHeight="1" x14ac:dyDescent="0.2">
      <c r="A62" s="407" t="s">
        <v>299</v>
      </c>
      <c r="B62" s="402" t="s">
        <v>286</v>
      </c>
      <c r="C62" s="616"/>
      <c r="D62" s="616"/>
      <c r="E62" s="433"/>
    </row>
    <row r="63" spans="1:7" s="1" customFormat="1" ht="12" customHeight="1" x14ac:dyDescent="0.2">
      <c r="A63" s="407" t="s">
        <v>300</v>
      </c>
      <c r="B63" s="402" t="s">
        <v>287</v>
      </c>
      <c r="C63" s="616"/>
      <c r="D63" s="616"/>
      <c r="E63" s="433"/>
    </row>
    <row r="64" spans="1:7" s="1" customFormat="1" ht="12" customHeight="1" thickBot="1" x14ac:dyDescent="0.25">
      <c r="A64" s="409" t="s">
        <v>301</v>
      </c>
      <c r="B64" s="410" t="s">
        <v>288</v>
      </c>
      <c r="C64" s="628"/>
      <c r="D64" s="628"/>
      <c r="E64" s="439"/>
    </row>
    <row r="65" spans="1:6" s="1" customFormat="1" ht="12" customHeight="1" thickBot="1" x14ac:dyDescent="0.25">
      <c r="A65" s="411" t="s">
        <v>1136</v>
      </c>
      <c r="B65" s="577" t="s">
        <v>360</v>
      </c>
      <c r="C65" s="627">
        <f>+C51+C52</f>
        <v>0</v>
      </c>
      <c r="D65" s="627">
        <f>+D51+D52</f>
        <v>0</v>
      </c>
      <c r="E65" s="436">
        <f>+E51+E52</f>
        <v>0</v>
      </c>
    </row>
    <row r="66" spans="1:6" s="1" customFormat="1" ht="12" customHeight="1" thickBot="1" x14ac:dyDescent="0.25">
      <c r="A66" s="412" t="s">
        <v>1137</v>
      </c>
      <c r="B66" s="578" t="s">
        <v>290</v>
      </c>
      <c r="C66" s="629"/>
      <c r="D66" s="629"/>
      <c r="E66" s="446"/>
    </row>
    <row r="67" spans="1:6" s="1" customFormat="1" ht="12" customHeight="1" thickBot="1" x14ac:dyDescent="0.25">
      <c r="A67" s="411" t="s">
        <v>1138</v>
      </c>
      <c r="B67" s="577" t="s">
        <v>361</v>
      </c>
      <c r="C67" s="630">
        <f>+C65+C66</f>
        <v>0</v>
      </c>
      <c r="D67" s="630">
        <f>+D65+D66</f>
        <v>0</v>
      </c>
      <c r="E67" s="447">
        <f>+E65+E66</f>
        <v>0</v>
      </c>
    </row>
    <row r="68" spans="1:6" s="1" customFormat="1" ht="12" customHeight="1" x14ac:dyDescent="0.2">
      <c r="A68" s="562"/>
      <c r="B68" s="563"/>
      <c r="C68" s="564"/>
      <c r="D68" s="565"/>
      <c r="E68" s="566"/>
    </row>
    <row r="69" spans="1:6" s="1" customFormat="1" ht="12" customHeight="1" x14ac:dyDescent="0.2">
      <c r="A69" s="1210" t="s">
        <v>1154</v>
      </c>
      <c r="B69" s="1210"/>
      <c r="C69" s="1210"/>
      <c r="D69" s="1210"/>
      <c r="E69" s="1210"/>
    </row>
    <row r="70" spans="1:6" s="1" customFormat="1" ht="12" customHeight="1" thickBot="1" x14ac:dyDescent="0.25">
      <c r="A70" s="1213" t="s">
        <v>122</v>
      </c>
      <c r="B70" s="1213"/>
      <c r="C70" s="590"/>
      <c r="D70" s="184"/>
      <c r="E70" s="445" t="s">
        <v>324</v>
      </c>
    </row>
    <row r="71" spans="1:6" s="1" customFormat="1" ht="24" customHeight="1" thickBot="1" x14ac:dyDescent="0.25">
      <c r="A71" s="28" t="s">
        <v>1123</v>
      </c>
      <c r="B71" s="29" t="s">
        <v>1155</v>
      </c>
      <c r="C71" s="29" t="s">
        <v>1102</v>
      </c>
      <c r="D71" s="29" t="s">
        <v>1103</v>
      </c>
      <c r="E71" s="49" t="s">
        <v>302</v>
      </c>
      <c r="F71" s="193"/>
    </row>
    <row r="72" spans="1:6" s="1" customFormat="1" ht="12" customHeight="1" thickBot="1" x14ac:dyDescent="0.25">
      <c r="A72" s="42">
        <v>1</v>
      </c>
      <c r="B72" s="43">
        <v>2</v>
      </c>
      <c r="C72" s="43">
        <v>3</v>
      </c>
      <c r="D72" s="43">
        <v>4</v>
      </c>
      <c r="E72" s="44">
        <v>5</v>
      </c>
      <c r="F72" s="193"/>
    </row>
    <row r="73" spans="1:6" s="1" customFormat="1" ht="15" customHeight="1" thickBot="1" x14ac:dyDescent="0.25">
      <c r="A73" s="25" t="s">
        <v>1125</v>
      </c>
      <c r="B73" s="36" t="s">
        <v>185</v>
      </c>
      <c r="C73" s="607">
        <f>+C74+C75+C76+C77+C78</f>
        <v>0</v>
      </c>
      <c r="D73" s="607">
        <f>+D74+D75+D76+D77+D78</f>
        <v>0</v>
      </c>
      <c r="E73" s="424">
        <f>+E74+E75+E76+E77+E78</f>
        <v>0</v>
      </c>
      <c r="F73" s="193"/>
    </row>
    <row r="74" spans="1:6" s="1" customFormat="1" ht="12.95" customHeight="1" x14ac:dyDescent="0.2">
      <c r="A74" s="20" t="s">
        <v>60</v>
      </c>
      <c r="B74" s="12" t="s">
        <v>1156</v>
      </c>
      <c r="C74" s="610"/>
      <c r="D74" s="610"/>
      <c r="E74" s="426"/>
    </row>
    <row r="75" spans="1:6" ht="16.5" customHeight="1" x14ac:dyDescent="0.25">
      <c r="A75" s="16" t="s">
        <v>61</v>
      </c>
      <c r="B75" s="9" t="s">
        <v>186</v>
      </c>
      <c r="C75" s="609"/>
      <c r="D75" s="609"/>
      <c r="E75" s="427"/>
    </row>
    <row r="76" spans="1:6" x14ac:dyDescent="0.25">
      <c r="A76" s="16" t="s">
        <v>62</v>
      </c>
      <c r="B76" s="9" t="s">
        <v>103</v>
      </c>
      <c r="C76" s="615"/>
      <c r="D76" s="615"/>
      <c r="E76" s="432"/>
    </row>
    <row r="77" spans="1:6" s="50" customFormat="1" ht="12" customHeight="1" x14ac:dyDescent="0.2">
      <c r="A77" s="16" t="s">
        <v>63</v>
      </c>
      <c r="B77" s="13" t="s">
        <v>187</v>
      </c>
      <c r="C77" s="615"/>
      <c r="D77" s="615"/>
      <c r="E77" s="432"/>
    </row>
    <row r="78" spans="1:6" ht="12" customHeight="1" x14ac:dyDescent="0.25">
      <c r="A78" s="16" t="s">
        <v>74</v>
      </c>
      <c r="B78" s="22" t="s">
        <v>188</v>
      </c>
      <c r="C78" s="615"/>
      <c r="D78" s="615"/>
      <c r="E78" s="432"/>
    </row>
    <row r="79" spans="1:6" ht="12" customHeight="1" x14ac:dyDescent="0.25">
      <c r="A79" s="16" t="s">
        <v>64</v>
      </c>
      <c r="B79" s="9" t="s">
        <v>210</v>
      </c>
      <c r="C79" s="615"/>
      <c r="D79" s="615"/>
      <c r="E79" s="432"/>
    </row>
    <row r="80" spans="1:6" ht="12" customHeight="1" x14ac:dyDescent="0.25">
      <c r="A80" s="16" t="s">
        <v>65</v>
      </c>
      <c r="B80" s="187" t="s">
        <v>211</v>
      </c>
      <c r="C80" s="615"/>
      <c r="D80" s="615"/>
      <c r="E80" s="432"/>
    </row>
    <row r="81" spans="1:5" ht="12" customHeight="1" x14ac:dyDescent="0.25">
      <c r="A81" s="16" t="s">
        <v>75</v>
      </c>
      <c r="B81" s="187" t="s">
        <v>303</v>
      </c>
      <c r="C81" s="615"/>
      <c r="D81" s="615"/>
      <c r="E81" s="432"/>
    </row>
    <row r="82" spans="1:5" ht="12" customHeight="1" x14ac:dyDescent="0.25">
      <c r="A82" s="16" t="s">
        <v>76</v>
      </c>
      <c r="B82" s="188" t="s">
        <v>212</v>
      </c>
      <c r="C82" s="615"/>
      <c r="D82" s="615"/>
      <c r="E82" s="432"/>
    </row>
    <row r="83" spans="1:5" ht="12" customHeight="1" x14ac:dyDescent="0.25">
      <c r="A83" s="15" t="s">
        <v>77</v>
      </c>
      <c r="B83" s="189" t="s">
        <v>213</v>
      </c>
      <c r="C83" s="615"/>
      <c r="D83" s="615"/>
      <c r="E83" s="432"/>
    </row>
    <row r="84" spans="1:5" ht="12" customHeight="1" x14ac:dyDescent="0.25">
      <c r="A84" s="16" t="s">
        <v>78</v>
      </c>
      <c r="B84" s="189" t="s">
        <v>214</v>
      </c>
      <c r="C84" s="615"/>
      <c r="D84" s="615"/>
      <c r="E84" s="432"/>
    </row>
    <row r="85" spans="1:5" ht="12" customHeight="1" thickBot="1" x14ac:dyDescent="0.3">
      <c r="A85" s="21" t="s">
        <v>80</v>
      </c>
      <c r="B85" s="190" t="s">
        <v>215</v>
      </c>
      <c r="C85" s="631"/>
      <c r="D85" s="631"/>
      <c r="E85" s="441"/>
    </row>
    <row r="86" spans="1:5" ht="12" customHeight="1" thickBot="1" x14ac:dyDescent="0.3">
      <c r="A86" s="23" t="s">
        <v>1126</v>
      </c>
      <c r="B86" s="35" t="s">
        <v>334</v>
      </c>
      <c r="C86" s="608">
        <f>+C87+C88+C89</f>
        <v>0</v>
      </c>
      <c r="D86" s="608">
        <f>+D87+D88+D89</f>
        <v>0</v>
      </c>
      <c r="E86" s="425">
        <f>+E87+E88+E89</f>
        <v>0</v>
      </c>
    </row>
    <row r="87" spans="1:5" ht="12" customHeight="1" x14ac:dyDescent="0.25">
      <c r="A87" s="18" t="s">
        <v>66</v>
      </c>
      <c r="B87" s="9" t="s">
        <v>304</v>
      </c>
      <c r="C87" s="614"/>
      <c r="D87" s="614"/>
      <c r="E87" s="431"/>
    </row>
    <row r="88" spans="1:5" ht="12" customHeight="1" x14ac:dyDescent="0.25">
      <c r="A88" s="18" t="s">
        <v>67</v>
      </c>
      <c r="B88" s="14" t="s">
        <v>190</v>
      </c>
      <c r="C88" s="609"/>
      <c r="D88" s="609"/>
      <c r="E88" s="427"/>
    </row>
    <row r="89" spans="1:5" ht="12" customHeight="1" x14ac:dyDescent="0.25">
      <c r="A89" s="18" t="s">
        <v>68</v>
      </c>
      <c r="B89" s="402" t="s">
        <v>335</v>
      </c>
      <c r="C89" s="609"/>
      <c r="D89" s="609"/>
      <c r="E89" s="427"/>
    </row>
    <row r="90" spans="1:5" ht="12" customHeight="1" x14ac:dyDescent="0.25">
      <c r="A90" s="18" t="s">
        <v>69</v>
      </c>
      <c r="B90" s="402" t="s">
        <v>407</v>
      </c>
      <c r="C90" s="609"/>
      <c r="D90" s="609"/>
      <c r="E90" s="427"/>
    </row>
    <row r="91" spans="1:5" ht="12" customHeight="1" x14ac:dyDescent="0.25">
      <c r="A91" s="18" t="s">
        <v>70</v>
      </c>
      <c r="B91" s="402" t="s">
        <v>336</v>
      </c>
      <c r="C91" s="609"/>
      <c r="D91" s="609"/>
      <c r="E91" s="427"/>
    </row>
    <row r="92" spans="1:5" ht="12" customHeight="1" x14ac:dyDescent="0.25">
      <c r="A92" s="18" t="s">
        <v>79</v>
      </c>
      <c r="B92" s="402" t="s">
        <v>337</v>
      </c>
      <c r="C92" s="609"/>
      <c r="D92" s="609"/>
      <c r="E92" s="427"/>
    </row>
    <row r="93" spans="1:5" ht="12" customHeight="1" x14ac:dyDescent="0.25">
      <c r="A93" s="18" t="s">
        <v>81</v>
      </c>
      <c r="B93" s="579" t="s">
        <v>308</v>
      </c>
      <c r="C93" s="609"/>
      <c r="D93" s="609"/>
      <c r="E93" s="427"/>
    </row>
    <row r="94" spans="1:5" ht="12" customHeight="1" x14ac:dyDescent="0.25">
      <c r="A94" s="18" t="s">
        <v>191</v>
      </c>
      <c r="B94" s="579" t="s">
        <v>309</v>
      </c>
      <c r="C94" s="609"/>
      <c r="D94" s="609"/>
      <c r="E94" s="427"/>
    </row>
    <row r="95" spans="1:5" ht="12" customHeight="1" x14ac:dyDescent="0.25">
      <c r="A95" s="18" t="s">
        <v>192</v>
      </c>
      <c r="B95" s="579" t="s">
        <v>307</v>
      </c>
      <c r="C95" s="609"/>
      <c r="D95" s="609"/>
      <c r="E95" s="427"/>
    </row>
    <row r="96" spans="1:5" ht="34.5" thickBot="1" x14ac:dyDescent="0.3">
      <c r="A96" s="15" t="s">
        <v>193</v>
      </c>
      <c r="B96" s="580" t="s">
        <v>306</v>
      </c>
      <c r="C96" s="615"/>
      <c r="D96" s="615"/>
      <c r="E96" s="432"/>
    </row>
    <row r="97" spans="1:5" ht="12" customHeight="1" thickBot="1" x14ac:dyDescent="0.3">
      <c r="A97" s="23" t="s">
        <v>1127</v>
      </c>
      <c r="B97" s="167" t="s">
        <v>338</v>
      </c>
      <c r="C97" s="608">
        <f>+C98+C99</f>
        <v>0</v>
      </c>
      <c r="D97" s="608">
        <f>+D98+D99</f>
        <v>0</v>
      </c>
      <c r="E97" s="425">
        <f>+E98+E99</f>
        <v>0</v>
      </c>
    </row>
    <row r="98" spans="1:5" ht="12" customHeight="1" x14ac:dyDescent="0.25">
      <c r="A98" s="18" t="s">
        <v>40</v>
      </c>
      <c r="B98" s="11" t="s">
        <v>3</v>
      </c>
      <c r="C98" s="614"/>
      <c r="D98" s="614"/>
      <c r="E98" s="431"/>
    </row>
    <row r="99" spans="1:5" ht="12" customHeight="1" thickBot="1" x14ac:dyDescent="0.3">
      <c r="A99" s="19" t="s">
        <v>41</v>
      </c>
      <c r="B99" s="14" t="s">
        <v>4</v>
      </c>
      <c r="C99" s="615"/>
      <c r="D99" s="615"/>
      <c r="E99" s="432"/>
    </row>
    <row r="100" spans="1:5" ht="12" customHeight="1" thickBot="1" x14ac:dyDescent="0.3">
      <c r="A100" s="406" t="s">
        <v>1128</v>
      </c>
      <c r="B100" s="401" t="s">
        <v>310</v>
      </c>
      <c r="C100" s="625"/>
      <c r="D100" s="625"/>
      <c r="E100" s="434"/>
    </row>
    <row r="101" spans="1:5" ht="12" customHeight="1" thickBot="1" x14ac:dyDescent="0.3">
      <c r="A101" s="398" t="s">
        <v>1129</v>
      </c>
      <c r="B101" s="399" t="s">
        <v>127</v>
      </c>
      <c r="C101" s="607">
        <f>+C73+C86+C97+C100</f>
        <v>0</v>
      </c>
      <c r="D101" s="607">
        <f>+D73+D86+D97+D100</f>
        <v>0</v>
      </c>
      <c r="E101" s="424">
        <f>+E73+E86+E97+E100</f>
        <v>0</v>
      </c>
    </row>
    <row r="102" spans="1:5" ht="12" customHeight="1" thickBot="1" x14ac:dyDescent="0.3">
      <c r="A102" s="406" t="s">
        <v>1130</v>
      </c>
      <c r="B102" s="401" t="s">
        <v>408</v>
      </c>
      <c r="C102" s="608">
        <f>+C103+C111</f>
        <v>0</v>
      </c>
      <c r="D102" s="608">
        <f>+D103+D111</f>
        <v>0</v>
      </c>
      <c r="E102" s="425">
        <f>+E103+E111</f>
        <v>0</v>
      </c>
    </row>
    <row r="103" spans="1:5" ht="12" customHeight="1" thickBot="1" x14ac:dyDescent="0.3">
      <c r="A103" s="413" t="s">
        <v>47</v>
      </c>
      <c r="B103" s="581" t="s">
        <v>409</v>
      </c>
      <c r="C103" s="608">
        <f>+C104+C105+C106+C107+C108+C109+C110</f>
        <v>0</v>
      </c>
      <c r="D103" s="608">
        <f>+D104+D105+D106+D107+D108+D109+D110</f>
        <v>0</v>
      </c>
      <c r="E103" s="425">
        <f>+E104+E105+E106+E107+E108+E109+E110</f>
        <v>0</v>
      </c>
    </row>
    <row r="104" spans="1:5" ht="12" customHeight="1" x14ac:dyDescent="0.25">
      <c r="A104" s="414" t="s">
        <v>50</v>
      </c>
      <c r="B104" s="415" t="s">
        <v>311</v>
      </c>
      <c r="C104" s="632"/>
      <c r="D104" s="632"/>
      <c r="E104" s="448"/>
    </row>
    <row r="105" spans="1:5" ht="12" customHeight="1" x14ac:dyDescent="0.25">
      <c r="A105" s="407" t="s">
        <v>51</v>
      </c>
      <c r="B105" s="402" t="s">
        <v>312</v>
      </c>
      <c r="C105" s="633"/>
      <c r="D105" s="633"/>
      <c r="E105" s="449"/>
    </row>
    <row r="106" spans="1:5" ht="12" customHeight="1" x14ac:dyDescent="0.25">
      <c r="A106" s="407" t="s">
        <v>52</v>
      </c>
      <c r="B106" s="402" t="s">
        <v>313</v>
      </c>
      <c r="C106" s="633"/>
      <c r="D106" s="633"/>
      <c r="E106" s="449"/>
    </row>
    <row r="107" spans="1:5" ht="12" customHeight="1" x14ac:dyDescent="0.25">
      <c r="A107" s="407" t="s">
        <v>53</v>
      </c>
      <c r="B107" s="402" t="s">
        <v>314</v>
      </c>
      <c r="C107" s="633"/>
      <c r="D107" s="633"/>
      <c r="E107" s="449"/>
    </row>
    <row r="108" spans="1:5" ht="12" customHeight="1" x14ac:dyDescent="0.25">
      <c r="A108" s="407" t="s">
        <v>176</v>
      </c>
      <c r="B108" s="402" t="s">
        <v>315</v>
      </c>
      <c r="C108" s="633"/>
      <c r="D108" s="633"/>
      <c r="E108" s="449"/>
    </row>
    <row r="109" spans="1:5" ht="12" customHeight="1" x14ac:dyDescent="0.25">
      <c r="A109" s="407" t="s">
        <v>194</v>
      </c>
      <c r="B109" s="402" t="s">
        <v>316</v>
      </c>
      <c r="C109" s="633"/>
      <c r="D109" s="633"/>
      <c r="E109" s="449"/>
    </row>
    <row r="110" spans="1:5" ht="12" customHeight="1" thickBot="1" x14ac:dyDescent="0.3">
      <c r="A110" s="416" t="s">
        <v>195</v>
      </c>
      <c r="B110" s="417" t="s">
        <v>317</v>
      </c>
      <c r="C110" s="634"/>
      <c r="D110" s="634"/>
      <c r="E110" s="450"/>
    </row>
    <row r="111" spans="1:5" ht="12" customHeight="1" thickBot="1" x14ac:dyDescent="0.3">
      <c r="A111" s="413" t="s">
        <v>48</v>
      </c>
      <c r="B111" s="581" t="s">
        <v>410</v>
      </c>
      <c r="C111" s="608">
        <f>+C112+C113+C114+C115+C116+C117+C118+C119</f>
        <v>0</v>
      </c>
      <c r="D111" s="608">
        <f>+D112+D113+D114+D115+D116+D117+D118+D119</f>
        <v>0</v>
      </c>
      <c r="E111" s="425">
        <f>+E112+E113+E114+E115+E116+E117+E118+E119</f>
        <v>0</v>
      </c>
    </row>
    <row r="112" spans="1:5" ht="12" customHeight="1" x14ac:dyDescent="0.25">
      <c r="A112" s="414" t="s">
        <v>56</v>
      </c>
      <c r="B112" s="415" t="s">
        <v>311</v>
      </c>
      <c r="C112" s="632"/>
      <c r="D112" s="632"/>
      <c r="E112" s="448"/>
    </row>
    <row r="113" spans="1:6" ht="12" customHeight="1" x14ac:dyDescent="0.25">
      <c r="A113" s="407" t="s">
        <v>57</v>
      </c>
      <c r="B113" s="402" t="s">
        <v>318</v>
      </c>
      <c r="C113" s="633"/>
      <c r="D113" s="633"/>
      <c r="E113" s="449"/>
    </row>
    <row r="114" spans="1:6" ht="12" customHeight="1" x14ac:dyDescent="0.25">
      <c r="A114" s="407" t="s">
        <v>58</v>
      </c>
      <c r="B114" s="402" t="s">
        <v>313</v>
      </c>
      <c r="C114" s="633"/>
      <c r="D114" s="633"/>
      <c r="E114" s="449"/>
    </row>
    <row r="115" spans="1:6" ht="12" customHeight="1" x14ac:dyDescent="0.25">
      <c r="A115" s="407" t="s">
        <v>59</v>
      </c>
      <c r="B115" s="402" t="s">
        <v>314</v>
      </c>
      <c r="C115" s="633"/>
      <c r="D115" s="633"/>
      <c r="E115" s="449"/>
    </row>
    <row r="116" spans="1:6" ht="12" customHeight="1" x14ac:dyDescent="0.25">
      <c r="A116" s="407" t="s">
        <v>177</v>
      </c>
      <c r="B116" s="402" t="s">
        <v>315</v>
      </c>
      <c r="C116" s="633"/>
      <c r="D116" s="633"/>
      <c r="E116" s="449"/>
    </row>
    <row r="117" spans="1:6" ht="12" customHeight="1" x14ac:dyDescent="0.25">
      <c r="A117" s="407" t="s">
        <v>196</v>
      </c>
      <c r="B117" s="402" t="s">
        <v>319</v>
      </c>
      <c r="C117" s="633"/>
      <c r="D117" s="633"/>
      <c r="E117" s="449"/>
    </row>
    <row r="118" spans="1:6" ht="12" customHeight="1" x14ac:dyDescent="0.25">
      <c r="A118" s="407" t="s">
        <v>197</v>
      </c>
      <c r="B118" s="402" t="s">
        <v>317</v>
      </c>
      <c r="C118" s="633"/>
      <c r="D118" s="633"/>
      <c r="E118" s="449"/>
    </row>
    <row r="119" spans="1:6" ht="12" customHeight="1" thickBot="1" x14ac:dyDescent="0.3">
      <c r="A119" s="416" t="s">
        <v>198</v>
      </c>
      <c r="B119" s="417" t="s">
        <v>411</v>
      </c>
      <c r="C119" s="634"/>
      <c r="D119" s="634"/>
      <c r="E119" s="450"/>
    </row>
    <row r="120" spans="1:6" ht="12" customHeight="1" thickBot="1" x14ac:dyDescent="0.3">
      <c r="A120" s="406" t="s">
        <v>1131</v>
      </c>
      <c r="B120" s="577" t="s">
        <v>320</v>
      </c>
      <c r="C120" s="635">
        <f>+C101+C102</f>
        <v>0</v>
      </c>
      <c r="D120" s="635">
        <f>+D101+D102</f>
        <v>0</v>
      </c>
      <c r="E120" s="442">
        <f>+E101+E102</f>
        <v>0</v>
      </c>
    </row>
    <row r="121" spans="1:6" ht="12" customHeight="1" thickBot="1" x14ac:dyDescent="0.3">
      <c r="A121" s="406" t="s">
        <v>1132</v>
      </c>
      <c r="B121" s="577" t="s">
        <v>321</v>
      </c>
      <c r="C121" s="636"/>
      <c r="D121" s="636"/>
      <c r="E121" s="443"/>
    </row>
    <row r="122" spans="1:6" ht="12" customHeight="1" thickBot="1" x14ac:dyDescent="0.3">
      <c r="A122" s="418" t="s">
        <v>1133</v>
      </c>
      <c r="B122" s="578" t="s">
        <v>322</v>
      </c>
      <c r="C122" s="627">
        <f>+C120+C121</f>
        <v>0</v>
      </c>
      <c r="D122" s="627">
        <f>+D120+D121</f>
        <v>0</v>
      </c>
      <c r="E122" s="436">
        <f>+E120+E121</f>
        <v>0</v>
      </c>
    </row>
    <row r="123" spans="1:6" ht="12" customHeight="1" x14ac:dyDescent="0.25">
      <c r="C123" s="589"/>
    </row>
    <row r="124" spans="1:6" ht="12" customHeight="1" x14ac:dyDescent="0.25">
      <c r="C124" s="589"/>
    </row>
    <row r="125" spans="1:6" ht="12" customHeight="1" x14ac:dyDescent="0.25">
      <c r="C125" s="589"/>
    </row>
    <row r="126" spans="1:6" ht="12" customHeight="1" x14ac:dyDescent="0.25">
      <c r="C126" s="589"/>
    </row>
    <row r="127" spans="1:6" ht="12" customHeight="1" x14ac:dyDescent="0.25">
      <c r="C127" s="589"/>
    </row>
    <row r="128" spans="1:6" ht="15" customHeight="1" x14ac:dyDescent="0.25">
      <c r="C128" s="168"/>
      <c r="D128" s="168"/>
      <c r="E128" s="168"/>
      <c r="F128" s="168"/>
    </row>
    <row r="129" spans="3:3" s="1" customFormat="1" ht="12.95" customHeight="1" x14ac:dyDescent="0.2"/>
    <row r="130" spans="3:3" x14ac:dyDescent="0.25">
      <c r="C130" s="589"/>
    </row>
    <row r="131" spans="3:3" x14ac:dyDescent="0.25">
      <c r="C131" s="589"/>
    </row>
    <row r="132" spans="3:3" x14ac:dyDescent="0.25">
      <c r="C132" s="589"/>
    </row>
    <row r="133" spans="3:3" ht="16.5" customHeight="1" x14ac:dyDescent="0.25">
      <c r="C133" s="589"/>
    </row>
    <row r="134" spans="3:3" x14ac:dyDescent="0.25">
      <c r="C134" s="589"/>
    </row>
    <row r="135" spans="3:3" x14ac:dyDescent="0.25">
      <c r="C135" s="589"/>
    </row>
    <row r="136" spans="3:3" x14ac:dyDescent="0.25">
      <c r="C136" s="589"/>
    </row>
    <row r="137" spans="3:3" x14ac:dyDescent="0.25">
      <c r="C137" s="589"/>
    </row>
    <row r="138" spans="3:3" x14ac:dyDescent="0.25">
      <c r="C138" s="589"/>
    </row>
    <row r="139" spans="3:3" x14ac:dyDescent="0.25">
      <c r="C139" s="589"/>
    </row>
    <row r="140" spans="3:3" x14ac:dyDescent="0.25">
      <c r="C140" s="589"/>
    </row>
    <row r="141" spans="3:3" x14ac:dyDescent="0.25">
      <c r="C141" s="589"/>
    </row>
    <row r="142" spans="3:3" x14ac:dyDescent="0.25">
      <c r="C142" s="589"/>
    </row>
  </sheetData>
  <sheetProtection sheet="1"/>
  <mergeCells count="4">
    <mergeCell ref="A1:E1"/>
    <mergeCell ref="A69:E69"/>
    <mergeCell ref="A70:B7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71" fitToWidth="3" fitToHeight="2" orientation="portrait" r:id="rId1"/>
  <headerFooter alignWithMargins="0">
    <oddHeader>&amp;C&amp;"Times New Roman CE,Félkövér"&amp;12&amp;UTájékoztató kimutatások, mérlegek&amp;U............................. Önkormányzat2012. ÉVI KÖLTSÉGVETÉSÉNEK MÉRLEGE&amp;R&amp;"Times New Roman CE,Félkövér dőlt"&amp;11 1. számú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53" customWidth="1"/>
    <col min="2" max="2" width="49.6640625" style="52" customWidth="1"/>
    <col min="3" max="8" width="12.83203125" style="52" customWidth="1"/>
    <col min="9" max="9" width="13.83203125" style="52" customWidth="1"/>
    <col min="10" max="16384" width="9.33203125" style="52"/>
  </cols>
  <sheetData>
    <row r="1" spans="1:10" ht="27.75" customHeight="1" x14ac:dyDescent="0.2">
      <c r="A1" s="1232" t="s">
        <v>1106</v>
      </c>
      <c r="B1" s="1232"/>
      <c r="C1" s="1232"/>
      <c r="D1" s="1232"/>
      <c r="E1" s="1232"/>
      <c r="F1" s="1232"/>
      <c r="G1" s="1232"/>
      <c r="H1" s="1232"/>
      <c r="I1" s="1232"/>
    </row>
    <row r="2" spans="1:10" ht="20.25" customHeight="1" thickBot="1" x14ac:dyDescent="0.3">
      <c r="I2" s="84" t="s">
        <v>11</v>
      </c>
    </row>
    <row r="3" spans="1:10" s="85" customFormat="1" ht="26.25" customHeight="1" x14ac:dyDescent="0.2">
      <c r="A3" s="1271" t="s">
        <v>19</v>
      </c>
      <c r="B3" s="1266" t="s">
        <v>37</v>
      </c>
      <c r="C3" s="1271" t="s">
        <v>38</v>
      </c>
      <c r="D3" s="1271" t="s">
        <v>1104</v>
      </c>
      <c r="E3" s="1268" t="s">
        <v>18</v>
      </c>
      <c r="F3" s="1269"/>
      <c r="G3" s="1269"/>
      <c r="H3" s="1270"/>
      <c r="I3" s="1266" t="s">
        <v>1158</v>
      </c>
    </row>
    <row r="4" spans="1:10" s="86" customFormat="1" ht="32.25" customHeight="1" thickBot="1" x14ac:dyDescent="0.25">
      <c r="A4" s="1272"/>
      <c r="B4" s="1267"/>
      <c r="C4" s="1267"/>
      <c r="D4" s="1272"/>
      <c r="E4" s="368" t="s">
        <v>146</v>
      </c>
      <c r="F4" s="368" t="s">
        <v>221</v>
      </c>
      <c r="G4" s="368" t="s">
        <v>395</v>
      </c>
      <c r="H4" s="369" t="s">
        <v>1105</v>
      </c>
      <c r="I4" s="1267"/>
    </row>
    <row r="5" spans="1:10" s="87" customFormat="1" ht="12.95" customHeight="1" thickBot="1" x14ac:dyDescent="0.25">
      <c r="A5" s="370">
        <v>1</v>
      </c>
      <c r="B5" s="371">
        <v>2</v>
      </c>
      <c r="C5" s="372">
        <v>3</v>
      </c>
      <c r="D5" s="371">
        <v>4</v>
      </c>
      <c r="E5" s="370">
        <v>5</v>
      </c>
      <c r="F5" s="372">
        <v>6</v>
      </c>
      <c r="G5" s="372">
        <v>7</v>
      </c>
      <c r="H5" s="373">
        <v>8</v>
      </c>
      <c r="I5" s="374" t="s">
        <v>39</v>
      </c>
    </row>
    <row r="6" spans="1:10" ht="24.75" customHeight="1" thickBot="1" x14ac:dyDescent="0.25">
      <c r="A6" s="375" t="s">
        <v>1125</v>
      </c>
      <c r="B6" s="376" t="s">
        <v>1107</v>
      </c>
      <c r="C6" s="384"/>
      <c r="D6" s="101"/>
      <c r="E6" s="102"/>
      <c r="F6" s="103"/>
      <c r="G6" s="103"/>
      <c r="H6" s="104"/>
      <c r="I6" s="88">
        <f t="shared" ref="I6:I17" si="0">SUM(D6:H6)</f>
        <v>0</v>
      </c>
    </row>
    <row r="7" spans="1:10" ht="20.100000000000001" customHeight="1" x14ac:dyDescent="0.2">
      <c r="A7" s="377" t="s">
        <v>1126</v>
      </c>
      <c r="B7" s="92" t="s">
        <v>20</v>
      </c>
      <c r="C7" s="93"/>
      <c r="D7" s="94"/>
      <c r="E7" s="95"/>
      <c r="F7" s="33"/>
      <c r="G7" s="33"/>
      <c r="H7" s="30"/>
      <c r="I7" s="378">
        <f t="shared" si="0"/>
        <v>0</v>
      </c>
    </row>
    <row r="8" spans="1:10" ht="20.100000000000001" customHeight="1" thickBot="1" x14ac:dyDescent="0.25">
      <c r="A8" s="377" t="s">
        <v>1127</v>
      </c>
      <c r="B8" s="92" t="s">
        <v>20</v>
      </c>
      <c r="C8" s="93"/>
      <c r="D8" s="94"/>
      <c r="E8" s="95"/>
      <c r="F8" s="33"/>
      <c r="G8" s="33"/>
      <c r="H8" s="30"/>
      <c r="I8" s="378">
        <f t="shared" si="0"/>
        <v>0</v>
      </c>
    </row>
    <row r="9" spans="1:10" ht="26.1" customHeight="1" thickBot="1" x14ac:dyDescent="0.25">
      <c r="A9" s="375" t="s">
        <v>1128</v>
      </c>
      <c r="B9" s="376" t="s">
        <v>1108</v>
      </c>
      <c r="C9" s="385"/>
      <c r="D9" s="101"/>
      <c r="E9" s="102"/>
      <c r="F9" s="103"/>
      <c r="G9" s="103"/>
      <c r="H9" s="104"/>
      <c r="I9" s="88">
        <f t="shared" si="0"/>
        <v>0</v>
      </c>
    </row>
    <row r="10" spans="1:10" ht="20.100000000000001" customHeight="1" x14ac:dyDescent="0.2">
      <c r="A10" s="377" t="s">
        <v>1129</v>
      </c>
      <c r="B10" s="92" t="s">
        <v>20</v>
      </c>
      <c r="C10" s="93"/>
      <c r="D10" s="94"/>
      <c r="E10" s="95"/>
      <c r="F10" s="33"/>
      <c r="G10" s="33"/>
      <c r="H10" s="30"/>
      <c r="I10" s="378">
        <f t="shared" si="0"/>
        <v>0</v>
      </c>
    </row>
    <row r="11" spans="1:10" ht="20.100000000000001" customHeight="1" thickBot="1" x14ac:dyDescent="0.25">
      <c r="A11" s="377" t="s">
        <v>1130</v>
      </c>
      <c r="B11" s="92" t="s">
        <v>20</v>
      </c>
      <c r="C11" s="93"/>
      <c r="D11" s="94"/>
      <c r="E11" s="95"/>
      <c r="F11" s="33"/>
      <c r="G11" s="33"/>
      <c r="H11" s="30"/>
      <c r="I11" s="378">
        <f t="shared" si="0"/>
        <v>0</v>
      </c>
    </row>
    <row r="12" spans="1:10" ht="20.100000000000001" customHeight="1" thickBot="1" x14ac:dyDescent="0.25">
      <c r="A12" s="375" t="s">
        <v>1131</v>
      </c>
      <c r="B12" s="376" t="s">
        <v>236</v>
      </c>
      <c r="C12" s="385"/>
      <c r="D12" s="101"/>
      <c r="E12" s="102"/>
      <c r="F12" s="103"/>
      <c r="G12" s="103"/>
      <c r="H12" s="104"/>
      <c r="I12" s="88">
        <f t="shared" si="0"/>
        <v>0</v>
      </c>
    </row>
    <row r="13" spans="1:10" ht="20.100000000000001" customHeight="1" thickBot="1" x14ac:dyDescent="0.25">
      <c r="A13" s="377" t="s">
        <v>1132</v>
      </c>
      <c r="B13" s="92" t="s">
        <v>20</v>
      </c>
      <c r="C13" s="93"/>
      <c r="D13" s="94"/>
      <c r="E13" s="95"/>
      <c r="F13" s="33"/>
      <c r="G13" s="33"/>
      <c r="H13" s="30"/>
      <c r="I13" s="378">
        <f t="shared" si="0"/>
        <v>0</v>
      </c>
    </row>
    <row r="14" spans="1:10" ht="20.100000000000001" customHeight="1" thickBot="1" x14ac:dyDescent="0.25">
      <c r="A14" s="375" t="s">
        <v>1133</v>
      </c>
      <c r="B14" s="376" t="s">
        <v>237</v>
      </c>
      <c r="C14" s="385"/>
      <c r="D14" s="101"/>
      <c r="E14" s="102"/>
      <c r="F14" s="103"/>
      <c r="G14" s="103"/>
      <c r="H14" s="104"/>
      <c r="I14" s="88">
        <f t="shared" si="0"/>
        <v>0</v>
      </c>
      <c r="J14" s="96"/>
    </row>
    <row r="15" spans="1:10" ht="20.100000000000001" customHeight="1" thickBot="1" x14ac:dyDescent="0.25">
      <c r="A15" s="379" t="s">
        <v>1134</v>
      </c>
      <c r="B15" s="97" t="s">
        <v>20</v>
      </c>
      <c r="C15" s="98"/>
      <c r="D15" s="99"/>
      <c r="E15" s="100"/>
      <c r="F15" s="34"/>
      <c r="G15" s="34"/>
      <c r="H15" s="32"/>
      <c r="I15" s="380">
        <f t="shared" si="0"/>
        <v>0</v>
      </c>
    </row>
    <row r="16" spans="1:10" ht="20.100000000000001" customHeight="1" thickBot="1" x14ac:dyDescent="0.25">
      <c r="A16" s="375" t="s">
        <v>1135</v>
      </c>
      <c r="B16" s="381" t="s">
        <v>238</v>
      </c>
      <c r="C16" s="385"/>
      <c r="D16" s="101"/>
      <c r="E16" s="102"/>
      <c r="F16" s="103"/>
      <c r="G16" s="103"/>
      <c r="H16" s="104"/>
      <c r="I16" s="88">
        <f t="shared" si="0"/>
        <v>0</v>
      </c>
    </row>
    <row r="17" spans="1:9" ht="20.100000000000001" customHeight="1" thickBot="1" x14ac:dyDescent="0.25">
      <c r="A17" s="382" t="s">
        <v>1136</v>
      </c>
      <c r="B17" s="105" t="s">
        <v>20</v>
      </c>
      <c r="C17" s="106"/>
      <c r="D17" s="107"/>
      <c r="E17" s="108"/>
      <c r="F17" s="109"/>
      <c r="G17" s="109"/>
      <c r="H17" s="31"/>
      <c r="I17" s="383">
        <f t="shared" si="0"/>
        <v>0</v>
      </c>
    </row>
    <row r="18" spans="1:9" ht="20.100000000000001" customHeight="1" thickBot="1" x14ac:dyDescent="0.25">
      <c r="A18" s="1264" t="s">
        <v>110</v>
      </c>
      <c r="B18" s="1265"/>
      <c r="C18" s="164"/>
      <c r="D18" s="88">
        <f>D6+D9+D12+D14+D16</f>
        <v>0</v>
      </c>
      <c r="E18" s="89">
        <f>E6+E9+E12+E14+E16</f>
        <v>0</v>
      </c>
      <c r="F18" s="90">
        <f>F6+F9+F12+F14+F16</f>
        <v>0</v>
      </c>
      <c r="G18" s="90">
        <f>G6+G9+G12+G14+G16</f>
        <v>0</v>
      </c>
      <c r="H18" s="91">
        <f>H6+H9+H12+H14+H16</f>
        <v>0</v>
      </c>
      <c r="I18" s="88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640" bestFit="1" customWidth="1"/>
    <col min="2" max="2" width="63" style="640" customWidth="1"/>
    <col min="3" max="3" width="6.33203125" style="639" hidden="1" customWidth="1"/>
    <col min="4" max="4" width="9.83203125" style="698" bestFit="1" customWidth="1"/>
    <col min="5" max="5" width="18.1640625" style="698" customWidth="1"/>
    <col min="6" max="6" width="15.1640625" style="698" customWidth="1"/>
    <col min="7" max="7" width="15.5" style="698" customWidth="1"/>
    <col min="8" max="8" width="11.33203125" style="698" bestFit="1" customWidth="1"/>
    <col min="9" max="9" width="9.83203125" style="698" bestFit="1" customWidth="1"/>
    <col min="10" max="10" width="13.1640625" style="699" bestFit="1" customWidth="1"/>
    <col min="11" max="11" width="17.33203125" style="639" customWidth="1"/>
    <col min="12" max="12" width="9.1640625" style="639" hidden="1" customWidth="1"/>
    <col min="13" max="13" width="16.83203125" style="639" customWidth="1"/>
    <col min="14" max="14" width="0" style="639" hidden="1" customWidth="1"/>
    <col min="15" max="15" width="18.5" style="639" customWidth="1"/>
    <col min="16" max="16" width="9.83203125" style="639" customWidth="1"/>
    <col min="17" max="17" width="16.1640625" style="683" customWidth="1"/>
    <col min="18" max="18" width="9.33203125" style="640"/>
    <col min="19" max="19" width="9.33203125" style="641"/>
    <col min="20" max="16384" width="9.33203125" style="640"/>
  </cols>
  <sheetData>
    <row r="1" spans="1:19" x14ac:dyDescent="0.25">
      <c r="A1" s="1273" t="s">
        <v>892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1273"/>
      <c r="Q1" s="1273"/>
    </row>
    <row r="2" spans="1:19" x14ac:dyDescent="0.25">
      <c r="A2" s="1274" t="s">
        <v>553</v>
      </c>
      <c r="B2" s="1274"/>
      <c r="C2" s="1274"/>
      <c r="D2" s="1274"/>
      <c r="E2" s="1274"/>
      <c r="F2" s="1274"/>
      <c r="G2" s="1274"/>
      <c r="H2" s="1274"/>
      <c r="I2" s="1274"/>
      <c r="J2" s="1274"/>
      <c r="K2" s="1274"/>
      <c r="L2" s="1274"/>
      <c r="M2" s="1274"/>
      <c r="N2" s="1274"/>
      <c r="O2" s="1274"/>
      <c r="P2" s="1274"/>
      <c r="Q2" s="1274"/>
    </row>
    <row r="3" spans="1:19" x14ac:dyDescent="0.25">
      <c r="A3" s="642"/>
      <c r="B3" s="642"/>
      <c r="C3" s="642"/>
      <c r="D3" s="642"/>
      <c r="E3" s="642"/>
      <c r="F3" s="642"/>
      <c r="G3" s="642"/>
      <c r="H3" s="642"/>
      <c r="I3" s="642"/>
      <c r="J3" s="642"/>
      <c r="Q3" s="639"/>
    </row>
    <row r="4" spans="1:19" s="646" customFormat="1" x14ac:dyDescent="0.2">
      <c r="A4" s="643"/>
      <c r="B4" s="644" t="s">
        <v>12</v>
      </c>
      <c r="C4" s="645">
        <v>2011</v>
      </c>
      <c r="D4" s="1275" t="s">
        <v>554</v>
      </c>
      <c r="E4" s="1276"/>
      <c r="F4" s="1276"/>
      <c r="G4" s="1276"/>
      <c r="H4" s="1276"/>
      <c r="I4" s="1276"/>
      <c r="J4" s="1277"/>
      <c r="K4" s="1275" t="s">
        <v>555</v>
      </c>
      <c r="L4" s="1276"/>
      <c r="M4" s="1276"/>
      <c r="N4" s="1276"/>
      <c r="O4" s="1276"/>
      <c r="P4" s="1276"/>
      <c r="Q4" s="1277"/>
      <c r="S4" s="647"/>
    </row>
    <row r="5" spans="1:19" s="646" customFormat="1" ht="75" x14ac:dyDescent="0.2">
      <c r="A5" s="648"/>
      <c r="B5" s="649"/>
      <c r="C5" s="650" t="s">
        <v>556</v>
      </c>
      <c r="D5" s="651" t="s">
        <v>530</v>
      </c>
      <c r="E5" s="651" t="s">
        <v>557</v>
      </c>
      <c r="F5" s="651" t="s">
        <v>558</v>
      </c>
      <c r="G5" s="651" t="s">
        <v>559</v>
      </c>
      <c r="H5" s="651" t="s">
        <v>528</v>
      </c>
      <c r="I5" s="651" t="s">
        <v>529</v>
      </c>
      <c r="J5" s="652" t="s">
        <v>1158</v>
      </c>
      <c r="K5" s="651" t="s">
        <v>557</v>
      </c>
      <c r="L5" s="651" t="s">
        <v>558</v>
      </c>
      <c r="M5" s="651" t="s">
        <v>559</v>
      </c>
      <c r="N5" s="651" t="s">
        <v>528</v>
      </c>
      <c r="O5" s="651" t="s">
        <v>893</v>
      </c>
      <c r="P5" s="651" t="s">
        <v>529</v>
      </c>
      <c r="Q5" s="652" t="s">
        <v>1158</v>
      </c>
      <c r="S5" s="647"/>
    </row>
    <row r="6" spans="1:19" x14ac:dyDescent="0.25">
      <c r="A6" s="654">
        <v>1</v>
      </c>
      <c r="B6" s="655" t="s">
        <v>560</v>
      </c>
      <c r="C6" s="656"/>
      <c r="D6" s="657">
        <v>27.562999999999999</v>
      </c>
      <c r="E6" s="657">
        <v>0</v>
      </c>
      <c r="F6" s="657">
        <v>0</v>
      </c>
      <c r="G6" s="657">
        <v>0</v>
      </c>
      <c r="H6" s="657">
        <v>392.04300000000001</v>
      </c>
      <c r="I6" s="657">
        <v>0</v>
      </c>
      <c r="J6" s="658">
        <v>419.60599999999999</v>
      </c>
      <c r="K6" s="659">
        <v>0</v>
      </c>
      <c r="L6" s="659">
        <v>0</v>
      </c>
      <c r="M6" s="659">
        <v>0</v>
      </c>
      <c r="N6" s="659">
        <v>0</v>
      </c>
      <c r="O6" s="659">
        <v>0</v>
      </c>
      <c r="P6" s="659">
        <v>0</v>
      </c>
      <c r="Q6" s="660">
        <v>0</v>
      </c>
    </row>
    <row r="7" spans="1:19" x14ac:dyDescent="0.25">
      <c r="A7" s="654">
        <v>2</v>
      </c>
      <c r="B7" s="655" t="s">
        <v>561</v>
      </c>
      <c r="C7" s="656"/>
      <c r="D7" s="657">
        <v>0</v>
      </c>
      <c r="E7" s="657">
        <v>0</v>
      </c>
      <c r="F7" s="657">
        <v>0</v>
      </c>
      <c r="G7" s="657">
        <v>0</v>
      </c>
      <c r="H7" s="657">
        <v>20548.030999999999</v>
      </c>
      <c r="I7" s="657">
        <v>0</v>
      </c>
      <c r="J7" s="658">
        <v>20548.030999999999</v>
      </c>
      <c r="K7" s="659">
        <v>0</v>
      </c>
      <c r="L7" s="659">
        <v>0</v>
      </c>
      <c r="M7" s="659">
        <v>0</v>
      </c>
      <c r="N7" s="659">
        <v>9998.68</v>
      </c>
      <c r="O7" s="659">
        <v>9998.68</v>
      </c>
      <c r="P7" s="659">
        <v>0</v>
      </c>
      <c r="Q7" s="660">
        <v>9998.68</v>
      </c>
    </row>
    <row r="8" spans="1:19" x14ac:dyDescent="0.25">
      <c r="A8" s="654">
        <v>3</v>
      </c>
      <c r="B8" s="655" t="s">
        <v>562</v>
      </c>
      <c r="C8" s="656">
        <v>0</v>
      </c>
      <c r="D8" s="657">
        <v>0</v>
      </c>
      <c r="E8" s="657">
        <v>0</v>
      </c>
      <c r="F8" s="657">
        <v>0</v>
      </c>
      <c r="G8" s="657">
        <v>0</v>
      </c>
      <c r="H8" s="657">
        <v>81690.829999999987</v>
      </c>
      <c r="I8" s="657">
        <v>0</v>
      </c>
      <c r="J8" s="658">
        <v>81690.829999999987</v>
      </c>
      <c r="K8" s="659">
        <v>0</v>
      </c>
      <c r="L8" s="659">
        <v>0</v>
      </c>
      <c r="M8" s="659">
        <v>0</v>
      </c>
      <c r="N8" s="659">
        <v>100697.92</v>
      </c>
      <c r="O8" s="659">
        <v>100697.92</v>
      </c>
      <c r="P8" s="659">
        <v>0</v>
      </c>
      <c r="Q8" s="660">
        <v>100697.92</v>
      </c>
    </row>
    <row r="9" spans="1:19" x14ac:dyDescent="0.25">
      <c r="A9" s="654">
        <v>4</v>
      </c>
      <c r="B9" s="655" t="s">
        <v>563</v>
      </c>
      <c r="C9" s="656"/>
      <c r="D9" s="657">
        <v>0</v>
      </c>
      <c r="E9" s="657">
        <v>0</v>
      </c>
      <c r="F9" s="657">
        <v>0</v>
      </c>
      <c r="G9" s="657">
        <v>0</v>
      </c>
      <c r="H9" s="657">
        <v>33829.214999999997</v>
      </c>
      <c r="I9" s="657">
        <v>0</v>
      </c>
      <c r="J9" s="658">
        <v>33829.214999999997</v>
      </c>
      <c r="K9" s="659">
        <v>0</v>
      </c>
      <c r="L9" s="659">
        <v>0</v>
      </c>
      <c r="M9" s="659">
        <v>0</v>
      </c>
      <c r="N9" s="659">
        <v>42924.409999999996</v>
      </c>
      <c r="O9" s="659">
        <v>42924.409999999996</v>
      </c>
      <c r="P9" s="659">
        <v>0</v>
      </c>
      <c r="Q9" s="660">
        <v>42924.409999999996</v>
      </c>
    </row>
    <row r="10" spans="1:19" x14ac:dyDescent="0.25">
      <c r="A10" s="654">
        <v>5</v>
      </c>
      <c r="B10" s="655" t="s">
        <v>564</v>
      </c>
      <c r="C10" s="656"/>
      <c r="D10" s="657">
        <v>0</v>
      </c>
      <c r="E10" s="657">
        <v>0</v>
      </c>
      <c r="F10" s="657">
        <v>0</v>
      </c>
      <c r="G10" s="657">
        <v>0</v>
      </c>
      <c r="H10" s="657">
        <v>18379.445</v>
      </c>
      <c r="I10" s="657">
        <v>0</v>
      </c>
      <c r="J10" s="658">
        <v>18379.445</v>
      </c>
      <c r="K10" s="659">
        <v>0</v>
      </c>
      <c r="L10" s="659">
        <v>0</v>
      </c>
      <c r="M10" s="659">
        <v>0</v>
      </c>
      <c r="N10" s="659">
        <v>21189.848000000002</v>
      </c>
      <c r="O10" s="659">
        <v>21189.848000000002</v>
      </c>
      <c r="P10" s="659">
        <v>0</v>
      </c>
      <c r="Q10" s="660">
        <v>21189.848000000002</v>
      </c>
    </row>
    <row r="11" spans="1:19" x14ac:dyDescent="0.25">
      <c r="A11" s="654">
        <v>6</v>
      </c>
      <c r="B11" s="655" t="s">
        <v>138</v>
      </c>
      <c r="C11" s="656"/>
      <c r="D11" s="657">
        <v>0</v>
      </c>
      <c r="E11" s="657">
        <v>0</v>
      </c>
      <c r="F11" s="657">
        <v>0</v>
      </c>
      <c r="G11" s="657">
        <v>0</v>
      </c>
      <c r="H11" s="657">
        <v>0</v>
      </c>
      <c r="I11" s="657">
        <v>0</v>
      </c>
      <c r="J11" s="658">
        <v>0</v>
      </c>
      <c r="K11" s="659">
        <v>0</v>
      </c>
      <c r="L11" s="659">
        <v>0</v>
      </c>
      <c r="M11" s="659">
        <v>0</v>
      </c>
      <c r="N11" s="659">
        <v>0</v>
      </c>
      <c r="O11" s="659">
        <v>0</v>
      </c>
      <c r="P11" s="659">
        <v>0</v>
      </c>
      <c r="Q11" s="660">
        <v>0</v>
      </c>
    </row>
    <row r="12" spans="1:19" x14ac:dyDescent="0.25">
      <c r="A12" s="654">
        <v>7</v>
      </c>
      <c r="B12" s="655" t="s">
        <v>565</v>
      </c>
      <c r="C12" s="656"/>
      <c r="D12" s="657">
        <v>0</v>
      </c>
      <c r="E12" s="657">
        <v>0</v>
      </c>
      <c r="F12" s="657">
        <v>0</v>
      </c>
      <c r="G12" s="657">
        <v>0</v>
      </c>
      <c r="H12" s="657">
        <v>29482.17</v>
      </c>
      <c r="I12" s="657">
        <v>0</v>
      </c>
      <c r="J12" s="658">
        <v>29482.17</v>
      </c>
      <c r="K12" s="659">
        <v>0</v>
      </c>
      <c r="L12" s="659">
        <v>0</v>
      </c>
      <c r="M12" s="659">
        <v>0</v>
      </c>
      <c r="N12" s="659">
        <v>36583.661999999997</v>
      </c>
      <c r="O12" s="659">
        <v>36583.661999999997</v>
      </c>
      <c r="P12" s="659">
        <v>0</v>
      </c>
      <c r="Q12" s="660">
        <v>36583.661999999997</v>
      </c>
    </row>
    <row r="13" spans="1:19" x14ac:dyDescent="0.25">
      <c r="A13" s="654">
        <v>8</v>
      </c>
      <c r="B13" s="655" t="s">
        <v>566</v>
      </c>
      <c r="C13" s="656"/>
      <c r="D13" s="657">
        <v>0</v>
      </c>
      <c r="E13" s="657">
        <v>0</v>
      </c>
      <c r="F13" s="657">
        <v>0</v>
      </c>
      <c r="G13" s="657">
        <v>0</v>
      </c>
      <c r="H13" s="657">
        <v>0</v>
      </c>
      <c r="I13" s="657">
        <v>0</v>
      </c>
      <c r="J13" s="658">
        <v>0</v>
      </c>
      <c r="K13" s="659">
        <v>0</v>
      </c>
      <c r="L13" s="659">
        <v>0</v>
      </c>
      <c r="M13" s="659">
        <v>0</v>
      </c>
      <c r="N13" s="659">
        <v>0</v>
      </c>
      <c r="O13" s="659">
        <v>0</v>
      </c>
      <c r="P13" s="659">
        <v>0</v>
      </c>
      <c r="Q13" s="660">
        <v>0</v>
      </c>
    </row>
    <row r="14" spans="1:19" x14ac:dyDescent="0.25">
      <c r="A14" s="654">
        <v>9</v>
      </c>
      <c r="B14" s="655" t="s">
        <v>567</v>
      </c>
      <c r="C14" s="656">
        <v>0</v>
      </c>
      <c r="D14" s="657">
        <v>0</v>
      </c>
      <c r="E14" s="657">
        <v>0</v>
      </c>
      <c r="F14" s="657">
        <v>0</v>
      </c>
      <c r="G14" s="657">
        <v>0</v>
      </c>
      <c r="H14" s="657">
        <v>91588.676000000007</v>
      </c>
      <c r="I14" s="657">
        <v>0</v>
      </c>
      <c r="J14" s="658">
        <v>91588.676000000007</v>
      </c>
      <c r="K14" s="659">
        <v>0</v>
      </c>
      <c r="L14" s="659">
        <v>0</v>
      </c>
      <c r="M14" s="659">
        <v>0</v>
      </c>
      <c r="N14" s="659">
        <v>0</v>
      </c>
      <c r="O14" s="659">
        <v>0</v>
      </c>
      <c r="P14" s="659">
        <v>0</v>
      </c>
      <c r="Q14" s="660">
        <v>0</v>
      </c>
    </row>
    <row r="15" spans="1:19" x14ac:dyDescent="0.25">
      <c r="A15" s="654"/>
      <c r="B15" s="655" t="s">
        <v>568</v>
      </c>
      <c r="C15" s="656"/>
      <c r="D15" s="657">
        <v>0</v>
      </c>
      <c r="E15" s="657">
        <v>0</v>
      </c>
      <c r="F15" s="657">
        <v>0</v>
      </c>
      <c r="G15" s="657">
        <v>0</v>
      </c>
      <c r="H15" s="657">
        <v>0</v>
      </c>
      <c r="I15" s="657">
        <v>0</v>
      </c>
      <c r="J15" s="658">
        <v>0</v>
      </c>
      <c r="K15" s="659">
        <v>0</v>
      </c>
      <c r="L15" s="659">
        <v>0</v>
      </c>
      <c r="M15" s="659">
        <v>0</v>
      </c>
      <c r="N15" s="659">
        <v>0</v>
      </c>
      <c r="O15" s="659">
        <v>0</v>
      </c>
      <c r="P15" s="659">
        <v>0</v>
      </c>
      <c r="Q15" s="660">
        <v>0</v>
      </c>
    </row>
    <row r="16" spans="1:19" ht="30" x14ac:dyDescent="0.25">
      <c r="A16" s="654">
        <v>10</v>
      </c>
      <c r="B16" s="655" t="s">
        <v>569</v>
      </c>
      <c r="C16" s="656"/>
      <c r="D16" s="657">
        <v>0</v>
      </c>
      <c r="E16" s="657">
        <v>0</v>
      </c>
      <c r="F16" s="657">
        <v>0</v>
      </c>
      <c r="G16" s="657">
        <v>0</v>
      </c>
      <c r="H16" s="657">
        <v>63892.480000000003</v>
      </c>
      <c r="I16" s="657">
        <v>0</v>
      </c>
      <c r="J16" s="658">
        <v>63892.480000000003</v>
      </c>
      <c r="K16" s="659">
        <v>0</v>
      </c>
      <c r="L16" s="659">
        <v>0</v>
      </c>
      <c r="M16" s="659">
        <v>0</v>
      </c>
      <c r="N16" s="659">
        <v>0</v>
      </c>
      <c r="O16" s="659">
        <v>0</v>
      </c>
      <c r="P16" s="659">
        <v>0</v>
      </c>
      <c r="Q16" s="660">
        <v>0</v>
      </c>
    </row>
    <row r="17" spans="1:19" x14ac:dyDescent="0.25">
      <c r="A17" s="654">
        <v>11</v>
      </c>
      <c r="B17" s="655" t="s">
        <v>570</v>
      </c>
      <c r="C17" s="656"/>
      <c r="D17" s="657">
        <v>0</v>
      </c>
      <c r="E17" s="657">
        <v>0</v>
      </c>
      <c r="F17" s="657">
        <v>0</v>
      </c>
      <c r="G17" s="657">
        <v>0</v>
      </c>
      <c r="H17" s="657">
        <v>27696.196</v>
      </c>
      <c r="I17" s="657">
        <v>0</v>
      </c>
      <c r="J17" s="658">
        <v>27696.196</v>
      </c>
      <c r="K17" s="659">
        <v>0</v>
      </c>
      <c r="L17" s="659">
        <v>0</v>
      </c>
      <c r="M17" s="659">
        <v>0</v>
      </c>
      <c r="N17" s="659">
        <v>0</v>
      </c>
      <c r="O17" s="659">
        <v>0</v>
      </c>
      <c r="P17" s="659">
        <v>0</v>
      </c>
      <c r="Q17" s="660">
        <v>0</v>
      </c>
    </row>
    <row r="18" spans="1:19" x14ac:dyDescent="0.25">
      <c r="A18" s="654">
        <v>12</v>
      </c>
      <c r="B18" s="655" t="s">
        <v>571</v>
      </c>
      <c r="C18" s="656"/>
      <c r="D18" s="657">
        <v>0</v>
      </c>
      <c r="E18" s="657">
        <v>0</v>
      </c>
      <c r="F18" s="657">
        <v>0</v>
      </c>
      <c r="G18" s="657">
        <v>0</v>
      </c>
      <c r="H18" s="657">
        <v>0</v>
      </c>
      <c r="I18" s="657">
        <v>0</v>
      </c>
      <c r="J18" s="658">
        <v>0</v>
      </c>
      <c r="K18" s="659">
        <v>0</v>
      </c>
      <c r="L18" s="659">
        <v>0</v>
      </c>
      <c r="M18" s="659">
        <v>0</v>
      </c>
      <c r="N18" s="659">
        <v>0</v>
      </c>
      <c r="O18" s="659">
        <v>0</v>
      </c>
      <c r="P18" s="659">
        <v>0</v>
      </c>
      <c r="Q18" s="660">
        <v>0</v>
      </c>
    </row>
    <row r="19" spans="1:19" x14ac:dyDescent="0.25">
      <c r="A19" s="654">
        <v>13</v>
      </c>
      <c r="B19" s="655" t="s">
        <v>572</v>
      </c>
      <c r="C19" s="656"/>
      <c r="D19" s="657">
        <v>0</v>
      </c>
      <c r="E19" s="657">
        <v>0</v>
      </c>
      <c r="F19" s="657">
        <v>0</v>
      </c>
      <c r="G19" s="657">
        <v>0</v>
      </c>
      <c r="H19" s="657">
        <v>0</v>
      </c>
      <c r="I19" s="657">
        <v>0</v>
      </c>
      <c r="J19" s="658">
        <v>0</v>
      </c>
      <c r="K19" s="659">
        <v>0</v>
      </c>
      <c r="L19" s="659">
        <v>0</v>
      </c>
      <c r="M19" s="659">
        <v>0</v>
      </c>
      <c r="N19" s="659">
        <v>0</v>
      </c>
      <c r="O19" s="659">
        <v>0</v>
      </c>
      <c r="P19" s="659">
        <v>0</v>
      </c>
      <c r="Q19" s="660">
        <v>0</v>
      </c>
    </row>
    <row r="20" spans="1:19" x14ac:dyDescent="0.25">
      <c r="A20" s="654">
        <v>14</v>
      </c>
      <c r="B20" s="655" t="s">
        <v>573</v>
      </c>
      <c r="C20" s="656"/>
      <c r="D20" s="657">
        <v>0</v>
      </c>
      <c r="E20" s="657">
        <v>0</v>
      </c>
      <c r="F20" s="657">
        <v>0</v>
      </c>
      <c r="G20" s="657">
        <v>0</v>
      </c>
      <c r="H20" s="657">
        <v>177.84299999999999</v>
      </c>
      <c r="I20" s="657">
        <v>0</v>
      </c>
      <c r="J20" s="658">
        <v>177.84299999999999</v>
      </c>
      <c r="K20" s="659">
        <v>0</v>
      </c>
      <c r="L20" s="659">
        <v>0</v>
      </c>
      <c r="M20" s="659">
        <v>0</v>
      </c>
      <c r="N20" s="659">
        <v>234.5</v>
      </c>
      <c r="O20" s="659">
        <v>234.5</v>
      </c>
      <c r="P20" s="659">
        <v>0</v>
      </c>
      <c r="Q20" s="660">
        <v>234.5</v>
      </c>
    </row>
    <row r="21" spans="1:19" ht="45" x14ac:dyDescent="0.25">
      <c r="A21" s="654">
        <v>15</v>
      </c>
      <c r="B21" s="655" t="s">
        <v>574</v>
      </c>
      <c r="C21" s="656"/>
      <c r="D21" s="657">
        <v>0</v>
      </c>
      <c r="E21" s="657">
        <v>0</v>
      </c>
      <c r="F21" s="657">
        <v>0</v>
      </c>
      <c r="G21" s="657">
        <v>0</v>
      </c>
      <c r="H21" s="657">
        <v>2732.6729999999998</v>
      </c>
      <c r="I21" s="657">
        <v>0</v>
      </c>
      <c r="J21" s="658">
        <v>2732.6729999999998</v>
      </c>
      <c r="K21" s="659">
        <v>0</v>
      </c>
      <c r="L21" s="659">
        <v>0</v>
      </c>
      <c r="M21" s="659">
        <v>0</v>
      </c>
      <c r="N21" s="659">
        <v>3411.7649999999999</v>
      </c>
      <c r="O21" s="659">
        <v>3411.7649999999999</v>
      </c>
      <c r="P21" s="659">
        <v>0</v>
      </c>
      <c r="Q21" s="660">
        <v>3411.7649999999999</v>
      </c>
    </row>
    <row r="22" spans="1:19" s="668" customFormat="1" ht="30" x14ac:dyDescent="0.25">
      <c r="A22" s="671">
        <v>16</v>
      </c>
      <c r="B22" s="672" t="s">
        <v>575</v>
      </c>
      <c r="C22" s="673">
        <v>0</v>
      </c>
      <c r="D22" s="673">
        <v>27.562999999999999</v>
      </c>
      <c r="E22" s="673">
        <v>0</v>
      </c>
      <c r="F22" s="673">
        <v>0</v>
      </c>
      <c r="G22" s="673">
        <v>0</v>
      </c>
      <c r="H22" s="673">
        <v>197130.09599999999</v>
      </c>
      <c r="I22" s="673">
        <v>0</v>
      </c>
      <c r="J22" s="673">
        <v>197157.65899999999</v>
      </c>
      <c r="K22" s="673">
        <v>0</v>
      </c>
      <c r="L22" s="673">
        <v>0</v>
      </c>
      <c r="M22" s="673">
        <v>0</v>
      </c>
      <c r="N22" s="673">
        <v>114342.86500000001</v>
      </c>
      <c r="O22" s="673">
        <v>114342.86500000001</v>
      </c>
      <c r="P22" s="673">
        <v>0</v>
      </c>
      <c r="Q22" s="673">
        <v>114342.86500000001</v>
      </c>
    </row>
    <row r="23" spans="1:19" s="674" customFormat="1" x14ac:dyDescent="0.25">
      <c r="A23" s="661">
        <v>17</v>
      </c>
      <c r="B23" s="662" t="s">
        <v>576</v>
      </c>
      <c r="C23" s="663">
        <v>0</v>
      </c>
      <c r="D23" s="663">
        <v>4243.21</v>
      </c>
      <c r="E23" s="663">
        <v>1897.9190000000001</v>
      </c>
      <c r="F23" s="663">
        <v>97.016999999999996</v>
      </c>
      <c r="G23" s="663">
        <v>68.47</v>
      </c>
      <c r="H23" s="663">
        <v>10089.620000000001</v>
      </c>
      <c r="I23" s="663">
        <v>0</v>
      </c>
      <c r="J23" s="663">
        <v>16396.236000000001</v>
      </c>
      <c r="K23" s="663">
        <v>5104.866</v>
      </c>
      <c r="L23" s="663">
        <v>546.55100000000004</v>
      </c>
      <c r="M23" s="663">
        <v>250</v>
      </c>
      <c r="N23" s="663">
        <v>6559.9620000000014</v>
      </c>
      <c r="O23" s="663">
        <v>7106.5130000000017</v>
      </c>
      <c r="P23" s="663">
        <v>0</v>
      </c>
      <c r="Q23" s="797">
        <v>12461.379000000001</v>
      </c>
      <c r="S23" s="675"/>
    </row>
    <row r="24" spans="1:19" s="676" customFormat="1" x14ac:dyDescent="0.25">
      <c r="A24" s="654"/>
      <c r="B24" s="666" t="s">
        <v>577</v>
      </c>
      <c r="C24" s="667"/>
      <c r="D24" s="657">
        <v>0</v>
      </c>
      <c r="E24" s="657">
        <v>0</v>
      </c>
      <c r="F24" s="657">
        <v>0</v>
      </c>
      <c r="G24" s="657">
        <v>0</v>
      </c>
      <c r="H24" s="657">
        <v>0</v>
      </c>
      <c r="I24" s="657">
        <v>0</v>
      </c>
      <c r="J24" s="658">
        <v>0</v>
      </c>
      <c r="K24" s="659">
        <v>0</v>
      </c>
      <c r="L24" s="659">
        <v>0</v>
      </c>
      <c r="M24" s="659">
        <v>0</v>
      </c>
      <c r="N24" s="659">
        <v>0</v>
      </c>
      <c r="O24" s="659">
        <v>0</v>
      </c>
      <c r="P24" s="659">
        <v>0</v>
      </c>
      <c r="Q24" s="660">
        <v>0</v>
      </c>
      <c r="S24" s="668"/>
    </row>
    <row r="25" spans="1:19" s="676" customFormat="1" x14ac:dyDescent="0.25">
      <c r="A25" s="665">
        <v>18</v>
      </c>
      <c r="B25" s="669" t="s">
        <v>578</v>
      </c>
      <c r="C25" s="667"/>
      <c r="D25" s="657">
        <v>0</v>
      </c>
      <c r="E25" s="657">
        <v>0</v>
      </c>
      <c r="F25" s="657">
        <v>0</v>
      </c>
      <c r="G25" s="657">
        <v>0</v>
      </c>
      <c r="H25" s="657">
        <v>0</v>
      </c>
      <c r="I25" s="657">
        <v>0</v>
      </c>
      <c r="J25" s="658">
        <v>0</v>
      </c>
      <c r="K25" s="659">
        <v>0</v>
      </c>
      <c r="L25" s="659">
        <v>0</v>
      </c>
      <c r="M25" s="659">
        <v>0</v>
      </c>
      <c r="N25" s="659">
        <v>0</v>
      </c>
      <c r="O25" s="659">
        <v>0</v>
      </c>
      <c r="P25" s="659">
        <v>0</v>
      </c>
      <c r="Q25" s="660">
        <v>0</v>
      </c>
      <c r="S25" s="668"/>
    </row>
    <row r="26" spans="1:19" s="676" customFormat="1" x14ac:dyDescent="0.25">
      <c r="A26" s="665">
        <v>19</v>
      </c>
      <c r="B26" s="669" t="s">
        <v>579</v>
      </c>
      <c r="C26" s="667"/>
      <c r="D26" s="657">
        <v>0</v>
      </c>
      <c r="E26" s="657">
        <v>0</v>
      </c>
      <c r="F26" s="657">
        <v>0</v>
      </c>
      <c r="G26" s="657">
        <v>0</v>
      </c>
      <c r="H26" s="657">
        <v>-379.15300000000002</v>
      </c>
      <c r="I26" s="657">
        <v>0</v>
      </c>
      <c r="J26" s="658">
        <v>-379.15300000000002</v>
      </c>
      <c r="K26" s="659">
        <v>0</v>
      </c>
      <c r="L26" s="659">
        <v>0</v>
      </c>
      <c r="M26" s="659">
        <v>0</v>
      </c>
      <c r="N26" s="659">
        <v>0</v>
      </c>
      <c r="O26" s="659">
        <v>0</v>
      </c>
      <c r="P26" s="659">
        <v>0</v>
      </c>
      <c r="Q26" s="660">
        <v>0</v>
      </c>
      <c r="S26" s="668"/>
    </row>
    <row r="27" spans="1:19" s="678" customFormat="1" x14ac:dyDescent="0.25">
      <c r="A27" s="665">
        <v>20</v>
      </c>
      <c r="B27" s="669" t="s">
        <v>580</v>
      </c>
      <c r="C27" s="677"/>
      <c r="D27" s="657">
        <v>60.6</v>
      </c>
      <c r="E27" s="657">
        <v>0</v>
      </c>
      <c r="F27" s="657">
        <v>50.9</v>
      </c>
      <c r="G27" s="657">
        <v>0</v>
      </c>
      <c r="H27" s="657">
        <v>0</v>
      </c>
      <c r="I27" s="657">
        <v>0</v>
      </c>
      <c r="J27" s="658">
        <v>111.5</v>
      </c>
      <c r="K27" s="659">
        <v>0</v>
      </c>
      <c r="L27" s="659">
        <v>0</v>
      </c>
      <c r="M27" s="659">
        <v>0</v>
      </c>
      <c r="N27" s="659">
        <v>0</v>
      </c>
      <c r="O27" s="659">
        <v>0</v>
      </c>
      <c r="P27" s="659">
        <v>0</v>
      </c>
      <c r="Q27" s="660">
        <v>0</v>
      </c>
      <c r="S27" s="668"/>
    </row>
    <row r="28" spans="1:19" s="676" customFormat="1" x14ac:dyDescent="0.25">
      <c r="A28" s="665">
        <v>21</v>
      </c>
      <c r="B28" s="669" t="s">
        <v>581</v>
      </c>
      <c r="C28" s="667"/>
      <c r="D28" s="657">
        <v>0</v>
      </c>
      <c r="E28" s="657">
        <v>0</v>
      </c>
      <c r="F28" s="657">
        <v>0</v>
      </c>
      <c r="G28" s="657">
        <v>0</v>
      </c>
      <c r="H28" s="657">
        <v>1749.952</v>
      </c>
      <c r="I28" s="657">
        <v>0</v>
      </c>
      <c r="J28" s="658">
        <v>1749.952</v>
      </c>
      <c r="K28" s="659">
        <v>0</v>
      </c>
      <c r="L28" s="659">
        <v>0</v>
      </c>
      <c r="M28" s="659">
        <v>0</v>
      </c>
      <c r="N28" s="659">
        <v>0</v>
      </c>
      <c r="O28" s="659">
        <v>0</v>
      </c>
      <c r="P28" s="659">
        <v>0</v>
      </c>
      <c r="Q28" s="660">
        <v>0</v>
      </c>
      <c r="S28" s="668"/>
    </row>
    <row r="29" spans="1:19" s="676" customFormat="1" ht="30" x14ac:dyDescent="0.25">
      <c r="A29" s="665">
        <v>22</v>
      </c>
      <c r="B29" s="669" t="s">
        <v>582</v>
      </c>
      <c r="C29" s="667"/>
      <c r="D29" s="657">
        <v>0</v>
      </c>
      <c r="E29" s="657">
        <v>0</v>
      </c>
      <c r="F29" s="657">
        <v>0</v>
      </c>
      <c r="G29" s="657">
        <v>0</v>
      </c>
      <c r="H29" s="657">
        <v>940.2</v>
      </c>
      <c r="I29" s="657">
        <v>0</v>
      </c>
      <c r="J29" s="658">
        <v>940.2</v>
      </c>
      <c r="K29" s="659">
        <v>0</v>
      </c>
      <c r="L29" s="659">
        <v>0</v>
      </c>
      <c r="M29" s="659">
        <v>0</v>
      </c>
      <c r="N29" s="659">
        <v>0</v>
      </c>
      <c r="O29" s="659">
        <v>0</v>
      </c>
      <c r="P29" s="659">
        <v>0</v>
      </c>
      <c r="Q29" s="660">
        <v>0</v>
      </c>
      <c r="S29" s="668"/>
    </row>
    <row r="30" spans="1:19" s="676" customFormat="1" x14ac:dyDescent="0.25">
      <c r="A30" s="665">
        <v>23</v>
      </c>
      <c r="B30" s="669" t="s">
        <v>583</v>
      </c>
      <c r="C30" s="667">
        <v>0</v>
      </c>
      <c r="D30" s="657">
        <v>29.12</v>
      </c>
      <c r="E30" s="657">
        <v>0</v>
      </c>
      <c r="F30" s="657">
        <v>0</v>
      </c>
      <c r="G30" s="657">
        <v>68.47</v>
      </c>
      <c r="H30" s="657">
        <v>7778.621000000001</v>
      </c>
      <c r="I30" s="657">
        <v>0</v>
      </c>
      <c r="J30" s="658">
        <v>7876.2110000000002</v>
      </c>
      <c r="K30" s="659">
        <v>0</v>
      </c>
      <c r="L30" s="659">
        <v>0</v>
      </c>
      <c r="M30" s="659">
        <v>250</v>
      </c>
      <c r="N30" s="659">
        <v>6559.9620000000014</v>
      </c>
      <c r="O30" s="659">
        <v>6559.9620000000014</v>
      </c>
      <c r="P30" s="659">
        <v>0</v>
      </c>
      <c r="Q30" s="660">
        <v>6809.9620000000014</v>
      </c>
      <c r="S30" s="668"/>
    </row>
    <row r="31" spans="1:19" s="676" customFormat="1" x14ac:dyDescent="0.25">
      <c r="A31" s="665">
        <v>24</v>
      </c>
      <c r="B31" s="679" t="s">
        <v>584</v>
      </c>
      <c r="C31" s="667"/>
      <c r="D31" s="657">
        <v>0</v>
      </c>
      <c r="E31" s="657">
        <v>0</v>
      </c>
      <c r="F31" s="657">
        <v>0</v>
      </c>
      <c r="G31" s="657">
        <v>0</v>
      </c>
      <c r="H31" s="657">
        <v>2307.4070000000002</v>
      </c>
      <c r="I31" s="657">
        <v>0</v>
      </c>
      <c r="J31" s="658">
        <v>2307.4070000000002</v>
      </c>
      <c r="K31" s="659">
        <v>0</v>
      </c>
      <c r="L31" s="659">
        <v>0</v>
      </c>
      <c r="M31" s="659">
        <v>0</v>
      </c>
      <c r="N31" s="659">
        <v>2307.4070000000002</v>
      </c>
      <c r="O31" s="659">
        <v>2307.4070000000002</v>
      </c>
      <c r="P31" s="659">
        <v>0</v>
      </c>
      <c r="Q31" s="660">
        <v>2307.4070000000002</v>
      </c>
      <c r="S31" s="668"/>
    </row>
    <row r="32" spans="1:19" s="676" customFormat="1" x14ac:dyDescent="0.25">
      <c r="A32" s="665">
        <v>25</v>
      </c>
      <c r="B32" s="679" t="s">
        <v>585</v>
      </c>
      <c r="C32" s="667"/>
      <c r="D32" s="657">
        <v>0</v>
      </c>
      <c r="E32" s="657">
        <v>0</v>
      </c>
      <c r="F32" s="657">
        <v>0</v>
      </c>
      <c r="G32" s="657">
        <v>0</v>
      </c>
      <c r="H32" s="657">
        <v>289.65800000000002</v>
      </c>
      <c r="I32" s="657">
        <v>0</v>
      </c>
      <c r="J32" s="658">
        <v>289.65800000000002</v>
      </c>
      <c r="K32" s="659">
        <v>0</v>
      </c>
      <c r="L32" s="659">
        <v>0</v>
      </c>
      <c r="M32" s="659">
        <v>0</v>
      </c>
      <c r="N32" s="659">
        <v>700.48800000000006</v>
      </c>
      <c r="O32" s="659">
        <v>700.48800000000006</v>
      </c>
      <c r="P32" s="659">
        <v>0</v>
      </c>
      <c r="Q32" s="660">
        <v>700.48800000000006</v>
      </c>
      <c r="S32" s="668"/>
    </row>
    <row r="33" spans="1:20" s="676" customFormat="1" x14ac:dyDescent="0.25">
      <c r="A33" s="665">
        <v>26</v>
      </c>
      <c r="B33" s="679" t="s">
        <v>586</v>
      </c>
      <c r="C33" s="667"/>
      <c r="D33" s="657">
        <v>29.12</v>
      </c>
      <c r="E33" s="657">
        <v>0</v>
      </c>
      <c r="F33" s="657">
        <v>0</v>
      </c>
      <c r="G33" s="657">
        <v>68.47</v>
      </c>
      <c r="H33" s="657">
        <v>1668.768</v>
      </c>
      <c r="I33" s="657">
        <v>0</v>
      </c>
      <c r="J33" s="658">
        <v>1766.3579999999999</v>
      </c>
      <c r="K33" s="659">
        <v>0</v>
      </c>
      <c r="L33" s="659">
        <v>0</v>
      </c>
      <c r="M33" s="659">
        <v>250</v>
      </c>
      <c r="N33" s="659">
        <v>1536.19</v>
      </c>
      <c r="O33" s="659">
        <v>1536.19</v>
      </c>
      <c r="P33" s="659">
        <v>0</v>
      </c>
      <c r="Q33" s="660">
        <v>1786.19</v>
      </c>
      <c r="S33" s="668"/>
    </row>
    <row r="34" spans="1:20" s="676" customFormat="1" x14ac:dyDescent="0.25">
      <c r="A34" s="665">
        <v>27</v>
      </c>
      <c r="B34" s="679" t="s">
        <v>587</v>
      </c>
      <c r="C34" s="667"/>
      <c r="D34" s="657">
        <v>0</v>
      </c>
      <c r="E34" s="657">
        <v>0</v>
      </c>
      <c r="F34" s="657">
        <v>0</v>
      </c>
      <c r="G34" s="657">
        <v>0</v>
      </c>
      <c r="H34" s="657">
        <v>38.97</v>
      </c>
      <c r="I34" s="657">
        <v>0</v>
      </c>
      <c r="J34" s="658">
        <v>38.97</v>
      </c>
      <c r="K34" s="659">
        <v>0</v>
      </c>
      <c r="L34" s="659">
        <v>0</v>
      </c>
      <c r="M34" s="659">
        <v>0</v>
      </c>
      <c r="N34" s="659">
        <v>40</v>
      </c>
      <c r="O34" s="659">
        <v>40</v>
      </c>
      <c r="P34" s="659">
        <v>0</v>
      </c>
      <c r="Q34" s="660">
        <v>40</v>
      </c>
      <c r="S34" s="668"/>
    </row>
    <row r="35" spans="1:20" s="676" customFormat="1" x14ac:dyDescent="0.25">
      <c r="A35" s="665">
        <v>28</v>
      </c>
      <c r="B35" s="679" t="s">
        <v>588</v>
      </c>
      <c r="C35" s="667"/>
      <c r="D35" s="657">
        <v>0</v>
      </c>
      <c r="E35" s="657">
        <v>0</v>
      </c>
      <c r="F35" s="657">
        <v>0</v>
      </c>
      <c r="G35" s="657">
        <v>0</v>
      </c>
      <c r="H35" s="657">
        <v>3168.8980000000001</v>
      </c>
      <c r="I35" s="657">
        <v>0</v>
      </c>
      <c r="J35" s="658">
        <v>3168.8980000000001</v>
      </c>
      <c r="K35" s="798">
        <v>0</v>
      </c>
      <c r="L35" s="798">
        <v>0</v>
      </c>
      <c r="M35" s="798">
        <v>0</v>
      </c>
      <c r="N35" s="798">
        <v>0</v>
      </c>
      <c r="O35" s="798">
        <v>0</v>
      </c>
      <c r="P35" s="798">
        <v>0</v>
      </c>
      <c r="Q35" s="799">
        <v>0</v>
      </c>
      <c r="S35" s="678"/>
    </row>
    <row r="36" spans="1:20" s="676" customFormat="1" x14ac:dyDescent="0.25">
      <c r="A36" s="665">
        <v>29</v>
      </c>
      <c r="B36" s="679" t="s">
        <v>589</v>
      </c>
      <c r="C36" s="667"/>
      <c r="D36" s="657">
        <v>0</v>
      </c>
      <c r="E36" s="657">
        <v>0</v>
      </c>
      <c r="F36" s="657">
        <v>0</v>
      </c>
      <c r="G36" s="657">
        <v>0</v>
      </c>
      <c r="H36" s="657">
        <v>304.92</v>
      </c>
      <c r="I36" s="657">
        <v>0</v>
      </c>
      <c r="J36" s="658">
        <v>304.92</v>
      </c>
      <c r="K36" s="659">
        <v>0</v>
      </c>
      <c r="L36" s="659">
        <v>0</v>
      </c>
      <c r="M36" s="659">
        <v>0</v>
      </c>
      <c r="N36" s="659">
        <v>1975.877</v>
      </c>
      <c r="O36" s="659">
        <v>1975.877</v>
      </c>
      <c r="P36" s="659">
        <v>0</v>
      </c>
      <c r="Q36" s="660">
        <v>1975.877</v>
      </c>
      <c r="S36" s="668"/>
    </row>
    <row r="37" spans="1:20" s="676" customFormat="1" x14ac:dyDescent="0.25">
      <c r="A37" s="665">
        <v>30</v>
      </c>
      <c r="B37" s="669" t="s">
        <v>590</v>
      </c>
      <c r="C37" s="667"/>
      <c r="D37" s="657">
        <v>4153.027</v>
      </c>
      <c r="E37" s="657">
        <v>1049.8510000000001</v>
      </c>
      <c r="F37" s="657">
        <v>37.506999999999998</v>
      </c>
      <c r="G37" s="657">
        <v>0</v>
      </c>
      <c r="H37" s="657">
        <v>0</v>
      </c>
      <c r="I37" s="657">
        <v>0</v>
      </c>
      <c r="J37" s="658">
        <v>5240.3850000000002</v>
      </c>
      <c r="K37" s="659">
        <v>5104.866</v>
      </c>
      <c r="L37" s="659">
        <v>546.55100000000004</v>
      </c>
      <c r="M37" s="659">
        <v>0</v>
      </c>
      <c r="N37" s="659">
        <v>0</v>
      </c>
      <c r="O37" s="659">
        <v>546.55100000000004</v>
      </c>
      <c r="P37" s="659">
        <v>0</v>
      </c>
      <c r="Q37" s="660">
        <v>5651.4170000000004</v>
      </c>
      <c r="S37" s="668"/>
    </row>
    <row r="38" spans="1:20" s="676" customFormat="1" x14ac:dyDescent="0.25">
      <c r="A38" s="665">
        <v>31</v>
      </c>
      <c r="B38" s="669" t="s">
        <v>591</v>
      </c>
      <c r="C38" s="667"/>
      <c r="D38" s="657">
        <v>0</v>
      </c>
      <c r="E38" s="657">
        <v>848.06799999999998</v>
      </c>
      <c r="F38" s="657">
        <v>0</v>
      </c>
      <c r="G38" s="657">
        <v>0</v>
      </c>
      <c r="H38" s="657">
        <v>0</v>
      </c>
      <c r="I38" s="657">
        <v>0</v>
      </c>
      <c r="J38" s="658">
        <v>848.06799999999998</v>
      </c>
      <c r="K38" s="659">
        <v>0</v>
      </c>
      <c r="L38" s="659">
        <v>0</v>
      </c>
      <c r="M38" s="659">
        <v>0</v>
      </c>
      <c r="N38" s="659">
        <v>0</v>
      </c>
      <c r="O38" s="659">
        <v>0</v>
      </c>
      <c r="P38" s="659">
        <v>0</v>
      </c>
      <c r="Q38" s="660">
        <v>0</v>
      </c>
      <c r="S38" s="668"/>
    </row>
    <row r="39" spans="1:20" s="676" customFormat="1" x14ac:dyDescent="0.25">
      <c r="A39" s="665">
        <v>32</v>
      </c>
      <c r="B39" s="669" t="s">
        <v>592</v>
      </c>
      <c r="C39" s="667"/>
      <c r="D39" s="657">
        <v>0</v>
      </c>
      <c r="E39" s="657">
        <v>0</v>
      </c>
      <c r="F39" s="657">
        <v>0</v>
      </c>
      <c r="G39" s="657">
        <v>0</v>
      </c>
      <c r="H39" s="657">
        <v>0</v>
      </c>
      <c r="I39" s="657">
        <v>0</v>
      </c>
      <c r="J39" s="658">
        <v>0</v>
      </c>
      <c r="K39" s="659">
        <v>0</v>
      </c>
      <c r="L39" s="659">
        <v>0</v>
      </c>
      <c r="M39" s="659">
        <v>0</v>
      </c>
      <c r="N39" s="659">
        <v>0</v>
      </c>
      <c r="O39" s="659">
        <v>0</v>
      </c>
      <c r="P39" s="659">
        <v>0</v>
      </c>
      <c r="Q39" s="660">
        <v>0</v>
      </c>
      <c r="S39" s="668"/>
    </row>
    <row r="40" spans="1:20" s="676" customFormat="1" ht="30" x14ac:dyDescent="0.25">
      <c r="A40" s="665">
        <v>33</v>
      </c>
      <c r="B40" s="669" t="s">
        <v>593</v>
      </c>
      <c r="C40" s="667"/>
      <c r="D40" s="657">
        <v>0.46300000000000002</v>
      </c>
      <c r="E40" s="657">
        <v>0</v>
      </c>
      <c r="F40" s="657">
        <v>8.61</v>
      </c>
      <c r="G40" s="657">
        <v>0</v>
      </c>
      <c r="H40" s="657">
        <v>0</v>
      </c>
      <c r="I40" s="657">
        <v>0</v>
      </c>
      <c r="J40" s="658">
        <v>9.0729999999999986</v>
      </c>
      <c r="K40" s="659">
        <v>0</v>
      </c>
      <c r="L40" s="659">
        <v>0</v>
      </c>
      <c r="M40" s="659">
        <v>0</v>
      </c>
      <c r="N40" s="659">
        <v>0</v>
      </c>
      <c r="O40" s="659">
        <v>0</v>
      </c>
      <c r="P40" s="659">
        <v>0</v>
      </c>
      <c r="Q40" s="660">
        <v>0</v>
      </c>
      <c r="S40" s="668"/>
    </row>
    <row r="41" spans="1:20" x14ac:dyDescent="0.25">
      <c r="A41" s="654">
        <v>34</v>
      </c>
      <c r="B41" s="655" t="s">
        <v>594</v>
      </c>
      <c r="C41" s="656"/>
      <c r="D41" s="657">
        <v>0</v>
      </c>
      <c r="E41" s="657">
        <v>512.44100000000003</v>
      </c>
      <c r="F41" s="657">
        <v>7.4980000000000002</v>
      </c>
      <c r="G41" s="657">
        <v>0</v>
      </c>
      <c r="H41" s="657">
        <v>25938.665000000001</v>
      </c>
      <c r="I41" s="657">
        <v>0</v>
      </c>
      <c r="J41" s="658">
        <v>26458.603999999999</v>
      </c>
      <c r="K41" s="659">
        <v>1378.3138200000001</v>
      </c>
      <c r="L41" s="659">
        <v>147.56877000000003</v>
      </c>
      <c r="M41" s="659">
        <v>0</v>
      </c>
      <c r="N41" s="659">
        <v>0</v>
      </c>
      <c r="O41" s="659">
        <v>147.56877000000003</v>
      </c>
      <c r="P41" s="659">
        <v>0</v>
      </c>
      <c r="Q41" s="660">
        <v>1525.8825900000002</v>
      </c>
    </row>
    <row r="42" spans="1:20" x14ac:dyDescent="0.25">
      <c r="A42" s="654">
        <v>35</v>
      </c>
      <c r="B42" s="655" t="s">
        <v>595</v>
      </c>
      <c r="C42" s="656"/>
      <c r="D42" s="657">
        <v>0</v>
      </c>
      <c r="E42" s="657">
        <v>1.218</v>
      </c>
      <c r="F42" s="657">
        <v>8.2000000000000003E-2</v>
      </c>
      <c r="G42" s="657">
        <v>1E-3</v>
      </c>
      <c r="H42" s="657">
        <v>227.964</v>
      </c>
      <c r="I42" s="657">
        <v>1.409</v>
      </c>
      <c r="J42" s="658">
        <v>230.67399999999998</v>
      </c>
      <c r="K42" s="659">
        <v>0</v>
      </c>
      <c r="L42" s="659">
        <v>0</v>
      </c>
      <c r="M42" s="659">
        <v>0</v>
      </c>
      <c r="N42" s="659">
        <v>0</v>
      </c>
      <c r="O42" s="659">
        <v>0</v>
      </c>
      <c r="P42" s="659">
        <v>0</v>
      </c>
      <c r="Q42" s="660">
        <v>0</v>
      </c>
    </row>
    <row r="43" spans="1:20" s="684" customFormat="1" ht="30" x14ac:dyDescent="0.25">
      <c r="A43" s="671">
        <v>36</v>
      </c>
      <c r="B43" s="672" t="s">
        <v>596</v>
      </c>
      <c r="C43" s="673">
        <v>0</v>
      </c>
      <c r="D43" s="673">
        <v>4243.21</v>
      </c>
      <c r="E43" s="673">
        <v>2411.578</v>
      </c>
      <c r="F43" s="673">
        <v>104.59699999999999</v>
      </c>
      <c r="G43" s="673">
        <v>68.471000000000004</v>
      </c>
      <c r="H43" s="673">
        <v>36256.249000000003</v>
      </c>
      <c r="I43" s="673">
        <v>1.409</v>
      </c>
      <c r="J43" s="673">
        <v>43085.513999999996</v>
      </c>
      <c r="K43" s="673">
        <v>6483.1798200000003</v>
      </c>
      <c r="L43" s="673">
        <v>694.11977000000002</v>
      </c>
      <c r="M43" s="673">
        <v>250</v>
      </c>
      <c r="N43" s="673">
        <v>6559.9620000000014</v>
      </c>
      <c r="O43" s="673">
        <v>7254.0817700000016</v>
      </c>
      <c r="P43" s="673">
        <v>0</v>
      </c>
      <c r="Q43" s="673">
        <v>13987.261590000002</v>
      </c>
      <c r="R43" s="683"/>
      <c r="S43" s="641"/>
    </row>
    <row r="44" spans="1:20" x14ac:dyDescent="0.25">
      <c r="A44" s="685">
        <v>37</v>
      </c>
      <c r="B44" s="686" t="s">
        <v>597</v>
      </c>
      <c r="C44" s="656"/>
      <c r="D44" s="657">
        <v>0</v>
      </c>
      <c r="E44" s="657">
        <v>0</v>
      </c>
      <c r="F44" s="657">
        <v>0</v>
      </c>
      <c r="G44" s="657">
        <v>0</v>
      </c>
      <c r="H44" s="657">
        <v>0</v>
      </c>
      <c r="I44" s="657">
        <v>0</v>
      </c>
      <c r="J44" s="658">
        <v>0</v>
      </c>
      <c r="K44" s="659">
        <v>0</v>
      </c>
      <c r="L44" s="659">
        <v>0</v>
      </c>
      <c r="M44" s="659">
        <v>0</v>
      </c>
      <c r="N44" s="659">
        <v>0</v>
      </c>
      <c r="O44" s="659">
        <v>0</v>
      </c>
      <c r="P44" s="659">
        <v>0</v>
      </c>
      <c r="Q44" s="660">
        <v>0</v>
      </c>
      <c r="T44"/>
    </row>
    <row r="45" spans="1:20" ht="30" x14ac:dyDescent="0.25">
      <c r="A45" s="654">
        <v>38</v>
      </c>
      <c r="B45" s="655" t="s">
        <v>598</v>
      </c>
      <c r="C45" s="656"/>
      <c r="D45" s="657">
        <v>313</v>
      </c>
      <c r="E45" s="657">
        <v>0</v>
      </c>
      <c r="F45" s="657">
        <v>0</v>
      </c>
      <c r="G45" s="657">
        <v>0</v>
      </c>
      <c r="H45" s="657">
        <v>0</v>
      </c>
      <c r="I45" s="657">
        <v>0</v>
      </c>
      <c r="J45" s="658">
        <v>313</v>
      </c>
      <c r="K45" s="659">
        <v>0</v>
      </c>
      <c r="L45" s="659">
        <v>0</v>
      </c>
      <c r="M45" s="659">
        <v>0</v>
      </c>
      <c r="N45" s="659">
        <v>12500</v>
      </c>
      <c r="O45" s="659">
        <v>12500</v>
      </c>
      <c r="P45" s="659">
        <v>0</v>
      </c>
      <c r="Q45" s="660">
        <v>12500</v>
      </c>
    </row>
    <row r="46" spans="1:20" ht="30" x14ac:dyDescent="0.25">
      <c r="A46" s="654">
        <v>39</v>
      </c>
      <c r="B46" s="655" t="s">
        <v>599</v>
      </c>
      <c r="C46" s="656">
        <v>0</v>
      </c>
      <c r="D46" s="657">
        <v>0</v>
      </c>
      <c r="E46" s="657">
        <v>0</v>
      </c>
      <c r="F46" s="657">
        <v>0</v>
      </c>
      <c r="G46" s="657">
        <v>0</v>
      </c>
      <c r="H46" s="657">
        <v>11442.049000000001</v>
      </c>
      <c r="I46" s="657">
        <v>0</v>
      </c>
      <c r="J46" s="658">
        <v>11442.049000000001</v>
      </c>
      <c r="K46" s="659">
        <v>0</v>
      </c>
      <c r="L46" s="659">
        <v>0</v>
      </c>
      <c r="M46" s="659">
        <v>0</v>
      </c>
      <c r="N46" s="659">
        <v>11561.272000000001</v>
      </c>
      <c r="O46" s="659">
        <v>11561.272000000001</v>
      </c>
      <c r="P46" s="659">
        <v>0</v>
      </c>
      <c r="Q46" s="660">
        <v>11561.272000000001</v>
      </c>
    </row>
    <row r="47" spans="1:20" s="676" customFormat="1" x14ac:dyDescent="0.25">
      <c r="A47" s="665">
        <v>40</v>
      </c>
      <c r="B47" s="669" t="s">
        <v>600</v>
      </c>
      <c r="C47" s="667"/>
      <c r="D47" s="657">
        <v>0</v>
      </c>
      <c r="E47" s="657">
        <v>0</v>
      </c>
      <c r="F47" s="657">
        <v>0</v>
      </c>
      <c r="G47" s="657">
        <v>0</v>
      </c>
      <c r="H47" s="657">
        <v>3645.9</v>
      </c>
      <c r="I47" s="657">
        <v>0</v>
      </c>
      <c r="J47" s="658">
        <v>3645.9</v>
      </c>
      <c r="K47" s="659">
        <v>0</v>
      </c>
      <c r="L47" s="659">
        <v>0</v>
      </c>
      <c r="M47" s="659">
        <v>0</v>
      </c>
      <c r="N47" s="659">
        <v>4018.8</v>
      </c>
      <c r="O47" s="659">
        <v>4018.8</v>
      </c>
      <c r="P47" s="659">
        <v>0</v>
      </c>
      <c r="Q47" s="660">
        <v>4018.8</v>
      </c>
      <c r="S47" s="668"/>
    </row>
    <row r="48" spans="1:20" s="676" customFormat="1" x14ac:dyDescent="0.25">
      <c r="A48" s="665">
        <v>41</v>
      </c>
      <c r="B48" s="687" t="s">
        <v>601</v>
      </c>
      <c r="C48" s="667"/>
      <c r="D48" s="657">
        <v>0</v>
      </c>
      <c r="E48" s="657">
        <v>0</v>
      </c>
      <c r="F48" s="657">
        <v>0</v>
      </c>
      <c r="G48" s="657">
        <v>0</v>
      </c>
      <c r="H48" s="657">
        <v>7796.1490000000003</v>
      </c>
      <c r="I48" s="657">
        <v>0</v>
      </c>
      <c r="J48" s="658">
        <v>7796.1490000000003</v>
      </c>
      <c r="K48" s="659">
        <v>0</v>
      </c>
      <c r="L48" s="659">
        <v>0</v>
      </c>
      <c r="M48" s="659">
        <v>0</v>
      </c>
      <c r="N48" s="659">
        <v>7542.4719999999998</v>
      </c>
      <c r="O48" s="659">
        <f>7542.472-2668</f>
        <v>4874.4719999999998</v>
      </c>
      <c r="P48" s="659">
        <v>0</v>
      </c>
      <c r="Q48" s="660">
        <v>4874</v>
      </c>
      <c r="S48" s="668"/>
    </row>
    <row r="49" spans="1:19" s="676" customFormat="1" x14ac:dyDescent="0.25">
      <c r="A49" s="665">
        <v>42</v>
      </c>
      <c r="B49" s="687" t="s">
        <v>894</v>
      </c>
      <c r="C49" s="667"/>
      <c r="D49" s="657">
        <v>0</v>
      </c>
      <c r="E49" s="657">
        <v>0</v>
      </c>
      <c r="F49" s="657">
        <v>0</v>
      </c>
      <c r="G49" s="657">
        <v>0</v>
      </c>
      <c r="H49" s="657">
        <v>0</v>
      </c>
      <c r="I49" s="657">
        <v>0</v>
      </c>
      <c r="J49" s="658">
        <v>0</v>
      </c>
      <c r="K49" s="659">
        <v>0</v>
      </c>
      <c r="L49" s="659">
        <v>0</v>
      </c>
      <c r="M49" s="659">
        <v>0</v>
      </c>
      <c r="N49" s="659">
        <v>0</v>
      </c>
      <c r="O49" s="659">
        <v>2668</v>
      </c>
      <c r="P49" s="659">
        <v>0</v>
      </c>
      <c r="Q49" s="660">
        <v>2668</v>
      </c>
      <c r="S49" s="668"/>
    </row>
    <row r="50" spans="1:19" x14ac:dyDescent="0.25">
      <c r="A50" s="671">
        <v>43</v>
      </c>
      <c r="B50" s="672" t="s">
        <v>602</v>
      </c>
      <c r="C50" s="673">
        <v>0</v>
      </c>
      <c r="D50" s="673">
        <v>4583.7730000000001</v>
      </c>
      <c r="E50" s="673">
        <v>2411.578</v>
      </c>
      <c r="F50" s="673">
        <v>104.59699999999999</v>
      </c>
      <c r="G50" s="673">
        <v>68.471000000000004</v>
      </c>
      <c r="H50" s="673">
        <v>244828.394</v>
      </c>
      <c r="I50" s="673">
        <v>1.409</v>
      </c>
      <c r="J50" s="673">
        <v>251998.22199999998</v>
      </c>
      <c r="K50" s="673">
        <v>6483.1798200000003</v>
      </c>
      <c r="L50" s="673">
        <v>694.11977000000002</v>
      </c>
      <c r="M50" s="673">
        <v>250</v>
      </c>
      <c r="N50" s="673">
        <v>144964.09900000002</v>
      </c>
      <c r="O50" s="673">
        <v>145658.21877000001</v>
      </c>
      <c r="P50" s="673">
        <v>0</v>
      </c>
      <c r="Q50" s="673">
        <v>152391.39859000003</v>
      </c>
    </row>
    <row r="51" spans="1:19" x14ac:dyDescent="0.25">
      <c r="A51" s="654">
        <v>44</v>
      </c>
      <c r="B51" s="655" t="s">
        <v>603</v>
      </c>
      <c r="C51" s="656"/>
      <c r="D51" s="657">
        <v>0</v>
      </c>
      <c r="E51" s="657">
        <v>0</v>
      </c>
      <c r="F51" s="657">
        <v>0</v>
      </c>
      <c r="G51" s="657">
        <v>0</v>
      </c>
      <c r="H51" s="657">
        <v>0</v>
      </c>
      <c r="I51" s="657">
        <v>0</v>
      </c>
      <c r="J51" s="658">
        <v>0</v>
      </c>
      <c r="K51" s="659">
        <v>0</v>
      </c>
      <c r="L51" s="659">
        <v>0</v>
      </c>
      <c r="M51" s="659">
        <v>0</v>
      </c>
      <c r="N51" s="659">
        <v>0</v>
      </c>
      <c r="O51" s="659">
        <v>0</v>
      </c>
      <c r="P51" s="659">
        <v>0</v>
      </c>
      <c r="Q51" s="660">
        <v>0</v>
      </c>
    </row>
    <row r="52" spans="1:19" x14ac:dyDescent="0.25">
      <c r="A52" s="654">
        <v>45</v>
      </c>
      <c r="B52" s="655" t="s">
        <v>604</v>
      </c>
      <c r="C52" s="656"/>
      <c r="D52" s="657">
        <v>0</v>
      </c>
      <c r="E52" s="657">
        <v>0</v>
      </c>
      <c r="F52" s="657">
        <v>0</v>
      </c>
      <c r="G52" s="657">
        <v>0</v>
      </c>
      <c r="H52" s="657">
        <v>0</v>
      </c>
      <c r="I52" s="657">
        <v>0</v>
      </c>
      <c r="J52" s="658">
        <v>0</v>
      </c>
      <c r="K52" s="659">
        <v>0</v>
      </c>
      <c r="L52" s="659">
        <v>0</v>
      </c>
      <c r="M52" s="659">
        <v>0</v>
      </c>
      <c r="N52" s="659">
        <v>0</v>
      </c>
      <c r="O52" s="659">
        <v>0</v>
      </c>
      <c r="P52" s="659">
        <v>0</v>
      </c>
      <c r="Q52" s="660">
        <v>0</v>
      </c>
    </row>
    <row r="53" spans="1:19" x14ac:dyDescent="0.25">
      <c r="A53" s="654">
        <v>46</v>
      </c>
      <c r="B53" s="655" t="s">
        <v>605</v>
      </c>
      <c r="C53" s="656"/>
      <c r="D53" s="657">
        <v>0</v>
      </c>
      <c r="E53" s="657">
        <v>0</v>
      </c>
      <c r="F53" s="657">
        <v>0</v>
      </c>
      <c r="G53" s="657">
        <v>0</v>
      </c>
      <c r="H53" s="657">
        <v>0</v>
      </c>
      <c r="I53" s="657">
        <v>0</v>
      </c>
      <c r="J53" s="658">
        <v>0</v>
      </c>
      <c r="K53" s="659">
        <v>0</v>
      </c>
      <c r="L53" s="659">
        <v>0</v>
      </c>
      <c r="M53" s="659">
        <v>0</v>
      </c>
      <c r="N53" s="659">
        <v>0</v>
      </c>
      <c r="O53" s="659">
        <v>0</v>
      </c>
      <c r="P53" s="659">
        <v>0</v>
      </c>
      <c r="Q53" s="660">
        <v>0</v>
      </c>
    </row>
    <row r="54" spans="1:19" x14ac:dyDescent="0.25">
      <c r="A54" s="654">
        <v>47</v>
      </c>
      <c r="B54" s="655" t="s">
        <v>606</v>
      </c>
      <c r="C54" s="656"/>
      <c r="D54" s="657">
        <v>0</v>
      </c>
      <c r="E54" s="657">
        <v>0</v>
      </c>
      <c r="F54" s="657">
        <v>0</v>
      </c>
      <c r="G54" s="657">
        <v>0</v>
      </c>
      <c r="H54" s="657">
        <v>0</v>
      </c>
      <c r="I54" s="657">
        <v>0</v>
      </c>
      <c r="J54" s="658">
        <v>0</v>
      </c>
      <c r="K54" s="659">
        <v>0</v>
      </c>
      <c r="L54" s="659">
        <v>0</v>
      </c>
      <c r="M54" s="659">
        <v>0</v>
      </c>
      <c r="N54" s="659">
        <v>0</v>
      </c>
      <c r="O54" s="659">
        <v>0</v>
      </c>
      <c r="P54" s="659">
        <v>0</v>
      </c>
      <c r="Q54" s="660">
        <v>0</v>
      </c>
    </row>
    <row r="55" spans="1:19" x14ac:dyDescent="0.25">
      <c r="A55" s="654">
        <v>48</v>
      </c>
      <c r="B55" s="655" t="s">
        <v>607</v>
      </c>
      <c r="C55" s="656">
        <v>0</v>
      </c>
      <c r="D55" s="657">
        <v>0</v>
      </c>
      <c r="E55" s="657">
        <v>0</v>
      </c>
      <c r="F55" s="657">
        <v>0</v>
      </c>
      <c r="G55" s="657">
        <v>0</v>
      </c>
      <c r="H55" s="657">
        <v>332.12199999999996</v>
      </c>
      <c r="I55" s="657">
        <v>0</v>
      </c>
      <c r="J55" s="658">
        <v>332.12199999999996</v>
      </c>
      <c r="K55" s="659">
        <v>0</v>
      </c>
      <c r="L55" s="659">
        <v>0</v>
      </c>
      <c r="M55" s="659">
        <v>0</v>
      </c>
      <c r="N55" s="659">
        <v>400</v>
      </c>
      <c r="O55" s="659">
        <v>400</v>
      </c>
      <c r="P55" s="659">
        <v>0</v>
      </c>
      <c r="Q55" s="660">
        <v>400</v>
      </c>
    </row>
    <row r="56" spans="1:19" s="676" customFormat="1" x14ac:dyDescent="0.25">
      <c r="A56" s="665">
        <v>49</v>
      </c>
      <c r="B56" s="669" t="s">
        <v>608</v>
      </c>
      <c r="C56" s="667"/>
      <c r="D56" s="657">
        <v>0</v>
      </c>
      <c r="E56" s="657">
        <v>0</v>
      </c>
      <c r="F56" s="657">
        <v>0</v>
      </c>
      <c r="G56" s="657">
        <v>0</v>
      </c>
      <c r="H56" s="657">
        <v>128.249</v>
      </c>
      <c r="I56" s="657">
        <v>0</v>
      </c>
      <c r="J56" s="658">
        <v>128.249</v>
      </c>
      <c r="K56" s="659">
        <v>0</v>
      </c>
      <c r="L56" s="659">
        <v>0</v>
      </c>
      <c r="M56" s="659">
        <v>0</v>
      </c>
      <c r="N56" s="659">
        <v>150</v>
      </c>
      <c r="O56" s="659">
        <v>150</v>
      </c>
      <c r="P56" s="659">
        <v>0</v>
      </c>
      <c r="Q56" s="660">
        <v>150</v>
      </c>
      <c r="S56" s="668"/>
    </row>
    <row r="57" spans="1:19" s="676" customFormat="1" x14ac:dyDescent="0.25">
      <c r="A57" s="665">
        <v>50</v>
      </c>
      <c r="B57" s="669" t="s">
        <v>609</v>
      </c>
      <c r="C57" s="667"/>
      <c r="D57" s="657">
        <v>0</v>
      </c>
      <c r="E57" s="657">
        <v>0</v>
      </c>
      <c r="F57" s="657">
        <v>0</v>
      </c>
      <c r="G57" s="657">
        <v>0</v>
      </c>
      <c r="H57" s="657">
        <v>203.87299999999999</v>
      </c>
      <c r="I57" s="657">
        <v>0</v>
      </c>
      <c r="J57" s="658">
        <v>203.87299999999999</v>
      </c>
      <c r="K57" s="659">
        <v>0</v>
      </c>
      <c r="L57" s="659">
        <v>0</v>
      </c>
      <c r="M57" s="659">
        <v>0</v>
      </c>
      <c r="N57" s="659">
        <v>250</v>
      </c>
      <c r="O57" s="659">
        <v>250</v>
      </c>
      <c r="P57" s="659">
        <v>0</v>
      </c>
      <c r="Q57" s="660">
        <v>250</v>
      </c>
      <c r="S57" s="668"/>
    </row>
    <row r="58" spans="1:19" s="676" customFormat="1" x14ac:dyDescent="0.25">
      <c r="A58" s="665">
        <v>51</v>
      </c>
      <c r="B58" s="669" t="s">
        <v>610</v>
      </c>
      <c r="C58" s="688"/>
      <c r="D58" s="657">
        <v>0</v>
      </c>
      <c r="E58" s="657">
        <v>0</v>
      </c>
      <c r="F58" s="657">
        <v>0</v>
      </c>
      <c r="G58" s="657">
        <v>0</v>
      </c>
      <c r="H58" s="657">
        <v>0</v>
      </c>
      <c r="I58" s="657">
        <v>0</v>
      </c>
      <c r="J58" s="658">
        <v>0</v>
      </c>
      <c r="K58" s="659">
        <v>0</v>
      </c>
      <c r="L58" s="659">
        <v>0</v>
      </c>
      <c r="M58" s="659">
        <v>0</v>
      </c>
      <c r="N58" s="659">
        <v>0</v>
      </c>
      <c r="O58" s="659">
        <v>0</v>
      </c>
      <c r="P58" s="659">
        <v>0</v>
      </c>
      <c r="Q58" s="660">
        <v>0</v>
      </c>
      <c r="S58" s="668"/>
    </row>
    <row r="59" spans="1:19" ht="30" x14ac:dyDescent="0.25">
      <c r="A59" s="654">
        <v>52</v>
      </c>
      <c r="B59" s="655" t="s">
        <v>611</v>
      </c>
      <c r="C59" s="656"/>
      <c r="D59" s="657">
        <v>0</v>
      </c>
      <c r="E59" s="657">
        <v>0</v>
      </c>
      <c r="F59" s="657">
        <v>0</v>
      </c>
      <c r="G59" s="657">
        <v>0</v>
      </c>
      <c r="H59" s="657">
        <v>0</v>
      </c>
      <c r="I59" s="657">
        <v>0</v>
      </c>
      <c r="J59" s="658">
        <v>0</v>
      </c>
      <c r="K59" s="659">
        <v>0</v>
      </c>
      <c r="L59" s="659">
        <v>0</v>
      </c>
      <c r="M59" s="659">
        <v>0</v>
      </c>
      <c r="N59" s="659">
        <v>0</v>
      </c>
      <c r="O59" s="659">
        <v>0</v>
      </c>
      <c r="P59" s="659">
        <v>0</v>
      </c>
      <c r="Q59" s="660">
        <v>0</v>
      </c>
    </row>
    <row r="60" spans="1:19" s="684" customFormat="1" ht="30" x14ac:dyDescent="0.25">
      <c r="A60" s="671">
        <v>53</v>
      </c>
      <c r="B60" s="672" t="s">
        <v>612</v>
      </c>
      <c r="C60" s="673">
        <v>0</v>
      </c>
      <c r="D60" s="673">
        <v>0</v>
      </c>
      <c r="E60" s="673">
        <v>0</v>
      </c>
      <c r="F60" s="673">
        <v>0</v>
      </c>
      <c r="G60" s="673">
        <v>0</v>
      </c>
      <c r="H60" s="673">
        <v>332.12199999999996</v>
      </c>
      <c r="I60" s="673">
        <v>0</v>
      </c>
      <c r="J60" s="673">
        <v>332.12199999999996</v>
      </c>
      <c r="K60" s="673">
        <v>0</v>
      </c>
      <c r="L60" s="673">
        <v>0</v>
      </c>
      <c r="M60" s="673">
        <v>0</v>
      </c>
      <c r="N60" s="673">
        <v>400</v>
      </c>
      <c r="O60" s="673">
        <v>400</v>
      </c>
      <c r="P60" s="673">
        <v>0</v>
      </c>
      <c r="Q60" s="673">
        <v>400</v>
      </c>
      <c r="S60" s="641"/>
    </row>
    <row r="61" spans="1:19" s="684" customFormat="1" x14ac:dyDescent="0.25">
      <c r="A61" s="685">
        <v>54</v>
      </c>
      <c r="B61" s="686" t="s">
        <v>613</v>
      </c>
      <c r="C61" s="689"/>
      <c r="D61" s="657">
        <v>0</v>
      </c>
      <c r="E61" s="657">
        <v>0</v>
      </c>
      <c r="F61" s="657">
        <v>0</v>
      </c>
      <c r="G61" s="657">
        <v>0</v>
      </c>
      <c r="H61" s="657">
        <v>0</v>
      </c>
      <c r="I61" s="657">
        <v>0</v>
      </c>
      <c r="J61" s="658">
        <v>0</v>
      </c>
      <c r="K61" s="659">
        <v>0</v>
      </c>
      <c r="L61" s="659">
        <v>0</v>
      </c>
      <c r="M61" s="659">
        <v>0</v>
      </c>
      <c r="N61" s="659">
        <v>0</v>
      </c>
      <c r="O61" s="659">
        <v>0</v>
      </c>
      <c r="P61" s="659">
        <v>0</v>
      </c>
      <c r="Q61" s="660">
        <v>0</v>
      </c>
      <c r="S61" s="641"/>
    </row>
    <row r="62" spans="1:19" ht="30" x14ac:dyDescent="0.25">
      <c r="A62" s="654">
        <v>55</v>
      </c>
      <c r="B62" s="655" t="s">
        <v>614</v>
      </c>
      <c r="C62" s="656"/>
      <c r="D62" s="657">
        <v>280.10700000000003</v>
      </c>
      <c r="E62" s="657">
        <v>0</v>
      </c>
      <c r="F62" s="657">
        <v>0</v>
      </c>
      <c r="G62" s="657">
        <v>0</v>
      </c>
      <c r="H62" s="657">
        <v>2407.5880000000002</v>
      </c>
      <c r="I62" s="657">
        <v>0</v>
      </c>
      <c r="J62" s="658">
        <v>2687.6950000000002</v>
      </c>
      <c r="K62" s="659">
        <v>0</v>
      </c>
      <c r="L62" s="659">
        <v>0</v>
      </c>
      <c r="M62" s="659">
        <v>0</v>
      </c>
      <c r="N62" s="659">
        <v>0</v>
      </c>
      <c r="O62" s="659">
        <v>0</v>
      </c>
      <c r="P62" s="659">
        <v>0</v>
      </c>
      <c r="Q62" s="660">
        <v>0</v>
      </c>
    </row>
    <row r="63" spans="1:19" ht="30" x14ac:dyDescent="0.25">
      <c r="A63" s="654">
        <v>56</v>
      </c>
      <c r="B63" s="655" t="s">
        <v>615</v>
      </c>
      <c r="C63" s="656">
        <v>0</v>
      </c>
      <c r="D63" s="657">
        <v>0</v>
      </c>
      <c r="E63" s="657">
        <v>0</v>
      </c>
      <c r="F63" s="657">
        <v>0</v>
      </c>
      <c r="G63" s="657">
        <v>0</v>
      </c>
      <c r="H63" s="657">
        <v>185517.524</v>
      </c>
      <c r="I63" s="657">
        <v>0</v>
      </c>
      <c r="J63" s="658">
        <v>185517.524</v>
      </c>
      <c r="K63" s="659">
        <v>0</v>
      </c>
      <c r="L63" s="659">
        <v>0</v>
      </c>
      <c r="M63" s="659">
        <v>0</v>
      </c>
      <c r="N63" s="659">
        <v>1453.2360000000001</v>
      </c>
      <c r="O63" s="659">
        <v>1453.2360000000001</v>
      </c>
      <c r="P63" s="659">
        <v>0</v>
      </c>
      <c r="Q63" s="660">
        <v>1453.2360000000001</v>
      </c>
    </row>
    <row r="64" spans="1:19" s="676" customFormat="1" ht="30" x14ac:dyDescent="0.25">
      <c r="A64" s="665">
        <v>57</v>
      </c>
      <c r="B64" s="669" t="s">
        <v>616</v>
      </c>
      <c r="C64" s="667"/>
      <c r="D64" s="657">
        <v>0</v>
      </c>
      <c r="E64" s="657">
        <v>0</v>
      </c>
      <c r="F64" s="657">
        <v>0</v>
      </c>
      <c r="G64" s="657">
        <v>0</v>
      </c>
      <c r="H64" s="657">
        <v>8801.6620000000003</v>
      </c>
      <c r="I64" s="657">
        <v>0</v>
      </c>
      <c r="J64" s="658">
        <v>8801.6620000000003</v>
      </c>
      <c r="K64" s="659">
        <v>0</v>
      </c>
      <c r="L64" s="659">
        <v>0</v>
      </c>
      <c r="M64" s="659">
        <v>0</v>
      </c>
      <c r="N64" s="659">
        <v>0</v>
      </c>
      <c r="O64" s="659">
        <v>0</v>
      </c>
      <c r="P64" s="659">
        <v>0</v>
      </c>
      <c r="Q64" s="660">
        <v>0</v>
      </c>
      <c r="S64" s="668"/>
    </row>
    <row r="65" spans="1:19" s="674" customFormat="1" ht="30" x14ac:dyDescent="0.25">
      <c r="A65" s="680">
        <v>58</v>
      </c>
      <c r="B65" s="690" t="s">
        <v>617</v>
      </c>
      <c r="C65" s="681"/>
      <c r="D65" s="657">
        <v>0</v>
      </c>
      <c r="E65" s="657">
        <v>0</v>
      </c>
      <c r="F65" s="657">
        <v>0</v>
      </c>
      <c r="G65" s="657">
        <v>0</v>
      </c>
      <c r="H65" s="657">
        <v>176715.86199999999</v>
      </c>
      <c r="I65" s="657">
        <v>0</v>
      </c>
      <c r="J65" s="658">
        <v>176715.86199999999</v>
      </c>
      <c r="K65" s="659">
        <v>0</v>
      </c>
      <c r="L65" s="659">
        <v>0</v>
      </c>
      <c r="M65" s="659">
        <v>0</v>
      </c>
      <c r="N65" s="659">
        <v>1453.2360000000001</v>
      </c>
      <c r="O65" s="659">
        <v>1453.2360000000001</v>
      </c>
      <c r="P65" s="659">
        <v>0</v>
      </c>
      <c r="Q65" s="660">
        <v>1453.2360000000001</v>
      </c>
      <c r="S65" s="682"/>
    </row>
    <row r="66" spans="1:19" x14ac:dyDescent="0.25">
      <c r="A66" s="671">
        <v>59</v>
      </c>
      <c r="B66" s="691" t="s">
        <v>618</v>
      </c>
      <c r="C66" s="692">
        <v>0</v>
      </c>
      <c r="D66" s="692">
        <v>280.10700000000003</v>
      </c>
      <c r="E66" s="692">
        <v>0</v>
      </c>
      <c r="F66" s="692">
        <v>0</v>
      </c>
      <c r="G66" s="692">
        <v>0</v>
      </c>
      <c r="H66" s="692">
        <v>188257.234</v>
      </c>
      <c r="I66" s="692">
        <v>0</v>
      </c>
      <c r="J66" s="692">
        <v>188537.34100000001</v>
      </c>
      <c r="K66" s="692">
        <v>0</v>
      </c>
      <c r="L66" s="692">
        <v>0</v>
      </c>
      <c r="M66" s="692">
        <v>0</v>
      </c>
      <c r="N66" s="692">
        <v>1853.2360000000001</v>
      </c>
      <c r="O66" s="692">
        <v>1853.2360000000001</v>
      </c>
      <c r="P66" s="692">
        <v>0</v>
      </c>
      <c r="Q66" s="692">
        <v>1853.2360000000001</v>
      </c>
    </row>
    <row r="67" spans="1:19" s="684" customFormat="1" ht="30" x14ac:dyDescent="0.25">
      <c r="A67" s="671">
        <v>60</v>
      </c>
      <c r="B67" s="672" t="s">
        <v>619</v>
      </c>
      <c r="C67" s="692"/>
      <c r="D67" s="692">
        <v>0</v>
      </c>
      <c r="E67" s="692">
        <v>0</v>
      </c>
      <c r="F67" s="692">
        <v>0</v>
      </c>
      <c r="G67" s="692">
        <v>0</v>
      </c>
      <c r="H67" s="692">
        <v>0</v>
      </c>
      <c r="I67" s="692">
        <v>0</v>
      </c>
      <c r="J67" s="692"/>
      <c r="K67" s="692">
        <v>0</v>
      </c>
      <c r="L67" s="692">
        <v>0</v>
      </c>
      <c r="M67" s="692">
        <v>0</v>
      </c>
      <c r="N67" s="692">
        <v>0</v>
      </c>
      <c r="O67" s="692">
        <v>0</v>
      </c>
      <c r="P67" s="692">
        <v>0</v>
      </c>
      <c r="Q67" s="692">
        <v>0</v>
      </c>
      <c r="S67" s="641"/>
    </row>
    <row r="68" spans="1:19" x14ac:dyDescent="0.25">
      <c r="A68" s="671">
        <v>61</v>
      </c>
      <c r="B68" s="672" t="s">
        <v>620</v>
      </c>
      <c r="C68" s="692">
        <v>0</v>
      </c>
      <c r="D68" s="692">
        <v>4863.88</v>
      </c>
      <c r="E68" s="692">
        <v>2411.578</v>
      </c>
      <c r="F68" s="692">
        <v>104.59699999999999</v>
      </c>
      <c r="G68" s="692">
        <v>68.471000000000004</v>
      </c>
      <c r="H68" s="692">
        <v>433085.62800000003</v>
      </c>
      <c r="I68" s="692">
        <v>1.409</v>
      </c>
      <c r="J68" s="692">
        <v>440535.56299999997</v>
      </c>
      <c r="K68" s="692">
        <v>6483.1798200000003</v>
      </c>
      <c r="L68" s="692">
        <v>694.11977000000002</v>
      </c>
      <c r="M68" s="692">
        <v>250</v>
      </c>
      <c r="N68" s="692">
        <v>146817.33500000002</v>
      </c>
      <c r="O68" s="692">
        <v>147511.45477000001</v>
      </c>
      <c r="P68" s="692">
        <v>0</v>
      </c>
      <c r="Q68" s="692">
        <v>154244.63459000003</v>
      </c>
    </row>
    <row r="69" spans="1:19" x14ac:dyDescent="0.25">
      <c r="A69" s="654">
        <v>62</v>
      </c>
      <c r="B69" s="655" t="s">
        <v>621</v>
      </c>
      <c r="C69" s="656">
        <v>0</v>
      </c>
      <c r="D69" s="657">
        <v>0</v>
      </c>
      <c r="E69" s="657">
        <v>0</v>
      </c>
      <c r="F69" s="657">
        <v>0</v>
      </c>
      <c r="G69" s="657">
        <v>0</v>
      </c>
      <c r="H69" s="657">
        <v>251305.24900000001</v>
      </c>
      <c r="I69" s="657">
        <v>0</v>
      </c>
      <c r="J69" s="658">
        <v>251305.24900000001</v>
      </c>
      <c r="K69" s="659">
        <v>0</v>
      </c>
      <c r="L69" s="659">
        <v>0</v>
      </c>
      <c r="M69" s="659">
        <v>0</v>
      </c>
      <c r="N69" s="659">
        <v>118553.02799999999</v>
      </c>
      <c r="O69" s="659">
        <v>118553.02799999999</v>
      </c>
      <c r="P69" s="659">
        <v>0</v>
      </c>
      <c r="Q69" s="660">
        <v>118553.02799999999</v>
      </c>
    </row>
    <row r="70" spans="1:19" s="676" customFormat="1" x14ac:dyDescent="0.25">
      <c r="A70" s="665">
        <v>63</v>
      </c>
      <c r="B70" s="669" t="s">
        <v>622</v>
      </c>
      <c r="C70" s="667"/>
      <c r="D70" s="657">
        <v>0</v>
      </c>
      <c r="E70" s="657">
        <v>0</v>
      </c>
      <c r="F70" s="657">
        <v>0</v>
      </c>
      <c r="G70" s="657">
        <v>0</v>
      </c>
      <c r="H70" s="657">
        <v>0</v>
      </c>
      <c r="I70" s="657">
        <v>0</v>
      </c>
      <c r="J70" s="658">
        <v>0</v>
      </c>
      <c r="K70" s="659">
        <v>0</v>
      </c>
      <c r="L70" s="659">
        <v>0</v>
      </c>
      <c r="M70" s="659">
        <v>0</v>
      </c>
      <c r="N70" s="659">
        <v>0</v>
      </c>
      <c r="O70" s="659">
        <v>0</v>
      </c>
      <c r="P70" s="659">
        <v>0</v>
      </c>
      <c r="Q70" s="660">
        <v>0</v>
      </c>
      <c r="S70" s="668"/>
    </row>
    <row r="71" spans="1:19" s="676" customFormat="1" x14ac:dyDescent="0.25">
      <c r="A71" s="665">
        <v>64</v>
      </c>
      <c r="B71" s="693" t="s">
        <v>623</v>
      </c>
      <c r="C71" s="667"/>
      <c r="D71" s="657">
        <v>0</v>
      </c>
      <c r="E71" s="657">
        <v>0</v>
      </c>
      <c r="F71" s="657">
        <v>0</v>
      </c>
      <c r="G71" s="657">
        <v>0</v>
      </c>
      <c r="H71" s="657">
        <v>13012.044</v>
      </c>
      <c r="I71" s="657">
        <v>0</v>
      </c>
      <c r="J71" s="658">
        <v>13012.044</v>
      </c>
      <c r="K71" s="659">
        <v>0</v>
      </c>
      <c r="L71" s="659">
        <v>0</v>
      </c>
      <c r="M71" s="659">
        <v>0</v>
      </c>
      <c r="N71" s="659">
        <v>0</v>
      </c>
      <c r="O71" s="659">
        <v>0</v>
      </c>
      <c r="P71" s="659">
        <v>0</v>
      </c>
      <c r="Q71" s="660">
        <v>0</v>
      </c>
      <c r="S71" s="668"/>
    </row>
    <row r="72" spans="1:19" s="676" customFormat="1" x14ac:dyDescent="0.25">
      <c r="A72" s="665">
        <v>65</v>
      </c>
      <c r="B72" s="694" t="s">
        <v>624</v>
      </c>
      <c r="C72" s="667"/>
      <c r="D72" s="657">
        <v>0</v>
      </c>
      <c r="E72" s="657">
        <v>0</v>
      </c>
      <c r="F72" s="657">
        <v>0</v>
      </c>
      <c r="G72" s="657">
        <v>0</v>
      </c>
      <c r="H72" s="657">
        <v>41621.620999999999</v>
      </c>
      <c r="I72" s="657">
        <v>0</v>
      </c>
      <c r="J72" s="658">
        <v>41621.620999999999</v>
      </c>
      <c r="K72" s="659">
        <v>0</v>
      </c>
      <c r="L72" s="659">
        <v>0</v>
      </c>
      <c r="M72" s="659">
        <v>0</v>
      </c>
      <c r="N72" s="659">
        <v>0</v>
      </c>
      <c r="O72" s="659">
        <v>0</v>
      </c>
      <c r="P72" s="659">
        <v>0</v>
      </c>
      <c r="Q72" s="660">
        <v>0</v>
      </c>
      <c r="S72" s="668"/>
    </row>
    <row r="73" spans="1:19" s="676" customFormat="1" x14ac:dyDescent="0.25">
      <c r="A73" s="665">
        <v>66</v>
      </c>
      <c r="B73" s="669" t="s">
        <v>171</v>
      </c>
      <c r="C73" s="667"/>
      <c r="D73" s="657">
        <v>0</v>
      </c>
      <c r="E73" s="657">
        <v>0</v>
      </c>
      <c r="F73" s="657">
        <v>0</v>
      </c>
      <c r="G73" s="657">
        <v>0</v>
      </c>
      <c r="H73" s="657">
        <v>0</v>
      </c>
      <c r="I73" s="657">
        <v>0</v>
      </c>
      <c r="J73" s="658">
        <v>0</v>
      </c>
      <c r="K73" s="659">
        <v>0</v>
      </c>
      <c r="L73" s="659">
        <v>0</v>
      </c>
      <c r="M73" s="659">
        <v>0</v>
      </c>
      <c r="N73" s="659">
        <v>0</v>
      </c>
      <c r="O73" s="659">
        <v>0</v>
      </c>
      <c r="P73" s="659">
        <v>0</v>
      </c>
      <c r="Q73" s="660">
        <v>0</v>
      </c>
      <c r="S73" s="668"/>
    </row>
    <row r="74" spans="1:19" s="676" customFormat="1" x14ac:dyDescent="0.25">
      <c r="A74" s="665">
        <v>67</v>
      </c>
      <c r="B74" s="679" t="s">
        <v>625</v>
      </c>
      <c r="C74" s="667"/>
      <c r="D74" s="657">
        <v>0</v>
      </c>
      <c r="E74" s="657">
        <v>0</v>
      </c>
      <c r="F74" s="657">
        <v>0</v>
      </c>
      <c r="G74" s="657">
        <v>0</v>
      </c>
      <c r="H74" s="657">
        <v>0</v>
      </c>
      <c r="I74" s="657">
        <v>0</v>
      </c>
      <c r="J74" s="658">
        <v>0</v>
      </c>
      <c r="K74" s="659">
        <v>0</v>
      </c>
      <c r="L74" s="659">
        <v>0</v>
      </c>
      <c r="M74" s="659">
        <v>0</v>
      </c>
      <c r="N74" s="659">
        <v>0</v>
      </c>
      <c r="O74" s="659">
        <v>0</v>
      </c>
      <c r="P74" s="659">
        <v>0</v>
      </c>
      <c r="Q74" s="660">
        <v>0</v>
      </c>
      <c r="S74" s="668"/>
    </row>
    <row r="75" spans="1:19" s="676" customFormat="1" x14ac:dyDescent="0.25">
      <c r="A75" s="665">
        <v>68</v>
      </c>
      <c r="B75" s="679" t="s">
        <v>626</v>
      </c>
      <c r="C75" s="667"/>
      <c r="D75" s="657">
        <v>0</v>
      </c>
      <c r="E75" s="657">
        <v>0</v>
      </c>
      <c r="F75" s="657">
        <v>0</v>
      </c>
      <c r="G75" s="657">
        <v>0</v>
      </c>
      <c r="H75" s="657">
        <v>0</v>
      </c>
      <c r="I75" s="657">
        <v>0</v>
      </c>
      <c r="J75" s="658">
        <v>0</v>
      </c>
      <c r="K75" s="659">
        <v>0</v>
      </c>
      <c r="L75" s="659">
        <v>0</v>
      </c>
      <c r="M75" s="659">
        <v>0</v>
      </c>
      <c r="N75" s="659">
        <v>0</v>
      </c>
      <c r="O75" s="659">
        <v>0</v>
      </c>
      <c r="P75" s="659">
        <v>0</v>
      </c>
      <c r="Q75" s="660">
        <v>0</v>
      </c>
      <c r="S75" s="668"/>
    </row>
    <row r="76" spans="1:19" s="676" customFormat="1" ht="30" x14ac:dyDescent="0.25">
      <c r="A76" s="665">
        <v>69</v>
      </c>
      <c r="B76" s="669" t="s">
        <v>627</v>
      </c>
      <c r="C76" s="667"/>
      <c r="D76" s="657">
        <v>0</v>
      </c>
      <c r="E76" s="657">
        <v>0</v>
      </c>
      <c r="F76" s="657">
        <v>0</v>
      </c>
      <c r="G76" s="657">
        <v>0</v>
      </c>
      <c r="H76" s="657">
        <v>0</v>
      </c>
      <c r="I76" s="657">
        <v>0</v>
      </c>
      <c r="J76" s="658">
        <v>0</v>
      </c>
      <c r="K76" s="659">
        <v>0</v>
      </c>
      <c r="L76" s="659">
        <v>0</v>
      </c>
      <c r="M76" s="659">
        <v>0</v>
      </c>
      <c r="N76" s="659">
        <v>0</v>
      </c>
      <c r="O76" s="659">
        <v>0</v>
      </c>
      <c r="P76" s="659">
        <v>0</v>
      </c>
      <c r="Q76" s="660">
        <v>0</v>
      </c>
      <c r="S76" s="668"/>
    </row>
    <row r="77" spans="1:19" s="676" customFormat="1" ht="60" x14ac:dyDescent="0.25">
      <c r="A77" s="665">
        <v>70</v>
      </c>
      <c r="B77" s="669" t="s">
        <v>628</v>
      </c>
      <c r="C77" s="667"/>
      <c r="D77" s="657">
        <v>0</v>
      </c>
      <c r="E77" s="657">
        <v>0</v>
      </c>
      <c r="F77" s="657">
        <v>0</v>
      </c>
      <c r="G77" s="657">
        <v>0</v>
      </c>
      <c r="H77" s="657">
        <v>0</v>
      </c>
      <c r="I77" s="657">
        <v>0</v>
      </c>
      <c r="J77" s="658">
        <v>0</v>
      </c>
      <c r="K77" s="659">
        <v>0</v>
      </c>
      <c r="L77" s="659">
        <v>0</v>
      </c>
      <c r="M77" s="659">
        <v>0</v>
      </c>
      <c r="N77" s="659">
        <v>0</v>
      </c>
      <c r="O77" s="659">
        <v>0</v>
      </c>
      <c r="P77" s="659">
        <v>0</v>
      </c>
      <c r="Q77" s="660">
        <v>0</v>
      </c>
      <c r="S77" s="668"/>
    </row>
    <row r="78" spans="1:19" s="676" customFormat="1" ht="30" x14ac:dyDescent="0.25">
      <c r="A78" s="665">
        <v>71</v>
      </c>
      <c r="B78" s="669" t="s">
        <v>629</v>
      </c>
      <c r="C78" s="667"/>
      <c r="D78" s="657">
        <v>0</v>
      </c>
      <c r="E78" s="657">
        <v>0</v>
      </c>
      <c r="F78" s="657">
        <v>0</v>
      </c>
      <c r="G78" s="657">
        <v>0</v>
      </c>
      <c r="H78" s="657">
        <v>0</v>
      </c>
      <c r="I78" s="657">
        <v>0</v>
      </c>
      <c r="J78" s="658">
        <v>0</v>
      </c>
      <c r="K78" s="659">
        <v>0</v>
      </c>
      <c r="L78" s="659">
        <v>0</v>
      </c>
      <c r="M78" s="659">
        <v>0</v>
      </c>
      <c r="N78" s="659">
        <v>0</v>
      </c>
      <c r="O78" s="659">
        <v>0</v>
      </c>
      <c r="P78" s="659">
        <v>0</v>
      </c>
      <c r="Q78" s="660">
        <v>0</v>
      </c>
      <c r="S78" s="668"/>
    </row>
    <row r="79" spans="1:19" s="676" customFormat="1" x14ac:dyDescent="0.25">
      <c r="A79" s="665">
        <v>72</v>
      </c>
      <c r="B79" s="695" t="s">
        <v>630</v>
      </c>
      <c r="C79" s="667"/>
      <c r="D79" s="657">
        <v>0</v>
      </c>
      <c r="E79" s="657">
        <v>0</v>
      </c>
      <c r="F79" s="657">
        <v>0</v>
      </c>
      <c r="G79" s="657">
        <v>0</v>
      </c>
      <c r="H79" s="657">
        <v>14095.507</v>
      </c>
      <c r="I79" s="657">
        <v>0</v>
      </c>
      <c r="J79" s="658">
        <v>14095.507</v>
      </c>
      <c r="K79" s="659">
        <v>0</v>
      </c>
      <c r="L79" s="659">
        <v>0</v>
      </c>
      <c r="M79" s="659">
        <v>0</v>
      </c>
      <c r="N79" s="659">
        <v>16651.099000000002</v>
      </c>
      <c r="O79" s="659">
        <v>16651.099000000002</v>
      </c>
      <c r="P79" s="659">
        <v>0</v>
      </c>
      <c r="Q79" s="660">
        <v>16651.099000000002</v>
      </c>
      <c r="S79" s="668"/>
    </row>
    <row r="80" spans="1:19" s="676" customFormat="1" x14ac:dyDescent="0.25">
      <c r="A80" s="665">
        <v>73</v>
      </c>
      <c r="B80" s="669" t="s">
        <v>631</v>
      </c>
      <c r="C80" s="667"/>
      <c r="D80" s="657">
        <v>0</v>
      </c>
      <c r="E80" s="657">
        <v>0</v>
      </c>
      <c r="F80" s="657">
        <v>0</v>
      </c>
      <c r="G80" s="657">
        <v>0</v>
      </c>
      <c r="H80" s="657">
        <v>0</v>
      </c>
      <c r="I80" s="657">
        <v>0</v>
      </c>
      <c r="J80" s="658">
        <v>0</v>
      </c>
      <c r="K80" s="659">
        <v>0</v>
      </c>
      <c r="L80" s="659">
        <v>0</v>
      </c>
      <c r="M80" s="659">
        <v>0</v>
      </c>
      <c r="N80" s="659">
        <v>0</v>
      </c>
      <c r="O80" s="659">
        <v>0</v>
      </c>
      <c r="P80" s="659">
        <v>0</v>
      </c>
      <c r="Q80" s="660">
        <v>0</v>
      </c>
      <c r="S80" s="668"/>
    </row>
    <row r="81" spans="1:19" s="676" customFormat="1" x14ac:dyDescent="0.25">
      <c r="A81" s="665">
        <v>74</v>
      </c>
      <c r="B81" s="669" t="s">
        <v>632</v>
      </c>
      <c r="C81" s="667"/>
      <c r="D81" s="657">
        <v>0</v>
      </c>
      <c r="E81" s="657">
        <v>0</v>
      </c>
      <c r="F81" s="657">
        <v>0</v>
      </c>
      <c r="G81" s="657">
        <v>0</v>
      </c>
      <c r="H81" s="657">
        <v>0</v>
      </c>
      <c r="I81" s="657">
        <v>0</v>
      </c>
      <c r="J81" s="658">
        <v>0</v>
      </c>
      <c r="K81" s="659">
        <v>0</v>
      </c>
      <c r="L81" s="659">
        <v>0</v>
      </c>
      <c r="M81" s="659">
        <v>0</v>
      </c>
      <c r="N81" s="659">
        <v>0</v>
      </c>
      <c r="O81" s="659">
        <v>0</v>
      </c>
      <c r="P81" s="659">
        <v>0</v>
      </c>
      <c r="Q81" s="660">
        <v>0</v>
      </c>
      <c r="S81" s="668"/>
    </row>
    <row r="82" spans="1:19" s="676" customFormat="1" x14ac:dyDescent="0.25">
      <c r="A82" s="665">
        <v>75</v>
      </c>
      <c r="B82" s="669" t="s">
        <v>265</v>
      </c>
      <c r="C82" s="667"/>
      <c r="D82" s="657">
        <v>0</v>
      </c>
      <c r="E82" s="657">
        <v>0</v>
      </c>
      <c r="F82" s="657">
        <v>0</v>
      </c>
      <c r="G82" s="657">
        <v>0</v>
      </c>
      <c r="H82" s="657">
        <v>0</v>
      </c>
      <c r="I82" s="657">
        <v>0</v>
      </c>
      <c r="J82" s="658">
        <v>0</v>
      </c>
      <c r="K82" s="659">
        <v>0</v>
      </c>
      <c r="L82" s="659">
        <v>0</v>
      </c>
      <c r="M82" s="659">
        <v>0</v>
      </c>
      <c r="N82" s="659">
        <v>0</v>
      </c>
      <c r="O82" s="659">
        <v>0</v>
      </c>
      <c r="P82" s="659">
        <v>0</v>
      </c>
      <c r="Q82" s="660">
        <v>0</v>
      </c>
      <c r="S82" s="668"/>
    </row>
    <row r="83" spans="1:19" s="676" customFormat="1" ht="30" x14ac:dyDescent="0.25">
      <c r="A83" s="665">
        <v>76</v>
      </c>
      <c r="B83" s="669" t="s">
        <v>633</v>
      </c>
      <c r="C83" s="667"/>
      <c r="D83" s="657">
        <v>0</v>
      </c>
      <c r="E83" s="657">
        <v>0</v>
      </c>
      <c r="F83" s="657">
        <v>0</v>
      </c>
      <c r="G83" s="657">
        <v>0</v>
      </c>
      <c r="H83" s="657">
        <v>175850.42499999999</v>
      </c>
      <c r="I83" s="657">
        <v>0</v>
      </c>
      <c r="J83" s="658">
        <v>175850.42499999999</v>
      </c>
      <c r="K83" s="659">
        <v>0</v>
      </c>
      <c r="L83" s="659">
        <v>0</v>
      </c>
      <c r="M83" s="659">
        <v>0</v>
      </c>
      <c r="N83" s="659">
        <v>7.7649999999999997</v>
      </c>
      <c r="O83" s="659">
        <v>7.7649999999999997</v>
      </c>
      <c r="P83" s="659">
        <v>0</v>
      </c>
      <c r="Q83" s="660">
        <v>7.7649999999999997</v>
      </c>
      <c r="S83" s="668"/>
    </row>
    <row r="84" spans="1:19" s="676" customFormat="1" ht="30" x14ac:dyDescent="0.25">
      <c r="A84" s="665">
        <v>77</v>
      </c>
      <c r="B84" s="669" t="s">
        <v>543</v>
      </c>
      <c r="C84" s="667"/>
      <c r="D84" s="657">
        <v>0</v>
      </c>
      <c r="E84" s="657">
        <v>0</v>
      </c>
      <c r="F84" s="657">
        <v>0</v>
      </c>
      <c r="G84" s="657">
        <v>0</v>
      </c>
      <c r="H84" s="657">
        <v>150.25200000000001</v>
      </c>
      <c r="I84" s="657">
        <v>0</v>
      </c>
      <c r="J84" s="658">
        <v>150.25200000000001</v>
      </c>
      <c r="K84" s="659">
        <v>0</v>
      </c>
      <c r="L84" s="659">
        <v>0</v>
      </c>
      <c r="M84" s="659">
        <v>0</v>
      </c>
      <c r="N84" s="659">
        <v>51035.883999999998</v>
      </c>
      <c r="O84" s="659">
        <v>51035.883999999998</v>
      </c>
      <c r="P84" s="659">
        <v>0</v>
      </c>
      <c r="Q84" s="660">
        <v>51035.883999999998</v>
      </c>
      <c r="S84" s="668"/>
    </row>
    <row r="85" spans="1:19" s="676" customFormat="1" x14ac:dyDescent="0.25">
      <c r="A85" s="665">
        <v>78</v>
      </c>
      <c r="B85" s="669" t="s">
        <v>544</v>
      </c>
      <c r="C85" s="667"/>
      <c r="D85" s="657">
        <v>0</v>
      </c>
      <c r="E85" s="657">
        <v>0</v>
      </c>
      <c r="F85" s="657">
        <v>0</v>
      </c>
      <c r="G85" s="657">
        <v>0</v>
      </c>
      <c r="H85" s="657">
        <v>0</v>
      </c>
      <c r="I85" s="657">
        <v>0</v>
      </c>
      <c r="J85" s="658">
        <v>0</v>
      </c>
      <c r="K85" s="659">
        <v>0</v>
      </c>
      <c r="L85" s="659">
        <v>0</v>
      </c>
      <c r="M85" s="659">
        <v>0</v>
      </c>
      <c r="N85" s="659">
        <v>33648</v>
      </c>
      <c r="O85" s="659">
        <v>33648</v>
      </c>
      <c r="P85" s="659">
        <v>0</v>
      </c>
      <c r="Q85" s="660">
        <v>33648</v>
      </c>
      <c r="S85" s="668"/>
    </row>
    <row r="86" spans="1:19" s="676" customFormat="1" x14ac:dyDescent="0.25">
      <c r="A86" s="665">
        <v>79</v>
      </c>
      <c r="B86" s="669" t="s">
        <v>545</v>
      </c>
      <c r="C86" s="667"/>
      <c r="D86" s="657">
        <v>0</v>
      </c>
      <c r="E86" s="657">
        <v>0</v>
      </c>
      <c r="F86" s="657">
        <v>0</v>
      </c>
      <c r="G86" s="657">
        <v>0</v>
      </c>
      <c r="H86" s="657">
        <v>0</v>
      </c>
      <c r="I86" s="657">
        <v>0</v>
      </c>
      <c r="J86" s="658">
        <v>0</v>
      </c>
      <c r="K86" s="659">
        <v>0</v>
      </c>
      <c r="L86" s="659">
        <v>0</v>
      </c>
      <c r="M86" s="659">
        <v>0</v>
      </c>
      <c r="N86" s="659">
        <v>5400</v>
      </c>
      <c r="O86" s="659">
        <v>5400</v>
      </c>
      <c r="P86" s="659">
        <v>0</v>
      </c>
      <c r="Q86" s="660">
        <v>5400</v>
      </c>
      <c r="S86" s="668"/>
    </row>
    <row r="87" spans="1:19" s="676" customFormat="1" x14ac:dyDescent="0.25">
      <c r="A87" s="665">
        <v>80</v>
      </c>
      <c r="B87" s="669" t="s">
        <v>546</v>
      </c>
      <c r="C87" s="667"/>
      <c r="D87" s="657">
        <v>0</v>
      </c>
      <c r="E87" s="657">
        <v>0</v>
      </c>
      <c r="F87" s="657">
        <v>0</v>
      </c>
      <c r="G87" s="657">
        <v>0</v>
      </c>
      <c r="H87" s="657">
        <v>0</v>
      </c>
      <c r="I87" s="657">
        <v>0</v>
      </c>
      <c r="J87" s="658">
        <v>0</v>
      </c>
      <c r="K87" s="659">
        <v>0</v>
      </c>
      <c r="L87" s="659">
        <v>0</v>
      </c>
      <c r="M87" s="659">
        <v>0</v>
      </c>
      <c r="N87" s="659">
        <v>8160</v>
      </c>
      <c r="O87" s="659">
        <v>8160</v>
      </c>
      <c r="P87" s="659">
        <v>0</v>
      </c>
      <c r="Q87" s="660">
        <v>8160</v>
      </c>
      <c r="S87" s="668"/>
    </row>
    <row r="88" spans="1:19" s="676" customFormat="1" x14ac:dyDescent="0.25">
      <c r="A88" s="665">
        <v>81</v>
      </c>
      <c r="B88" s="669" t="s">
        <v>548</v>
      </c>
      <c r="C88" s="667"/>
      <c r="D88" s="657">
        <v>0</v>
      </c>
      <c r="E88" s="657">
        <v>0</v>
      </c>
      <c r="F88" s="657">
        <v>0</v>
      </c>
      <c r="G88" s="657">
        <v>0</v>
      </c>
      <c r="H88" s="657">
        <v>123.9</v>
      </c>
      <c r="I88" s="657">
        <v>0</v>
      </c>
      <c r="J88" s="658">
        <v>123.9</v>
      </c>
      <c r="K88" s="659">
        <v>0</v>
      </c>
      <c r="L88" s="659">
        <v>0</v>
      </c>
      <c r="M88" s="659">
        <v>0</v>
      </c>
      <c r="N88" s="659">
        <v>0</v>
      </c>
      <c r="O88" s="659">
        <v>0</v>
      </c>
      <c r="P88" s="659">
        <v>0</v>
      </c>
      <c r="Q88" s="660">
        <v>0</v>
      </c>
      <c r="S88" s="668"/>
    </row>
    <row r="89" spans="1:19" s="676" customFormat="1" x14ac:dyDescent="0.25">
      <c r="A89" s="665">
        <v>82</v>
      </c>
      <c r="B89" s="669" t="s">
        <v>549</v>
      </c>
      <c r="C89" s="667"/>
      <c r="D89" s="657">
        <v>0</v>
      </c>
      <c r="E89" s="657">
        <v>0</v>
      </c>
      <c r="F89" s="657">
        <v>0</v>
      </c>
      <c r="G89" s="657">
        <v>0</v>
      </c>
      <c r="H89" s="657">
        <v>104</v>
      </c>
      <c r="I89" s="657">
        <v>0</v>
      </c>
      <c r="J89" s="658">
        <v>104</v>
      </c>
      <c r="K89" s="659">
        <v>0</v>
      </c>
      <c r="L89" s="659">
        <v>0</v>
      </c>
      <c r="M89" s="659">
        <v>0</v>
      </c>
      <c r="N89" s="659">
        <v>0</v>
      </c>
      <c r="O89" s="659">
        <v>0</v>
      </c>
      <c r="P89" s="659">
        <v>0</v>
      </c>
      <c r="Q89" s="660">
        <v>0</v>
      </c>
      <c r="S89" s="668"/>
    </row>
    <row r="90" spans="1:19" s="676" customFormat="1" x14ac:dyDescent="0.25">
      <c r="A90" s="665">
        <v>83</v>
      </c>
      <c r="B90" s="669" t="s">
        <v>550</v>
      </c>
      <c r="C90" s="667"/>
      <c r="D90" s="657">
        <v>0</v>
      </c>
      <c r="E90" s="657">
        <v>0</v>
      </c>
      <c r="F90" s="657">
        <v>0</v>
      </c>
      <c r="G90" s="657">
        <v>0</v>
      </c>
      <c r="H90" s="657">
        <v>6260</v>
      </c>
      <c r="I90" s="657">
        <v>0</v>
      </c>
      <c r="J90" s="658">
        <v>6260</v>
      </c>
      <c r="K90" s="659">
        <v>0</v>
      </c>
      <c r="L90" s="659">
        <v>0</v>
      </c>
      <c r="M90" s="659">
        <v>0</v>
      </c>
      <c r="N90" s="659">
        <v>0</v>
      </c>
      <c r="O90" s="659">
        <v>0</v>
      </c>
      <c r="P90" s="659">
        <v>0</v>
      </c>
      <c r="Q90" s="660">
        <v>0</v>
      </c>
      <c r="S90" s="668"/>
    </row>
    <row r="91" spans="1:19" s="676" customFormat="1" x14ac:dyDescent="0.25">
      <c r="A91" s="665">
        <v>84</v>
      </c>
      <c r="B91" s="669" t="s">
        <v>551</v>
      </c>
      <c r="C91" s="667"/>
      <c r="D91" s="657">
        <v>0</v>
      </c>
      <c r="E91" s="657">
        <v>0</v>
      </c>
      <c r="F91" s="657">
        <v>0</v>
      </c>
      <c r="G91" s="657">
        <v>0</v>
      </c>
      <c r="H91" s="657">
        <v>87.5</v>
      </c>
      <c r="I91" s="657">
        <v>0</v>
      </c>
      <c r="J91" s="658">
        <v>87.5</v>
      </c>
      <c r="K91" s="659">
        <v>0</v>
      </c>
      <c r="L91" s="659">
        <v>0</v>
      </c>
      <c r="M91" s="659">
        <v>0</v>
      </c>
      <c r="N91" s="659">
        <v>0</v>
      </c>
      <c r="O91" s="659">
        <v>0</v>
      </c>
      <c r="P91" s="659">
        <v>0</v>
      </c>
      <c r="Q91" s="660">
        <v>0</v>
      </c>
      <c r="S91" s="668"/>
    </row>
    <row r="92" spans="1:19" s="676" customFormat="1" x14ac:dyDescent="0.25">
      <c r="A92" s="665">
        <v>85</v>
      </c>
      <c r="B92" s="669" t="s">
        <v>552</v>
      </c>
      <c r="C92" s="667"/>
      <c r="D92" s="657">
        <v>0</v>
      </c>
      <c r="E92" s="657">
        <v>0</v>
      </c>
      <c r="F92" s="657">
        <v>0</v>
      </c>
      <c r="G92" s="657">
        <v>0</v>
      </c>
      <c r="H92" s="657">
        <v>0</v>
      </c>
      <c r="I92" s="657">
        <v>0</v>
      </c>
      <c r="J92" s="658">
        <v>0</v>
      </c>
      <c r="K92" s="659">
        <v>0</v>
      </c>
      <c r="L92" s="659">
        <v>0</v>
      </c>
      <c r="M92" s="659">
        <v>0</v>
      </c>
      <c r="N92" s="659">
        <v>3650.28</v>
      </c>
      <c r="O92" s="659">
        <v>3650.28</v>
      </c>
      <c r="P92" s="659">
        <v>0</v>
      </c>
      <c r="Q92" s="660">
        <v>3650.28</v>
      </c>
      <c r="S92" s="668"/>
    </row>
    <row r="93" spans="1:19" ht="30" x14ac:dyDescent="0.25">
      <c r="A93" s="654">
        <v>86</v>
      </c>
      <c r="B93" s="655" t="s">
        <v>634</v>
      </c>
      <c r="C93" s="656"/>
      <c r="D93" s="657">
        <v>79112.615000000005</v>
      </c>
      <c r="E93" s="657">
        <v>20759.187000000002</v>
      </c>
      <c r="F93" s="657">
        <v>16606.030999999999</v>
      </c>
      <c r="G93" s="657">
        <v>4741.4070000000002</v>
      </c>
      <c r="H93" s="657">
        <v>0</v>
      </c>
      <c r="I93" s="657">
        <v>66163.808000000005</v>
      </c>
      <c r="J93" s="658">
        <v>187383.04800000001</v>
      </c>
      <c r="K93" s="659">
        <v>0</v>
      </c>
      <c r="L93" s="659">
        <v>0</v>
      </c>
      <c r="M93" s="659">
        <v>0</v>
      </c>
      <c r="N93" s="659">
        <v>0</v>
      </c>
      <c r="O93" s="659">
        <v>0</v>
      </c>
      <c r="P93" s="659">
        <v>0</v>
      </c>
      <c r="Q93" s="660">
        <v>0</v>
      </c>
    </row>
    <row r="94" spans="1:19" ht="30" x14ac:dyDescent="0.25">
      <c r="A94" s="654">
        <v>87</v>
      </c>
      <c r="B94" s="655" t="s">
        <v>635</v>
      </c>
      <c r="C94" s="656"/>
      <c r="D94" s="657">
        <v>0</v>
      </c>
      <c r="E94" s="657">
        <v>0</v>
      </c>
      <c r="F94" s="657">
        <v>0</v>
      </c>
      <c r="G94" s="657">
        <v>0</v>
      </c>
      <c r="H94" s="657">
        <v>0</v>
      </c>
      <c r="I94" s="657">
        <v>0</v>
      </c>
      <c r="J94" s="658">
        <v>0</v>
      </c>
      <c r="K94" s="659">
        <v>0</v>
      </c>
      <c r="L94" s="659">
        <v>0</v>
      </c>
      <c r="M94" s="659">
        <v>0</v>
      </c>
      <c r="N94" s="659">
        <v>0</v>
      </c>
      <c r="O94" s="659">
        <v>0</v>
      </c>
      <c r="P94" s="659">
        <v>0</v>
      </c>
      <c r="Q94" s="660">
        <v>0</v>
      </c>
    </row>
    <row r="95" spans="1:19" s="684" customFormat="1" x14ac:dyDescent="0.25">
      <c r="A95" s="671">
        <v>88</v>
      </c>
      <c r="B95" s="672" t="s">
        <v>636</v>
      </c>
      <c r="C95" s="692">
        <v>0</v>
      </c>
      <c r="D95" s="692">
        <v>79112.615000000005</v>
      </c>
      <c r="E95" s="692">
        <v>20759.187000000002</v>
      </c>
      <c r="F95" s="692">
        <v>16606.030999999999</v>
      </c>
      <c r="G95" s="692">
        <v>4741.4070000000002</v>
      </c>
      <c r="H95" s="692">
        <v>251305.24900000001</v>
      </c>
      <c r="I95" s="692">
        <v>66163.808000000005</v>
      </c>
      <c r="J95" s="692">
        <v>438688.29700000002</v>
      </c>
      <c r="K95" s="692">
        <v>0</v>
      </c>
      <c r="L95" s="692">
        <v>0</v>
      </c>
      <c r="M95" s="692">
        <v>0</v>
      </c>
      <c r="N95" s="692">
        <v>118553.02799999999</v>
      </c>
      <c r="O95" s="692">
        <v>118553.02799999999</v>
      </c>
      <c r="P95" s="692">
        <v>0</v>
      </c>
      <c r="Q95" s="692">
        <v>118553.02799999999</v>
      </c>
      <c r="S95" s="641"/>
    </row>
    <row r="96" spans="1:19" s="684" customFormat="1" x14ac:dyDescent="0.25">
      <c r="A96" s="671">
        <v>89</v>
      </c>
      <c r="B96" s="672" t="s">
        <v>637</v>
      </c>
      <c r="C96" s="692">
        <v>0</v>
      </c>
      <c r="D96" s="692">
        <v>83976.49500000001</v>
      </c>
      <c r="E96" s="692">
        <v>23170.765000000003</v>
      </c>
      <c r="F96" s="692">
        <v>16710.628000000001</v>
      </c>
      <c r="G96" s="692">
        <v>4809.8780000000006</v>
      </c>
      <c r="H96" s="692">
        <v>684390.87700000009</v>
      </c>
      <c r="I96" s="692">
        <v>66165.217000000004</v>
      </c>
      <c r="J96" s="692">
        <v>879223.86</v>
      </c>
      <c r="K96" s="692">
        <v>6483.1798200000003</v>
      </c>
      <c r="L96" s="692">
        <v>694.11977000000002</v>
      </c>
      <c r="M96" s="692">
        <v>250</v>
      </c>
      <c r="N96" s="692">
        <v>265370.36300000001</v>
      </c>
      <c r="O96" s="692">
        <v>266064.48277</v>
      </c>
      <c r="P96" s="692">
        <v>0</v>
      </c>
      <c r="Q96" s="692">
        <v>272797.66258999996</v>
      </c>
      <c r="S96" s="641"/>
    </row>
    <row r="97" spans="1:19" s="684" customFormat="1" x14ac:dyDescent="0.25">
      <c r="A97" s="671">
        <v>90</v>
      </c>
      <c r="B97" s="672" t="s">
        <v>638</v>
      </c>
      <c r="C97" s="692"/>
      <c r="D97" s="692">
        <v>0</v>
      </c>
      <c r="E97" s="692">
        <v>0</v>
      </c>
      <c r="F97" s="692">
        <v>0</v>
      </c>
      <c r="G97" s="692">
        <v>0</v>
      </c>
      <c r="H97" s="692">
        <v>0</v>
      </c>
      <c r="I97" s="692">
        <v>0</v>
      </c>
      <c r="J97" s="692"/>
      <c r="K97" s="692">
        <v>0</v>
      </c>
      <c r="L97" s="692">
        <v>0</v>
      </c>
      <c r="M97" s="692">
        <v>0</v>
      </c>
      <c r="N97" s="692">
        <v>0</v>
      </c>
      <c r="O97" s="692">
        <v>0</v>
      </c>
      <c r="P97" s="692">
        <v>0</v>
      </c>
      <c r="Q97" s="692">
        <v>0</v>
      </c>
      <c r="S97" s="641"/>
    </row>
    <row r="98" spans="1:19" x14ac:dyDescent="0.25">
      <c r="A98" s="654">
        <v>91</v>
      </c>
      <c r="B98" s="655" t="s">
        <v>639</v>
      </c>
      <c r="C98" s="656"/>
      <c r="D98" s="657">
        <v>0</v>
      </c>
      <c r="E98" s="657">
        <v>0</v>
      </c>
      <c r="F98" s="657">
        <v>0</v>
      </c>
      <c r="G98" s="657">
        <v>0</v>
      </c>
      <c r="H98" s="657">
        <v>77127.762000000002</v>
      </c>
      <c r="I98" s="657">
        <v>0</v>
      </c>
      <c r="J98" s="658">
        <v>77127.762000000002</v>
      </c>
      <c r="K98" s="659">
        <v>0</v>
      </c>
      <c r="L98" s="659">
        <v>0</v>
      </c>
      <c r="M98" s="659">
        <v>0</v>
      </c>
      <c r="N98" s="659">
        <v>0</v>
      </c>
      <c r="O98" s="659">
        <v>0</v>
      </c>
      <c r="P98" s="659">
        <v>0</v>
      </c>
      <c r="Q98" s="660">
        <v>0</v>
      </c>
    </row>
    <row r="99" spans="1:19" x14ac:dyDescent="0.25">
      <c r="A99" s="654">
        <v>92</v>
      </c>
      <c r="B99" s="655" t="s">
        <v>640</v>
      </c>
      <c r="C99" s="656"/>
      <c r="D99" s="657">
        <v>0</v>
      </c>
      <c r="E99" s="657">
        <v>0</v>
      </c>
      <c r="F99" s="657">
        <v>0</v>
      </c>
      <c r="G99" s="657">
        <v>0</v>
      </c>
      <c r="H99" s="657">
        <v>0</v>
      </c>
      <c r="I99" s="657">
        <v>0</v>
      </c>
      <c r="J99" s="658">
        <v>0</v>
      </c>
      <c r="K99" s="659">
        <v>0</v>
      </c>
      <c r="L99" s="659">
        <v>0</v>
      </c>
      <c r="M99" s="659">
        <v>0</v>
      </c>
      <c r="N99" s="659">
        <v>0</v>
      </c>
      <c r="O99" s="659">
        <v>0</v>
      </c>
      <c r="P99" s="659">
        <v>0</v>
      </c>
      <c r="Q99" s="660">
        <v>0</v>
      </c>
    </row>
    <row r="100" spans="1:19" x14ac:dyDescent="0.25">
      <c r="A100" s="654">
        <v>93</v>
      </c>
      <c r="B100" s="696" t="s">
        <v>641</v>
      </c>
      <c r="C100" s="656"/>
      <c r="D100" s="657">
        <v>0</v>
      </c>
      <c r="E100" s="657">
        <v>0</v>
      </c>
      <c r="F100" s="657">
        <v>0</v>
      </c>
      <c r="G100" s="657">
        <v>0</v>
      </c>
      <c r="H100" s="657">
        <v>58201.942000000003</v>
      </c>
      <c r="I100" s="657">
        <v>0</v>
      </c>
      <c r="J100" s="658">
        <v>58201.942000000003</v>
      </c>
      <c r="K100" s="659">
        <v>0</v>
      </c>
      <c r="L100" s="659">
        <v>0</v>
      </c>
      <c r="M100" s="659">
        <v>0</v>
      </c>
      <c r="N100" s="659">
        <v>0</v>
      </c>
      <c r="O100" s="659">
        <v>0</v>
      </c>
      <c r="P100" s="659">
        <v>0</v>
      </c>
      <c r="Q100" s="660">
        <v>0</v>
      </c>
    </row>
    <row r="101" spans="1:19" x14ac:dyDescent="0.25">
      <c r="A101" s="654">
        <v>94</v>
      </c>
      <c r="B101" s="655" t="s">
        <v>642</v>
      </c>
      <c r="C101" s="656"/>
      <c r="D101" s="657">
        <v>0</v>
      </c>
      <c r="E101" s="657">
        <v>0</v>
      </c>
      <c r="F101" s="657">
        <v>0</v>
      </c>
      <c r="G101" s="657">
        <v>0</v>
      </c>
      <c r="H101" s="657">
        <v>0</v>
      </c>
      <c r="I101" s="657">
        <v>0</v>
      </c>
      <c r="J101" s="658">
        <v>0</v>
      </c>
      <c r="K101" s="659">
        <v>0</v>
      </c>
      <c r="L101" s="659">
        <v>0</v>
      </c>
      <c r="M101" s="659">
        <v>0</v>
      </c>
      <c r="N101" s="659">
        <v>0</v>
      </c>
      <c r="O101" s="659">
        <v>0</v>
      </c>
      <c r="P101" s="659">
        <v>0</v>
      </c>
      <c r="Q101" s="660">
        <v>0</v>
      </c>
    </row>
    <row r="102" spans="1:19" x14ac:dyDescent="0.25">
      <c r="A102" s="654">
        <v>95</v>
      </c>
      <c r="B102" s="655" t="s">
        <v>643</v>
      </c>
      <c r="C102" s="656"/>
      <c r="D102" s="657">
        <v>0</v>
      </c>
      <c r="E102" s="657">
        <v>0</v>
      </c>
      <c r="F102" s="657">
        <v>0</v>
      </c>
      <c r="G102" s="657">
        <v>0</v>
      </c>
      <c r="H102" s="657">
        <v>0</v>
      </c>
      <c r="I102" s="657">
        <v>0</v>
      </c>
      <c r="J102" s="658">
        <v>0</v>
      </c>
      <c r="K102" s="659">
        <v>0</v>
      </c>
      <c r="L102" s="659">
        <v>0</v>
      </c>
      <c r="M102" s="659">
        <v>0</v>
      </c>
      <c r="N102" s="659">
        <v>0</v>
      </c>
      <c r="O102" s="659">
        <v>0</v>
      </c>
      <c r="P102" s="659">
        <v>0</v>
      </c>
      <c r="Q102" s="660">
        <v>0</v>
      </c>
    </row>
    <row r="103" spans="1:19" x14ac:dyDescent="0.25">
      <c r="A103" s="654">
        <v>96</v>
      </c>
      <c r="B103" s="655" t="s">
        <v>644</v>
      </c>
      <c r="C103" s="656"/>
      <c r="D103" s="657">
        <v>0</v>
      </c>
      <c r="E103" s="657">
        <v>0</v>
      </c>
      <c r="F103" s="657">
        <v>0</v>
      </c>
      <c r="G103" s="657">
        <v>0</v>
      </c>
      <c r="H103" s="657">
        <v>0</v>
      </c>
      <c r="I103" s="657">
        <v>0</v>
      </c>
      <c r="J103" s="658">
        <v>0</v>
      </c>
      <c r="K103" s="659">
        <v>0</v>
      </c>
      <c r="L103" s="659">
        <v>0</v>
      </c>
      <c r="M103" s="659">
        <v>0</v>
      </c>
      <c r="N103" s="659">
        <v>0</v>
      </c>
      <c r="O103" s="659">
        <v>0</v>
      </c>
      <c r="P103" s="659">
        <v>0</v>
      </c>
      <c r="Q103" s="660">
        <v>0</v>
      </c>
    </row>
    <row r="104" spans="1:19" x14ac:dyDescent="0.25">
      <c r="A104" s="654">
        <v>97</v>
      </c>
      <c r="B104" s="655" t="s">
        <v>645</v>
      </c>
      <c r="C104" s="656"/>
      <c r="D104" s="657">
        <v>0</v>
      </c>
      <c r="E104" s="657">
        <v>0</v>
      </c>
      <c r="F104" s="657">
        <v>0</v>
      </c>
      <c r="G104" s="657">
        <v>0</v>
      </c>
      <c r="H104" s="657">
        <v>0</v>
      </c>
      <c r="I104" s="657">
        <v>0</v>
      </c>
      <c r="J104" s="658">
        <v>0</v>
      </c>
      <c r="K104" s="659">
        <v>0</v>
      </c>
      <c r="L104" s="659">
        <v>0</v>
      </c>
      <c r="M104" s="659">
        <v>0</v>
      </c>
      <c r="N104" s="659">
        <v>0</v>
      </c>
      <c r="O104" s="659">
        <v>0</v>
      </c>
      <c r="P104" s="659">
        <v>0</v>
      </c>
      <c r="Q104" s="660">
        <v>0</v>
      </c>
    </row>
    <row r="105" spans="1:19" x14ac:dyDescent="0.25">
      <c r="A105" s="654">
        <v>98</v>
      </c>
      <c r="B105" s="655" t="s">
        <v>646</v>
      </c>
      <c r="C105" s="656"/>
      <c r="D105" s="657">
        <v>0</v>
      </c>
      <c r="E105" s="657">
        <v>0</v>
      </c>
      <c r="F105" s="657">
        <v>0</v>
      </c>
      <c r="G105" s="657">
        <v>0</v>
      </c>
      <c r="H105" s="657">
        <v>0</v>
      </c>
      <c r="I105" s="657">
        <v>0</v>
      </c>
      <c r="J105" s="658">
        <v>0</v>
      </c>
      <c r="K105" s="659">
        <v>0</v>
      </c>
      <c r="L105" s="659">
        <v>0</v>
      </c>
      <c r="M105" s="659">
        <v>0</v>
      </c>
      <c r="N105" s="659">
        <v>0</v>
      </c>
      <c r="O105" s="659">
        <v>0</v>
      </c>
      <c r="P105" s="659">
        <v>0</v>
      </c>
      <c r="Q105" s="660">
        <v>0</v>
      </c>
    </row>
    <row r="106" spans="1:19" x14ac:dyDescent="0.25">
      <c r="A106" s="654">
        <v>99</v>
      </c>
      <c r="B106" s="655" t="s">
        <v>647</v>
      </c>
      <c r="C106" s="656"/>
      <c r="D106" s="657">
        <v>0</v>
      </c>
      <c r="E106" s="657">
        <v>0</v>
      </c>
      <c r="F106" s="657">
        <v>0</v>
      </c>
      <c r="G106" s="657">
        <v>0</v>
      </c>
      <c r="H106" s="657">
        <v>0</v>
      </c>
      <c r="I106" s="657">
        <v>0</v>
      </c>
      <c r="J106" s="658">
        <v>0</v>
      </c>
      <c r="K106" s="659">
        <v>0</v>
      </c>
      <c r="L106" s="659">
        <v>0</v>
      </c>
      <c r="M106" s="659">
        <v>0</v>
      </c>
      <c r="N106" s="659">
        <v>0</v>
      </c>
      <c r="O106" s="659">
        <v>0</v>
      </c>
      <c r="P106" s="659">
        <v>0</v>
      </c>
      <c r="Q106" s="660">
        <v>0</v>
      </c>
    </row>
    <row r="107" spans="1:19" x14ac:dyDescent="0.25">
      <c r="A107" s="654">
        <v>100</v>
      </c>
      <c r="B107" s="655" t="s">
        <v>648</v>
      </c>
      <c r="C107" s="656"/>
      <c r="D107" s="657">
        <v>0</v>
      </c>
      <c r="E107" s="657">
        <v>0</v>
      </c>
      <c r="F107" s="657">
        <v>0</v>
      </c>
      <c r="G107" s="657">
        <v>0</v>
      </c>
      <c r="H107" s="657">
        <v>633.00199999999984</v>
      </c>
      <c r="I107" s="657">
        <v>0</v>
      </c>
      <c r="J107" s="658">
        <v>633.00199999999984</v>
      </c>
      <c r="K107" s="659">
        <v>0</v>
      </c>
      <c r="L107" s="659">
        <v>0</v>
      </c>
      <c r="M107" s="659">
        <v>0</v>
      </c>
      <c r="N107" s="659">
        <v>0</v>
      </c>
      <c r="O107" s="659">
        <v>0</v>
      </c>
      <c r="P107" s="659">
        <v>0</v>
      </c>
      <c r="Q107" s="660">
        <v>0</v>
      </c>
    </row>
    <row r="108" spans="1:19" s="684" customFormat="1" x14ac:dyDescent="0.25">
      <c r="A108" s="671">
        <v>101</v>
      </c>
      <c r="B108" s="672" t="s">
        <v>649</v>
      </c>
      <c r="C108" s="692">
        <v>0</v>
      </c>
      <c r="D108" s="692">
        <v>0</v>
      </c>
      <c r="E108" s="692">
        <v>0</v>
      </c>
      <c r="F108" s="692">
        <v>0</v>
      </c>
      <c r="G108" s="692">
        <v>0</v>
      </c>
      <c r="H108" s="692">
        <v>135962.70600000001</v>
      </c>
      <c r="I108" s="692">
        <v>0</v>
      </c>
      <c r="J108" s="692">
        <v>135962.70600000001</v>
      </c>
      <c r="K108" s="692">
        <v>0</v>
      </c>
      <c r="L108" s="692">
        <v>0</v>
      </c>
      <c r="M108" s="692">
        <v>0</v>
      </c>
      <c r="N108" s="692">
        <v>0</v>
      </c>
      <c r="O108" s="692">
        <v>0</v>
      </c>
      <c r="P108" s="692">
        <v>0</v>
      </c>
      <c r="Q108" s="692">
        <v>0</v>
      </c>
      <c r="S108" s="641"/>
    </row>
    <row r="109" spans="1:19" s="684" customFormat="1" x14ac:dyDescent="0.25">
      <c r="A109" s="671">
        <v>102</v>
      </c>
      <c r="B109" s="672" t="s">
        <v>650</v>
      </c>
      <c r="C109" s="692">
        <v>0</v>
      </c>
      <c r="D109" s="692">
        <v>83976.49500000001</v>
      </c>
      <c r="E109" s="692">
        <v>23170.765000000003</v>
      </c>
      <c r="F109" s="692">
        <v>16710.628000000001</v>
      </c>
      <c r="G109" s="692">
        <v>4809.8780000000006</v>
      </c>
      <c r="H109" s="692">
        <v>820353.5830000001</v>
      </c>
      <c r="I109" s="692">
        <v>66165.217000000004</v>
      </c>
      <c r="J109" s="692">
        <v>1015186.566</v>
      </c>
      <c r="K109" s="692">
        <v>6483.1798200000003</v>
      </c>
      <c r="L109" s="692">
        <v>694.11977000000002</v>
      </c>
      <c r="M109" s="692">
        <v>250</v>
      </c>
      <c r="N109" s="692">
        <v>265370.36300000001</v>
      </c>
      <c r="O109" s="692">
        <v>266064.48277</v>
      </c>
      <c r="P109" s="692">
        <v>0</v>
      </c>
      <c r="Q109" s="692">
        <v>272797.66258999996</v>
      </c>
      <c r="R109" s="683"/>
      <c r="S109" s="641"/>
    </row>
    <row r="110" spans="1:19" x14ac:dyDescent="0.25">
      <c r="A110" s="697"/>
      <c r="S110" s="640"/>
    </row>
    <row r="111" spans="1:19" x14ac:dyDescent="0.25">
      <c r="B111"/>
      <c r="S111" s="640"/>
    </row>
    <row r="112" spans="1:19" x14ac:dyDescent="0.25">
      <c r="B112"/>
      <c r="D112" s="698">
        <v>83976.49500000001</v>
      </c>
      <c r="E112" s="698">
        <v>23170.765000000003</v>
      </c>
      <c r="F112" s="698">
        <v>16710.628000000001</v>
      </c>
      <c r="G112" s="698">
        <v>4809.8780000000006</v>
      </c>
      <c r="H112" s="698">
        <v>820353.58299999998</v>
      </c>
      <c r="I112" s="698">
        <v>66165.217000000004</v>
      </c>
      <c r="J112" s="699">
        <v>1015186.5659999999</v>
      </c>
      <c r="K112" s="639">
        <v>6483.1798200000003</v>
      </c>
      <c r="L112" s="700">
        <v>694.11977000000002</v>
      </c>
      <c r="M112" s="700">
        <v>250</v>
      </c>
      <c r="N112" s="700">
        <v>265370.36300000001</v>
      </c>
      <c r="O112" s="700"/>
      <c r="P112" s="639">
        <v>0</v>
      </c>
      <c r="Q112" s="683">
        <v>272797.66258999996</v>
      </c>
      <c r="S112" s="640"/>
    </row>
    <row r="113" spans="2:19" x14ac:dyDescent="0.25">
      <c r="B113" t="s">
        <v>651</v>
      </c>
      <c r="D113" s="698">
        <v>0</v>
      </c>
      <c r="E113" s="698">
        <v>0</v>
      </c>
      <c r="F113" s="698">
        <v>0</v>
      </c>
      <c r="G113" s="698">
        <v>0</v>
      </c>
      <c r="H113" s="698">
        <v>0</v>
      </c>
      <c r="I113" s="698">
        <v>0</v>
      </c>
      <c r="J113" s="698">
        <v>0</v>
      </c>
      <c r="K113" s="698">
        <v>0</v>
      </c>
      <c r="L113" s="698">
        <v>0</v>
      </c>
      <c r="M113" s="698">
        <v>0</v>
      </c>
      <c r="N113" s="698">
        <v>0</v>
      </c>
      <c r="O113" s="698"/>
      <c r="P113" s="698">
        <v>0</v>
      </c>
      <c r="Q113" s="698">
        <v>0</v>
      </c>
      <c r="S113" s="640"/>
    </row>
    <row r="114" spans="2:19" x14ac:dyDescent="0.25">
      <c r="S114" s="640"/>
    </row>
    <row r="115" spans="2:19" x14ac:dyDescent="0.25">
      <c r="S115" s="640"/>
    </row>
    <row r="116" spans="2:19" x14ac:dyDescent="0.25">
      <c r="S116" s="640"/>
    </row>
    <row r="117" spans="2:19" x14ac:dyDescent="0.25">
      <c r="S117" s="640"/>
    </row>
    <row r="118" spans="2:19" x14ac:dyDescent="0.25">
      <c r="S118" s="640"/>
    </row>
    <row r="119" spans="2:19" x14ac:dyDescent="0.25">
      <c r="S119" s="640"/>
    </row>
    <row r="120" spans="2:19" x14ac:dyDescent="0.25">
      <c r="S120" s="640"/>
    </row>
    <row r="121" spans="2:19" x14ac:dyDescent="0.25">
      <c r="S121" s="640"/>
    </row>
    <row r="122" spans="2:19" x14ac:dyDescent="0.25">
      <c r="S122" s="640"/>
    </row>
    <row r="123" spans="2:19" x14ac:dyDescent="0.25">
      <c r="S123" s="640"/>
    </row>
    <row r="124" spans="2:19" x14ac:dyDescent="0.25">
      <c r="S124" s="640"/>
    </row>
    <row r="125" spans="2:19" x14ac:dyDescent="0.25">
      <c r="S125" s="640"/>
    </row>
    <row r="126" spans="2:19" x14ac:dyDescent="0.25">
      <c r="S126" s="640"/>
    </row>
    <row r="127" spans="2:19" x14ac:dyDescent="0.25">
      <c r="S127" s="640"/>
    </row>
    <row r="128" spans="2:19" x14ac:dyDescent="0.25">
      <c r="S128" s="640"/>
    </row>
    <row r="129" spans="19:19" x14ac:dyDescent="0.25">
      <c r="S129" s="640"/>
    </row>
    <row r="130" spans="19:19" x14ac:dyDescent="0.25">
      <c r="S130" s="640"/>
    </row>
    <row r="131" spans="19:19" x14ac:dyDescent="0.25">
      <c r="S131" s="640"/>
    </row>
    <row r="132" spans="19:19" x14ac:dyDescent="0.25">
      <c r="S132" s="640"/>
    </row>
    <row r="133" spans="19:19" x14ac:dyDescent="0.25">
      <c r="S133" s="640"/>
    </row>
    <row r="134" spans="19:19" x14ac:dyDescent="0.25">
      <c r="S134" s="640"/>
    </row>
    <row r="135" spans="19:19" x14ac:dyDescent="0.25">
      <c r="S135" s="640"/>
    </row>
    <row r="136" spans="19:19" x14ac:dyDescent="0.25">
      <c r="S136" s="640"/>
    </row>
    <row r="137" spans="19:19" x14ac:dyDescent="0.25">
      <c r="S137" s="640"/>
    </row>
    <row r="138" spans="19:19" x14ac:dyDescent="0.25">
      <c r="S138" s="640"/>
    </row>
    <row r="139" spans="19:19" x14ac:dyDescent="0.25">
      <c r="S139" s="640"/>
    </row>
    <row r="140" spans="19:19" x14ac:dyDescent="0.25">
      <c r="S140" s="640"/>
    </row>
    <row r="141" spans="19:19" x14ac:dyDescent="0.25">
      <c r="S141" s="640"/>
    </row>
    <row r="142" spans="19:19" x14ac:dyDescent="0.25">
      <c r="S142" s="640"/>
    </row>
    <row r="143" spans="19:19" x14ac:dyDescent="0.25">
      <c r="S143" s="640"/>
    </row>
    <row r="144" spans="19:19" x14ac:dyDescent="0.25">
      <c r="S144" s="640"/>
    </row>
    <row r="145" spans="19:19" x14ac:dyDescent="0.25">
      <c r="S145" s="640"/>
    </row>
    <row r="146" spans="19:19" x14ac:dyDescent="0.25">
      <c r="S146" s="640"/>
    </row>
    <row r="147" spans="19:19" x14ac:dyDescent="0.25">
      <c r="S147" s="640"/>
    </row>
    <row r="148" spans="19:19" x14ac:dyDescent="0.25">
      <c r="S148" s="640"/>
    </row>
    <row r="149" spans="19:19" x14ac:dyDescent="0.25">
      <c r="S149" s="640"/>
    </row>
    <row r="150" spans="19:19" x14ac:dyDescent="0.25">
      <c r="S150" s="640"/>
    </row>
    <row r="151" spans="19:19" x14ac:dyDescent="0.25">
      <c r="S151" s="640"/>
    </row>
    <row r="152" spans="19:19" x14ac:dyDescent="0.25">
      <c r="S152" s="640"/>
    </row>
    <row r="153" spans="19:19" x14ac:dyDescent="0.25">
      <c r="S153" s="640"/>
    </row>
    <row r="154" spans="19:19" x14ac:dyDescent="0.25">
      <c r="S154" s="640"/>
    </row>
    <row r="155" spans="19:19" x14ac:dyDescent="0.25">
      <c r="S155" s="640"/>
    </row>
    <row r="156" spans="19:19" x14ac:dyDescent="0.25">
      <c r="S156" s="640"/>
    </row>
    <row r="157" spans="19:19" x14ac:dyDescent="0.25">
      <c r="S157" s="640"/>
    </row>
    <row r="158" spans="19:19" x14ac:dyDescent="0.25">
      <c r="S158" s="640"/>
    </row>
    <row r="159" spans="19:19" x14ac:dyDescent="0.25">
      <c r="S159" s="640"/>
    </row>
    <row r="160" spans="19:19" x14ac:dyDescent="0.25">
      <c r="S160" s="640"/>
    </row>
    <row r="161" spans="19:19" x14ac:dyDescent="0.25">
      <c r="S161" s="640"/>
    </row>
    <row r="162" spans="19:19" x14ac:dyDescent="0.25">
      <c r="S162" s="640"/>
    </row>
    <row r="163" spans="19:19" x14ac:dyDescent="0.25">
      <c r="S163" s="640"/>
    </row>
    <row r="164" spans="19:19" x14ac:dyDescent="0.25">
      <c r="S164" s="640"/>
    </row>
    <row r="165" spans="19:19" x14ac:dyDescent="0.25">
      <c r="S165" s="640"/>
    </row>
    <row r="166" spans="19:19" x14ac:dyDescent="0.25">
      <c r="S166" s="640"/>
    </row>
    <row r="167" spans="19:19" x14ac:dyDescent="0.25">
      <c r="S167" s="640"/>
    </row>
    <row r="168" spans="19:19" x14ac:dyDescent="0.25">
      <c r="S168" s="640"/>
    </row>
    <row r="169" spans="19:19" x14ac:dyDescent="0.25">
      <c r="S169" s="640"/>
    </row>
    <row r="170" spans="19:19" x14ac:dyDescent="0.25">
      <c r="S170" s="640"/>
    </row>
    <row r="171" spans="19:19" x14ac:dyDescent="0.25">
      <c r="S171" s="640"/>
    </row>
    <row r="172" spans="19:19" x14ac:dyDescent="0.25">
      <c r="S172" s="640"/>
    </row>
    <row r="173" spans="19:19" x14ac:dyDescent="0.25">
      <c r="S173" s="640"/>
    </row>
    <row r="174" spans="19:19" x14ac:dyDescent="0.25">
      <c r="S174" s="640"/>
    </row>
    <row r="175" spans="19:19" x14ac:dyDescent="0.25">
      <c r="S175" s="640"/>
    </row>
    <row r="176" spans="19:19" x14ac:dyDescent="0.25">
      <c r="S176" s="640"/>
    </row>
    <row r="177" spans="19:19" x14ac:dyDescent="0.25">
      <c r="S177" s="640"/>
    </row>
    <row r="178" spans="19:19" x14ac:dyDescent="0.25">
      <c r="S178" s="640"/>
    </row>
    <row r="179" spans="19:19" x14ac:dyDescent="0.25">
      <c r="S179" s="640"/>
    </row>
    <row r="180" spans="19:19" x14ac:dyDescent="0.25">
      <c r="S180" s="640"/>
    </row>
    <row r="181" spans="19:19" x14ac:dyDescent="0.25">
      <c r="S181" s="640"/>
    </row>
    <row r="182" spans="19:19" x14ac:dyDescent="0.25">
      <c r="S182" s="640"/>
    </row>
    <row r="183" spans="19:19" x14ac:dyDescent="0.25">
      <c r="S183" s="640"/>
    </row>
    <row r="184" spans="19:19" x14ac:dyDescent="0.25">
      <c r="S184" s="640"/>
    </row>
    <row r="185" spans="19:19" x14ac:dyDescent="0.25">
      <c r="S185" s="640"/>
    </row>
    <row r="186" spans="19:19" x14ac:dyDescent="0.25">
      <c r="S186" s="640"/>
    </row>
    <row r="187" spans="19:19" x14ac:dyDescent="0.25">
      <c r="S187" s="640"/>
    </row>
    <row r="188" spans="19:19" x14ac:dyDescent="0.25">
      <c r="S188" s="640"/>
    </row>
    <row r="189" spans="19:19" x14ac:dyDescent="0.25">
      <c r="S189" s="640"/>
    </row>
    <row r="190" spans="19:19" x14ac:dyDescent="0.25">
      <c r="S190" s="640"/>
    </row>
    <row r="191" spans="19:19" x14ac:dyDescent="0.25">
      <c r="S191" s="640"/>
    </row>
    <row r="192" spans="19:19" x14ac:dyDescent="0.25">
      <c r="S192" s="640"/>
    </row>
    <row r="193" spans="19:19" x14ac:dyDescent="0.25">
      <c r="S193" s="640"/>
    </row>
    <row r="194" spans="19:19" x14ac:dyDescent="0.25">
      <c r="S194" s="640"/>
    </row>
    <row r="195" spans="19:19" x14ac:dyDescent="0.25">
      <c r="S195" s="640"/>
    </row>
    <row r="196" spans="19:19" x14ac:dyDescent="0.25">
      <c r="S196" s="640"/>
    </row>
    <row r="197" spans="19:19" x14ac:dyDescent="0.25">
      <c r="S197" s="640"/>
    </row>
    <row r="198" spans="19:19" x14ac:dyDescent="0.25">
      <c r="S198" s="640"/>
    </row>
    <row r="199" spans="19:19" x14ac:dyDescent="0.25">
      <c r="S199" s="640"/>
    </row>
    <row r="200" spans="19:19" x14ac:dyDescent="0.25">
      <c r="S200" s="640"/>
    </row>
    <row r="201" spans="19:19" x14ac:dyDescent="0.25">
      <c r="S201" s="640"/>
    </row>
    <row r="202" spans="19:19" x14ac:dyDescent="0.25">
      <c r="S202" s="640"/>
    </row>
    <row r="203" spans="19:19" x14ac:dyDescent="0.25">
      <c r="S203" s="640"/>
    </row>
    <row r="204" spans="19:19" x14ac:dyDescent="0.25">
      <c r="S204" s="640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view="pageBreakPreview" zoomScale="60" workbookViewId="0">
      <selection sqref="A1:I1"/>
    </sheetView>
  </sheetViews>
  <sheetFormatPr defaultColWidth="9.33203125" defaultRowHeight="15" x14ac:dyDescent="0.25"/>
  <cols>
    <col min="1" max="1" width="39.5" style="701" bestFit="1" customWidth="1"/>
    <col min="2" max="8" width="12.83203125" style="701" customWidth="1"/>
    <col min="9" max="9" width="12.83203125" style="826" customWidth="1"/>
    <col min="10" max="16384" width="9.33203125" style="701"/>
  </cols>
  <sheetData>
    <row r="1" spans="1:9" x14ac:dyDescent="0.25">
      <c r="A1" s="1206" t="s">
        <v>1232</v>
      </c>
      <c r="B1" s="1207"/>
      <c r="C1" s="1207"/>
      <c r="D1" s="1207"/>
      <c r="E1" s="1207"/>
      <c r="F1" s="1207"/>
      <c r="G1" s="1207"/>
      <c r="H1" s="1207"/>
      <c r="I1" s="1207"/>
    </row>
    <row r="4" spans="1:9" x14ac:dyDescent="0.25">
      <c r="A4" s="1196" t="s">
        <v>1025</v>
      </c>
      <c r="B4" s="1197"/>
      <c r="C4" s="1198"/>
      <c r="D4" s="1198"/>
      <c r="E4" s="1198"/>
      <c r="F4" s="1198"/>
      <c r="G4" s="1198"/>
      <c r="H4" s="1198"/>
      <c r="I4" s="1199"/>
    </row>
    <row r="5" spans="1:9" x14ac:dyDescent="0.25">
      <c r="A5" s="1200" t="s">
        <v>1026</v>
      </c>
      <c r="B5" s="1200"/>
      <c r="C5" s="1200"/>
      <c r="D5" s="1200"/>
      <c r="E5" s="1200"/>
      <c r="F5" s="1200"/>
      <c r="G5" s="1200"/>
      <c r="H5" s="1200"/>
      <c r="I5" s="1200"/>
    </row>
    <row r="6" spans="1:9" ht="15.75" thickBot="1" x14ac:dyDescent="0.3">
      <c r="A6" s="761"/>
    </row>
    <row r="7" spans="1:9" ht="15.75" thickBot="1" x14ac:dyDescent="0.3">
      <c r="A7" s="1201" t="s">
        <v>1027</v>
      </c>
      <c r="B7" s="1203" t="s">
        <v>1028</v>
      </c>
      <c r="C7" s="1204"/>
      <c r="D7" s="1204"/>
      <c r="E7" s="1204"/>
      <c r="F7" s="1204"/>
      <c r="G7" s="1204"/>
      <c r="H7" s="1204"/>
      <c r="I7" s="1205"/>
    </row>
    <row r="8" spans="1:9" ht="60.75" thickBot="1" x14ac:dyDescent="0.3">
      <c r="A8" s="1202"/>
      <c r="B8" s="827" t="s">
        <v>1029</v>
      </c>
      <c r="C8" s="828" t="s">
        <v>1030</v>
      </c>
      <c r="D8" s="829" t="s">
        <v>1031</v>
      </c>
      <c r="E8" s="828" t="s">
        <v>1032</v>
      </c>
      <c r="F8" s="830" t="s">
        <v>1033</v>
      </c>
      <c r="G8" s="828" t="s">
        <v>1034</v>
      </c>
      <c r="H8" s="831" t="s">
        <v>1035</v>
      </c>
      <c r="I8" s="831" t="s">
        <v>1158</v>
      </c>
    </row>
    <row r="9" spans="1:9" x14ac:dyDescent="0.25">
      <c r="A9" s="832" t="s">
        <v>557</v>
      </c>
      <c r="B9" s="833">
        <v>8</v>
      </c>
      <c r="C9" s="834">
        <v>11</v>
      </c>
      <c r="D9" s="835"/>
      <c r="E9" s="834"/>
      <c r="F9" s="835"/>
      <c r="G9" s="834"/>
      <c r="H9" s="836"/>
      <c r="I9" s="837">
        <f>SUM(B9:H9)</f>
        <v>19</v>
      </c>
    </row>
    <row r="10" spans="1:9" x14ac:dyDescent="0.25">
      <c r="A10" s="832" t="s">
        <v>1036</v>
      </c>
      <c r="B10" s="833"/>
      <c r="C10" s="834">
        <v>1.5</v>
      </c>
      <c r="D10" s="835"/>
      <c r="E10" s="834"/>
      <c r="F10" s="835"/>
      <c r="G10" s="834"/>
      <c r="H10" s="836"/>
      <c r="I10" s="837">
        <f>SUM(B10:H10)</f>
        <v>1.5</v>
      </c>
    </row>
    <row r="11" spans="1:9" x14ac:dyDescent="0.25">
      <c r="A11" s="832" t="s">
        <v>1037</v>
      </c>
      <c r="B11" s="833"/>
      <c r="C11" s="834"/>
      <c r="D11" s="835"/>
      <c r="E11" s="834">
        <v>10</v>
      </c>
      <c r="F11" s="835"/>
      <c r="G11" s="834"/>
      <c r="H11" s="836"/>
      <c r="I11" s="837">
        <f>SUM(B11:H11)</f>
        <v>10</v>
      </c>
    </row>
    <row r="12" spans="1:9" x14ac:dyDescent="0.25">
      <c r="A12" s="832"/>
      <c r="B12" s="833"/>
      <c r="C12" s="834"/>
      <c r="D12" s="835"/>
      <c r="E12" s="834"/>
      <c r="F12" s="835"/>
      <c r="G12" s="834"/>
      <c r="H12" s="836"/>
      <c r="I12" s="836"/>
    </row>
    <row r="13" spans="1:9" s="678" customFormat="1" x14ac:dyDescent="0.25">
      <c r="A13" s="838" t="s">
        <v>1038</v>
      </c>
      <c r="B13" s="839">
        <f>SUM(B14:B16)</f>
        <v>2</v>
      </c>
      <c r="C13" s="840">
        <f t="shared" ref="C13:H13" si="0">SUM(C14:C16)</f>
        <v>1</v>
      </c>
      <c r="D13" s="839">
        <f t="shared" si="0"/>
        <v>0</v>
      </c>
      <c r="E13" s="840">
        <f t="shared" si="0"/>
        <v>2</v>
      </c>
      <c r="F13" s="839">
        <f t="shared" si="0"/>
        <v>2.5</v>
      </c>
      <c r="G13" s="840">
        <f t="shared" si="0"/>
        <v>0</v>
      </c>
      <c r="H13" s="839">
        <f t="shared" si="0"/>
        <v>6</v>
      </c>
      <c r="I13" s="841">
        <f>SUM(B13:H13)</f>
        <v>13.5</v>
      </c>
    </row>
    <row r="14" spans="1:9" x14ac:dyDescent="0.25">
      <c r="A14" s="832" t="s">
        <v>1039</v>
      </c>
      <c r="B14" s="842"/>
      <c r="C14" s="834"/>
      <c r="D14" s="835"/>
      <c r="E14" s="834">
        <v>2</v>
      </c>
      <c r="F14" s="835"/>
      <c r="G14" s="834"/>
      <c r="H14" s="836"/>
      <c r="I14" s="836">
        <f>SUM(B14:H14)</f>
        <v>2</v>
      </c>
    </row>
    <row r="15" spans="1:9" x14ac:dyDescent="0.25">
      <c r="A15" s="832" t="s">
        <v>1040</v>
      </c>
      <c r="B15" s="842">
        <v>2</v>
      </c>
      <c r="C15" s="834"/>
      <c r="D15" s="835"/>
      <c r="E15" s="834"/>
      <c r="F15" s="835">
        <v>2.5</v>
      </c>
      <c r="G15" s="834"/>
      <c r="H15" s="836">
        <v>6</v>
      </c>
      <c r="I15" s="836">
        <f>SUM(B15:H15)</f>
        <v>10.5</v>
      </c>
    </row>
    <row r="16" spans="1:9" x14ac:dyDescent="0.25">
      <c r="A16" s="832" t="s">
        <v>1041</v>
      </c>
      <c r="B16" s="842"/>
      <c r="C16" s="834">
        <v>1</v>
      </c>
      <c r="D16" s="835"/>
      <c r="E16" s="834"/>
      <c r="F16" s="835"/>
      <c r="G16" s="834"/>
      <c r="H16" s="836"/>
      <c r="I16" s="836">
        <f>SUM(B16:H16)</f>
        <v>1</v>
      </c>
    </row>
    <row r="17" spans="1:9" ht="15.75" thickBot="1" x14ac:dyDescent="0.3">
      <c r="A17" s="843"/>
      <c r="B17" s="844"/>
      <c r="C17" s="845"/>
      <c r="D17" s="846"/>
      <c r="E17" s="845"/>
      <c r="F17" s="846"/>
      <c r="G17" s="845"/>
      <c r="H17" s="847"/>
      <c r="I17" s="847"/>
    </row>
    <row r="18" spans="1:9" s="676" customFormat="1" ht="15.75" thickBot="1" x14ac:dyDescent="0.3">
      <c r="A18" s="848" t="s">
        <v>813</v>
      </c>
      <c r="B18" s="849">
        <f>SUM(B9:B13)</f>
        <v>10</v>
      </c>
      <c r="C18" s="849">
        <f t="shared" ref="C18:H18" si="1">SUM(C9:C13)</f>
        <v>13.5</v>
      </c>
      <c r="D18" s="849">
        <f t="shared" si="1"/>
        <v>0</v>
      </c>
      <c r="E18" s="849">
        <f t="shared" si="1"/>
        <v>12</v>
      </c>
      <c r="F18" s="849">
        <f t="shared" si="1"/>
        <v>2.5</v>
      </c>
      <c r="G18" s="849">
        <f t="shared" si="1"/>
        <v>0</v>
      </c>
      <c r="H18" s="849">
        <f t="shared" si="1"/>
        <v>6</v>
      </c>
      <c r="I18" s="852">
        <f>SUM(I9:I13)</f>
        <v>44</v>
      </c>
    </row>
    <row r="19" spans="1:9" x14ac:dyDescent="0.25">
      <c r="A19" s="850"/>
      <c r="B19" s="851"/>
    </row>
    <row r="21" spans="1:9" x14ac:dyDescent="0.25">
      <c r="A21" s="1196" t="s">
        <v>1025</v>
      </c>
      <c r="B21" s="1197"/>
      <c r="C21" s="1198"/>
      <c r="D21" s="1198"/>
      <c r="E21" s="1198"/>
      <c r="F21" s="1198"/>
      <c r="G21" s="1198"/>
      <c r="H21" s="1198"/>
      <c r="I21" s="1199"/>
    </row>
    <row r="22" spans="1:9" x14ac:dyDescent="0.25">
      <c r="A22" s="1200" t="s">
        <v>773</v>
      </c>
      <c r="B22" s="1200"/>
      <c r="C22" s="1200"/>
      <c r="D22" s="1200"/>
      <c r="E22" s="1200"/>
      <c r="F22" s="1200"/>
      <c r="G22" s="1200"/>
      <c r="H22" s="1200"/>
      <c r="I22" s="1200"/>
    </row>
    <row r="23" spans="1:9" ht="15.75" thickBot="1" x14ac:dyDescent="0.3">
      <c r="A23" s="761"/>
    </row>
    <row r="24" spans="1:9" ht="15.75" thickBot="1" x14ac:dyDescent="0.3">
      <c r="A24" s="1201" t="s">
        <v>1027</v>
      </c>
      <c r="B24" s="1203" t="s">
        <v>1028</v>
      </c>
      <c r="C24" s="1204"/>
      <c r="D24" s="1204"/>
      <c r="E24" s="1204"/>
      <c r="F24" s="1204"/>
      <c r="G24" s="1204"/>
      <c r="H24" s="1204"/>
      <c r="I24" s="1205"/>
    </row>
    <row r="25" spans="1:9" ht="60.75" thickBot="1" x14ac:dyDescent="0.3">
      <c r="A25" s="1202"/>
      <c r="B25" s="827" t="s">
        <v>1029</v>
      </c>
      <c r="C25" s="828" t="s">
        <v>1030</v>
      </c>
      <c r="D25" s="829" t="s">
        <v>1031</v>
      </c>
      <c r="E25" s="828" t="s">
        <v>1032</v>
      </c>
      <c r="F25" s="830" t="s">
        <v>1033</v>
      </c>
      <c r="G25" s="828" t="s">
        <v>1034</v>
      </c>
      <c r="H25" s="831" t="s">
        <v>1035</v>
      </c>
      <c r="I25" s="831" t="s">
        <v>1158</v>
      </c>
    </row>
    <row r="26" spans="1:9" x14ac:dyDescent="0.25">
      <c r="A26" s="832" t="s">
        <v>557</v>
      </c>
      <c r="B26" s="833">
        <v>8</v>
      </c>
      <c r="C26" s="834">
        <v>11</v>
      </c>
      <c r="D26" s="835"/>
      <c r="E26" s="834"/>
      <c r="F26" s="835"/>
      <c r="G26" s="834"/>
      <c r="H26" s="836"/>
      <c r="I26" s="837">
        <f>SUM(B26:H26)</f>
        <v>19</v>
      </c>
    </row>
    <row r="27" spans="1:9" x14ac:dyDescent="0.25">
      <c r="A27" s="832" t="s">
        <v>1037</v>
      </c>
      <c r="B27" s="833"/>
      <c r="C27" s="834"/>
      <c r="D27" s="835"/>
      <c r="E27" s="834">
        <v>10</v>
      </c>
      <c r="F27" s="835"/>
      <c r="G27" s="834"/>
      <c r="H27" s="836"/>
      <c r="I27" s="837">
        <f>SUM(B27:H27)</f>
        <v>10</v>
      </c>
    </row>
    <row r="28" spans="1:9" x14ac:dyDescent="0.25">
      <c r="A28" s="832"/>
      <c r="B28" s="833"/>
      <c r="C28" s="834"/>
      <c r="D28" s="835"/>
      <c r="E28" s="834"/>
      <c r="F28" s="835"/>
      <c r="G28" s="834"/>
      <c r="H28" s="836"/>
      <c r="I28" s="836"/>
    </row>
    <row r="29" spans="1:9" x14ac:dyDescent="0.25">
      <c r="A29" s="838" t="s">
        <v>1038</v>
      </c>
      <c r="B29" s="839">
        <f>SUM(B30:B33)</f>
        <v>2</v>
      </c>
      <c r="C29" s="840">
        <f t="shared" ref="C29:I29" si="2">SUM(C30:C33)</f>
        <v>2.5</v>
      </c>
      <c r="D29" s="839">
        <f t="shared" si="2"/>
        <v>0</v>
      </c>
      <c r="E29" s="840">
        <f t="shared" si="2"/>
        <v>2</v>
      </c>
      <c r="F29" s="839">
        <f t="shared" si="2"/>
        <v>2.5</v>
      </c>
      <c r="G29" s="840">
        <f t="shared" si="2"/>
        <v>0</v>
      </c>
      <c r="H29" s="839">
        <f t="shared" si="2"/>
        <v>7</v>
      </c>
      <c r="I29" s="877">
        <f t="shared" si="2"/>
        <v>16</v>
      </c>
    </row>
    <row r="30" spans="1:9" x14ac:dyDescent="0.25">
      <c r="A30" s="832" t="s">
        <v>1039</v>
      </c>
      <c r="B30" s="842"/>
      <c r="C30" s="834"/>
      <c r="D30" s="835"/>
      <c r="E30" s="834">
        <v>2</v>
      </c>
      <c r="F30" s="835"/>
      <c r="G30" s="834"/>
      <c r="H30" s="836"/>
      <c r="I30" s="836">
        <f>SUM(B30:H30)</f>
        <v>2</v>
      </c>
    </row>
    <row r="31" spans="1:9" x14ac:dyDescent="0.25">
      <c r="A31" s="832" t="s">
        <v>1040</v>
      </c>
      <c r="B31" s="842">
        <v>2</v>
      </c>
      <c r="C31" s="834"/>
      <c r="D31" s="835"/>
      <c r="E31" s="834"/>
      <c r="F31" s="835">
        <v>2.5</v>
      </c>
      <c r="G31" s="834"/>
      <c r="H31" s="884">
        <v>7</v>
      </c>
      <c r="I31" s="836">
        <f>SUM(B31:H31)</f>
        <v>11.5</v>
      </c>
    </row>
    <row r="32" spans="1:9" x14ac:dyDescent="0.25">
      <c r="A32" s="832" t="s">
        <v>1041</v>
      </c>
      <c r="B32" s="842"/>
      <c r="C32" s="834">
        <v>1</v>
      </c>
      <c r="D32" s="835"/>
      <c r="E32" s="834"/>
      <c r="F32" s="835"/>
      <c r="G32" s="834"/>
      <c r="H32" s="836"/>
      <c r="I32" s="836">
        <f>SUM(B32:H32)</f>
        <v>1</v>
      </c>
    </row>
    <row r="33" spans="1:9" s="883" customFormat="1" ht="15.75" thickBot="1" x14ac:dyDescent="0.3">
      <c r="A33" s="878" t="s">
        <v>1036</v>
      </c>
      <c r="B33" s="879"/>
      <c r="C33" s="880">
        <v>1.5</v>
      </c>
      <c r="D33" s="881"/>
      <c r="E33" s="880"/>
      <c r="F33" s="881"/>
      <c r="G33" s="880"/>
      <c r="H33" s="882"/>
      <c r="I33" s="882">
        <v>1.5</v>
      </c>
    </row>
    <row r="34" spans="1:9" ht="15.75" thickBot="1" x14ac:dyDescent="0.3">
      <c r="A34" s="848" t="s">
        <v>813</v>
      </c>
      <c r="B34" s="849">
        <f>SUM(B26:B29)</f>
        <v>10</v>
      </c>
      <c r="C34" s="849">
        <f t="shared" ref="C34:H34" si="3">SUM(C26:C29)</f>
        <v>13.5</v>
      </c>
      <c r="D34" s="849">
        <f t="shared" si="3"/>
        <v>0</v>
      </c>
      <c r="E34" s="849">
        <f t="shared" si="3"/>
        <v>12</v>
      </c>
      <c r="F34" s="849">
        <f t="shared" si="3"/>
        <v>2.5</v>
      </c>
      <c r="G34" s="849">
        <f t="shared" si="3"/>
        <v>0</v>
      </c>
      <c r="H34" s="849">
        <f t="shared" si="3"/>
        <v>7</v>
      </c>
      <c r="I34" s="852">
        <f>SUM(I26:I29)</f>
        <v>45</v>
      </c>
    </row>
    <row r="35" spans="1:9" x14ac:dyDescent="0.25">
      <c r="A35" s="850"/>
      <c r="B35" s="851"/>
    </row>
    <row r="36" spans="1:9" x14ac:dyDescent="0.25">
      <c r="A36" s="1196" t="s">
        <v>1025</v>
      </c>
      <c r="B36" s="1197"/>
      <c r="C36" s="1198"/>
      <c r="D36" s="1198"/>
      <c r="E36" s="1198"/>
      <c r="F36" s="1198"/>
      <c r="G36" s="1198"/>
      <c r="H36" s="1198"/>
      <c r="I36" s="1199"/>
    </row>
    <row r="37" spans="1:9" x14ac:dyDescent="0.25">
      <c r="A37" s="1200" t="s">
        <v>1223</v>
      </c>
      <c r="B37" s="1200"/>
      <c r="C37" s="1200"/>
      <c r="D37" s="1200"/>
      <c r="E37" s="1200"/>
      <c r="F37" s="1200"/>
      <c r="G37" s="1200"/>
      <c r="H37" s="1200"/>
      <c r="I37" s="1200"/>
    </row>
    <row r="38" spans="1:9" ht="15.75" thickBot="1" x14ac:dyDescent="0.3">
      <c r="A38" s="761"/>
    </row>
    <row r="39" spans="1:9" ht="15.75" thickBot="1" x14ac:dyDescent="0.3">
      <c r="A39" s="1201" t="s">
        <v>1027</v>
      </c>
      <c r="B39" s="1203" t="s">
        <v>1028</v>
      </c>
      <c r="C39" s="1204"/>
      <c r="D39" s="1204"/>
      <c r="E39" s="1204"/>
      <c r="F39" s="1204"/>
      <c r="G39" s="1204"/>
      <c r="H39" s="1204"/>
      <c r="I39" s="1205"/>
    </row>
    <row r="40" spans="1:9" ht="60.75" thickBot="1" x14ac:dyDescent="0.3">
      <c r="A40" s="1202"/>
      <c r="B40" s="1150" t="s">
        <v>1029</v>
      </c>
      <c r="C40" s="828" t="s">
        <v>1030</v>
      </c>
      <c r="D40" s="829" t="s">
        <v>1031</v>
      </c>
      <c r="E40" s="828" t="s">
        <v>1032</v>
      </c>
      <c r="F40" s="830" t="s">
        <v>1033</v>
      </c>
      <c r="G40" s="828" t="s">
        <v>1034</v>
      </c>
      <c r="H40" s="831" t="s">
        <v>1035</v>
      </c>
      <c r="I40" s="831" t="s">
        <v>1158</v>
      </c>
    </row>
    <row r="41" spans="1:9" x14ac:dyDescent="0.25">
      <c r="A41" s="832" t="s">
        <v>557</v>
      </c>
      <c r="B41" s="833">
        <v>8</v>
      </c>
      <c r="C41" s="834">
        <v>11</v>
      </c>
      <c r="D41" s="835"/>
      <c r="E41" s="834"/>
      <c r="F41" s="835"/>
      <c r="G41" s="834"/>
      <c r="H41" s="836"/>
      <c r="I41" s="837">
        <f>SUM(B41:H41)</f>
        <v>19</v>
      </c>
    </row>
    <row r="42" spans="1:9" x14ac:dyDescent="0.25">
      <c r="A42" s="832" t="s">
        <v>1037</v>
      </c>
      <c r="B42" s="833"/>
      <c r="C42" s="834"/>
      <c r="D42" s="835"/>
      <c r="E42" s="834">
        <v>10</v>
      </c>
      <c r="F42" s="835"/>
      <c r="G42" s="834"/>
      <c r="H42" s="836"/>
      <c r="I42" s="837">
        <f>SUM(B42:H42)</f>
        <v>10</v>
      </c>
    </row>
    <row r="43" spans="1:9" x14ac:dyDescent="0.25">
      <c r="A43" s="832"/>
      <c r="B43" s="833"/>
      <c r="C43" s="834"/>
      <c r="D43" s="835"/>
      <c r="E43" s="834"/>
      <c r="F43" s="835"/>
      <c r="G43" s="834"/>
      <c r="H43" s="836"/>
      <c r="I43" s="836"/>
    </row>
    <row r="44" spans="1:9" x14ac:dyDescent="0.25">
      <c r="A44" s="838" t="s">
        <v>1038</v>
      </c>
      <c r="B44" s="839">
        <f>SUM(B45:B48)</f>
        <v>2</v>
      </c>
      <c r="C44" s="840">
        <f t="shared" ref="C44:I44" si="4">SUM(C45:C48)</f>
        <v>2.5</v>
      </c>
      <c r="D44" s="839">
        <f t="shared" si="4"/>
        <v>0</v>
      </c>
      <c r="E44" s="840">
        <f t="shared" si="4"/>
        <v>2.75</v>
      </c>
      <c r="F44" s="839">
        <f t="shared" si="4"/>
        <v>2.5</v>
      </c>
      <c r="G44" s="840">
        <f t="shared" si="4"/>
        <v>0</v>
      </c>
      <c r="H44" s="839">
        <f t="shared" si="4"/>
        <v>7</v>
      </c>
      <c r="I44" s="877">
        <f t="shared" si="4"/>
        <v>16.75</v>
      </c>
    </row>
    <row r="45" spans="1:9" x14ac:dyDescent="0.25">
      <c r="A45" s="832" t="s">
        <v>1039</v>
      </c>
      <c r="B45" s="842"/>
      <c r="C45" s="834"/>
      <c r="D45" s="835"/>
      <c r="E45" s="834">
        <v>2</v>
      </c>
      <c r="F45" s="835"/>
      <c r="G45" s="834"/>
      <c r="H45" s="836"/>
      <c r="I45" s="836">
        <f>SUM(B45:H45)</f>
        <v>2</v>
      </c>
    </row>
    <row r="46" spans="1:9" x14ac:dyDescent="0.25">
      <c r="A46" s="832" t="s">
        <v>1040</v>
      </c>
      <c r="B46" s="842">
        <v>2</v>
      </c>
      <c r="C46" s="834"/>
      <c r="D46" s="835"/>
      <c r="E46" s="834">
        <v>0.75</v>
      </c>
      <c r="F46" s="835">
        <v>2.5</v>
      </c>
      <c r="G46" s="834"/>
      <c r="H46" s="884">
        <v>7</v>
      </c>
      <c r="I46" s="836">
        <f>SUM(B46:H46)</f>
        <v>12.25</v>
      </c>
    </row>
    <row r="47" spans="1:9" x14ac:dyDescent="0.25">
      <c r="A47" s="832" t="s">
        <v>1041</v>
      </c>
      <c r="B47" s="842"/>
      <c r="C47" s="834">
        <v>1</v>
      </c>
      <c r="D47" s="835"/>
      <c r="E47" s="834"/>
      <c r="F47" s="835"/>
      <c r="G47" s="834"/>
      <c r="H47" s="836"/>
      <c r="I47" s="836">
        <f>SUM(B47:H47)</f>
        <v>1</v>
      </c>
    </row>
    <row r="48" spans="1:9" s="883" customFormat="1" ht="15.75" thickBot="1" x14ac:dyDescent="0.3">
      <c r="A48" s="878" t="s">
        <v>1036</v>
      </c>
      <c r="B48" s="879"/>
      <c r="C48" s="880">
        <v>1.5</v>
      </c>
      <c r="D48" s="881"/>
      <c r="E48" s="880"/>
      <c r="F48" s="881"/>
      <c r="G48" s="880"/>
      <c r="H48" s="882"/>
      <c r="I48" s="882">
        <v>1.5</v>
      </c>
    </row>
    <row r="49" spans="1:9" ht="15.75" thickBot="1" x14ac:dyDescent="0.3">
      <c r="A49" s="848" t="s">
        <v>813</v>
      </c>
      <c r="B49" s="849">
        <f>SUM(B41:B44)</f>
        <v>10</v>
      </c>
      <c r="C49" s="849">
        <f t="shared" ref="C49:H49" si="5">SUM(C41:C44)</f>
        <v>13.5</v>
      </c>
      <c r="D49" s="849">
        <f t="shared" si="5"/>
        <v>0</v>
      </c>
      <c r="E49" s="849">
        <f t="shared" si="5"/>
        <v>12.75</v>
      </c>
      <c r="F49" s="849">
        <f t="shared" si="5"/>
        <v>2.5</v>
      </c>
      <c r="G49" s="849">
        <f t="shared" si="5"/>
        <v>0</v>
      </c>
      <c r="H49" s="849">
        <f t="shared" si="5"/>
        <v>7</v>
      </c>
      <c r="I49" s="852">
        <f>SUM(I41:I44)</f>
        <v>45.75</v>
      </c>
    </row>
    <row r="51" spans="1:9" x14ac:dyDescent="0.25">
      <c r="A51" s="1196" t="s">
        <v>1025</v>
      </c>
      <c r="B51" s="1197"/>
      <c r="C51" s="1198"/>
      <c r="D51" s="1198"/>
      <c r="E51" s="1198"/>
      <c r="F51" s="1198"/>
      <c r="G51" s="1198"/>
      <c r="H51" s="1198"/>
      <c r="I51" s="1199"/>
    </row>
    <row r="52" spans="1:9" x14ac:dyDescent="0.25">
      <c r="A52" s="1200" t="s">
        <v>1226</v>
      </c>
      <c r="B52" s="1200"/>
      <c r="C52" s="1200"/>
      <c r="D52" s="1200"/>
      <c r="E52" s="1200"/>
      <c r="F52" s="1200"/>
      <c r="G52" s="1200"/>
      <c r="H52" s="1200"/>
      <c r="I52" s="1200"/>
    </row>
    <row r="53" spans="1:9" ht="15.75" thickBot="1" x14ac:dyDescent="0.3">
      <c r="A53" s="761"/>
    </row>
    <row r="54" spans="1:9" ht="15.75" thickBot="1" x14ac:dyDescent="0.3">
      <c r="A54" s="1201" t="s">
        <v>1027</v>
      </c>
      <c r="B54" s="1203" t="s">
        <v>1028</v>
      </c>
      <c r="C54" s="1204"/>
      <c r="D54" s="1204"/>
      <c r="E54" s="1204"/>
      <c r="F54" s="1204"/>
      <c r="G54" s="1204"/>
      <c r="H54" s="1204"/>
      <c r="I54" s="1205"/>
    </row>
    <row r="55" spans="1:9" ht="60.75" thickBot="1" x14ac:dyDescent="0.3">
      <c r="A55" s="1202"/>
      <c r="B55" s="1163" t="s">
        <v>1029</v>
      </c>
      <c r="C55" s="828" t="s">
        <v>1030</v>
      </c>
      <c r="D55" s="829" t="s">
        <v>1031</v>
      </c>
      <c r="E55" s="828" t="s">
        <v>1032</v>
      </c>
      <c r="F55" s="830" t="s">
        <v>1033</v>
      </c>
      <c r="G55" s="828" t="s">
        <v>1034</v>
      </c>
      <c r="H55" s="831" t="s">
        <v>1035</v>
      </c>
      <c r="I55" s="831" t="s">
        <v>1158</v>
      </c>
    </row>
    <row r="56" spans="1:9" x14ac:dyDescent="0.25">
      <c r="A56" s="832" t="s">
        <v>557</v>
      </c>
      <c r="B56" s="833">
        <v>8</v>
      </c>
      <c r="C56" s="834">
        <v>11</v>
      </c>
      <c r="D56" s="835"/>
      <c r="E56" s="834"/>
      <c r="F56" s="835"/>
      <c r="G56" s="834"/>
      <c r="H56" s="836"/>
      <c r="I56" s="837">
        <f>SUM(B56:H56)</f>
        <v>19</v>
      </c>
    </row>
    <row r="57" spans="1:9" x14ac:dyDescent="0.25">
      <c r="A57" s="832" t="s">
        <v>1037</v>
      </c>
      <c r="B57" s="833"/>
      <c r="C57" s="834"/>
      <c r="D57" s="835"/>
      <c r="E57" s="1165">
        <v>10.75</v>
      </c>
      <c r="F57" s="835"/>
      <c r="G57" s="834"/>
      <c r="H57" s="836"/>
      <c r="I57" s="837">
        <f>SUM(B57:H57)</f>
        <v>10.75</v>
      </c>
    </row>
    <row r="58" spans="1:9" x14ac:dyDescent="0.25">
      <c r="A58" s="832"/>
      <c r="B58" s="833"/>
      <c r="C58" s="834"/>
      <c r="D58" s="835"/>
      <c r="E58" s="834"/>
      <c r="F58" s="835"/>
      <c r="G58" s="834"/>
      <c r="H58" s="836"/>
      <c r="I58" s="836"/>
    </row>
    <row r="59" spans="1:9" x14ac:dyDescent="0.25">
      <c r="A59" s="838" t="s">
        <v>1038</v>
      </c>
      <c r="B59" s="839">
        <f>SUM(B60:B63)</f>
        <v>2</v>
      </c>
      <c r="C59" s="840">
        <f t="shared" ref="C59:I59" si="6">SUM(C60:C63)</f>
        <v>2.5</v>
      </c>
      <c r="D59" s="839">
        <f t="shared" si="6"/>
        <v>0</v>
      </c>
      <c r="E59" s="840">
        <f t="shared" si="6"/>
        <v>2</v>
      </c>
      <c r="F59" s="839">
        <f t="shared" si="6"/>
        <v>2.5</v>
      </c>
      <c r="G59" s="840">
        <f t="shared" si="6"/>
        <v>0</v>
      </c>
      <c r="H59" s="839">
        <f t="shared" si="6"/>
        <v>7</v>
      </c>
      <c r="I59" s="877">
        <f t="shared" si="6"/>
        <v>16</v>
      </c>
    </row>
    <row r="60" spans="1:9" x14ac:dyDescent="0.25">
      <c r="A60" s="832" t="s">
        <v>1039</v>
      </c>
      <c r="B60" s="842"/>
      <c r="C60" s="834"/>
      <c r="D60" s="835"/>
      <c r="E60" s="834">
        <v>2</v>
      </c>
      <c r="F60" s="835"/>
      <c r="G60" s="834"/>
      <c r="H60" s="836"/>
      <c r="I60" s="836">
        <f>SUM(B60:H60)</f>
        <v>2</v>
      </c>
    </row>
    <row r="61" spans="1:9" x14ac:dyDescent="0.25">
      <c r="A61" s="832" t="s">
        <v>1040</v>
      </c>
      <c r="B61" s="842">
        <v>2</v>
      </c>
      <c r="C61" s="834"/>
      <c r="D61" s="835"/>
      <c r="E61" s="834"/>
      <c r="F61" s="835">
        <v>2.5</v>
      </c>
      <c r="G61" s="834"/>
      <c r="H61" s="884">
        <v>7</v>
      </c>
      <c r="I61" s="836">
        <f>SUM(B61:H61)</f>
        <v>11.5</v>
      </c>
    </row>
    <row r="62" spans="1:9" x14ac:dyDescent="0.25">
      <c r="A62" s="832" t="s">
        <v>1041</v>
      </c>
      <c r="B62" s="842"/>
      <c r="C62" s="834">
        <v>1</v>
      </c>
      <c r="D62" s="835"/>
      <c r="E62" s="834"/>
      <c r="F62" s="835"/>
      <c r="G62" s="834"/>
      <c r="H62" s="836"/>
      <c r="I62" s="836">
        <f>SUM(B62:H62)</f>
        <v>1</v>
      </c>
    </row>
    <row r="63" spans="1:9" s="883" customFormat="1" ht="15.75" thickBot="1" x14ac:dyDescent="0.3">
      <c r="A63" s="878" t="s">
        <v>1036</v>
      </c>
      <c r="B63" s="879"/>
      <c r="C63" s="880">
        <v>1.5</v>
      </c>
      <c r="D63" s="881"/>
      <c r="E63" s="880"/>
      <c r="F63" s="881"/>
      <c r="G63" s="880"/>
      <c r="H63" s="882"/>
      <c r="I63" s="882">
        <v>1.5</v>
      </c>
    </row>
    <row r="64" spans="1:9" ht="15.75" thickBot="1" x14ac:dyDescent="0.3">
      <c r="A64" s="848" t="s">
        <v>813</v>
      </c>
      <c r="B64" s="849">
        <f>SUM(B56:B59)</f>
        <v>10</v>
      </c>
      <c r="C64" s="849">
        <f t="shared" ref="C64:H64" si="7">SUM(C56:C59)</f>
        <v>13.5</v>
      </c>
      <c r="D64" s="849">
        <f t="shared" si="7"/>
        <v>0</v>
      </c>
      <c r="E64" s="849">
        <f t="shared" si="7"/>
        <v>12.75</v>
      </c>
      <c r="F64" s="849">
        <f t="shared" si="7"/>
        <v>2.5</v>
      </c>
      <c r="G64" s="849">
        <f t="shared" si="7"/>
        <v>0</v>
      </c>
      <c r="H64" s="849">
        <f t="shared" si="7"/>
        <v>7</v>
      </c>
      <c r="I64" s="852">
        <f>SUM(I56:I59)</f>
        <v>45.75</v>
      </c>
    </row>
    <row r="66" spans="1:9" x14ac:dyDescent="0.25">
      <c r="A66" s="1196" t="s">
        <v>1025</v>
      </c>
      <c r="B66" s="1197"/>
      <c r="C66" s="1198"/>
      <c r="D66" s="1198"/>
      <c r="E66" s="1198"/>
      <c r="F66" s="1198"/>
      <c r="G66" s="1198"/>
      <c r="H66" s="1198"/>
      <c r="I66" s="1199"/>
    </row>
    <row r="67" spans="1:9" x14ac:dyDescent="0.25">
      <c r="A67" s="1200" t="s">
        <v>1229</v>
      </c>
      <c r="B67" s="1200"/>
      <c r="C67" s="1200"/>
      <c r="D67" s="1200"/>
      <c r="E67" s="1200"/>
      <c r="F67" s="1200"/>
      <c r="G67" s="1200"/>
      <c r="H67" s="1200"/>
      <c r="I67" s="1200"/>
    </row>
    <row r="68" spans="1:9" ht="15.75" thickBot="1" x14ac:dyDescent="0.3">
      <c r="A68" s="761"/>
    </row>
    <row r="69" spans="1:9" ht="15.75" thickBot="1" x14ac:dyDescent="0.3">
      <c r="A69" s="1201" t="s">
        <v>1027</v>
      </c>
      <c r="B69" s="1203" t="s">
        <v>1028</v>
      </c>
      <c r="C69" s="1204"/>
      <c r="D69" s="1204"/>
      <c r="E69" s="1204"/>
      <c r="F69" s="1204"/>
      <c r="G69" s="1204"/>
      <c r="H69" s="1204"/>
      <c r="I69" s="1205"/>
    </row>
    <row r="70" spans="1:9" ht="60.75" thickBot="1" x14ac:dyDescent="0.3">
      <c r="A70" s="1202"/>
      <c r="B70" s="1164" t="s">
        <v>1029</v>
      </c>
      <c r="C70" s="828" t="s">
        <v>1030</v>
      </c>
      <c r="D70" s="829" t="s">
        <v>1031</v>
      </c>
      <c r="E70" s="828" t="s">
        <v>1032</v>
      </c>
      <c r="F70" s="830" t="s">
        <v>1033</v>
      </c>
      <c r="G70" s="828" t="s">
        <v>1034</v>
      </c>
      <c r="H70" s="831" t="s">
        <v>1035</v>
      </c>
      <c r="I70" s="831" t="s">
        <v>1158</v>
      </c>
    </row>
    <row r="71" spans="1:9" x14ac:dyDescent="0.25">
      <c r="A71" s="832" t="s">
        <v>557</v>
      </c>
      <c r="B71" s="833">
        <v>8</v>
      </c>
      <c r="C71" s="834">
        <v>11</v>
      </c>
      <c r="D71" s="835"/>
      <c r="E71" s="834"/>
      <c r="F71" s="835"/>
      <c r="G71" s="834"/>
      <c r="H71" s="836"/>
      <c r="I71" s="837">
        <f>SUM(B71:H71)</f>
        <v>19</v>
      </c>
    </row>
    <row r="72" spans="1:9" x14ac:dyDescent="0.25">
      <c r="A72" s="832" t="s">
        <v>1037</v>
      </c>
      <c r="B72" s="833"/>
      <c r="C72" s="834"/>
      <c r="D72" s="835"/>
      <c r="E72" s="1165">
        <v>10.75</v>
      </c>
      <c r="F72" s="835"/>
      <c r="G72" s="834"/>
      <c r="H72" s="836"/>
      <c r="I72" s="837">
        <f>SUM(B72:H72)</f>
        <v>10.75</v>
      </c>
    </row>
    <row r="73" spans="1:9" x14ac:dyDescent="0.25">
      <c r="A73" s="832"/>
      <c r="B73" s="833"/>
      <c r="C73" s="834"/>
      <c r="D73" s="835"/>
      <c r="E73" s="834"/>
      <c r="F73" s="835"/>
      <c r="G73" s="834"/>
      <c r="H73" s="836"/>
      <c r="I73" s="836"/>
    </row>
    <row r="74" spans="1:9" x14ac:dyDescent="0.25">
      <c r="A74" s="838" t="s">
        <v>1038</v>
      </c>
      <c r="B74" s="839">
        <f>SUM(B75:B78)</f>
        <v>2</v>
      </c>
      <c r="C74" s="840">
        <f t="shared" ref="C74:I74" si="8">SUM(C75:C78)</f>
        <v>2.5</v>
      </c>
      <c r="D74" s="839">
        <f t="shared" si="8"/>
        <v>0</v>
      </c>
      <c r="E74" s="840">
        <f t="shared" si="8"/>
        <v>2</v>
      </c>
      <c r="F74" s="839">
        <f t="shared" si="8"/>
        <v>2.5</v>
      </c>
      <c r="G74" s="840">
        <f t="shared" si="8"/>
        <v>0</v>
      </c>
      <c r="H74" s="839">
        <f t="shared" si="8"/>
        <v>35</v>
      </c>
      <c r="I74" s="877">
        <f t="shared" si="8"/>
        <v>44</v>
      </c>
    </row>
    <row r="75" spans="1:9" x14ac:dyDescent="0.25">
      <c r="A75" s="832" t="s">
        <v>1039</v>
      </c>
      <c r="B75" s="842"/>
      <c r="C75" s="834"/>
      <c r="D75" s="835"/>
      <c r="E75" s="834">
        <v>2</v>
      </c>
      <c r="F75" s="835"/>
      <c r="G75" s="834"/>
      <c r="H75" s="836"/>
      <c r="I75" s="836">
        <f>SUM(B75:H75)</f>
        <v>2</v>
      </c>
    </row>
    <row r="76" spans="1:9" x14ac:dyDescent="0.25">
      <c r="A76" s="832" t="s">
        <v>1040</v>
      </c>
      <c r="B76" s="842">
        <v>2</v>
      </c>
      <c r="C76" s="834"/>
      <c r="D76" s="835"/>
      <c r="E76" s="834"/>
      <c r="F76" s="835">
        <v>2.5</v>
      </c>
      <c r="G76" s="834"/>
      <c r="H76" s="884">
        <v>35</v>
      </c>
      <c r="I76" s="836">
        <f>SUM(B76:H76)</f>
        <v>39.5</v>
      </c>
    </row>
    <row r="77" spans="1:9" x14ac:dyDescent="0.25">
      <c r="A77" s="832" t="s">
        <v>1041</v>
      </c>
      <c r="B77" s="842"/>
      <c r="C77" s="834">
        <v>1</v>
      </c>
      <c r="D77" s="835"/>
      <c r="E77" s="834"/>
      <c r="F77" s="835"/>
      <c r="G77" s="834"/>
      <c r="H77" s="836"/>
      <c r="I77" s="836">
        <f>SUM(B77:H77)</f>
        <v>1</v>
      </c>
    </row>
    <row r="78" spans="1:9" s="883" customFormat="1" ht="15.75" thickBot="1" x14ac:dyDescent="0.3">
      <c r="A78" s="878" t="s">
        <v>1036</v>
      </c>
      <c r="B78" s="879"/>
      <c r="C78" s="880">
        <v>1.5</v>
      </c>
      <c r="D78" s="881"/>
      <c r="E78" s="880"/>
      <c r="F78" s="881"/>
      <c r="G78" s="880"/>
      <c r="H78" s="882"/>
      <c r="I78" s="882">
        <v>1.5</v>
      </c>
    </row>
    <row r="79" spans="1:9" ht="15.75" thickBot="1" x14ac:dyDescent="0.3">
      <c r="A79" s="848" t="s">
        <v>813</v>
      </c>
      <c r="B79" s="849">
        <f>SUM(B71:B74)</f>
        <v>10</v>
      </c>
      <c r="C79" s="849">
        <f t="shared" ref="C79:H79" si="9">SUM(C71:C74)</f>
        <v>13.5</v>
      </c>
      <c r="D79" s="849">
        <f t="shared" si="9"/>
        <v>0</v>
      </c>
      <c r="E79" s="849">
        <f t="shared" si="9"/>
        <v>12.75</v>
      </c>
      <c r="F79" s="849">
        <f t="shared" si="9"/>
        <v>2.5</v>
      </c>
      <c r="G79" s="849">
        <f t="shared" si="9"/>
        <v>0</v>
      </c>
      <c r="H79" s="849">
        <f t="shared" si="9"/>
        <v>35</v>
      </c>
      <c r="I79" s="852">
        <f>SUM(I71:I74)</f>
        <v>73.75</v>
      </c>
    </row>
  </sheetData>
  <mergeCells count="21">
    <mergeCell ref="A21:I21"/>
    <mergeCell ref="A1:I1"/>
    <mergeCell ref="A4:I4"/>
    <mergeCell ref="A5:I5"/>
    <mergeCell ref="A7:A8"/>
    <mergeCell ref="B7:I7"/>
    <mergeCell ref="A36:I36"/>
    <mergeCell ref="A37:I37"/>
    <mergeCell ref="A39:A40"/>
    <mergeCell ref="B39:I39"/>
    <mergeCell ref="A22:I22"/>
    <mergeCell ref="A24:A25"/>
    <mergeCell ref="B24:I24"/>
    <mergeCell ref="A66:I66"/>
    <mergeCell ref="A67:I67"/>
    <mergeCell ref="A69:A70"/>
    <mergeCell ref="B69:I69"/>
    <mergeCell ref="A51:I51"/>
    <mergeCell ref="A52:I52"/>
    <mergeCell ref="A54:A55"/>
    <mergeCell ref="B54:I54"/>
  </mergeCells>
  <phoneticPr fontId="30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801" bestFit="1" customWidth="1"/>
    <col min="2" max="2" width="60.1640625" style="701" customWidth="1"/>
    <col min="3" max="3" width="0" style="760" hidden="1" customWidth="1"/>
    <col min="4" max="4" width="11.5" style="760" customWidth="1"/>
    <col min="5" max="5" width="17.5" style="760" customWidth="1"/>
    <col min="6" max="6" width="14.33203125" style="760" customWidth="1"/>
    <col min="7" max="7" width="17.5" style="760" customWidth="1"/>
    <col min="8" max="8" width="11.33203125" style="760" bestFit="1" customWidth="1"/>
    <col min="9" max="9" width="9.83203125" style="760" bestFit="1" customWidth="1"/>
    <col min="10" max="10" width="13.1640625" style="760" customWidth="1"/>
    <col min="11" max="11" width="18.6640625" style="760" customWidth="1"/>
    <col min="12" max="12" width="9.5" style="760" hidden="1" customWidth="1"/>
    <col min="13" max="13" width="18.83203125" style="760" customWidth="1"/>
    <col min="14" max="14" width="0" style="760" hidden="1" customWidth="1"/>
    <col min="15" max="15" width="16.83203125" style="760" customWidth="1"/>
    <col min="16" max="16" width="9.83203125" style="760" bestFit="1" customWidth="1"/>
    <col min="17" max="17" width="13.6640625" style="802" customWidth="1"/>
    <col min="18" max="16384" width="9.33203125" style="701"/>
  </cols>
  <sheetData>
    <row r="1" spans="1:17" x14ac:dyDescent="0.25">
      <c r="A1" s="1273" t="s">
        <v>895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1273"/>
      <c r="Q1" s="1273"/>
    </row>
    <row r="2" spans="1:17" x14ac:dyDescent="0.25">
      <c r="A2" s="1274" t="s">
        <v>896</v>
      </c>
      <c r="B2" s="1274"/>
      <c r="C2" s="1274"/>
      <c r="D2" s="1274"/>
      <c r="E2" s="1274"/>
      <c r="F2" s="1274"/>
      <c r="G2" s="1274"/>
      <c r="H2" s="1274"/>
      <c r="I2" s="1274"/>
      <c r="J2" s="1274"/>
      <c r="K2" s="800"/>
      <c r="L2" s="701"/>
      <c r="M2" s="701"/>
      <c r="N2" s="701"/>
      <c r="O2" s="701"/>
      <c r="P2" s="701"/>
      <c r="Q2" s="701"/>
    </row>
    <row r="4" spans="1:17" s="806" customFormat="1" x14ac:dyDescent="0.2">
      <c r="A4" s="803"/>
      <c r="B4" s="804" t="s">
        <v>12</v>
      </c>
      <c r="C4" s="805">
        <v>2011</v>
      </c>
      <c r="D4" s="1278" t="s">
        <v>554</v>
      </c>
      <c r="E4" s="1279"/>
      <c r="F4" s="1279"/>
      <c r="G4" s="1279"/>
      <c r="H4" s="1279"/>
      <c r="I4" s="1279"/>
      <c r="J4" s="1280"/>
      <c r="K4" s="1276" t="s">
        <v>555</v>
      </c>
      <c r="L4" s="1276"/>
      <c r="M4" s="1276"/>
      <c r="N4" s="1276"/>
      <c r="O4" s="1276"/>
      <c r="P4" s="1276"/>
      <c r="Q4" s="1277"/>
    </row>
    <row r="5" spans="1:17" s="806" customFormat="1" ht="75" x14ac:dyDescent="0.2">
      <c r="A5" s="807"/>
      <c r="B5" s="808"/>
      <c r="C5" s="805" t="s">
        <v>897</v>
      </c>
      <c r="D5" s="805" t="s">
        <v>530</v>
      </c>
      <c r="E5" s="651" t="s">
        <v>557</v>
      </c>
      <c r="F5" s="651" t="s">
        <v>558</v>
      </c>
      <c r="G5" s="651" t="s">
        <v>559</v>
      </c>
      <c r="H5" s="805" t="s">
        <v>528</v>
      </c>
      <c r="I5" s="805" t="s">
        <v>529</v>
      </c>
      <c r="J5" s="805" t="s">
        <v>1158</v>
      </c>
      <c r="K5" s="651" t="s">
        <v>557</v>
      </c>
      <c r="L5" s="651" t="s">
        <v>558</v>
      </c>
      <c r="M5" s="651" t="s">
        <v>559</v>
      </c>
      <c r="N5" s="805" t="s">
        <v>528</v>
      </c>
      <c r="O5" s="651" t="s">
        <v>893</v>
      </c>
      <c r="P5" s="805" t="s">
        <v>529</v>
      </c>
      <c r="Q5" s="653" t="s">
        <v>1158</v>
      </c>
    </row>
    <row r="6" spans="1:17" x14ac:dyDescent="0.25">
      <c r="A6" s="809">
        <v>1</v>
      </c>
      <c r="B6" s="810" t="s">
        <v>898</v>
      </c>
      <c r="C6" s="670"/>
      <c r="D6" s="657">
        <v>37307.510999999999</v>
      </c>
      <c r="E6" s="657">
        <v>9658.8590000000004</v>
      </c>
      <c r="F6" s="657">
        <v>6776.4070000000002</v>
      </c>
      <c r="G6" s="657">
        <v>580.88199999999995</v>
      </c>
      <c r="H6" s="657">
        <v>10415.591</v>
      </c>
      <c r="I6" s="657">
        <v>33870.446999999993</v>
      </c>
      <c r="J6" s="657">
        <v>98609.696999999986</v>
      </c>
      <c r="K6" s="659">
        <v>30313.200000000001</v>
      </c>
      <c r="L6" s="659">
        <v>0</v>
      </c>
      <c r="M6" s="659">
        <v>2307.6</v>
      </c>
      <c r="N6" s="659">
        <v>14015.82</v>
      </c>
      <c r="O6" s="659">
        <v>14015.82</v>
      </c>
      <c r="P6" s="659">
        <v>32068.795000000002</v>
      </c>
      <c r="Q6" s="660">
        <v>78705.415000000008</v>
      </c>
    </row>
    <row r="7" spans="1:17" x14ac:dyDescent="0.25">
      <c r="A7" s="811">
        <v>2</v>
      </c>
      <c r="B7" s="812" t="s">
        <v>899</v>
      </c>
      <c r="C7" s="670"/>
      <c r="D7" s="657">
        <v>10871.213</v>
      </c>
      <c r="E7" s="657">
        <v>1885.702</v>
      </c>
      <c r="F7" s="657">
        <v>2102.7359999999999</v>
      </c>
      <c r="G7" s="657">
        <v>310.26400000000001</v>
      </c>
      <c r="H7" s="657">
        <v>4687.991</v>
      </c>
      <c r="I7" s="657">
        <v>9168.5529999999999</v>
      </c>
      <c r="J7" s="657">
        <v>29026.458999999995</v>
      </c>
      <c r="K7" s="659">
        <v>4347</v>
      </c>
      <c r="L7" s="659">
        <v>0</v>
      </c>
      <c r="M7" s="659">
        <v>480</v>
      </c>
      <c r="N7" s="659">
        <v>6303.9009999999998</v>
      </c>
      <c r="O7" s="659">
        <v>6303.9009999999998</v>
      </c>
      <c r="P7" s="659">
        <v>5704.558</v>
      </c>
      <c r="Q7" s="660">
        <v>16835.459000000003</v>
      </c>
    </row>
    <row r="8" spans="1:17" s="761" customFormat="1" x14ac:dyDescent="0.25">
      <c r="A8" s="811">
        <v>3</v>
      </c>
      <c r="B8" s="812" t="s">
        <v>900</v>
      </c>
      <c r="C8" s="670"/>
      <c r="D8" s="657">
        <v>321.15600000000001</v>
      </c>
      <c r="E8" s="657">
        <v>92</v>
      </c>
      <c r="F8" s="657">
        <v>818.31099999999992</v>
      </c>
      <c r="G8" s="657">
        <v>523.02099999999996</v>
      </c>
      <c r="H8" s="657">
        <v>3153.4</v>
      </c>
      <c r="I8" s="657">
        <v>1370.0910000000001</v>
      </c>
      <c r="J8" s="657">
        <v>6277.9790000000003</v>
      </c>
      <c r="K8" s="659">
        <v>276</v>
      </c>
      <c r="L8" s="659">
        <v>0</v>
      </c>
      <c r="M8" s="659">
        <v>926.4</v>
      </c>
      <c r="N8" s="659">
        <v>2087.1</v>
      </c>
      <c r="O8" s="659">
        <v>2087.1</v>
      </c>
      <c r="P8" s="659">
        <v>0</v>
      </c>
      <c r="Q8" s="660">
        <v>3289.5000000000005</v>
      </c>
    </row>
    <row r="9" spans="1:17" s="761" customFormat="1" x14ac:dyDescent="0.25">
      <c r="A9" s="671">
        <v>4</v>
      </c>
      <c r="B9" s="672" t="s">
        <v>901</v>
      </c>
      <c r="C9" s="813">
        <v>0</v>
      </c>
      <c r="D9" s="813">
        <v>48499.880000000005</v>
      </c>
      <c r="E9" s="813">
        <v>11636.561</v>
      </c>
      <c r="F9" s="813">
        <v>9697.4539999999997</v>
      </c>
      <c r="G9" s="813">
        <v>1414.1669999999999</v>
      </c>
      <c r="H9" s="813">
        <v>18256.982</v>
      </c>
      <c r="I9" s="813">
        <v>44409.090999999993</v>
      </c>
      <c r="J9" s="813">
        <v>133914.13500000001</v>
      </c>
      <c r="K9" s="813">
        <v>34936.199999999997</v>
      </c>
      <c r="L9" s="813">
        <v>0</v>
      </c>
      <c r="M9" s="813">
        <v>3714</v>
      </c>
      <c r="N9" s="813">
        <v>22406.820999999996</v>
      </c>
      <c r="O9" s="813">
        <v>22406.820999999996</v>
      </c>
      <c r="P9" s="813">
        <v>37773.353000000003</v>
      </c>
      <c r="Q9" s="813">
        <v>98830.373999999996</v>
      </c>
    </row>
    <row r="10" spans="1:17" s="761" customFormat="1" x14ac:dyDescent="0.25">
      <c r="A10" s="671">
        <v>5</v>
      </c>
      <c r="B10" s="672" t="s">
        <v>902</v>
      </c>
      <c r="C10" s="813"/>
      <c r="D10" s="813">
        <v>13945.891</v>
      </c>
      <c r="E10" s="813">
        <v>3062.3130000000001</v>
      </c>
      <c r="F10" s="813">
        <v>2452.9369999999999</v>
      </c>
      <c r="G10" s="813">
        <v>376.512</v>
      </c>
      <c r="H10" s="813">
        <v>4427.0889999999999</v>
      </c>
      <c r="I10" s="813">
        <v>11635.154999999999</v>
      </c>
      <c r="J10" s="813">
        <v>35899.896999999997</v>
      </c>
      <c r="K10" s="813">
        <v>10275.744000000001</v>
      </c>
      <c r="L10" s="813">
        <v>0</v>
      </c>
      <c r="M10" s="813">
        <v>1002.7800000000001</v>
      </c>
      <c r="N10" s="813">
        <v>6030.1790000000001</v>
      </c>
      <c r="O10" s="813">
        <v>6030.1790000000001</v>
      </c>
      <c r="P10" s="813">
        <v>9264.7510000000002</v>
      </c>
      <c r="Q10" s="813">
        <v>26573.454000000002</v>
      </c>
    </row>
    <row r="11" spans="1:17" s="814" customFormat="1" x14ac:dyDescent="0.2">
      <c r="A11" s="671">
        <v>6</v>
      </c>
      <c r="B11" s="672" t="s">
        <v>903</v>
      </c>
      <c r="C11" s="813">
        <v>0</v>
      </c>
      <c r="D11" s="813">
        <v>15676.251</v>
      </c>
      <c r="E11" s="813">
        <v>6338.8120000000008</v>
      </c>
      <c r="F11" s="813">
        <v>3552.2360000000003</v>
      </c>
      <c r="G11" s="813">
        <v>2335.3100000000004</v>
      </c>
      <c r="H11" s="813">
        <v>35830.889000000003</v>
      </c>
      <c r="I11" s="813">
        <v>7111.4290000000001</v>
      </c>
      <c r="J11" s="813">
        <v>70844.927000000011</v>
      </c>
      <c r="K11" s="813">
        <v>19973.105209599998</v>
      </c>
      <c r="L11" s="813">
        <v>10197.028188976377</v>
      </c>
      <c r="M11" s="813">
        <v>2497.6275000000001</v>
      </c>
      <c r="N11" s="813">
        <v>27951.150711220471</v>
      </c>
      <c r="O11" s="813">
        <v>38148.17890019685</v>
      </c>
      <c r="P11" s="813">
        <v>11774.928659000001</v>
      </c>
      <c r="Q11" s="813">
        <v>72393.840268796834</v>
      </c>
    </row>
    <row r="12" spans="1:17" x14ac:dyDescent="0.25">
      <c r="A12" s="815">
        <v>7</v>
      </c>
      <c r="B12" s="816" t="s">
        <v>904</v>
      </c>
      <c r="C12" s="670">
        <v>0</v>
      </c>
      <c r="D12" s="657">
        <v>275.70100000000002</v>
      </c>
      <c r="E12" s="657">
        <v>638.84199999999998</v>
      </c>
      <c r="F12" s="657">
        <v>470.01000000000005</v>
      </c>
      <c r="G12" s="657">
        <v>77.579000000000008</v>
      </c>
      <c r="H12" s="657">
        <v>2146.5930000000003</v>
      </c>
      <c r="I12" s="657">
        <v>1341.011</v>
      </c>
      <c r="J12" s="657">
        <v>4949.7360000000008</v>
      </c>
      <c r="K12" s="659">
        <v>745</v>
      </c>
      <c r="L12" s="659">
        <v>660</v>
      </c>
      <c r="M12" s="659">
        <v>200</v>
      </c>
      <c r="N12" s="659">
        <v>2282</v>
      </c>
      <c r="O12" s="659">
        <v>2942</v>
      </c>
      <c r="P12" s="659">
        <v>1969</v>
      </c>
      <c r="Q12" s="660">
        <v>5856</v>
      </c>
    </row>
    <row r="13" spans="1:17" x14ac:dyDescent="0.25">
      <c r="A13" s="817">
        <v>8</v>
      </c>
      <c r="B13" s="818" t="s">
        <v>905</v>
      </c>
      <c r="C13" s="670"/>
      <c r="D13" s="657">
        <v>0</v>
      </c>
      <c r="E13" s="657">
        <v>0</v>
      </c>
      <c r="F13" s="657">
        <v>0</v>
      </c>
      <c r="G13" s="657">
        <v>0</v>
      </c>
      <c r="H13" s="657">
        <v>0</v>
      </c>
      <c r="I13" s="657">
        <v>0</v>
      </c>
      <c r="J13" s="657">
        <v>0</v>
      </c>
      <c r="K13" s="659">
        <v>0</v>
      </c>
      <c r="L13" s="659">
        <v>0</v>
      </c>
      <c r="M13" s="659">
        <v>0</v>
      </c>
      <c r="N13" s="659">
        <v>0</v>
      </c>
      <c r="O13" s="659">
        <v>0</v>
      </c>
      <c r="P13" s="659">
        <v>0</v>
      </c>
      <c r="Q13" s="660">
        <v>0</v>
      </c>
    </row>
    <row r="14" spans="1:17" x14ac:dyDescent="0.25">
      <c r="A14" s="817">
        <v>9</v>
      </c>
      <c r="B14" s="818" t="s">
        <v>533</v>
      </c>
      <c r="C14" s="670"/>
      <c r="D14" s="657">
        <v>3.9</v>
      </c>
      <c r="E14" s="657">
        <v>0</v>
      </c>
      <c r="F14" s="657">
        <v>0</v>
      </c>
      <c r="G14" s="657">
        <v>0</v>
      </c>
      <c r="H14" s="657">
        <v>57.414999999999999</v>
      </c>
      <c r="I14" s="657">
        <v>0</v>
      </c>
      <c r="J14" s="657">
        <v>61.314999999999998</v>
      </c>
      <c r="K14" s="659">
        <v>5</v>
      </c>
      <c r="L14" s="659">
        <v>10</v>
      </c>
      <c r="M14" s="659">
        <v>0</v>
      </c>
      <c r="N14" s="659">
        <v>150</v>
      </c>
      <c r="O14" s="659">
        <v>160</v>
      </c>
      <c r="P14" s="659">
        <v>0</v>
      </c>
      <c r="Q14" s="660">
        <v>165</v>
      </c>
    </row>
    <row r="15" spans="1:17" x14ac:dyDescent="0.25">
      <c r="A15" s="817">
        <v>10</v>
      </c>
      <c r="B15" s="818" t="s">
        <v>534</v>
      </c>
      <c r="C15" s="670"/>
      <c r="D15" s="657">
        <v>0</v>
      </c>
      <c r="E15" s="657">
        <v>0</v>
      </c>
      <c r="F15" s="657">
        <v>0</v>
      </c>
      <c r="G15" s="657">
        <v>17.811</v>
      </c>
      <c r="H15" s="657">
        <v>3.3050000000000002</v>
      </c>
      <c r="I15" s="657">
        <v>0</v>
      </c>
      <c r="J15" s="657">
        <v>21.116</v>
      </c>
      <c r="K15" s="659">
        <v>0</v>
      </c>
      <c r="L15" s="659">
        <v>0</v>
      </c>
      <c r="M15" s="659">
        <v>0</v>
      </c>
      <c r="N15" s="659">
        <v>0</v>
      </c>
      <c r="O15" s="659">
        <v>0</v>
      </c>
      <c r="P15" s="659">
        <v>0</v>
      </c>
      <c r="Q15" s="660">
        <v>0</v>
      </c>
    </row>
    <row r="16" spans="1:17" s="664" customFormat="1" x14ac:dyDescent="0.25">
      <c r="A16" s="819">
        <v>11</v>
      </c>
      <c r="B16" s="820" t="s">
        <v>906</v>
      </c>
      <c r="C16" s="663"/>
      <c r="D16" s="657">
        <v>96.269000000000005</v>
      </c>
      <c r="E16" s="657">
        <v>22.527999999999999</v>
      </c>
      <c r="F16" s="657">
        <v>15.244</v>
      </c>
      <c r="G16" s="657">
        <v>24.071000000000002</v>
      </c>
      <c r="H16" s="657">
        <v>249.023</v>
      </c>
      <c r="I16" s="657">
        <v>585.18299999999999</v>
      </c>
      <c r="J16" s="657">
        <v>992.31799999999998</v>
      </c>
      <c r="K16" s="659">
        <v>45</v>
      </c>
      <c r="L16" s="659">
        <v>100</v>
      </c>
      <c r="M16" s="659">
        <v>50</v>
      </c>
      <c r="N16" s="659">
        <v>50</v>
      </c>
      <c r="O16" s="659">
        <v>150</v>
      </c>
      <c r="P16" s="659">
        <v>849</v>
      </c>
      <c r="Q16" s="660">
        <v>1094</v>
      </c>
    </row>
    <row r="17" spans="1:17" x14ac:dyDescent="0.25">
      <c r="A17" s="817">
        <v>12</v>
      </c>
      <c r="B17" s="818" t="s">
        <v>907</v>
      </c>
      <c r="C17" s="670"/>
      <c r="D17" s="657">
        <v>0</v>
      </c>
      <c r="E17" s="657">
        <v>0</v>
      </c>
      <c r="F17" s="657">
        <v>381.88099999999997</v>
      </c>
      <c r="G17" s="657">
        <v>0</v>
      </c>
      <c r="H17" s="657">
        <v>3.343</v>
      </c>
      <c r="I17" s="657">
        <v>0</v>
      </c>
      <c r="J17" s="657">
        <v>385.22399999999999</v>
      </c>
      <c r="K17" s="659">
        <v>0</v>
      </c>
      <c r="L17" s="659">
        <v>0</v>
      </c>
      <c r="M17" s="659">
        <v>0</v>
      </c>
      <c r="N17" s="659">
        <v>12</v>
      </c>
      <c r="O17" s="659">
        <v>12</v>
      </c>
      <c r="P17" s="659">
        <v>100</v>
      </c>
      <c r="Q17" s="660">
        <v>112</v>
      </c>
    </row>
    <row r="18" spans="1:17" x14ac:dyDescent="0.25">
      <c r="A18" s="817">
        <v>13</v>
      </c>
      <c r="B18" s="818" t="s">
        <v>908</v>
      </c>
      <c r="C18" s="670"/>
      <c r="D18" s="657">
        <v>0</v>
      </c>
      <c r="E18" s="657">
        <v>0</v>
      </c>
      <c r="F18" s="657">
        <v>35.5</v>
      </c>
      <c r="G18" s="657">
        <v>0</v>
      </c>
      <c r="H18" s="657">
        <v>0</v>
      </c>
      <c r="I18" s="657">
        <v>0</v>
      </c>
      <c r="J18" s="657">
        <v>35.5</v>
      </c>
      <c r="K18" s="659">
        <v>60</v>
      </c>
      <c r="L18" s="659">
        <v>0</v>
      </c>
      <c r="M18" s="659">
        <v>0</v>
      </c>
      <c r="N18" s="659">
        <v>0</v>
      </c>
      <c r="O18" s="659">
        <v>0</v>
      </c>
      <c r="P18" s="659">
        <v>0</v>
      </c>
      <c r="Q18" s="660">
        <v>60</v>
      </c>
    </row>
    <row r="19" spans="1:17" x14ac:dyDescent="0.25">
      <c r="A19" s="817">
        <v>14</v>
      </c>
      <c r="B19" s="818" t="s">
        <v>909</v>
      </c>
      <c r="C19" s="670"/>
      <c r="D19" s="657">
        <v>0</v>
      </c>
      <c r="E19" s="657">
        <v>0</v>
      </c>
      <c r="F19" s="657">
        <v>0</v>
      </c>
      <c r="G19" s="657">
        <v>0</v>
      </c>
      <c r="H19" s="657">
        <v>0</v>
      </c>
      <c r="I19" s="657">
        <v>206.1</v>
      </c>
      <c r="J19" s="657">
        <v>206.1</v>
      </c>
      <c r="K19" s="659">
        <v>0</v>
      </c>
      <c r="L19" s="659">
        <v>0</v>
      </c>
      <c r="M19" s="659">
        <v>0</v>
      </c>
      <c r="N19" s="659">
        <v>0</v>
      </c>
      <c r="O19" s="659">
        <v>0</v>
      </c>
      <c r="P19" s="659">
        <v>170</v>
      </c>
      <c r="Q19" s="660">
        <v>170</v>
      </c>
    </row>
    <row r="20" spans="1:17" x14ac:dyDescent="0.25">
      <c r="A20" s="817">
        <v>15</v>
      </c>
      <c r="B20" s="818" t="s">
        <v>910</v>
      </c>
      <c r="C20" s="670"/>
      <c r="D20" s="657">
        <v>0</v>
      </c>
      <c r="E20" s="657">
        <v>0</v>
      </c>
      <c r="F20" s="657">
        <v>0</v>
      </c>
      <c r="G20" s="657">
        <v>0</v>
      </c>
      <c r="H20" s="657">
        <v>0</v>
      </c>
      <c r="I20" s="657">
        <v>0</v>
      </c>
      <c r="J20" s="657">
        <v>0</v>
      </c>
      <c r="K20" s="659">
        <v>0</v>
      </c>
      <c r="L20" s="659">
        <v>0</v>
      </c>
      <c r="M20" s="659">
        <v>0</v>
      </c>
      <c r="N20" s="659">
        <v>0</v>
      </c>
      <c r="O20" s="659">
        <v>0</v>
      </c>
      <c r="P20" s="659">
        <v>0</v>
      </c>
      <c r="Q20" s="660">
        <v>0</v>
      </c>
    </row>
    <row r="21" spans="1:17" x14ac:dyDescent="0.25">
      <c r="A21" s="817">
        <v>16</v>
      </c>
      <c r="B21" s="818" t="s">
        <v>911</v>
      </c>
      <c r="C21" s="670"/>
      <c r="D21" s="657">
        <v>0</v>
      </c>
      <c r="E21" s="657">
        <v>0</v>
      </c>
      <c r="F21" s="657">
        <v>0</v>
      </c>
      <c r="G21" s="657">
        <v>0</v>
      </c>
      <c r="H21" s="657">
        <v>782.96799999999996</v>
      </c>
      <c r="I21" s="657">
        <v>0</v>
      </c>
      <c r="J21" s="657">
        <v>782.96799999999996</v>
      </c>
      <c r="K21" s="659">
        <v>0</v>
      </c>
      <c r="L21" s="659">
        <v>0</v>
      </c>
      <c r="M21" s="659">
        <v>0</v>
      </c>
      <c r="N21" s="659">
        <v>900</v>
      </c>
      <c r="O21" s="659">
        <v>900</v>
      </c>
      <c r="P21" s="659">
        <v>0</v>
      </c>
      <c r="Q21" s="660">
        <v>900</v>
      </c>
    </row>
    <row r="22" spans="1:17" x14ac:dyDescent="0.25">
      <c r="A22" s="817">
        <v>17</v>
      </c>
      <c r="B22" s="818" t="s">
        <v>535</v>
      </c>
      <c r="C22" s="670"/>
      <c r="D22" s="657">
        <v>107.072</v>
      </c>
      <c r="E22" s="657">
        <v>88.415999999999997</v>
      </c>
      <c r="F22" s="657">
        <v>2.0710000000000002</v>
      </c>
      <c r="G22" s="657">
        <v>0</v>
      </c>
      <c r="H22" s="657">
        <v>201.38</v>
      </c>
      <c r="I22" s="657">
        <v>0</v>
      </c>
      <c r="J22" s="657">
        <v>398.93899999999996</v>
      </c>
      <c r="K22" s="659">
        <v>300</v>
      </c>
      <c r="L22" s="659">
        <v>400</v>
      </c>
      <c r="M22" s="659">
        <v>0</v>
      </c>
      <c r="N22" s="659">
        <v>100</v>
      </c>
      <c r="O22" s="659">
        <v>500</v>
      </c>
      <c r="P22" s="659">
        <v>0</v>
      </c>
      <c r="Q22" s="660">
        <v>800</v>
      </c>
    </row>
    <row r="23" spans="1:17" ht="25.5" x14ac:dyDescent="0.25">
      <c r="A23" s="817">
        <v>18</v>
      </c>
      <c r="B23" s="818" t="s">
        <v>912</v>
      </c>
      <c r="C23" s="670"/>
      <c r="D23" s="657">
        <v>15.717000000000001</v>
      </c>
      <c r="E23" s="657">
        <v>180.34899999999999</v>
      </c>
      <c r="F23" s="657">
        <v>0</v>
      </c>
      <c r="G23" s="657">
        <v>22</v>
      </c>
      <c r="H23" s="657">
        <v>40.271999999999998</v>
      </c>
      <c r="I23" s="657">
        <v>84.063000000000002</v>
      </c>
      <c r="J23" s="657">
        <v>342.40100000000001</v>
      </c>
      <c r="K23" s="659">
        <v>120</v>
      </c>
      <c r="L23" s="659">
        <v>0</v>
      </c>
      <c r="M23" s="659">
        <v>100</v>
      </c>
      <c r="N23" s="659">
        <v>60</v>
      </c>
      <c r="O23" s="659">
        <v>60</v>
      </c>
      <c r="P23" s="659">
        <v>200</v>
      </c>
      <c r="Q23" s="660">
        <v>480</v>
      </c>
    </row>
    <row r="24" spans="1:17" ht="25.5" x14ac:dyDescent="0.25">
      <c r="A24" s="817">
        <v>19</v>
      </c>
      <c r="B24" s="818" t="s">
        <v>913</v>
      </c>
      <c r="C24" s="670"/>
      <c r="D24" s="657">
        <v>0</v>
      </c>
      <c r="E24" s="657">
        <v>0</v>
      </c>
      <c r="F24" s="657">
        <v>0</v>
      </c>
      <c r="G24" s="657">
        <v>0</v>
      </c>
      <c r="H24" s="657">
        <v>67.545000000000002</v>
      </c>
      <c r="I24" s="657">
        <v>0</v>
      </c>
      <c r="J24" s="657">
        <v>67.545000000000002</v>
      </c>
      <c r="K24" s="659">
        <v>0</v>
      </c>
      <c r="L24" s="659">
        <v>0</v>
      </c>
      <c r="M24" s="659">
        <v>0</v>
      </c>
      <c r="N24" s="659">
        <v>150</v>
      </c>
      <c r="O24" s="659">
        <v>150</v>
      </c>
      <c r="P24" s="659">
        <v>0</v>
      </c>
      <c r="Q24" s="660">
        <v>150</v>
      </c>
    </row>
    <row r="25" spans="1:17" x14ac:dyDescent="0.25">
      <c r="A25" s="817">
        <v>20</v>
      </c>
      <c r="B25" s="818" t="s">
        <v>914</v>
      </c>
      <c r="C25" s="670"/>
      <c r="D25" s="657">
        <v>52.742999999999995</v>
      </c>
      <c r="E25" s="657">
        <v>347.54899999999998</v>
      </c>
      <c r="F25" s="657">
        <v>35.314</v>
      </c>
      <c r="G25" s="657">
        <v>13.696999999999999</v>
      </c>
      <c r="H25" s="657">
        <v>741.34199999999998</v>
      </c>
      <c r="I25" s="657">
        <v>465.66500000000002</v>
      </c>
      <c r="J25" s="657">
        <v>1656.31</v>
      </c>
      <c r="K25" s="659">
        <v>215</v>
      </c>
      <c r="L25" s="659">
        <v>150</v>
      </c>
      <c r="M25" s="659">
        <v>50</v>
      </c>
      <c r="N25" s="659">
        <v>860</v>
      </c>
      <c r="O25" s="659">
        <v>1010</v>
      </c>
      <c r="P25" s="659">
        <v>650</v>
      </c>
      <c r="Q25" s="660">
        <v>1925</v>
      </c>
    </row>
    <row r="26" spans="1:17" x14ac:dyDescent="0.25">
      <c r="A26" s="815">
        <v>21</v>
      </c>
      <c r="B26" s="816" t="s">
        <v>915</v>
      </c>
      <c r="C26" s="670">
        <v>0</v>
      </c>
      <c r="D26" s="657">
        <v>192.25800000000001</v>
      </c>
      <c r="E26" s="657">
        <v>62.027000000000001</v>
      </c>
      <c r="F26" s="657">
        <v>28.827999999999999</v>
      </c>
      <c r="G26" s="657">
        <v>64.864000000000004</v>
      </c>
      <c r="H26" s="657">
        <v>372.27600000000001</v>
      </c>
      <c r="I26" s="657">
        <v>1051.4829999999999</v>
      </c>
      <c r="J26" s="657">
        <v>1771.7359999999999</v>
      </c>
      <c r="K26" s="659">
        <v>157.35009359999998</v>
      </c>
      <c r="L26" s="659">
        <v>73.131</v>
      </c>
      <c r="M26" s="659">
        <v>164</v>
      </c>
      <c r="N26" s="659">
        <v>649</v>
      </c>
      <c r="O26" s="659">
        <v>722.13099999999997</v>
      </c>
      <c r="P26" s="659">
        <v>685.40300000000002</v>
      </c>
      <c r="Q26" s="660">
        <v>1728.8840936000001</v>
      </c>
    </row>
    <row r="27" spans="1:17" x14ac:dyDescent="0.25">
      <c r="A27" s="817">
        <v>22</v>
      </c>
      <c r="B27" s="818" t="s">
        <v>916</v>
      </c>
      <c r="C27" s="670"/>
      <c r="D27" s="657">
        <v>73.188000000000002</v>
      </c>
      <c r="E27" s="657">
        <v>11.914999999999999</v>
      </c>
      <c r="F27" s="657">
        <v>28.827999999999999</v>
      </c>
      <c r="G27" s="657">
        <v>23.106000000000002</v>
      </c>
      <c r="H27" s="657">
        <v>-2.214</v>
      </c>
      <c r="I27" s="657">
        <v>1041.643</v>
      </c>
      <c r="J27" s="657">
        <v>1176.4660000000001</v>
      </c>
      <c r="K27" s="659">
        <v>30.225971999999999</v>
      </c>
      <c r="L27" s="659">
        <v>73.131</v>
      </c>
      <c r="M27" s="659">
        <v>50</v>
      </c>
      <c r="N27" s="659">
        <v>0</v>
      </c>
      <c r="O27" s="659">
        <v>73.131</v>
      </c>
      <c r="P27" s="659">
        <v>618.34699999999998</v>
      </c>
      <c r="Q27" s="660">
        <v>771.70397200000002</v>
      </c>
    </row>
    <row r="28" spans="1:17" x14ac:dyDescent="0.25">
      <c r="A28" s="817">
        <v>23</v>
      </c>
      <c r="B28" s="818" t="s">
        <v>917</v>
      </c>
      <c r="C28" s="670"/>
      <c r="D28" s="657">
        <v>85.066000000000003</v>
      </c>
      <c r="E28" s="657">
        <v>50.112000000000002</v>
      </c>
      <c r="F28" s="657">
        <v>0</v>
      </c>
      <c r="G28" s="657">
        <v>41.758000000000003</v>
      </c>
      <c r="H28" s="657">
        <v>0</v>
      </c>
      <c r="I28" s="657">
        <v>9.84</v>
      </c>
      <c r="J28" s="657">
        <v>186.77600000000001</v>
      </c>
      <c r="K28" s="659">
        <v>127.12412159999998</v>
      </c>
      <c r="L28" s="659">
        <v>0</v>
      </c>
      <c r="M28" s="659">
        <v>114</v>
      </c>
      <c r="N28" s="659">
        <v>105</v>
      </c>
      <c r="O28" s="659">
        <v>105</v>
      </c>
      <c r="P28" s="659">
        <v>67.055999999999997</v>
      </c>
      <c r="Q28" s="660">
        <v>413.18012160000001</v>
      </c>
    </row>
    <row r="29" spans="1:17" x14ac:dyDescent="0.25">
      <c r="A29" s="817">
        <v>24</v>
      </c>
      <c r="B29" s="818" t="s">
        <v>918</v>
      </c>
      <c r="C29" s="670"/>
      <c r="D29" s="657">
        <v>34.003999999999998</v>
      </c>
      <c r="E29" s="657">
        <v>0</v>
      </c>
      <c r="F29" s="657">
        <v>0</v>
      </c>
      <c r="G29" s="657">
        <v>0</v>
      </c>
      <c r="H29" s="657">
        <v>374.49</v>
      </c>
      <c r="I29" s="657">
        <v>0</v>
      </c>
      <c r="J29" s="657">
        <v>408.49400000000003</v>
      </c>
      <c r="K29" s="659">
        <v>0</v>
      </c>
      <c r="L29" s="659">
        <v>0</v>
      </c>
      <c r="M29" s="659">
        <v>0</v>
      </c>
      <c r="N29" s="659">
        <v>544</v>
      </c>
      <c r="O29" s="659">
        <v>544</v>
      </c>
      <c r="P29" s="659">
        <v>0</v>
      </c>
      <c r="Q29" s="660">
        <v>544</v>
      </c>
    </row>
    <row r="30" spans="1:17" x14ac:dyDescent="0.25">
      <c r="A30" s="815">
        <v>25</v>
      </c>
      <c r="B30" s="816" t="s">
        <v>919</v>
      </c>
      <c r="C30" s="670">
        <v>0</v>
      </c>
      <c r="D30" s="657">
        <v>15169.269999999999</v>
      </c>
      <c r="E30" s="657">
        <v>5606.3610000000008</v>
      </c>
      <c r="F30" s="657">
        <v>3053.3980000000001</v>
      </c>
      <c r="G30" s="657">
        <v>2192.8670000000002</v>
      </c>
      <c r="H30" s="657">
        <v>23636.494000000002</v>
      </c>
      <c r="I30" s="657">
        <v>4385.1760000000004</v>
      </c>
      <c r="J30" s="657">
        <v>54043.565999999999</v>
      </c>
      <c r="K30" s="659">
        <v>18870.755116</v>
      </c>
      <c r="L30" s="659">
        <v>9463.8971889763779</v>
      </c>
      <c r="M30" s="659">
        <v>2133.6275000000001</v>
      </c>
      <c r="N30" s="659">
        <v>18217.598711220471</v>
      </c>
      <c r="O30" s="659">
        <v>27681.495900196849</v>
      </c>
      <c r="P30" s="659">
        <v>7640.5256589999999</v>
      </c>
      <c r="Q30" s="660">
        <v>56326.404175196847</v>
      </c>
    </row>
    <row r="31" spans="1:17" x14ac:dyDescent="0.25">
      <c r="A31" s="817">
        <v>26</v>
      </c>
      <c r="B31" s="818" t="s">
        <v>536</v>
      </c>
      <c r="C31" s="670"/>
      <c r="D31" s="657">
        <v>11101.998</v>
      </c>
      <c r="E31" s="657">
        <v>4900.027</v>
      </c>
      <c r="F31" s="657">
        <v>1848.883</v>
      </c>
      <c r="G31" s="657">
        <v>0</v>
      </c>
      <c r="H31" s="657">
        <v>0</v>
      </c>
      <c r="I31" s="657">
        <v>0</v>
      </c>
      <c r="J31" s="657">
        <v>17850.907999999999</v>
      </c>
      <c r="K31" s="659">
        <v>14126.425999999999</v>
      </c>
      <c r="L31" s="659">
        <v>5519.4089999999997</v>
      </c>
      <c r="M31" s="659">
        <v>0</v>
      </c>
      <c r="N31" s="659">
        <v>0</v>
      </c>
      <c r="O31" s="659">
        <v>5519.4089999999997</v>
      </c>
      <c r="P31" s="659">
        <v>0</v>
      </c>
      <c r="Q31" s="660">
        <v>19645.834999999999</v>
      </c>
    </row>
    <row r="32" spans="1:17" s="664" customFormat="1" x14ac:dyDescent="0.25">
      <c r="A32" s="819">
        <v>27</v>
      </c>
      <c r="B32" s="820" t="s">
        <v>920</v>
      </c>
      <c r="C32" s="663"/>
      <c r="D32" s="657">
        <v>0</v>
      </c>
      <c r="E32" s="657">
        <v>10.894</v>
      </c>
      <c r="F32" s="657">
        <v>0</v>
      </c>
      <c r="G32" s="657">
        <v>0</v>
      </c>
      <c r="H32" s="657">
        <v>2938.3720000000003</v>
      </c>
      <c r="I32" s="657">
        <v>185.5</v>
      </c>
      <c r="J32" s="657">
        <v>3134.7660000000001</v>
      </c>
      <c r="K32" s="659">
        <v>96</v>
      </c>
      <c r="L32" s="659">
        <v>0</v>
      </c>
      <c r="M32" s="659">
        <v>0</v>
      </c>
      <c r="N32" s="659">
        <v>2471.94</v>
      </c>
      <c r="O32" s="659">
        <v>2471.94</v>
      </c>
      <c r="P32" s="659">
        <v>291</v>
      </c>
      <c r="Q32" s="660">
        <v>2858.94</v>
      </c>
    </row>
    <row r="33" spans="1:17" x14ac:dyDescent="0.25">
      <c r="A33" s="817">
        <v>28</v>
      </c>
      <c r="B33" s="818" t="s">
        <v>921</v>
      </c>
      <c r="C33" s="670"/>
      <c r="D33" s="657">
        <v>0</v>
      </c>
      <c r="E33" s="657">
        <v>0</v>
      </c>
      <c r="F33" s="657">
        <v>0</v>
      </c>
      <c r="G33" s="657">
        <v>0</v>
      </c>
      <c r="H33" s="657">
        <v>31.187999999999999</v>
      </c>
      <c r="I33" s="657">
        <v>5.3</v>
      </c>
      <c r="J33" s="657">
        <v>36.488</v>
      </c>
      <c r="K33" s="659">
        <v>0</v>
      </c>
      <c r="L33" s="659">
        <v>0</v>
      </c>
      <c r="M33" s="659">
        <v>0</v>
      </c>
      <c r="N33" s="659">
        <v>400</v>
      </c>
      <c r="O33" s="659">
        <v>400</v>
      </c>
      <c r="P33" s="659">
        <v>0</v>
      </c>
      <c r="Q33" s="660">
        <v>400</v>
      </c>
    </row>
    <row r="34" spans="1:17" x14ac:dyDescent="0.25">
      <c r="A34" s="817">
        <v>29</v>
      </c>
      <c r="B34" s="818" t="s">
        <v>922</v>
      </c>
      <c r="C34" s="670"/>
      <c r="D34" s="657">
        <v>2863.96</v>
      </c>
      <c r="E34" s="657">
        <v>46.578000000000003</v>
      </c>
      <c r="F34" s="657">
        <v>633.91399999999999</v>
      </c>
      <c r="G34" s="657">
        <v>1622.242</v>
      </c>
      <c r="H34" s="657">
        <v>1379.5170000000001</v>
      </c>
      <c r="I34" s="657">
        <v>1090.1869999999999</v>
      </c>
      <c r="J34" s="657">
        <v>7636.3980000000001</v>
      </c>
      <c r="K34" s="659">
        <v>3000</v>
      </c>
      <c r="L34" s="659">
        <v>2500</v>
      </c>
      <c r="M34" s="659">
        <v>885.62199999999996</v>
      </c>
      <c r="N34" s="659">
        <v>1458.1494689999997</v>
      </c>
      <c r="O34" s="659">
        <v>3958.149469</v>
      </c>
      <c r="P34" s="659">
        <v>1152.327659</v>
      </c>
      <c r="Q34" s="660">
        <v>8996.0991279999998</v>
      </c>
    </row>
    <row r="35" spans="1:17" x14ac:dyDescent="0.25">
      <c r="A35" s="817">
        <v>30</v>
      </c>
      <c r="B35" s="818" t="s">
        <v>923</v>
      </c>
      <c r="C35" s="670"/>
      <c r="D35" s="657">
        <v>412.15300000000002</v>
      </c>
      <c r="E35" s="657">
        <v>237.71799999999999</v>
      </c>
      <c r="F35" s="657">
        <v>290.74599999999998</v>
      </c>
      <c r="G35" s="657">
        <v>159.69200000000001</v>
      </c>
      <c r="H35" s="657">
        <v>5540.2290000000003</v>
      </c>
      <c r="I35" s="657">
        <v>792.774</v>
      </c>
      <c r="J35" s="657">
        <v>7433.3120000000008</v>
      </c>
      <c r="K35" s="659">
        <v>603.04302239999993</v>
      </c>
      <c r="L35" s="659">
        <v>600</v>
      </c>
      <c r="M35" s="659">
        <v>405.10750000000002</v>
      </c>
      <c r="N35" s="659">
        <v>5735.8823759999996</v>
      </c>
      <c r="O35" s="659">
        <v>6335.8823759999996</v>
      </c>
      <c r="P35" s="659">
        <v>898.23900000000003</v>
      </c>
      <c r="Q35" s="660">
        <v>8242.2718983999985</v>
      </c>
    </row>
    <row r="36" spans="1:17" x14ac:dyDescent="0.25">
      <c r="A36" s="817">
        <v>31</v>
      </c>
      <c r="B36" s="818" t="s">
        <v>924</v>
      </c>
      <c r="C36" s="670"/>
      <c r="D36" s="657">
        <v>0</v>
      </c>
      <c r="E36" s="657">
        <v>0</v>
      </c>
      <c r="F36" s="657">
        <v>0</v>
      </c>
      <c r="G36" s="657">
        <v>0</v>
      </c>
      <c r="H36" s="657">
        <v>0</v>
      </c>
      <c r="I36" s="657">
        <v>0</v>
      </c>
      <c r="J36" s="657">
        <v>0</v>
      </c>
      <c r="K36" s="659">
        <v>0</v>
      </c>
      <c r="L36" s="659">
        <v>0</v>
      </c>
      <c r="M36" s="659">
        <v>0</v>
      </c>
      <c r="N36" s="659">
        <v>0</v>
      </c>
      <c r="O36" s="659">
        <v>0</v>
      </c>
      <c r="P36" s="659">
        <v>0</v>
      </c>
      <c r="Q36" s="660">
        <v>0</v>
      </c>
    </row>
    <row r="37" spans="1:17" x14ac:dyDescent="0.25">
      <c r="A37" s="817">
        <v>32</v>
      </c>
      <c r="B37" s="818" t="s">
        <v>925</v>
      </c>
      <c r="C37" s="670"/>
      <c r="D37" s="657">
        <v>263.786</v>
      </c>
      <c r="E37" s="657">
        <v>110.432</v>
      </c>
      <c r="F37" s="657">
        <v>203.53200000000001</v>
      </c>
      <c r="G37" s="657">
        <v>122.47199999999999</v>
      </c>
      <c r="H37" s="657">
        <v>966.59</v>
      </c>
      <c r="I37" s="657">
        <v>46.304000000000002</v>
      </c>
      <c r="J37" s="657">
        <v>1713.116</v>
      </c>
      <c r="K37" s="659">
        <v>280.1438976</v>
      </c>
      <c r="L37" s="659">
        <v>300</v>
      </c>
      <c r="M37" s="659">
        <v>100</v>
      </c>
      <c r="N37" s="659">
        <v>1021.6856299999998</v>
      </c>
      <c r="O37" s="659">
        <v>1321.6856299999999</v>
      </c>
      <c r="P37" s="659">
        <v>80</v>
      </c>
      <c r="Q37" s="660">
        <v>1781.8295275999999</v>
      </c>
    </row>
    <row r="38" spans="1:17" s="664" customFormat="1" ht="25.5" x14ac:dyDescent="0.25">
      <c r="A38" s="819">
        <v>33</v>
      </c>
      <c r="B38" s="820" t="s">
        <v>926</v>
      </c>
      <c r="C38" s="663"/>
      <c r="D38" s="657">
        <v>55.47</v>
      </c>
      <c r="E38" s="657">
        <v>79.117000000000004</v>
      </c>
      <c r="F38" s="657">
        <v>61.283000000000001</v>
      </c>
      <c r="G38" s="657">
        <v>12</v>
      </c>
      <c r="H38" s="657">
        <v>6167.7709999999997</v>
      </c>
      <c r="I38" s="657">
        <v>1476.548</v>
      </c>
      <c r="J38" s="657">
        <v>7852.1889999999994</v>
      </c>
      <c r="K38" s="659">
        <v>203</v>
      </c>
      <c r="L38" s="659">
        <v>394.48818897637796</v>
      </c>
      <c r="M38" s="659">
        <v>50</v>
      </c>
      <c r="N38" s="659">
        <v>5767.3230000000003</v>
      </c>
      <c r="O38" s="659">
        <v>6161.8111889763786</v>
      </c>
      <c r="P38" s="659">
        <v>2200</v>
      </c>
      <c r="Q38" s="660">
        <v>8614.8111889763786</v>
      </c>
    </row>
    <row r="39" spans="1:17" s="823" customFormat="1" hidden="1" x14ac:dyDescent="0.25">
      <c r="A39" s="821"/>
      <c r="B39" s="822" t="s">
        <v>927</v>
      </c>
      <c r="C39" s="670"/>
      <c r="D39" s="657">
        <v>0</v>
      </c>
      <c r="E39" s="657">
        <v>0</v>
      </c>
      <c r="F39" s="657">
        <v>0</v>
      </c>
      <c r="G39" s="657">
        <v>0</v>
      </c>
      <c r="H39" s="657">
        <v>0</v>
      </c>
      <c r="I39" s="657">
        <v>0</v>
      </c>
      <c r="J39" s="657">
        <v>0</v>
      </c>
      <c r="K39" s="659">
        <v>0</v>
      </c>
      <c r="L39" s="659">
        <v>0</v>
      </c>
      <c r="M39" s="659">
        <v>0</v>
      </c>
      <c r="N39" s="659">
        <v>0</v>
      </c>
      <c r="O39" s="659">
        <v>0</v>
      </c>
      <c r="P39" s="659">
        <v>0</v>
      </c>
      <c r="Q39" s="660">
        <v>0</v>
      </c>
    </row>
    <row r="40" spans="1:17" s="823" customFormat="1" hidden="1" x14ac:dyDescent="0.25">
      <c r="A40" s="821"/>
      <c r="B40" s="822" t="s">
        <v>928</v>
      </c>
      <c r="C40" s="670"/>
      <c r="D40" s="657">
        <v>0</v>
      </c>
      <c r="E40" s="657">
        <v>0</v>
      </c>
      <c r="F40" s="657">
        <v>0</v>
      </c>
      <c r="G40" s="657">
        <v>0</v>
      </c>
      <c r="H40" s="657">
        <v>0</v>
      </c>
      <c r="I40" s="657">
        <v>0</v>
      </c>
      <c r="J40" s="657">
        <v>0</v>
      </c>
      <c r="K40" s="659">
        <v>0</v>
      </c>
      <c r="L40" s="659">
        <v>0</v>
      </c>
      <c r="M40" s="659">
        <v>0</v>
      </c>
      <c r="N40" s="659">
        <v>0</v>
      </c>
      <c r="O40" s="659">
        <v>0</v>
      </c>
      <c r="P40" s="659">
        <v>0</v>
      </c>
      <c r="Q40" s="660">
        <v>0</v>
      </c>
    </row>
    <row r="41" spans="1:17" s="823" customFormat="1" hidden="1" x14ac:dyDescent="0.25">
      <c r="A41" s="821"/>
      <c r="B41" s="822" t="s">
        <v>929</v>
      </c>
      <c r="C41" s="670"/>
      <c r="D41" s="657">
        <v>0</v>
      </c>
      <c r="E41" s="657">
        <v>0</v>
      </c>
      <c r="F41" s="657">
        <v>0</v>
      </c>
      <c r="G41" s="657">
        <v>0</v>
      </c>
      <c r="H41" s="657">
        <v>0</v>
      </c>
      <c r="I41" s="657">
        <v>0</v>
      </c>
      <c r="J41" s="657">
        <v>0</v>
      </c>
      <c r="K41" s="659">
        <v>0</v>
      </c>
      <c r="L41" s="659">
        <v>0</v>
      </c>
      <c r="M41" s="659">
        <v>0</v>
      </c>
      <c r="N41" s="659">
        <v>0</v>
      </c>
      <c r="O41" s="659">
        <v>0</v>
      </c>
      <c r="P41" s="659">
        <v>0</v>
      </c>
      <c r="Q41" s="660">
        <v>0</v>
      </c>
    </row>
    <row r="42" spans="1:17" s="823" customFormat="1" hidden="1" x14ac:dyDescent="0.25">
      <c r="A42" s="821"/>
      <c r="B42" s="822" t="s">
        <v>930</v>
      </c>
      <c r="C42" s="670"/>
      <c r="D42" s="657">
        <v>0</v>
      </c>
      <c r="E42" s="657">
        <v>0</v>
      </c>
      <c r="F42" s="657">
        <v>0</v>
      </c>
      <c r="G42" s="657">
        <v>0</v>
      </c>
      <c r="H42" s="657">
        <v>0</v>
      </c>
      <c r="I42" s="657">
        <v>0</v>
      </c>
      <c r="J42" s="657">
        <v>0</v>
      </c>
      <c r="K42" s="659">
        <v>0</v>
      </c>
      <c r="L42" s="659">
        <v>0</v>
      </c>
      <c r="M42" s="659">
        <v>0</v>
      </c>
      <c r="N42" s="659">
        <v>0</v>
      </c>
      <c r="O42" s="659">
        <v>0</v>
      </c>
      <c r="P42" s="659">
        <v>0</v>
      </c>
      <c r="Q42" s="660">
        <v>0</v>
      </c>
    </row>
    <row r="43" spans="1:17" s="823" customFormat="1" hidden="1" x14ac:dyDescent="0.25">
      <c r="A43" s="821"/>
      <c r="B43" s="822" t="s">
        <v>931</v>
      </c>
      <c r="C43" s="670"/>
      <c r="D43" s="657">
        <v>0</v>
      </c>
      <c r="E43" s="657">
        <v>0</v>
      </c>
      <c r="F43" s="657">
        <v>0</v>
      </c>
      <c r="G43" s="657">
        <v>0</v>
      </c>
      <c r="H43" s="657">
        <v>0</v>
      </c>
      <c r="I43" s="657">
        <v>0</v>
      </c>
      <c r="J43" s="657">
        <v>0</v>
      </c>
      <c r="K43" s="659">
        <v>0</v>
      </c>
      <c r="L43" s="659">
        <v>0</v>
      </c>
      <c r="M43" s="659">
        <v>0</v>
      </c>
      <c r="N43" s="659">
        <v>0</v>
      </c>
      <c r="O43" s="659">
        <v>0</v>
      </c>
      <c r="P43" s="659">
        <v>0</v>
      </c>
      <c r="Q43" s="660">
        <v>0</v>
      </c>
    </row>
    <row r="44" spans="1:17" s="823" customFormat="1" hidden="1" x14ac:dyDescent="0.25">
      <c r="A44" s="821"/>
      <c r="B44" s="822" t="s">
        <v>932</v>
      </c>
      <c r="C44" s="670"/>
      <c r="D44" s="657">
        <v>0</v>
      </c>
      <c r="E44" s="657">
        <v>0</v>
      </c>
      <c r="F44" s="657">
        <v>0</v>
      </c>
      <c r="G44" s="657">
        <v>0</v>
      </c>
      <c r="H44" s="657">
        <v>0</v>
      </c>
      <c r="I44" s="657">
        <v>0</v>
      </c>
      <c r="J44" s="657">
        <v>0</v>
      </c>
      <c r="K44" s="659">
        <v>0</v>
      </c>
      <c r="L44" s="659">
        <v>0</v>
      </c>
      <c r="M44" s="659">
        <v>0</v>
      </c>
      <c r="N44" s="659">
        <v>0</v>
      </c>
      <c r="O44" s="659">
        <v>0</v>
      </c>
      <c r="P44" s="659">
        <v>0</v>
      </c>
      <c r="Q44" s="660">
        <v>0</v>
      </c>
    </row>
    <row r="45" spans="1:17" ht="25.5" x14ac:dyDescent="0.25">
      <c r="A45" s="817">
        <v>34</v>
      </c>
      <c r="B45" s="818" t="s">
        <v>933</v>
      </c>
      <c r="C45" s="670"/>
      <c r="D45" s="657">
        <v>471.90300000000002</v>
      </c>
      <c r="E45" s="657">
        <v>221.595</v>
      </c>
      <c r="F45" s="657">
        <v>15.04</v>
      </c>
      <c r="G45" s="657">
        <v>276.46100000000001</v>
      </c>
      <c r="H45" s="657">
        <v>5753.915</v>
      </c>
      <c r="I45" s="657">
        <v>788.56299999999999</v>
      </c>
      <c r="J45" s="657">
        <v>7527.4769999999999</v>
      </c>
      <c r="K45" s="659">
        <v>562.14219600000001</v>
      </c>
      <c r="L45" s="659">
        <v>150</v>
      </c>
      <c r="M45" s="659">
        <v>692.89800000000002</v>
      </c>
      <c r="N45" s="659">
        <v>1362.6182362204725</v>
      </c>
      <c r="O45" s="659">
        <v>1512.6182362204725</v>
      </c>
      <c r="P45" s="659">
        <v>3018.9589999999998</v>
      </c>
      <c r="Q45" s="660">
        <v>5786.6174322204724</v>
      </c>
    </row>
    <row r="46" spans="1:17" s="823" customFormat="1" hidden="1" x14ac:dyDescent="0.25">
      <c r="A46" s="821"/>
      <c r="B46" s="822" t="s">
        <v>934</v>
      </c>
      <c r="C46" s="670"/>
      <c r="D46" s="657">
        <v>0</v>
      </c>
      <c r="E46" s="657">
        <v>0</v>
      </c>
      <c r="F46" s="657">
        <v>0</v>
      </c>
      <c r="G46" s="657">
        <v>0</v>
      </c>
      <c r="H46" s="657">
        <v>0</v>
      </c>
      <c r="I46" s="657">
        <v>0</v>
      </c>
      <c r="J46" s="657">
        <v>0</v>
      </c>
      <c r="K46" s="659">
        <v>0</v>
      </c>
      <c r="L46" s="659">
        <v>0</v>
      </c>
      <c r="M46" s="659">
        <v>0</v>
      </c>
      <c r="N46" s="659">
        <v>0</v>
      </c>
      <c r="O46" s="659">
        <v>0</v>
      </c>
      <c r="P46" s="659">
        <v>0</v>
      </c>
      <c r="Q46" s="660">
        <v>0</v>
      </c>
    </row>
    <row r="47" spans="1:17" s="823" customFormat="1" hidden="1" x14ac:dyDescent="0.25">
      <c r="A47" s="821"/>
      <c r="B47" s="822" t="s">
        <v>935</v>
      </c>
      <c r="C47" s="670"/>
      <c r="D47" s="657">
        <v>0</v>
      </c>
      <c r="E47" s="657">
        <v>0</v>
      </c>
      <c r="F47" s="657">
        <v>0</v>
      </c>
      <c r="G47" s="657">
        <v>0</v>
      </c>
      <c r="H47" s="657">
        <v>0</v>
      </c>
      <c r="I47" s="657">
        <v>0</v>
      </c>
      <c r="J47" s="657">
        <v>0</v>
      </c>
      <c r="K47" s="659">
        <v>0</v>
      </c>
      <c r="L47" s="659">
        <v>0</v>
      </c>
      <c r="M47" s="659">
        <v>0</v>
      </c>
      <c r="N47" s="659">
        <v>0</v>
      </c>
      <c r="O47" s="659">
        <v>0</v>
      </c>
      <c r="P47" s="659">
        <v>0</v>
      </c>
      <c r="Q47" s="660">
        <v>0</v>
      </c>
    </row>
    <row r="48" spans="1:17" s="823" customFormat="1" hidden="1" x14ac:dyDescent="0.25">
      <c r="A48" s="821"/>
      <c r="B48" s="822" t="s">
        <v>936</v>
      </c>
      <c r="C48" s="670"/>
      <c r="D48" s="657">
        <v>0</v>
      </c>
      <c r="E48" s="657">
        <v>0</v>
      </c>
      <c r="F48" s="657">
        <v>0</v>
      </c>
      <c r="G48" s="657">
        <v>0</v>
      </c>
      <c r="H48" s="657">
        <v>0</v>
      </c>
      <c r="I48" s="657">
        <v>0</v>
      </c>
      <c r="J48" s="657">
        <v>0</v>
      </c>
      <c r="K48" s="659">
        <v>0</v>
      </c>
      <c r="L48" s="659">
        <v>0</v>
      </c>
      <c r="M48" s="659">
        <v>0</v>
      </c>
      <c r="N48" s="659">
        <v>0</v>
      </c>
      <c r="O48" s="659">
        <v>0</v>
      </c>
      <c r="P48" s="659">
        <v>0</v>
      </c>
      <c r="Q48" s="660">
        <v>0</v>
      </c>
    </row>
    <row r="49" spans="1:17" s="823" customFormat="1" hidden="1" x14ac:dyDescent="0.25">
      <c r="A49" s="821"/>
      <c r="B49" s="822" t="s">
        <v>937</v>
      </c>
      <c r="C49" s="670"/>
      <c r="D49" s="657">
        <v>0</v>
      </c>
      <c r="E49" s="657">
        <v>0</v>
      </c>
      <c r="F49" s="657">
        <v>0</v>
      </c>
      <c r="G49" s="657">
        <v>0</v>
      </c>
      <c r="H49" s="657">
        <v>0</v>
      </c>
      <c r="I49" s="657">
        <v>0</v>
      </c>
      <c r="J49" s="657">
        <v>0</v>
      </c>
      <c r="K49" s="659">
        <v>0</v>
      </c>
      <c r="L49" s="659">
        <v>0</v>
      </c>
      <c r="M49" s="659">
        <v>0</v>
      </c>
      <c r="N49" s="659">
        <v>0</v>
      </c>
      <c r="O49" s="659">
        <v>0</v>
      </c>
      <c r="P49" s="659">
        <v>0</v>
      </c>
      <c r="Q49" s="660">
        <v>0</v>
      </c>
    </row>
    <row r="50" spans="1:17" s="823" customFormat="1" hidden="1" x14ac:dyDescent="0.25">
      <c r="A50" s="821"/>
      <c r="B50" s="822" t="s">
        <v>938</v>
      </c>
      <c r="C50" s="670"/>
      <c r="D50" s="657">
        <v>0</v>
      </c>
      <c r="E50" s="657">
        <v>0</v>
      </c>
      <c r="F50" s="657">
        <v>0</v>
      </c>
      <c r="G50" s="657">
        <v>0</v>
      </c>
      <c r="H50" s="657">
        <v>0</v>
      </c>
      <c r="I50" s="657">
        <v>0</v>
      </c>
      <c r="J50" s="657">
        <v>0</v>
      </c>
      <c r="K50" s="659">
        <v>0</v>
      </c>
      <c r="L50" s="659">
        <v>0</v>
      </c>
      <c r="M50" s="659">
        <v>0</v>
      </c>
      <c r="N50" s="659">
        <v>0</v>
      </c>
      <c r="O50" s="659">
        <v>0</v>
      </c>
      <c r="P50" s="659">
        <v>0</v>
      </c>
      <c r="Q50" s="660">
        <v>0</v>
      </c>
    </row>
    <row r="51" spans="1:17" s="823" customFormat="1" hidden="1" x14ac:dyDescent="0.25">
      <c r="A51" s="821"/>
      <c r="B51" s="822" t="s">
        <v>939</v>
      </c>
      <c r="C51" s="670"/>
      <c r="D51" s="657">
        <v>0</v>
      </c>
      <c r="E51" s="657">
        <v>0</v>
      </c>
      <c r="F51" s="657">
        <v>0</v>
      </c>
      <c r="G51" s="657">
        <v>0</v>
      </c>
      <c r="H51" s="657">
        <v>0</v>
      </c>
      <c r="I51" s="657">
        <v>0</v>
      </c>
      <c r="J51" s="657">
        <v>0</v>
      </c>
      <c r="K51" s="659">
        <v>0</v>
      </c>
      <c r="L51" s="659">
        <v>0</v>
      </c>
      <c r="M51" s="659">
        <v>0</v>
      </c>
      <c r="N51" s="659">
        <v>0</v>
      </c>
      <c r="O51" s="659">
        <v>0</v>
      </c>
      <c r="P51" s="659">
        <v>0</v>
      </c>
      <c r="Q51" s="660">
        <v>0</v>
      </c>
    </row>
    <row r="52" spans="1:17" s="823" customFormat="1" hidden="1" x14ac:dyDescent="0.25">
      <c r="A52" s="821"/>
      <c r="B52" s="822" t="s">
        <v>940</v>
      </c>
      <c r="C52" s="670"/>
      <c r="D52" s="657">
        <v>0</v>
      </c>
      <c r="E52" s="657">
        <v>0</v>
      </c>
      <c r="F52" s="657">
        <v>0</v>
      </c>
      <c r="G52" s="657">
        <v>0</v>
      </c>
      <c r="H52" s="657">
        <v>0</v>
      </c>
      <c r="I52" s="657">
        <v>0</v>
      </c>
      <c r="J52" s="657">
        <v>0</v>
      </c>
      <c r="K52" s="659">
        <v>0</v>
      </c>
      <c r="L52" s="659">
        <v>0</v>
      </c>
      <c r="M52" s="659">
        <v>0</v>
      </c>
      <c r="N52" s="659">
        <v>0</v>
      </c>
      <c r="O52" s="659">
        <v>0</v>
      </c>
      <c r="P52" s="659">
        <v>0</v>
      </c>
      <c r="Q52" s="660">
        <v>0</v>
      </c>
    </row>
    <row r="53" spans="1:17" s="823" customFormat="1" hidden="1" x14ac:dyDescent="0.25">
      <c r="A53" s="821"/>
      <c r="B53" s="822" t="s">
        <v>941</v>
      </c>
      <c r="C53" s="670"/>
      <c r="D53" s="657">
        <v>0</v>
      </c>
      <c r="E53" s="657">
        <v>0</v>
      </c>
      <c r="F53" s="657">
        <v>0</v>
      </c>
      <c r="G53" s="657">
        <v>0</v>
      </c>
      <c r="H53" s="657">
        <v>0</v>
      </c>
      <c r="I53" s="657">
        <v>0</v>
      </c>
      <c r="J53" s="657">
        <v>0</v>
      </c>
      <c r="K53" s="659">
        <v>0</v>
      </c>
      <c r="L53" s="659">
        <v>0</v>
      </c>
      <c r="M53" s="659">
        <v>0</v>
      </c>
      <c r="N53" s="659">
        <v>0</v>
      </c>
      <c r="O53" s="659">
        <v>0</v>
      </c>
      <c r="P53" s="659">
        <v>0</v>
      </c>
      <c r="Q53" s="660">
        <v>0</v>
      </c>
    </row>
    <row r="54" spans="1:17" ht="25.5" x14ac:dyDescent="0.25">
      <c r="A54" s="817">
        <v>35</v>
      </c>
      <c r="B54" s="818" t="s">
        <v>942</v>
      </c>
      <c r="C54" s="670"/>
      <c r="D54" s="657">
        <v>0</v>
      </c>
      <c r="E54" s="657">
        <v>0</v>
      </c>
      <c r="F54" s="657">
        <v>0</v>
      </c>
      <c r="G54" s="657">
        <v>0</v>
      </c>
      <c r="H54" s="657">
        <v>858.91200000000003</v>
      </c>
      <c r="I54" s="657">
        <v>0</v>
      </c>
      <c r="J54" s="657">
        <v>858.91200000000003</v>
      </c>
      <c r="K54" s="659">
        <v>0</v>
      </c>
      <c r="L54" s="659">
        <v>0</v>
      </c>
      <c r="M54" s="659">
        <v>0</v>
      </c>
      <c r="N54" s="659">
        <v>0</v>
      </c>
      <c r="O54" s="659">
        <v>0</v>
      </c>
      <c r="P54" s="659">
        <v>0</v>
      </c>
      <c r="Q54" s="660">
        <v>0</v>
      </c>
    </row>
    <row r="55" spans="1:17" x14ac:dyDescent="0.25">
      <c r="A55" s="817">
        <v>36</v>
      </c>
      <c r="B55" s="818" t="s">
        <v>943</v>
      </c>
      <c r="C55" s="670"/>
      <c r="D55" s="657">
        <v>0</v>
      </c>
      <c r="E55" s="657">
        <v>0</v>
      </c>
      <c r="F55" s="657">
        <v>0</v>
      </c>
      <c r="G55" s="657">
        <v>0</v>
      </c>
      <c r="H55" s="657">
        <v>0</v>
      </c>
      <c r="I55" s="657">
        <v>0</v>
      </c>
      <c r="J55" s="657">
        <v>0</v>
      </c>
      <c r="K55" s="659">
        <v>0</v>
      </c>
      <c r="L55" s="659">
        <v>0</v>
      </c>
      <c r="M55" s="659">
        <v>0</v>
      </c>
      <c r="N55" s="659">
        <v>0</v>
      </c>
      <c r="O55" s="659">
        <v>0</v>
      </c>
      <c r="P55" s="659">
        <v>0</v>
      </c>
      <c r="Q55" s="660">
        <v>0</v>
      </c>
    </row>
    <row r="56" spans="1:17" x14ac:dyDescent="0.25">
      <c r="A56" s="815">
        <v>37</v>
      </c>
      <c r="B56" s="816" t="s">
        <v>944</v>
      </c>
      <c r="C56" s="670"/>
      <c r="D56" s="657">
        <v>0</v>
      </c>
      <c r="E56" s="657">
        <v>0</v>
      </c>
      <c r="F56" s="657">
        <v>0</v>
      </c>
      <c r="G56" s="657">
        <v>0</v>
      </c>
      <c r="H56" s="657">
        <v>0</v>
      </c>
      <c r="I56" s="657">
        <v>0</v>
      </c>
      <c r="J56" s="657">
        <v>0</v>
      </c>
      <c r="K56" s="659">
        <v>0</v>
      </c>
      <c r="L56" s="659">
        <v>0</v>
      </c>
      <c r="M56" s="659">
        <v>0</v>
      </c>
      <c r="N56" s="659">
        <v>0</v>
      </c>
      <c r="O56" s="659">
        <v>0</v>
      </c>
      <c r="P56" s="659">
        <v>0</v>
      </c>
      <c r="Q56" s="660">
        <v>0</v>
      </c>
    </row>
    <row r="57" spans="1:17" x14ac:dyDescent="0.25">
      <c r="A57" s="815">
        <v>38</v>
      </c>
      <c r="B57" s="816" t="s">
        <v>945</v>
      </c>
      <c r="C57" s="670">
        <v>0</v>
      </c>
      <c r="D57" s="657">
        <v>0</v>
      </c>
      <c r="E57" s="657">
        <v>15.282</v>
      </c>
      <c r="F57" s="657">
        <v>0</v>
      </c>
      <c r="G57" s="657">
        <v>0</v>
      </c>
      <c r="H57" s="657">
        <v>398.45399999999995</v>
      </c>
      <c r="I57" s="657">
        <v>72.844999999999999</v>
      </c>
      <c r="J57" s="657">
        <v>486.5809999999999</v>
      </c>
      <c r="K57" s="659">
        <v>30</v>
      </c>
      <c r="L57" s="659">
        <v>0</v>
      </c>
      <c r="M57" s="659">
        <v>0</v>
      </c>
      <c r="N57" s="659">
        <v>370</v>
      </c>
      <c r="O57" s="659">
        <v>370</v>
      </c>
      <c r="P57" s="659">
        <v>100</v>
      </c>
      <c r="Q57" s="660">
        <v>500</v>
      </c>
    </row>
    <row r="58" spans="1:17" x14ac:dyDescent="0.25">
      <c r="A58" s="817">
        <v>39</v>
      </c>
      <c r="B58" s="818" t="s">
        <v>946</v>
      </c>
      <c r="C58" s="670"/>
      <c r="D58" s="657">
        <v>0</v>
      </c>
      <c r="E58" s="657">
        <v>0</v>
      </c>
      <c r="F58" s="657">
        <v>0</v>
      </c>
      <c r="G58" s="657">
        <v>0</v>
      </c>
      <c r="H58" s="657">
        <v>78.727000000000004</v>
      </c>
      <c r="I58" s="657">
        <v>72.844999999999999</v>
      </c>
      <c r="J58" s="657">
        <v>151.572</v>
      </c>
      <c r="K58" s="659">
        <v>0</v>
      </c>
      <c r="L58" s="659">
        <v>0</v>
      </c>
      <c r="M58" s="659">
        <v>0</v>
      </c>
      <c r="N58" s="659">
        <v>70</v>
      </c>
      <c r="O58" s="659">
        <v>70</v>
      </c>
      <c r="P58" s="659">
        <v>100</v>
      </c>
      <c r="Q58" s="660">
        <v>170</v>
      </c>
    </row>
    <row r="59" spans="1:17" x14ac:dyDescent="0.25">
      <c r="A59" s="817">
        <v>40</v>
      </c>
      <c r="B59" s="818" t="s">
        <v>947</v>
      </c>
      <c r="C59" s="670"/>
      <c r="D59" s="657">
        <v>0</v>
      </c>
      <c r="E59" s="657">
        <v>0</v>
      </c>
      <c r="F59" s="657">
        <v>0</v>
      </c>
      <c r="G59" s="657">
        <v>0</v>
      </c>
      <c r="H59" s="657">
        <v>0</v>
      </c>
      <c r="I59" s="657">
        <v>0</v>
      </c>
      <c r="J59" s="657">
        <v>0</v>
      </c>
      <c r="K59" s="659">
        <v>0</v>
      </c>
      <c r="L59" s="659">
        <v>0</v>
      </c>
      <c r="M59" s="659">
        <v>0</v>
      </c>
      <c r="N59" s="659">
        <v>0</v>
      </c>
      <c r="O59" s="659">
        <v>0</v>
      </c>
      <c r="P59" s="659">
        <v>0</v>
      </c>
      <c r="Q59" s="660">
        <v>0</v>
      </c>
    </row>
    <row r="60" spans="1:17" x14ac:dyDescent="0.25">
      <c r="A60" s="817">
        <v>41</v>
      </c>
      <c r="B60" s="818" t="s">
        <v>948</v>
      </c>
      <c r="C60" s="670"/>
      <c r="D60" s="657">
        <v>0</v>
      </c>
      <c r="E60" s="657">
        <v>15.282</v>
      </c>
      <c r="F60" s="657">
        <v>0</v>
      </c>
      <c r="G60" s="657">
        <v>0</v>
      </c>
      <c r="H60" s="657">
        <v>319.72699999999998</v>
      </c>
      <c r="I60" s="657">
        <v>0</v>
      </c>
      <c r="J60" s="657">
        <v>335.00899999999996</v>
      </c>
      <c r="K60" s="659">
        <v>30</v>
      </c>
      <c r="L60" s="659">
        <v>0</v>
      </c>
      <c r="M60" s="659">
        <v>0</v>
      </c>
      <c r="N60" s="659">
        <v>300</v>
      </c>
      <c r="O60" s="659">
        <v>300</v>
      </c>
      <c r="P60" s="659">
        <v>0</v>
      </c>
      <c r="Q60" s="660">
        <v>330</v>
      </c>
    </row>
    <row r="61" spans="1:17" x14ac:dyDescent="0.25">
      <c r="A61" s="817">
        <v>42</v>
      </c>
      <c r="B61" s="818" t="s">
        <v>949</v>
      </c>
      <c r="C61" s="670"/>
      <c r="D61" s="657">
        <v>0</v>
      </c>
      <c r="E61" s="657">
        <v>0</v>
      </c>
      <c r="F61" s="657">
        <v>0</v>
      </c>
      <c r="G61" s="657">
        <v>0</v>
      </c>
      <c r="H61" s="657">
        <v>0</v>
      </c>
      <c r="I61" s="657">
        <v>0</v>
      </c>
      <c r="J61" s="657">
        <v>0</v>
      </c>
      <c r="K61" s="659">
        <v>0</v>
      </c>
      <c r="L61" s="659">
        <v>0</v>
      </c>
      <c r="M61" s="659">
        <v>0</v>
      </c>
      <c r="N61" s="659">
        <v>0</v>
      </c>
      <c r="O61" s="659">
        <v>0</v>
      </c>
      <c r="P61" s="659">
        <v>0</v>
      </c>
      <c r="Q61" s="660">
        <v>0</v>
      </c>
    </row>
    <row r="62" spans="1:17" ht="25.5" x14ac:dyDescent="0.25">
      <c r="A62" s="815">
        <v>43</v>
      </c>
      <c r="B62" s="816" t="s">
        <v>950</v>
      </c>
      <c r="C62" s="670">
        <v>0</v>
      </c>
      <c r="D62" s="657">
        <v>0</v>
      </c>
      <c r="E62" s="657">
        <v>0</v>
      </c>
      <c r="F62" s="657">
        <v>0</v>
      </c>
      <c r="G62" s="657">
        <v>0</v>
      </c>
      <c r="H62" s="657">
        <v>5582.1049999999996</v>
      </c>
      <c r="I62" s="657">
        <v>260.91399999999999</v>
      </c>
      <c r="J62" s="657">
        <v>5843.0189999999993</v>
      </c>
      <c r="K62" s="659">
        <v>150</v>
      </c>
      <c r="L62" s="659">
        <v>0</v>
      </c>
      <c r="M62" s="659">
        <v>0</v>
      </c>
      <c r="N62" s="659">
        <v>5105.7</v>
      </c>
      <c r="O62" s="659">
        <v>5105.7</v>
      </c>
      <c r="P62" s="659">
        <v>1380</v>
      </c>
      <c r="Q62" s="660">
        <v>6635.7</v>
      </c>
    </row>
    <row r="63" spans="1:17" hidden="1" x14ac:dyDescent="0.25">
      <c r="A63" s="815"/>
      <c r="B63" s="822" t="s">
        <v>951</v>
      </c>
      <c r="C63" s="670"/>
      <c r="D63" s="657">
        <v>0</v>
      </c>
      <c r="E63" s="657">
        <v>0</v>
      </c>
      <c r="F63" s="657">
        <v>0</v>
      </c>
      <c r="G63" s="657">
        <v>0</v>
      </c>
      <c r="H63" s="657">
        <v>0</v>
      </c>
      <c r="I63" s="657">
        <v>0</v>
      </c>
      <c r="J63" s="657">
        <v>0</v>
      </c>
      <c r="K63" s="659">
        <v>0</v>
      </c>
      <c r="L63" s="659">
        <v>0</v>
      </c>
      <c r="M63" s="659">
        <v>0</v>
      </c>
      <c r="N63" s="659">
        <v>0</v>
      </c>
      <c r="O63" s="659">
        <v>0</v>
      </c>
      <c r="P63" s="659">
        <v>0</v>
      </c>
      <c r="Q63" s="660">
        <v>0</v>
      </c>
    </row>
    <row r="64" spans="1:17" hidden="1" x14ac:dyDescent="0.25">
      <c r="A64" s="815"/>
      <c r="B64" s="822" t="s">
        <v>537</v>
      </c>
      <c r="C64" s="670"/>
      <c r="D64" s="657">
        <v>0</v>
      </c>
      <c r="E64" s="657">
        <v>0</v>
      </c>
      <c r="F64" s="657">
        <v>0</v>
      </c>
      <c r="G64" s="657">
        <v>0</v>
      </c>
      <c r="H64" s="657">
        <v>0</v>
      </c>
      <c r="I64" s="657">
        <v>0</v>
      </c>
      <c r="J64" s="657">
        <v>0</v>
      </c>
      <c r="K64" s="659">
        <v>0</v>
      </c>
      <c r="L64" s="659">
        <v>0</v>
      </c>
      <c r="M64" s="659">
        <v>0</v>
      </c>
      <c r="N64" s="659">
        <v>0</v>
      </c>
      <c r="O64" s="659">
        <v>0</v>
      </c>
      <c r="P64" s="659">
        <v>0</v>
      </c>
      <c r="Q64" s="660">
        <v>0</v>
      </c>
    </row>
    <row r="65" spans="1:17" hidden="1" x14ac:dyDescent="0.25">
      <c r="A65" s="815"/>
      <c r="B65" s="822" t="s">
        <v>952</v>
      </c>
      <c r="C65" s="670"/>
      <c r="D65" s="657">
        <v>0</v>
      </c>
      <c r="E65" s="657">
        <v>0</v>
      </c>
      <c r="F65" s="657">
        <v>0</v>
      </c>
      <c r="G65" s="657">
        <v>0</v>
      </c>
      <c r="H65" s="657">
        <v>0</v>
      </c>
      <c r="I65" s="657">
        <v>0</v>
      </c>
      <c r="J65" s="657">
        <v>0</v>
      </c>
      <c r="K65" s="659">
        <v>0</v>
      </c>
      <c r="L65" s="659">
        <v>0</v>
      </c>
      <c r="M65" s="659">
        <v>0</v>
      </c>
      <c r="N65" s="659">
        <v>0</v>
      </c>
      <c r="O65" s="659">
        <v>0</v>
      </c>
      <c r="P65" s="659">
        <v>0</v>
      </c>
      <c r="Q65" s="660">
        <v>0</v>
      </c>
    </row>
    <row r="66" spans="1:17" hidden="1" x14ac:dyDescent="0.25">
      <c r="A66" s="815"/>
      <c r="B66" s="822" t="s">
        <v>953</v>
      </c>
      <c r="C66" s="670"/>
      <c r="D66" s="657">
        <v>0</v>
      </c>
      <c r="E66" s="657">
        <v>0</v>
      </c>
      <c r="F66" s="657">
        <v>0</v>
      </c>
      <c r="G66" s="657">
        <v>0</v>
      </c>
      <c r="H66" s="657">
        <v>0</v>
      </c>
      <c r="I66" s="657">
        <v>0</v>
      </c>
      <c r="J66" s="657">
        <v>0</v>
      </c>
      <c r="K66" s="659">
        <v>0</v>
      </c>
      <c r="L66" s="659">
        <v>0</v>
      </c>
      <c r="M66" s="659">
        <v>0</v>
      </c>
      <c r="N66" s="659">
        <v>0</v>
      </c>
      <c r="O66" s="659">
        <v>0</v>
      </c>
      <c r="P66" s="659">
        <v>0</v>
      </c>
      <c r="Q66" s="660">
        <v>0</v>
      </c>
    </row>
    <row r="67" spans="1:17" hidden="1" x14ac:dyDescent="0.25">
      <c r="A67" s="815"/>
      <c r="B67" s="822" t="s">
        <v>538</v>
      </c>
      <c r="C67" s="670"/>
      <c r="D67" s="657">
        <v>0</v>
      </c>
      <c r="E67" s="657">
        <v>0</v>
      </c>
      <c r="F67" s="657">
        <v>0</v>
      </c>
      <c r="G67" s="657">
        <v>0</v>
      </c>
      <c r="H67" s="657">
        <v>0</v>
      </c>
      <c r="I67" s="657">
        <v>0</v>
      </c>
      <c r="J67" s="657">
        <v>0</v>
      </c>
      <c r="K67" s="659">
        <v>0</v>
      </c>
      <c r="L67" s="659">
        <v>0</v>
      </c>
      <c r="M67" s="659">
        <v>0</v>
      </c>
      <c r="N67" s="659">
        <v>0</v>
      </c>
      <c r="O67" s="659">
        <v>0</v>
      </c>
      <c r="P67" s="659">
        <v>0</v>
      </c>
      <c r="Q67" s="660">
        <v>0</v>
      </c>
    </row>
    <row r="68" spans="1:17" hidden="1" x14ac:dyDescent="0.25">
      <c r="A68" s="815"/>
      <c r="B68" s="822" t="s">
        <v>539</v>
      </c>
      <c r="C68" s="670"/>
      <c r="D68" s="657">
        <v>0</v>
      </c>
      <c r="E68" s="657">
        <v>0</v>
      </c>
      <c r="F68" s="657">
        <v>0</v>
      </c>
      <c r="G68" s="657">
        <v>0</v>
      </c>
      <c r="H68" s="657">
        <v>0</v>
      </c>
      <c r="I68" s="657">
        <v>0</v>
      </c>
      <c r="J68" s="657">
        <v>0</v>
      </c>
      <c r="K68" s="659">
        <v>0</v>
      </c>
      <c r="L68" s="659">
        <v>0</v>
      </c>
      <c r="M68" s="659">
        <v>0</v>
      </c>
      <c r="N68" s="659">
        <v>0</v>
      </c>
      <c r="O68" s="659">
        <v>0</v>
      </c>
      <c r="P68" s="659">
        <v>0</v>
      </c>
      <c r="Q68" s="660">
        <v>0</v>
      </c>
    </row>
    <row r="69" spans="1:17" hidden="1" x14ac:dyDescent="0.25">
      <c r="A69" s="815"/>
      <c r="B69" s="822" t="s">
        <v>540</v>
      </c>
      <c r="C69" s="670"/>
      <c r="D69" s="657">
        <v>0</v>
      </c>
      <c r="E69" s="657">
        <v>0</v>
      </c>
      <c r="F69" s="657">
        <v>0</v>
      </c>
      <c r="G69" s="657">
        <v>0</v>
      </c>
      <c r="H69" s="657">
        <v>0</v>
      </c>
      <c r="I69" s="657">
        <v>0</v>
      </c>
      <c r="J69" s="657">
        <v>0</v>
      </c>
      <c r="K69" s="659">
        <v>0</v>
      </c>
      <c r="L69" s="659">
        <v>0</v>
      </c>
      <c r="M69" s="659">
        <v>0</v>
      </c>
      <c r="N69" s="659">
        <v>0</v>
      </c>
      <c r="O69" s="659">
        <v>0</v>
      </c>
      <c r="P69" s="659">
        <v>0</v>
      </c>
      <c r="Q69" s="660">
        <v>0</v>
      </c>
    </row>
    <row r="70" spans="1:17" hidden="1" x14ac:dyDescent="0.25">
      <c r="A70" s="815"/>
      <c r="B70" s="822" t="s">
        <v>954</v>
      </c>
      <c r="C70" s="670"/>
      <c r="D70" s="657">
        <v>0</v>
      </c>
      <c r="E70" s="657">
        <v>0</v>
      </c>
      <c r="F70" s="657">
        <v>0</v>
      </c>
      <c r="G70" s="657">
        <v>0</v>
      </c>
      <c r="H70" s="657">
        <v>0</v>
      </c>
      <c r="I70" s="657">
        <v>0</v>
      </c>
      <c r="J70" s="657">
        <v>0</v>
      </c>
      <c r="K70" s="659">
        <v>0</v>
      </c>
      <c r="L70" s="659">
        <v>0</v>
      </c>
      <c r="M70" s="659">
        <v>0</v>
      </c>
      <c r="N70" s="659">
        <v>0</v>
      </c>
      <c r="O70" s="659">
        <v>0</v>
      </c>
      <c r="P70" s="659">
        <v>0</v>
      </c>
      <c r="Q70" s="660">
        <v>0</v>
      </c>
    </row>
    <row r="71" spans="1:17" x14ac:dyDescent="0.25">
      <c r="A71" s="815">
        <v>44</v>
      </c>
      <c r="B71" s="816" t="s">
        <v>955</v>
      </c>
      <c r="C71" s="670"/>
      <c r="D71" s="657">
        <v>39.021999999999998</v>
      </c>
      <c r="E71" s="657">
        <v>16.3</v>
      </c>
      <c r="F71" s="657">
        <v>0</v>
      </c>
      <c r="G71" s="657">
        <v>0</v>
      </c>
      <c r="H71" s="657">
        <v>3694.9670000000001</v>
      </c>
      <c r="I71" s="657">
        <v>0</v>
      </c>
      <c r="J71" s="657">
        <v>3750.2890000000002</v>
      </c>
      <c r="K71" s="659">
        <v>20</v>
      </c>
      <c r="L71" s="659">
        <v>0</v>
      </c>
      <c r="M71" s="659">
        <v>0</v>
      </c>
      <c r="N71" s="659">
        <v>1326.8520000000001</v>
      </c>
      <c r="O71" s="659">
        <v>1326.8520000000001</v>
      </c>
      <c r="P71" s="659">
        <v>0</v>
      </c>
      <c r="Q71" s="660">
        <v>1346.8520000000001</v>
      </c>
    </row>
    <row r="72" spans="1:17" x14ac:dyDescent="0.25">
      <c r="A72" s="815"/>
      <c r="B72" s="818" t="s">
        <v>721</v>
      </c>
      <c r="C72" s="670"/>
      <c r="D72" s="657"/>
      <c r="E72" s="657"/>
      <c r="F72" s="657"/>
      <c r="G72" s="657"/>
      <c r="H72" s="657"/>
      <c r="I72" s="657"/>
      <c r="J72" s="657"/>
      <c r="K72" s="659"/>
      <c r="L72" s="659"/>
      <c r="M72" s="659"/>
      <c r="N72" s="659"/>
      <c r="O72" s="659"/>
      <c r="P72" s="659"/>
      <c r="Q72" s="660">
        <v>1258</v>
      </c>
    </row>
    <row r="73" spans="1:17" x14ac:dyDescent="0.25">
      <c r="A73" s="811">
        <v>45</v>
      </c>
      <c r="B73" s="812" t="s">
        <v>956</v>
      </c>
      <c r="C73" s="670"/>
      <c r="D73" s="657">
        <v>4092.9659999999999</v>
      </c>
      <c r="E73" s="657">
        <v>1695.309</v>
      </c>
      <c r="F73" s="657">
        <v>859.15899999999999</v>
      </c>
      <c r="G73" s="657">
        <v>628.53</v>
      </c>
      <c r="H73" s="657">
        <v>89620.406000000003</v>
      </c>
      <c r="I73" s="657">
        <v>1637.0219999999999</v>
      </c>
      <c r="J73" s="657">
        <v>98533.391999999993</v>
      </c>
      <c r="K73" s="659">
        <v>5384.6384065919983</v>
      </c>
      <c r="L73" s="659">
        <v>2727.6858000000002</v>
      </c>
      <c r="M73" s="659">
        <v>674.3594250000001</v>
      </c>
      <c r="N73" s="659">
        <v>6860.4868399999996</v>
      </c>
      <c r="O73" s="659">
        <v>9588.1726400000007</v>
      </c>
      <c r="P73" s="659">
        <v>2957.8307379300004</v>
      </c>
      <c r="Q73" s="660">
        <v>18605.001209521997</v>
      </c>
    </row>
    <row r="74" spans="1:17" x14ac:dyDescent="0.25">
      <c r="A74" s="811">
        <v>46</v>
      </c>
      <c r="B74" s="812" t="s">
        <v>957</v>
      </c>
      <c r="C74" s="670"/>
      <c r="D74" s="657">
        <v>0</v>
      </c>
      <c r="E74" s="657">
        <v>0</v>
      </c>
      <c r="F74" s="657">
        <v>0</v>
      </c>
      <c r="G74" s="657">
        <v>0</v>
      </c>
      <c r="H74" s="657">
        <v>0</v>
      </c>
      <c r="I74" s="657">
        <v>0</v>
      </c>
      <c r="J74" s="657">
        <v>0</v>
      </c>
      <c r="K74" s="659">
        <v>0</v>
      </c>
      <c r="L74" s="659">
        <v>0</v>
      </c>
      <c r="M74" s="659">
        <v>0</v>
      </c>
      <c r="N74" s="659">
        <v>0</v>
      </c>
      <c r="O74" s="659">
        <v>0</v>
      </c>
      <c r="P74" s="659">
        <v>0</v>
      </c>
      <c r="Q74" s="660">
        <v>0</v>
      </c>
    </row>
    <row r="75" spans="1:17" ht="38.25" x14ac:dyDescent="0.25">
      <c r="A75" s="811">
        <v>47</v>
      </c>
      <c r="B75" s="812" t="s">
        <v>958</v>
      </c>
      <c r="C75" s="670">
        <v>0</v>
      </c>
      <c r="D75" s="657">
        <v>1929</v>
      </c>
      <c r="E75" s="657">
        <v>18.975999999999999</v>
      </c>
      <c r="F75" s="657">
        <v>5.734</v>
      </c>
      <c r="G75" s="657">
        <v>2.7</v>
      </c>
      <c r="H75" s="657">
        <v>6829.5329999999994</v>
      </c>
      <c r="I75" s="657">
        <v>534.79099999999994</v>
      </c>
      <c r="J75" s="657">
        <v>9320.7339999999986</v>
      </c>
      <c r="K75" s="659">
        <v>100</v>
      </c>
      <c r="L75" s="659">
        <v>0</v>
      </c>
      <c r="M75" s="659">
        <v>50</v>
      </c>
      <c r="N75" s="659">
        <v>5147.6273505999998</v>
      </c>
      <c r="O75" s="659">
        <v>5147.6273505999998</v>
      </c>
      <c r="P75" s="659">
        <v>486.22832</v>
      </c>
      <c r="Q75" s="660">
        <v>5783.8556705999999</v>
      </c>
    </row>
    <row r="76" spans="1:17" hidden="1" x14ac:dyDescent="0.25">
      <c r="A76" s="811"/>
      <c r="B76" s="822" t="s">
        <v>959</v>
      </c>
      <c r="C76" s="670"/>
      <c r="D76" s="657">
        <v>0</v>
      </c>
      <c r="E76" s="657">
        <v>0</v>
      </c>
      <c r="F76" s="657">
        <v>0</v>
      </c>
      <c r="G76" s="657">
        <v>0</v>
      </c>
      <c r="H76" s="657">
        <v>0</v>
      </c>
      <c r="I76" s="657">
        <v>0</v>
      </c>
      <c r="J76" s="657">
        <v>0</v>
      </c>
      <c r="K76" s="659">
        <v>0</v>
      </c>
      <c r="L76" s="659">
        <v>0</v>
      </c>
      <c r="M76" s="659">
        <v>0</v>
      </c>
      <c r="N76" s="659">
        <v>0</v>
      </c>
      <c r="O76" s="659">
        <v>0</v>
      </c>
      <c r="P76" s="659">
        <v>0</v>
      </c>
      <c r="Q76" s="660">
        <v>0</v>
      </c>
    </row>
    <row r="77" spans="1:17" hidden="1" x14ac:dyDescent="0.25">
      <c r="A77" s="811"/>
      <c r="B77" s="822" t="s">
        <v>960</v>
      </c>
      <c r="C77" s="670"/>
      <c r="D77" s="657">
        <v>0</v>
      </c>
      <c r="E77" s="657">
        <v>0</v>
      </c>
      <c r="F77" s="657">
        <v>0</v>
      </c>
      <c r="G77" s="657">
        <v>0</v>
      </c>
      <c r="H77" s="657">
        <v>0</v>
      </c>
      <c r="I77" s="657">
        <v>0</v>
      </c>
      <c r="J77" s="657">
        <v>0</v>
      </c>
      <c r="K77" s="659">
        <v>0</v>
      </c>
      <c r="L77" s="659">
        <v>0</v>
      </c>
      <c r="M77" s="659">
        <v>0</v>
      </c>
      <c r="N77" s="659">
        <v>0</v>
      </c>
      <c r="O77" s="659">
        <v>0</v>
      </c>
      <c r="P77" s="659">
        <v>0</v>
      </c>
      <c r="Q77" s="660">
        <v>0</v>
      </c>
    </row>
    <row r="78" spans="1:17" hidden="1" x14ac:dyDescent="0.25">
      <c r="A78" s="811"/>
      <c r="B78" s="822" t="s">
        <v>961</v>
      </c>
      <c r="C78" s="670"/>
      <c r="D78" s="657">
        <v>0</v>
      </c>
      <c r="E78" s="657">
        <v>0</v>
      </c>
      <c r="F78" s="657">
        <v>0</v>
      </c>
      <c r="G78" s="657">
        <v>0</v>
      </c>
      <c r="H78" s="657">
        <v>0</v>
      </c>
      <c r="I78" s="657">
        <v>0</v>
      </c>
      <c r="J78" s="657">
        <v>0</v>
      </c>
      <c r="K78" s="659">
        <v>0</v>
      </c>
      <c r="L78" s="659">
        <v>0</v>
      </c>
      <c r="M78" s="659">
        <v>0</v>
      </c>
      <c r="N78" s="659">
        <v>0</v>
      </c>
      <c r="O78" s="659">
        <v>0</v>
      </c>
      <c r="P78" s="659">
        <v>0</v>
      </c>
      <c r="Q78" s="660">
        <v>0</v>
      </c>
    </row>
    <row r="79" spans="1:17" hidden="1" x14ac:dyDescent="0.25">
      <c r="A79" s="811"/>
      <c r="B79" s="822" t="s">
        <v>962</v>
      </c>
      <c r="C79" s="670"/>
      <c r="D79" s="657">
        <v>0</v>
      </c>
      <c r="E79" s="657">
        <v>0</v>
      </c>
      <c r="F79" s="657">
        <v>0</v>
      </c>
      <c r="G79" s="657">
        <v>0</v>
      </c>
      <c r="H79" s="657">
        <v>0</v>
      </c>
      <c r="I79" s="657">
        <v>0</v>
      </c>
      <c r="J79" s="657">
        <v>0</v>
      </c>
      <c r="K79" s="659">
        <v>0</v>
      </c>
      <c r="L79" s="659">
        <v>0</v>
      </c>
      <c r="M79" s="659">
        <v>0</v>
      </c>
      <c r="N79" s="659">
        <v>0</v>
      </c>
      <c r="O79" s="659">
        <v>0</v>
      </c>
      <c r="P79" s="659">
        <v>0</v>
      </c>
      <c r="Q79" s="660">
        <v>0</v>
      </c>
    </row>
    <row r="80" spans="1:17" x14ac:dyDescent="0.25">
      <c r="A80" s="811">
        <v>48</v>
      </c>
      <c r="B80" s="824" t="s">
        <v>963</v>
      </c>
      <c r="C80" s="670"/>
      <c r="D80" s="657">
        <v>38.786999999999999</v>
      </c>
      <c r="E80" s="657">
        <v>0.68700000000000006</v>
      </c>
      <c r="F80" s="657">
        <v>12.576000000000001</v>
      </c>
      <c r="G80" s="657">
        <v>6.0789999999999997</v>
      </c>
      <c r="H80" s="657">
        <v>9191.6769999999997</v>
      </c>
      <c r="I80" s="657">
        <v>40.270000000000003</v>
      </c>
      <c r="J80" s="657">
        <v>9290.0760000000009</v>
      </c>
      <c r="K80" s="659">
        <v>10</v>
      </c>
      <c r="L80" s="659">
        <v>10</v>
      </c>
      <c r="M80" s="659">
        <v>10</v>
      </c>
      <c r="N80" s="659">
        <v>20</v>
      </c>
      <c r="O80" s="659">
        <v>30</v>
      </c>
      <c r="P80" s="659">
        <v>10</v>
      </c>
      <c r="Q80" s="660">
        <v>60</v>
      </c>
    </row>
    <row r="81" spans="1:17" x14ac:dyDescent="0.25">
      <c r="A81" s="811">
        <v>49</v>
      </c>
      <c r="B81" s="812" t="s">
        <v>964</v>
      </c>
      <c r="C81" s="670"/>
      <c r="D81" s="657">
        <v>0</v>
      </c>
      <c r="E81" s="657">
        <v>0</v>
      </c>
      <c r="F81" s="657">
        <v>0</v>
      </c>
      <c r="G81" s="657">
        <v>0</v>
      </c>
      <c r="H81" s="657">
        <v>0</v>
      </c>
      <c r="I81" s="657">
        <v>0</v>
      </c>
      <c r="J81" s="657">
        <v>0</v>
      </c>
      <c r="K81" s="659">
        <v>0</v>
      </c>
      <c r="L81" s="659">
        <v>0</v>
      </c>
      <c r="M81" s="659">
        <v>0</v>
      </c>
      <c r="N81" s="659">
        <v>0</v>
      </c>
      <c r="O81" s="659">
        <v>0</v>
      </c>
      <c r="P81" s="659">
        <v>0</v>
      </c>
      <c r="Q81" s="660">
        <v>0</v>
      </c>
    </row>
    <row r="82" spans="1:17" ht="30" x14ac:dyDescent="0.25">
      <c r="A82" s="671">
        <v>50</v>
      </c>
      <c r="B82" s="672" t="s">
        <v>965</v>
      </c>
      <c r="C82" s="813">
        <v>0</v>
      </c>
      <c r="D82" s="813">
        <v>21737.004000000001</v>
      </c>
      <c r="E82" s="813">
        <v>8053.7840000000006</v>
      </c>
      <c r="F82" s="813">
        <v>4429.7049999999999</v>
      </c>
      <c r="G82" s="813">
        <v>2972.6190000000006</v>
      </c>
      <c r="H82" s="813">
        <v>141472.505</v>
      </c>
      <c r="I82" s="813">
        <v>9323.5119999999988</v>
      </c>
      <c r="J82" s="813">
        <v>187989.12899999999</v>
      </c>
      <c r="K82" s="813">
        <v>25467.743616191998</v>
      </c>
      <c r="L82" s="813">
        <v>12934.713988976378</v>
      </c>
      <c r="M82" s="813">
        <v>3231.9869250000002</v>
      </c>
      <c r="N82" s="813">
        <v>39979.264901820468</v>
      </c>
      <c r="O82" s="813">
        <v>52913.978890796847</v>
      </c>
      <c r="P82" s="813">
        <v>15228.987716930002</v>
      </c>
      <c r="Q82" s="813">
        <v>96842.697148918829</v>
      </c>
    </row>
    <row r="83" spans="1:17" ht="25.5" x14ac:dyDescent="0.25">
      <c r="A83" s="811">
        <v>51</v>
      </c>
      <c r="B83" s="812" t="s">
        <v>966</v>
      </c>
      <c r="C83" s="670"/>
      <c r="D83" s="657">
        <v>0</v>
      </c>
      <c r="E83" s="657">
        <v>0</v>
      </c>
      <c r="F83" s="657">
        <v>0</v>
      </c>
      <c r="G83" s="657">
        <v>0</v>
      </c>
      <c r="H83" s="657">
        <v>187383.04800000001</v>
      </c>
      <c r="I83" s="657">
        <v>0</v>
      </c>
      <c r="J83" s="657">
        <v>187383.04800000001</v>
      </c>
      <c r="K83" s="659">
        <v>0</v>
      </c>
      <c r="L83" s="659">
        <v>0</v>
      </c>
      <c r="M83" s="659">
        <v>0</v>
      </c>
      <c r="N83" s="659">
        <v>0</v>
      </c>
      <c r="O83" s="659">
        <v>0</v>
      </c>
      <c r="P83" s="659">
        <v>0</v>
      </c>
      <c r="Q83" s="660">
        <v>0</v>
      </c>
    </row>
    <row r="84" spans="1:17" x14ac:dyDescent="0.25">
      <c r="A84" s="811">
        <v>52</v>
      </c>
      <c r="B84" s="812" t="s">
        <v>967</v>
      </c>
      <c r="C84" s="670"/>
      <c r="D84" s="657">
        <v>0</v>
      </c>
      <c r="E84" s="657">
        <v>0</v>
      </c>
      <c r="F84" s="657">
        <v>0</v>
      </c>
      <c r="G84" s="657">
        <v>0</v>
      </c>
      <c r="H84" s="657">
        <v>0</v>
      </c>
      <c r="I84" s="657">
        <v>0</v>
      </c>
      <c r="J84" s="657">
        <v>0</v>
      </c>
      <c r="K84" s="659">
        <v>0</v>
      </c>
      <c r="L84" s="659">
        <v>0</v>
      </c>
      <c r="M84" s="659">
        <v>0</v>
      </c>
      <c r="N84" s="659">
        <v>0</v>
      </c>
      <c r="O84" s="659">
        <v>0</v>
      </c>
      <c r="P84" s="659">
        <v>0</v>
      </c>
      <c r="Q84" s="660">
        <v>0</v>
      </c>
    </row>
    <row r="85" spans="1:17" ht="25.5" x14ac:dyDescent="0.25">
      <c r="A85" s="811">
        <v>53</v>
      </c>
      <c r="B85" s="812" t="s">
        <v>968</v>
      </c>
      <c r="C85" s="670"/>
      <c r="D85" s="657">
        <v>0</v>
      </c>
      <c r="E85" s="657">
        <v>0</v>
      </c>
      <c r="F85" s="657">
        <v>0</v>
      </c>
      <c r="G85" s="657">
        <v>0</v>
      </c>
      <c r="H85" s="657">
        <v>0</v>
      </c>
      <c r="I85" s="657">
        <v>0</v>
      </c>
      <c r="J85" s="657">
        <v>0</v>
      </c>
      <c r="K85" s="659">
        <v>0</v>
      </c>
      <c r="L85" s="659">
        <v>0</v>
      </c>
      <c r="M85" s="659">
        <v>0</v>
      </c>
      <c r="N85" s="659">
        <v>0</v>
      </c>
      <c r="O85" s="659">
        <v>0</v>
      </c>
      <c r="P85" s="659">
        <v>0</v>
      </c>
      <c r="Q85" s="660">
        <v>0</v>
      </c>
    </row>
    <row r="86" spans="1:17" ht="25.5" x14ac:dyDescent="0.25">
      <c r="A86" s="811">
        <v>54</v>
      </c>
      <c r="B86" s="812" t="s">
        <v>969</v>
      </c>
      <c r="C86" s="670">
        <v>0</v>
      </c>
      <c r="D86" s="657">
        <v>0</v>
      </c>
      <c r="E86" s="657">
        <v>0</v>
      </c>
      <c r="F86" s="657">
        <v>0</v>
      </c>
      <c r="G86" s="657">
        <v>0</v>
      </c>
      <c r="H86" s="657">
        <v>4947.9159999999993</v>
      </c>
      <c r="I86" s="657">
        <v>300</v>
      </c>
      <c r="J86" s="657">
        <v>5247.9159999999993</v>
      </c>
      <c r="K86" s="659">
        <v>0</v>
      </c>
      <c r="L86" s="659">
        <v>0</v>
      </c>
      <c r="M86" s="659">
        <v>0</v>
      </c>
      <c r="N86" s="659">
        <v>4034</v>
      </c>
      <c r="O86" s="659">
        <v>4034</v>
      </c>
      <c r="P86" s="659">
        <v>0</v>
      </c>
      <c r="Q86" s="660">
        <v>4034</v>
      </c>
    </row>
    <row r="87" spans="1:17" x14ac:dyDescent="0.25">
      <c r="A87" s="811">
        <v>5401</v>
      </c>
      <c r="B87" s="816" t="s">
        <v>970</v>
      </c>
      <c r="C87" s="670"/>
      <c r="D87" s="657">
        <v>0</v>
      </c>
      <c r="E87" s="657">
        <v>0</v>
      </c>
      <c r="F87" s="657">
        <v>0</v>
      </c>
      <c r="G87" s="657">
        <v>0</v>
      </c>
      <c r="H87" s="657">
        <v>0</v>
      </c>
      <c r="I87" s="657">
        <v>0</v>
      </c>
      <c r="J87" s="657">
        <v>0</v>
      </c>
      <c r="K87" s="659">
        <v>0</v>
      </c>
      <c r="L87" s="659">
        <v>0</v>
      </c>
      <c r="M87" s="659">
        <v>0</v>
      </c>
      <c r="N87" s="659">
        <v>0</v>
      </c>
      <c r="O87" s="659">
        <v>0</v>
      </c>
      <c r="P87" s="659">
        <v>0</v>
      </c>
      <c r="Q87" s="660">
        <v>0</v>
      </c>
    </row>
    <row r="88" spans="1:17" x14ac:dyDescent="0.25">
      <c r="A88" s="811">
        <v>5402</v>
      </c>
      <c r="B88" s="816" t="s">
        <v>971</v>
      </c>
      <c r="C88" s="670"/>
      <c r="D88" s="657">
        <v>0</v>
      </c>
      <c r="E88" s="657">
        <v>0</v>
      </c>
      <c r="F88" s="657">
        <v>0</v>
      </c>
      <c r="G88" s="657">
        <v>0</v>
      </c>
      <c r="H88" s="657">
        <v>0</v>
      </c>
      <c r="I88" s="657">
        <v>0</v>
      </c>
      <c r="J88" s="657">
        <v>0</v>
      </c>
      <c r="K88" s="659">
        <v>0</v>
      </c>
      <c r="L88" s="659">
        <v>0</v>
      </c>
      <c r="M88" s="659">
        <v>0</v>
      </c>
      <c r="N88" s="659">
        <v>0</v>
      </c>
      <c r="O88" s="659">
        <v>0</v>
      </c>
      <c r="P88" s="659">
        <v>0</v>
      </c>
      <c r="Q88" s="660">
        <v>0</v>
      </c>
    </row>
    <row r="89" spans="1:17" x14ac:dyDescent="0.25">
      <c r="A89" s="811">
        <v>5403</v>
      </c>
      <c r="B89" s="816" t="s">
        <v>972</v>
      </c>
      <c r="C89" s="670"/>
      <c r="D89" s="657">
        <v>0</v>
      </c>
      <c r="E89" s="657">
        <v>0</v>
      </c>
      <c r="F89" s="657">
        <v>0</v>
      </c>
      <c r="G89" s="657">
        <v>0</v>
      </c>
      <c r="H89" s="657">
        <v>382.41</v>
      </c>
      <c r="I89" s="657">
        <v>0</v>
      </c>
      <c r="J89" s="657">
        <v>382.41</v>
      </c>
      <c r="K89" s="659">
        <v>0</v>
      </c>
      <c r="L89" s="659">
        <v>0</v>
      </c>
      <c r="M89" s="659">
        <v>0</v>
      </c>
      <c r="N89" s="659">
        <v>576</v>
      </c>
      <c r="O89" s="659">
        <v>576</v>
      </c>
      <c r="P89" s="659">
        <v>0</v>
      </c>
      <c r="Q89" s="660">
        <v>576</v>
      </c>
    </row>
    <row r="90" spans="1:17" x14ac:dyDescent="0.25">
      <c r="A90" s="811">
        <v>5404</v>
      </c>
      <c r="B90" s="816" t="s">
        <v>973</v>
      </c>
      <c r="C90" s="670"/>
      <c r="D90" s="657">
        <v>0</v>
      </c>
      <c r="E90" s="657">
        <v>0</v>
      </c>
      <c r="F90" s="657">
        <v>0</v>
      </c>
      <c r="G90" s="657">
        <v>0</v>
      </c>
      <c r="H90" s="657">
        <v>69.3</v>
      </c>
      <c r="I90" s="657">
        <v>0</v>
      </c>
      <c r="J90" s="657">
        <v>69.3</v>
      </c>
      <c r="K90" s="659">
        <v>0</v>
      </c>
      <c r="L90" s="659">
        <v>0</v>
      </c>
      <c r="M90" s="659">
        <v>0</v>
      </c>
      <c r="N90" s="659">
        <v>78</v>
      </c>
      <c r="O90" s="659">
        <v>78</v>
      </c>
      <c r="P90" s="659">
        <v>0</v>
      </c>
      <c r="Q90" s="660">
        <v>78</v>
      </c>
    </row>
    <row r="91" spans="1:17" x14ac:dyDescent="0.25">
      <c r="A91" s="811">
        <v>5405</v>
      </c>
      <c r="B91" s="816" t="s">
        <v>974</v>
      </c>
      <c r="C91" s="670"/>
      <c r="D91" s="657">
        <v>0</v>
      </c>
      <c r="E91" s="657">
        <v>0</v>
      </c>
      <c r="F91" s="657">
        <v>0</v>
      </c>
      <c r="G91" s="657">
        <v>0</v>
      </c>
      <c r="H91" s="657">
        <v>0</v>
      </c>
      <c r="I91" s="657">
        <v>0</v>
      </c>
      <c r="J91" s="657">
        <v>0</v>
      </c>
      <c r="K91" s="659">
        <v>0</v>
      </c>
      <c r="L91" s="659">
        <v>0</v>
      </c>
      <c r="M91" s="659">
        <v>0</v>
      </c>
      <c r="N91" s="659">
        <v>0</v>
      </c>
      <c r="O91" s="659">
        <v>0</v>
      </c>
      <c r="P91" s="659">
        <v>0</v>
      </c>
      <c r="Q91" s="660">
        <v>0</v>
      </c>
    </row>
    <row r="92" spans="1:17" x14ac:dyDescent="0.25">
      <c r="A92" s="811">
        <v>5406</v>
      </c>
      <c r="B92" s="816" t="s">
        <v>975</v>
      </c>
      <c r="C92" s="670"/>
      <c r="D92" s="657">
        <v>0</v>
      </c>
      <c r="E92" s="657">
        <v>0</v>
      </c>
      <c r="F92" s="657">
        <v>0</v>
      </c>
      <c r="G92" s="657">
        <v>0</v>
      </c>
      <c r="H92" s="657">
        <v>1126.7349999999999</v>
      </c>
      <c r="I92" s="657">
        <v>0</v>
      </c>
      <c r="J92" s="657">
        <v>1126.7349999999999</v>
      </c>
      <c r="K92" s="659">
        <v>0</v>
      </c>
      <c r="L92" s="659">
        <v>0</v>
      </c>
      <c r="M92" s="659">
        <v>0</v>
      </c>
      <c r="N92" s="659">
        <v>0</v>
      </c>
      <c r="O92" s="659">
        <v>0</v>
      </c>
      <c r="P92" s="659">
        <v>0</v>
      </c>
      <c r="Q92" s="660">
        <v>0</v>
      </c>
    </row>
    <row r="93" spans="1:17" x14ac:dyDescent="0.25">
      <c r="A93" s="811">
        <v>5407</v>
      </c>
      <c r="B93" s="816" t="s">
        <v>976</v>
      </c>
      <c r="C93" s="670"/>
      <c r="D93" s="657">
        <v>0</v>
      </c>
      <c r="E93" s="657">
        <v>0</v>
      </c>
      <c r="F93" s="657">
        <v>0</v>
      </c>
      <c r="G93" s="657">
        <v>0</v>
      </c>
      <c r="H93" s="657">
        <v>0</v>
      </c>
      <c r="I93" s="657">
        <v>0</v>
      </c>
      <c r="J93" s="657">
        <v>0</v>
      </c>
      <c r="K93" s="659">
        <v>0</v>
      </c>
      <c r="L93" s="659">
        <v>0</v>
      </c>
      <c r="M93" s="659">
        <v>0</v>
      </c>
      <c r="N93" s="659">
        <v>0</v>
      </c>
      <c r="O93" s="659">
        <v>0</v>
      </c>
      <c r="P93" s="659">
        <v>0</v>
      </c>
      <c r="Q93" s="660">
        <v>0</v>
      </c>
    </row>
    <row r="94" spans="1:17" x14ac:dyDescent="0.25">
      <c r="A94" s="811">
        <v>5408</v>
      </c>
      <c r="B94" s="816" t="s">
        <v>977</v>
      </c>
      <c r="C94" s="670"/>
      <c r="D94" s="657">
        <v>0</v>
      </c>
      <c r="E94" s="657">
        <v>0</v>
      </c>
      <c r="F94" s="657">
        <v>0</v>
      </c>
      <c r="G94" s="657">
        <v>0</v>
      </c>
      <c r="H94" s="657">
        <v>1260</v>
      </c>
      <c r="I94" s="657">
        <v>0</v>
      </c>
      <c r="J94" s="657">
        <v>1260</v>
      </c>
      <c r="K94" s="659">
        <v>0</v>
      </c>
      <c r="L94" s="659">
        <v>0</v>
      </c>
      <c r="M94" s="659">
        <v>0</v>
      </c>
      <c r="N94" s="659">
        <v>1080</v>
      </c>
      <c r="O94" s="659">
        <v>1080</v>
      </c>
      <c r="P94" s="659">
        <v>0</v>
      </c>
      <c r="Q94" s="660">
        <v>1080</v>
      </c>
    </row>
    <row r="95" spans="1:17" x14ac:dyDescent="0.25">
      <c r="A95" s="811">
        <v>5409</v>
      </c>
      <c r="B95" s="816" t="s">
        <v>978</v>
      </c>
      <c r="C95" s="670"/>
      <c r="D95" s="657">
        <v>0</v>
      </c>
      <c r="E95" s="657">
        <v>0</v>
      </c>
      <c r="F95" s="657">
        <v>0</v>
      </c>
      <c r="G95" s="657">
        <v>0</v>
      </c>
      <c r="H95" s="657">
        <v>2109.471</v>
      </c>
      <c r="I95" s="657">
        <v>300</v>
      </c>
      <c r="J95" s="657">
        <v>2409.471</v>
      </c>
      <c r="K95" s="659">
        <v>0</v>
      </c>
      <c r="L95" s="659">
        <v>0</v>
      </c>
      <c r="M95" s="659">
        <v>0</v>
      </c>
      <c r="N95" s="659">
        <v>2300</v>
      </c>
      <c r="O95" s="659">
        <v>2300</v>
      </c>
      <c r="P95" s="659">
        <v>0</v>
      </c>
      <c r="Q95" s="660">
        <v>2300</v>
      </c>
    </row>
    <row r="96" spans="1:17" x14ac:dyDescent="0.25">
      <c r="A96" s="811">
        <v>5410</v>
      </c>
      <c r="B96" s="816" t="s">
        <v>979</v>
      </c>
      <c r="C96" s="670"/>
      <c r="D96" s="657">
        <v>0</v>
      </c>
      <c r="E96" s="657">
        <v>0</v>
      </c>
      <c r="F96" s="657">
        <v>0</v>
      </c>
      <c r="G96" s="657">
        <v>0</v>
      </c>
      <c r="H96" s="657">
        <v>0</v>
      </c>
      <c r="I96" s="657">
        <v>0</v>
      </c>
      <c r="J96" s="657">
        <v>0</v>
      </c>
      <c r="K96" s="659">
        <v>0</v>
      </c>
      <c r="L96" s="659">
        <v>0</v>
      </c>
      <c r="M96" s="659">
        <v>0</v>
      </c>
      <c r="N96" s="659">
        <v>0</v>
      </c>
      <c r="O96" s="659">
        <v>0</v>
      </c>
      <c r="P96" s="659">
        <v>0</v>
      </c>
      <c r="Q96" s="660">
        <v>0</v>
      </c>
    </row>
    <row r="97" spans="1:17" x14ac:dyDescent="0.25">
      <c r="A97" s="811">
        <v>5411</v>
      </c>
      <c r="B97" s="816" t="s">
        <v>980</v>
      </c>
      <c r="C97" s="670"/>
      <c r="D97" s="657">
        <v>0</v>
      </c>
      <c r="E97" s="657">
        <v>0</v>
      </c>
      <c r="F97" s="657">
        <v>0</v>
      </c>
      <c r="G97" s="657">
        <v>0</v>
      </c>
      <c r="H97" s="657">
        <v>0</v>
      </c>
      <c r="I97" s="657">
        <v>0</v>
      </c>
      <c r="J97" s="657">
        <v>0</v>
      </c>
      <c r="K97" s="659">
        <v>0</v>
      </c>
      <c r="L97" s="659">
        <v>0</v>
      </c>
      <c r="M97" s="659">
        <v>0</v>
      </c>
      <c r="N97" s="659">
        <v>0</v>
      </c>
      <c r="O97" s="659">
        <v>0</v>
      </c>
      <c r="P97" s="659">
        <v>0</v>
      </c>
      <c r="Q97" s="660">
        <v>0</v>
      </c>
    </row>
    <row r="98" spans="1:17" x14ac:dyDescent="0.25">
      <c r="A98" s="811">
        <v>5412</v>
      </c>
      <c r="B98" s="816" t="s">
        <v>981</v>
      </c>
      <c r="C98" s="670"/>
      <c r="D98" s="657">
        <v>0</v>
      </c>
      <c r="E98" s="657">
        <v>0</v>
      </c>
      <c r="F98" s="657">
        <v>0</v>
      </c>
      <c r="G98" s="657">
        <v>0</v>
      </c>
      <c r="H98" s="657">
        <v>0</v>
      </c>
      <c r="I98" s="657">
        <v>0</v>
      </c>
      <c r="J98" s="657">
        <v>0</v>
      </c>
      <c r="K98" s="659">
        <v>0</v>
      </c>
      <c r="L98" s="659">
        <v>0</v>
      </c>
      <c r="M98" s="659">
        <v>0</v>
      </c>
      <c r="N98" s="659">
        <v>0</v>
      </c>
      <c r="O98" s="659">
        <v>0</v>
      </c>
      <c r="P98" s="659">
        <v>0</v>
      </c>
      <c r="Q98" s="660">
        <v>0</v>
      </c>
    </row>
    <row r="99" spans="1:17" ht="25.5" x14ac:dyDescent="0.25">
      <c r="A99" s="811">
        <v>55</v>
      </c>
      <c r="B99" s="812" t="s">
        <v>982</v>
      </c>
      <c r="C99" s="670">
        <v>0</v>
      </c>
      <c r="D99" s="657">
        <v>0</v>
      </c>
      <c r="E99" s="657">
        <v>0</v>
      </c>
      <c r="F99" s="657">
        <v>0</v>
      </c>
      <c r="G99" s="657">
        <v>0</v>
      </c>
      <c r="H99" s="657">
        <v>21959.952999999998</v>
      </c>
      <c r="I99" s="657">
        <v>0</v>
      </c>
      <c r="J99" s="657">
        <v>21959.952999999998</v>
      </c>
      <c r="K99" s="659">
        <v>0</v>
      </c>
      <c r="L99" s="659">
        <v>0</v>
      </c>
      <c r="M99" s="659">
        <v>0</v>
      </c>
      <c r="N99" s="659">
        <v>1850</v>
      </c>
      <c r="O99" s="659">
        <v>1850</v>
      </c>
      <c r="P99" s="659">
        <v>13543</v>
      </c>
      <c r="Q99" s="660">
        <v>15393</v>
      </c>
    </row>
    <row r="100" spans="1:17" x14ac:dyDescent="0.25">
      <c r="A100" s="811">
        <v>5501</v>
      </c>
      <c r="B100" s="825" t="s">
        <v>983</v>
      </c>
      <c r="C100" s="670"/>
      <c r="D100" s="657">
        <v>0</v>
      </c>
      <c r="E100" s="657">
        <v>0</v>
      </c>
      <c r="F100" s="657">
        <v>0</v>
      </c>
      <c r="G100" s="657">
        <v>0</v>
      </c>
      <c r="H100" s="657">
        <v>1955.4670000000001</v>
      </c>
      <c r="I100" s="657">
        <v>0</v>
      </c>
      <c r="J100" s="657">
        <v>1955.4670000000001</v>
      </c>
      <c r="K100" s="659">
        <v>0</v>
      </c>
      <c r="L100" s="659">
        <v>0</v>
      </c>
      <c r="M100" s="659">
        <v>0</v>
      </c>
      <c r="N100" s="659">
        <v>0</v>
      </c>
      <c r="O100" s="659">
        <v>0</v>
      </c>
      <c r="P100" s="659">
        <v>1955</v>
      </c>
      <c r="Q100" s="660">
        <v>1955</v>
      </c>
    </row>
    <row r="101" spans="1:17" x14ac:dyDescent="0.25">
      <c r="A101" s="811">
        <v>5502</v>
      </c>
      <c r="B101" s="825" t="s">
        <v>984</v>
      </c>
      <c r="C101" s="670"/>
      <c r="D101" s="657">
        <v>0</v>
      </c>
      <c r="E101" s="657">
        <v>0</v>
      </c>
      <c r="F101" s="657">
        <v>0</v>
      </c>
      <c r="G101" s="657">
        <v>0</v>
      </c>
      <c r="H101" s="657">
        <v>0</v>
      </c>
      <c r="I101" s="657">
        <v>0</v>
      </c>
      <c r="J101" s="657">
        <v>0</v>
      </c>
      <c r="K101" s="659">
        <v>0</v>
      </c>
      <c r="L101" s="659">
        <v>0</v>
      </c>
      <c r="M101" s="659">
        <v>0</v>
      </c>
      <c r="N101" s="659">
        <v>0</v>
      </c>
      <c r="O101" s="659">
        <v>0</v>
      </c>
      <c r="P101" s="659">
        <v>0</v>
      </c>
      <c r="Q101" s="660">
        <v>0</v>
      </c>
    </row>
    <row r="102" spans="1:17" x14ac:dyDescent="0.25">
      <c r="A102" s="811">
        <v>5503</v>
      </c>
      <c r="B102" s="825" t="s">
        <v>985</v>
      </c>
      <c r="C102" s="670"/>
      <c r="D102" s="657">
        <v>0</v>
      </c>
      <c r="E102" s="657">
        <v>0</v>
      </c>
      <c r="F102" s="657">
        <v>0</v>
      </c>
      <c r="G102" s="657">
        <v>0</v>
      </c>
      <c r="H102" s="657">
        <v>8160.45</v>
      </c>
      <c r="I102" s="657">
        <v>0</v>
      </c>
      <c r="J102" s="657">
        <v>8160.45</v>
      </c>
      <c r="K102" s="659">
        <v>0</v>
      </c>
      <c r="L102" s="659">
        <v>0</v>
      </c>
      <c r="M102" s="659">
        <v>0</v>
      </c>
      <c r="N102" s="659">
        <v>0</v>
      </c>
      <c r="O102" s="659">
        <v>0</v>
      </c>
      <c r="P102" s="659">
        <v>8182</v>
      </c>
      <c r="Q102" s="660">
        <v>8182</v>
      </c>
    </row>
    <row r="103" spans="1:17" x14ac:dyDescent="0.25">
      <c r="A103" s="811">
        <v>5504</v>
      </c>
      <c r="B103" s="825" t="s">
        <v>986</v>
      </c>
      <c r="C103" s="670"/>
      <c r="D103" s="657">
        <v>0</v>
      </c>
      <c r="E103" s="657">
        <v>0</v>
      </c>
      <c r="F103" s="657">
        <v>0</v>
      </c>
      <c r="G103" s="657">
        <v>0</v>
      </c>
      <c r="H103" s="657">
        <v>0</v>
      </c>
      <c r="I103" s="657">
        <v>0</v>
      </c>
      <c r="J103" s="657">
        <v>0</v>
      </c>
      <c r="K103" s="659">
        <v>0</v>
      </c>
      <c r="L103" s="659">
        <v>0</v>
      </c>
      <c r="M103" s="659">
        <v>0</v>
      </c>
      <c r="N103" s="659">
        <v>0</v>
      </c>
      <c r="O103" s="659">
        <v>0</v>
      </c>
      <c r="P103" s="659">
        <v>0</v>
      </c>
      <c r="Q103" s="660">
        <v>0</v>
      </c>
    </row>
    <row r="104" spans="1:17" x14ac:dyDescent="0.25">
      <c r="A104" s="811">
        <v>5505</v>
      </c>
      <c r="B104" s="825" t="s">
        <v>541</v>
      </c>
      <c r="C104" s="670"/>
      <c r="D104" s="657">
        <v>0</v>
      </c>
      <c r="E104" s="657">
        <v>0</v>
      </c>
      <c r="F104" s="657">
        <v>0</v>
      </c>
      <c r="G104" s="657">
        <v>0</v>
      </c>
      <c r="H104" s="657">
        <v>889.2</v>
      </c>
      <c r="I104" s="657">
        <v>0</v>
      </c>
      <c r="J104" s="657">
        <v>889.2</v>
      </c>
      <c r="K104" s="659">
        <v>0</v>
      </c>
      <c r="L104" s="659">
        <v>0</v>
      </c>
      <c r="M104" s="659">
        <v>0</v>
      </c>
      <c r="N104" s="659">
        <v>74</v>
      </c>
      <c r="O104" s="659">
        <v>74</v>
      </c>
      <c r="P104" s="659">
        <v>0</v>
      </c>
      <c r="Q104" s="660">
        <v>74</v>
      </c>
    </row>
    <row r="105" spans="1:17" x14ac:dyDescent="0.25">
      <c r="A105" s="811">
        <v>5506</v>
      </c>
      <c r="B105" s="825" t="s">
        <v>987</v>
      </c>
      <c r="C105" s="670"/>
      <c r="D105" s="657">
        <v>0</v>
      </c>
      <c r="E105" s="657">
        <v>0</v>
      </c>
      <c r="F105" s="657">
        <v>0</v>
      </c>
      <c r="G105" s="657">
        <v>0</v>
      </c>
      <c r="H105" s="657">
        <v>3117.4850000000001</v>
      </c>
      <c r="I105" s="657">
        <v>0</v>
      </c>
      <c r="J105" s="657">
        <v>3117.4850000000001</v>
      </c>
      <c r="K105" s="659">
        <v>0</v>
      </c>
      <c r="L105" s="659">
        <v>0</v>
      </c>
      <c r="M105" s="659">
        <v>0</v>
      </c>
      <c r="N105" s="659">
        <v>0</v>
      </c>
      <c r="O105" s="659">
        <v>0</v>
      </c>
      <c r="P105" s="659">
        <v>3117</v>
      </c>
      <c r="Q105" s="660">
        <v>3117</v>
      </c>
    </row>
    <row r="106" spans="1:17" x14ac:dyDescent="0.25">
      <c r="A106" s="811">
        <v>5507</v>
      </c>
      <c r="B106" s="825" t="s">
        <v>825</v>
      </c>
      <c r="C106" s="670"/>
      <c r="D106" s="657">
        <v>0</v>
      </c>
      <c r="E106" s="657">
        <v>0</v>
      </c>
      <c r="F106" s="657">
        <v>0</v>
      </c>
      <c r="G106" s="657">
        <v>0</v>
      </c>
      <c r="H106" s="657">
        <v>4270.6149999999998</v>
      </c>
      <c r="I106" s="657">
        <v>0</v>
      </c>
      <c r="J106" s="657">
        <v>4270.6149999999998</v>
      </c>
      <c r="K106" s="659">
        <v>0</v>
      </c>
      <c r="L106" s="659">
        <v>0</v>
      </c>
      <c r="M106" s="659">
        <v>0</v>
      </c>
      <c r="N106" s="659">
        <v>304</v>
      </c>
      <c r="O106" s="659">
        <v>304</v>
      </c>
      <c r="P106" s="659">
        <v>0</v>
      </c>
      <c r="Q106" s="660">
        <v>304</v>
      </c>
    </row>
    <row r="107" spans="1:17" x14ac:dyDescent="0.25">
      <c r="A107" s="811">
        <v>5508</v>
      </c>
      <c r="B107" s="825" t="s">
        <v>988</v>
      </c>
      <c r="C107" s="670"/>
      <c r="D107" s="657">
        <v>0</v>
      </c>
      <c r="E107" s="657">
        <v>0</v>
      </c>
      <c r="F107" s="657">
        <v>0</v>
      </c>
      <c r="G107" s="657">
        <v>0</v>
      </c>
      <c r="H107" s="657">
        <v>0</v>
      </c>
      <c r="I107" s="657">
        <v>0</v>
      </c>
      <c r="J107" s="657">
        <v>0</v>
      </c>
      <c r="K107" s="659">
        <v>0</v>
      </c>
      <c r="L107" s="659">
        <v>0</v>
      </c>
      <c r="M107" s="659">
        <v>0</v>
      </c>
      <c r="N107" s="659">
        <v>0</v>
      </c>
      <c r="O107" s="659">
        <v>0</v>
      </c>
      <c r="P107" s="659">
        <v>0</v>
      </c>
      <c r="Q107" s="660">
        <v>0</v>
      </c>
    </row>
    <row r="108" spans="1:17" x14ac:dyDescent="0.25">
      <c r="A108" s="811">
        <v>5509</v>
      </c>
      <c r="B108" s="825" t="s">
        <v>826</v>
      </c>
      <c r="C108" s="670"/>
      <c r="D108" s="657">
        <v>0</v>
      </c>
      <c r="E108" s="657">
        <v>0</v>
      </c>
      <c r="F108" s="657">
        <v>0</v>
      </c>
      <c r="G108" s="657">
        <v>0</v>
      </c>
      <c r="H108" s="657">
        <v>516.13</v>
      </c>
      <c r="I108" s="657">
        <v>0</v>
      </c>
      <c r="J108" s="657">
        <v>516.13</v>
      </c>
      <c r="K108" s="659">
        <v>0</v>
      </c>
      <c r="L108" s="659">
        <v>0</v>
      </c>
      <c r="M108" s="659">
        <v>0</v>
      </c>
      <c r="N108" s="659">
        <v>516</v>
      </c>
      <c r="O108" s="659">
        <v>516</v>
      </c>
      <c r="P108" s="659">
        <v>0</v>
      </c>
      <c r="Q108" s="660">
        <v>516</v>
      </c>
    </row>
    <row r="109" spans="1:17" x14ac:dyDescent="0.25">
      <c r="A109" s="811">
        <v>5510</v>
      </c>
      <c r="B109" s="825" t="s">
        <v>827</v>
      </c>
      <c r="C109" s="670"/>
      <c r="D109" s="657">
        <v>0</v>
      </c>
      <c r="E109" s="657">
        <v>0</v>
      </c>
      <c r="F109" s="657">
        <v>0</v>
      </c>
      <c r="G109" s="657">
        <v>0</v>
      </c>
      <c r="H109" s="657">
        <v>513</v>
      </c>
      <c r="I109" s="657">
        <v>0</v>
      </c>
      <c r="J109" s="657">
        <v>513</v>
      </c>
      <c r="K109" s="659">
        <v>0</v>
      </c>
      <c r="L109" s="659">
        <v>0</v>
      </c>
      <c r="M109" s="659">
        <v>0</v>
      </c>
      <c r="N109" s="659">
        <v>513</v>
      </c>
      <c r="O109" s="659">
        <v>513</v>
      </c>
      <c r="P109" s="659">
        <v>0</v>
      </c>
      <c r="Q109" s="660">
        <v>513</v>
      </c>
    </row>
    <row r="110" spans="1:17" x14ac:dyDescent="0.25">
      <c r="A110" s="811">
        <v>5511</v>
      </c>
      <c r="B110" s="825" t="s">
        <v>989</v>
      </c>
      <c r="C110" s="670"/>
      <c r="D110" s="657">
        <v>0</v>
      </c>
      <c r="E110" s="657">
        <v>0</v>
      </c>
      <c r="F110" s="657">
        <v>0</v>
      </c>
      <c r="G110" s="657">
        <v>0</v>
      </c>
      <c r="H110" s="657">
        <v>1218</v>
      </c>
      <c r="I110" s="657">
        <v>0</v>
      </c>
      <c r="J110" s="657">
        <v>1218</v>
      </c>
      <c r="K110" s="659">
        <v>0</v>
      </c>
      <c r="L110" s="659">
        <v>0</v>
      </c>
      <c r="M110" s="659">
        <v>0</v>
      </c>
      <c r="N110" s="659">
        <v>0</v>
      </c>
      <c r="O110" s="659">
        <v>0</v>
      </c>
      <c r="P110" s="659">
        <v>0</v>
      </c>
      <c r="Q110" s="660">
        <v>0</v>
      </c>
    </row>
    <row r="111" spans="1:17" x14ac:dyDescent="0.25">
      <c r="A111" s="811">
        <v>5512</v>
      </c>
      <c r="B111" s="825" t="s">
        <v>990</v>
      </c>
      <c r="C111" s="670"/>
      <c r="D111" s="657">
        <v>0</v>
      </c>
      <c r="E111" s="657">
        <v>0</v>
      </c>
      <c r="F111" s="657">
        <v>0</v>
      </c>
      <c r="G111" s="657">
        <v>0</v>
      </c>
      <c r="H111" s="657">
        <v>0</v>
      </c>
      <c r="I111" s="657">
        <v>0</v>
      </c>
      <c r="J111" s="657">
        <v>0</v>
      </c>
      <c r="K111" s="659">
        <v>0</v>
      </c>
      <c r="L111" s="659">
        <v>0</v>
      </c>
      <c r="M111" s="659">
        <v>0</v>
      </c>
      <c r="N111" s="659">
        <v>0</v>
      </c>
      <c r="O111" s="659">
        <v>0</v>
      </c>
      <c r="P111" s="659">
        <v>0</v>
      </c>
      <c r="Q111" s="660">
        <v>0</v>
      </c>
    </row>
    <row r="112" spans="1:17" x14ac:dyDescent="0.25">
      <c r="A112" s="811">
        <v>5513</v>
      </c>
      <c r="B112" s="825" t="s">
        <v>810</v>
      </c>
      <c r="C112" s="670"/>
      <c r="D112" s="657">
        <v>0</v>
      </c>
      <c r="E112" s="657">
        <v>0</v>
      </c>
      <c r="F112" s="657">
        <v>0</v>
      </c>
      <c r="G112" s="657">
        <v>0</v>
      </c>
      <c r="H112" s="657">
        <v>360</v>
      </c>
      <c r="I112" s="657">
        <v>0</v>
      </c>
      <c r="J112" s="657">
        <v>360</v>
      </c>
      <c r="K112" s="659">
        <v>0</v>
      </c>
      <c r="L112" s="659">
        <v>0</v>
      </c>
      <c r="M112" s="659">
        <v>0</v>
      </c>
      <c r="N112" s="659">
        <v>0</v>
      </c>
      <c r="O112" s="659">
        <v>0</v>
      </c>
      <c r="P112" s="659">
        <v>0</v>
      </c>
      <c r="Q112" s="660">
        <v>0</v>
      </c>
    </row>
    <row r="113" spans="1:18" x14ac:dyDescent="0.25">
      <c r="A113" s="811">
        <v>5514</v>
      </c>
      <c r="B113" s="825" t="s">
        <v>991</v>
      </c>
      <c r="C113" s="670"/>
      <c r="D113" s="657">
        <v>0</v>
      </c>
      <c r="E113" s="657">
        <v>0</v>
      </c>
      <c r="F113" s="657">
        <v>0</v>
      </c>
      <c r="G113" s="657">
        <v>0</v>
      </c>
      <c r="H113" s="657">
        <v>0</v>
      </c>
      <c r="I113" s="657">
        <v>0</v>
      </c>
      <c r="J113" s="657">
        <v>0</v>
      </c>
      <c r="K113" s="659">
        <v>0</v>
      </c>
      <c r="L113" s="659">
        <v>0</v>
      </c>
      <c r="M113" s="659">
        <v>0</v>
      </c>
      <c r="N113" s="659">
        <v>0</v>
      </c>
      <c r="O113" s="659">
        <v>0</v>
      </c>
      <c r="P113" s="659">
        <v>0</v>
      </c>
      <c r="Q113" s="660">
        <v>0</v>
      </c>
    </row>
    <row r="114" spans="1:18" x14ac:dyDescent="0.25">
      <c r="A114" s="811">
        <v>5515</v>
      </c>
      <c r="B114" s="825" t="s">
        <v>992</v>
      </c>
      <c r="C114" s="670"/>
      <c r="D114" s="657">
        <v>0</v>
      </c>
      <c r="E114" s="657">
        <v>0</v>
      </c>
      <c r="F114" s="657">
        <v>0</v>
      </c>
      <c r="G114" s="657">
        <v>0</v>
      </c>
      <c r="H114" s="657">
        <v>50</v>
      </c>
      <c r="I114" s="657">
        <v>0</v>
      </c>
      <c r="J114" s="657">
        <v>50</v>
      </c>
      <c r="K114" s="659">
        <v>0</v>
      </c>
      <c r="L114" s="659">
        <v>0</v>
      </c>
      <c r="M114" s="659">
        <v>0</v>
      </c>
      <c r="N114" s="659">
        <v>60</v>
      </c>
      <c r="O114" s="659">
        <v>60</v>
      </c>
      <c r="P114" s="659">
        <v>0</v>
      </c>
      <c r="Q114" s="660">
        <v>60</v>
      </c>
    </row>
    <row r="115" spans="1:18" x14ac:dyDescent="0.25">
      <c r="A115" s="811">
        <v>5516</v>
      </c>
      <c r="B115" s="825" t="s">
        <v>993</v>
      </c>
      <c r="C115" s="670"/>
      <c r="D115" s="657">
        <v>0</v>
      </c>
      <c r="E115" s="657">
        <v>0</v>
      </c>
      <c r="F115" s="657">
        <v>0</v>
      </c>
      <c r="G115" s="657">
        <v>0</v>
      </c>
      <c r="H115" s="657">
        <v>0</v>
      </c>
      <c r="I115" s="657">
        <v>0</v>
      </c>
      <c r="J115" s="657">
        <v>0</v>
      </c>
      <c r="K115" s="659">
        <v>0</v>
      </c>
      <c r="L115" s="659">
        <v>0</v>
      </c>
      <c r="M115" s="659">
        <v>0</v>
      </c>
      <c r="N115" s="659">
        <v>0</v>
      </c>
      <c r="O115" s="659">
        <v>0</v>
      </c>
      <c r="P115" s="659">
        <v>0</v>
      </c>
      <c r="Q115" s="660">
        <v>0</v>
      </c>
    </row>
    <row r="116" spans="1:18" x14ac:dyDescent="0.25">
      <c r="A116" s="811">
        <v>5517</v>
      </c>
      <c r="B116" s="825" t="s">
        <v>994</v>
      </c>
      <c r="C116" s="670"/>
      <c r="D116" s="657">
        <v>0</v>
      </c>
      <c r="E116" s="657">
        <v>0</v>
      </c>
      <c r="F116" s="657">
        <v>0</v>
      </c>
      <c r="G116" s="657">
        <v>0</v>
      </c>
      <c r="H116" s="657">
        <v>200.53200000000001</v>
      </c>
      <c r="I116" s="657">
        <v>0</v>
      </c>
      <c r="J116" s="657">
        <v>200.53200000000001</v>
      </c>
      <c r="K116" s="659">
        <v>0</v>
      </c>
      <c r="L116" s="659">
        <v>0</v>
      </c>
      <c r="M116" s="659">
        <v>0</v>
      </c>
      <c r="N116" s="659">
        <v>201</v>
      </c>
      <c r="O116" s="659">
        <v>201</v>
      </c>
      <c r="P116" s="659">
        <v>0</v>
      </c>
      <c r="Q116" s="660">
        <v>201</v>
      </c>
    </row>
    <row r="117" spans="1:18" x14ac:dyDescent="0.25">
      <c r="A117" s="811">
        <v>5518</v>
      </c>
      <c r="B117" s="825" t="s">
        <v>995</v>
      </c>
      <c r="C117" s="670"/>
      <c r="D117" s="657">
        <v>0</v>
      </c>
      <c r="E117" s="657">
        <v>0</v>
      </c>
      <c r="F117" s="657">
        <v>0</v>
      </c>
      <c r="G117" s="657">
        <v>0</v>
      </c>
      <c r="H117" s="657">
        <v>0</v>
      </c>
      <c r="I117" s="657">
        <v>0</v>
      </c>
      <c r="J117" s="657">
        <v>0</v>
      </c>
      <c r="K117" s="659">
        <v>0</v>
      </c>
      <c r="L117" s="659">
        <v>0</v>
      </c>
      <c r="M117" s="659">
        <v>0</v>
      </c>
      <c r="N117" s="659">
        <v>0</v>
      </c>
      <c r="O117" s="659">
        <v>0</v>
      </c>
      <c r="P117" s="659">
        <v>0</v>
      </c>
      <c r="Q117" s="660">
        <v>0</v>
      </c>
    </row>
    <row r="118" spans="1:18" x14ac:dyDescent="0.25">
      <c r="A118" s="811">
        <v>5519</v>
      </c>
      <c r="B118" s="825" t="s">
        <v>542</v>
      </c>
      <c r="C118" s="670"/>
      <c r="D118" s="657">
        <v>0</v>
      </c>
      <c r="E118" s="657">
        <v>0</v>
      </c>
      <c r="F118" s="657">
        <v>0</v>
      </c>
      <c r="G118" s="657">
        <v>0</v>
      </c>
      <c r="H118" s="657">
        <v>133</v>
      </c>
      <c r="I118" s="657">
        <v>0</v>
      </c>
      <c r="J118" s="657">
        <v>133</v>
      </c>
      <c r="K118" s="659">
        <v>0</v>
      </c>
      <c r="L118" s="659">
        <v>0</v>
      </c>
      <c r="M118" s="659">
        <v>0</v>
      </c>
      <c r="N118" s="659">
        <v>0</v>
      </c>
      <c r="O118" s="659">
        <v>0</v>
      </c>
      <c r="P118" s="659">
        <v>0</v>
      </c>
      <c r="Q118" s="660">
        <v>0</v>
      </c>
    </row>
    <row r="119" spans="1:18" x14ac:dyDescent="0.25">
      <c r="A119" s="811">
        <v>5520</v>
      </c>
      <c r="B119" s="825" t="s">
        <v>996</v>
      </c>
      <c r="C119" s="670"/>
      <c r="D119" s="657">
        <v>0</v>
      </c>
      <c r="E119" s="657">
        <v>0</v>
      </c>
      <c r="F119" s="657">
        <v>0</v>
      </c>
      <c r="G119" s="657">
        <v>0</v>
      </c>
      <c r="H119" s="657">
        <v>287.35000000000002</v>
      </c>
      <c r="I119" s="657">
        <v>0</v>
      </c>
      <c r="J119" s="657">
        <v>287.35000000000002</v>
      </c>
      <c r="K119" s="659">
        <v>0</v>
      </c>
      <c r="L119" s="659">
        <v>0</v>
      </c>
      <c r="M119" s="659">
        <v>0</v>
      </c>
      <c r="N119" s="659">
        <v>182</v>
      </c>
      <c r="O119" s="659">
        <v>182</v>
      </c>
      <c r="P119" s="659">
        <v>0</v>
      </c>
      <c r="Q119" s="660">
        <v>182</v>
      </c>
    </row>
    <row r="120" spans="1:18" x14ac:dyDescent="0.25">
      <c r="A120" s="811">
        <v>5521</v>
      </c>
      <c r="B120" s="825" t="s">
        <v>812</v>
      </c>
      <c r="C120" s="670"/>
      <c r="D120" s="657">
        <v>0</v>
      </c>
      <c r="E120" s="657">
        <v>0</v>
      </c>
      <c r="F120" s="657">
        <v>0</v>
      </c>
      <c r="G120" s="657">
        <v>0</v>
      </c>
      <c r="H120" s="657">
        <v>288.72399999999999</v>
      </c>
      <c r="I120" s="657">
        <v>0</v>
      </c>
      <c r="J120" s="657">
        <v>288.72399999999999</v>
      </c>
      <c r="K120" s="659">
        <v>0</v>
      </c>
      <c r="L120" s="659">
        <v>0</v>
      </c>
      <c r="M120" s="659">
        <v>0</v>
      </c>
      <c r="N120" s="659">
        <v>0</v>
      </c>
      <c r="O120" s="659">
        <v>0</v>
      </c>
      <c r="P120" s="659">
        <v>289</v>
      </c>
      <c r="Q120" s="660">
        <v>289</v>
      </c>
    </row>
    <row r="121" spans="1:18" x14ac:dyDescent="0.25">
      <c r="A121" s="811">
        <v>5522</v>
      </c>
      <c r="B121" s="825" t="s">
        <v>811</v>
      </c>
      <c r="C121" s="670"/>
      <c r="D121" s="657">
        <v>0</v>
      </c>
      <c r="E121" s="657">
        <v>0</v>
      </c>
      <c r="F121" s="657">
        <v>0</v>
      </c>
      <c r="G121" s="657">
        <v>0</v>
      </c>
      <c r="H121" s="657">
        <v>0</v>
      </c>
      <c r="I121" s="657">
        <v>0</v>
      </c>
      <c r="J121" s="657">
        <v>0</v>
      </c>
      <c r="K121" s="659">
        <v>0</v>
      </c>
      <c r="L121" s="659">
        <v>0</v>
      </c>
      <c r="M121" s="659">
        <v>0</v>
      </c>
      <c r="N121" s="659">
        <v>0</v>
      </c>
      <c r="O121" s="659">
        <v>0</v>
      </c>
      <c r="P121" s="659">
        <v>0</v>
      </c>
      <c r="Q121" s="660">
        <v>0</v>
      </c>
    </row>
    <row r="122" spans="1:18" ht="25.5" x14ac:dyDescent="0.25">
      <c r="A122" s="811">
        <v>56</v>
      </c>
      <c r="B122" s="812" t="s">
        <v>997</v>
      </c>
      <c r="C122" s="670">
        <v>0</v>
      </c>
      <c r="D122" s="657">
        <v>0</v>
      </c>
      <c r="E122" s="657">
        <v>0</v>
      </c>
      <c r="F122" s="657">
        <v>0</v>
      </c>
      <c r="G122" s="657">
        <v>0</v>
      </c>
      <c r="H122" s="657">
        <v>214290.91700000002</v>
      </c>
      <c r="I122" s="657">
        <v>300</v>
      </c>
      <c r="J122" s="657">
        <v>214590.91700000002</v>
      </c>
      <c r="K122" s="659">
        <v>0</v>
      </c>
      <c r="L122" s="659">
        <v>0</v>
      </c>
      <c r="M122" s="659">
        <v>0</v>
      </c>
      <c r="N122" s="659">
        <v>5884</v>
      </c>
      <c r="O122" s="659">
        <v>5884</v>
      </c>
      <c r="P122" s="659">
        <v>13543</v>
      </c>
      <c r="Q122" s="660">
        <v>19427</v>
      </c>
    </row>
    <row r="123" spans="1:18" x14ac:dyDescent="0.25">
      <c r="A123" s="811">
        <v>57</v>
      </c>
      <c r="B123" s="812" t="s">
        <v>998</v>
      </c>
      <c r="C123" s="670"/>
      <c r="D123" s="657">
        <v>0</v>
      </c>
      <c r="E123" s="657">
        <v>0</v>
      </c>
      <c r="F123" s="657">
        <v>0</v>
      </c>
      <c r="G123" s="657">
        <v>0</v>
      </c>
      <c r="H123" s="657">
        <v>0</v>
      </c>
      <c r="I123" s="657">
        <v>0</v>
      </c>
      <c r="J123" s="657">
        <v>0</v>
      </c>
      <c r="K123" s="659">
        <v>0</v>
      </c>
      <c r="L123" s="659">
        <v>0</v>
      </c>
      <c r="M123" s="659">
        <v>0</v>
      </c>
      <c r="N123" s="659">
        <v>0</v>
      </c>
      <c r="O123" s="659">
        <f>1351+2668</f>
        <v>4019</v>
      </c>
      <c r="P123" s="659">
        <v>0</v>
      </c>
      <c r="Q123" s="660">
        <f>1351+2668</f>
        <v>4019</v>
      </c>
    </row>
    <row r="124" spans="1:18" x14ac:dyDescent="0.25">
      <c r="A124" s="811">
        <v>58</v>
      </c>
      <c r="B124" s="812" t="s">
        <v>999</v>
      </c>
      <c r="C124" s="670"/>
      <c r="D124" s="657">
        <v>313</v>
      </c>
      <c r="E124" s="657">
        <v>0</v>
      </c>
      <c r="F124" s="657">
        <v>0</v>
      </c>
      <c r="G124" s="657">
        <v>0</v>
      </c>
      <c r="H124" s="657">
        <v>-111</v>
      </c>
      <c r="I124" s="657">
        <v>0</v>
      </c>
      <c r="J124" s="657">
        <v>202</v>
      </c>
      <c r="K124" s="659">
        <v>0</v>
      </c>
      <c r="L124" s="659">
        <v>0</v>
      </c>
      <c r="M124" s="659">
        <v>0</v>
      </c>
      <c r="N124" s="659">
        <v>0</v>
      </c>
      <c r="O124" s="659">
        <v>0</v>
      </c>
      <c r="P124" s="659">
        <v>0</v>
      </c>
      <c r="Q124" s="660">
        <v>0</v>
      </c>
    </row>
    <row r="125" spans="1:18" ht="30" x14ac:dyDescent="0.25">
      <c r="A125" s="671">
        <v>59</v>
      </c>
      <c r="B125" s="672" t="s">
        <v>1000</v>
      </c>
      <c r="C125" s="813">
        <v>0</v>
      </c>
      <c r="D125" s="813">
        <v>313</v>
      </c>
      <c r="E125" s="813">
        <v>0</v>
      </c>
      <c r="F125" s="813">
        <v>0</v>
      </c>
      <c r="G125" s="813">
        <v>0</v>
      </c>
      <c r="H125" s="813">
        <v>214179.91700000002</v>
      </c>
      <c r="I125" s="813">
        <v>300</v>
      </c>
      <c r="J125" s="813">
        <v>214792.91700000002</v>
      </c>
      <c r="K125" s="813">
        <v>0</v>
      </c>
      <c r="L125" s="813">
        <v>0</v>
      </c>
      <c r="M125" s="813">
        <v>0</v>
      </c>
      <c r="N125" s="813">
        <v>5884</v>
      </c>
      <c r="O125" s="813">
        <f>5884+4019</f>
        <v>9903</v>
      </c>
      <c r="P125" s="813">
        <v>13543</v>
      </c>
      <c r="Q125" s="813">
        <f>19427+4019</f>
        <v>23446</v>
      </c>
      <c r="R125" s="761"/>
    </row>
    <row r="126" spans="1:18" x14ac:dyDescent="0.25">
      <c r="A126" s="671">
        <v>60</v>
      </c>
      <c r="B126" s="672" t="s">
        <v>1001</v>
      </c>
      <c r="C126" s="813"/>
      <c r="D126" s="813">
        <v>0</v>
      </c>
      <c r="E126" s="813">
        <v>0</v>
      </c>
      <c r="F126" s="813">
        <v>0</v>
      </c>
      <c r="G126" s="813">
        <v>0</v>
      </c>
      <c r="H126" s="813">
        <v>0</v>
      </c>
      <c r="I126" s="813">
        <v>0</v>
      </c>
      <c r="J126" s="813">
        <v>0</v>
      </c>
      <c r="K126" s="813">
        <v>0</v>
      </c>
      <c r="L126" s="813">
        <v>0</v>
      </c>
      <c r="M126" s="813">
        <v>0</v>
      </c>
      <c r="N126" s="813">
        <v>0</v>
      </c>
      <c r="O126" s="813">
        <v>0</v>
      </c>
      <c r="P126" s="813">
        <v>0</v>
      </c>
      <c r="Q126" s="813">
        <v>0</v>
      </c>
    </row>
    <row r="127" spans="1:18" x14ac:dyDescent="0.25">
      <c r="A127" s="671">
        <v>61</v>
      </c>
      <c r="B127" s="672" t="s">
        <v>1002</v>
      </c>
      <c r="C127" s="813">
        <v>0</v>
      </c>
      <c r="D127" s="813">
        <v>84495.775000000009</v>
      </c>
      <c r="E127" s="813">
        <v>22752.658000000003</v>
      </c>
      <c r="F127" s="813">
        <v>16580.095999999998</v>
      </c>
      <c r="G127" s="813">
        <v>4763.2980000000007</v>
      </c>
      <c r="H127" s="813">
        <v>378336.49300000002</v>
      </c>
      <c r="I127" s="813">
        <v>65667.757999999987</v>
      </c>
      <c r="J127" s="813">
        <v>572596.07799999998</v>
      </c>
      <c r="K127" s="813">
        <v>70679.687616191994</v>
      </c>
      <c r="L127" s="813">
        <v>12934.713988976378</v>
      </c>
      <c r="M127" s="813">
        <v>7948.7669249999999</v>
      </c>
      <c r="N127" s="813">
        <v>74300.264901820468</v>
      </c>
      <c r="O127" s="813">
        <v>87234.978890796847</v>
      </c>
      <c r="P127" s="813">
        <v>75810.091716930008</v>
      </c>
      <c r="Q127" s="813">
        <v>241673.52514891891</v>
      </c>
    </row>
    <row r="128" spans="1:18" x14ac:dyDescent="0.25">
      <c r="A128" s="811">
        <v>62</v>
      </c>
      <c r="B128" s="812" t="s">
        <v>1003</v>
      </c>
      <c r="C128" s="670"/>
      <c r="D128" s="657">
        <v>0</v>
      </c>
      <c r="E128" s="657">
        <v>0</v>
      </c>
      <c r="F128" s="657">
        <v>0</v>
      </c>
      <c r="G128" s="657">
        <v>0</v>
      </c>
      <c r="H128" s="657">
        <v>830.56399999999996</v>
      </c>
      <c r="I128" s="657">
        <v>0</v>
      </c>
      <c r="J128" s="657">
        <v>830.56399999999996</v>
      </c>
      <c r="K128" s="659">
        <v>0</v>
      </c>
      <c r="L128" s="659">
        <v>0</v>
      </c>
      <c r="M128" s="659">
        <v>0</v>
      </c>
      <c r="N128" s="659"/>
      <c r="O128" s="659"/>
      <c r="P128" s="659">
        <v>0</v>
      </c>
      <c r="Q128" s="660"/>
    </row>
    <row r="129" spans="1:18" x14ac:dyDescent="0.25">
      <c r="A129" s="811">
        <v>63</v>
      </c>
      <c r="B129" s="812" t="s">
        <v>1004</v>
      </c>
      <c r="C129" s="670"/>
      <c r="D129" s="657">
        <v>0</v>
      </c>
      <c r="E129" s="657">
        <v>0</v>
      </c>
      <c r="F129" s="657">
        <v>0</v>
      </c>
      <c r="G129" s="657">
        <v>0</v>
      </c>
      <c r="H129" s="657">
        <v>184143.348</v>
      </c>
      <c r="I129" s="657">
        <v>83.45</v>
      </c>
      <c r="J129" s="657">
        <v>184226.79800000001</v>
      </c>
      <c r="K129" s="659">
        <v>0</v>
      </c>
      <c r="L129" s="659">
        <v>0</v>
      </c>
      <c r="M129" s="659">
        <v>0</v>
      </c>
      <c r="N129" s="659">
        <v>27105</v>
      </c>
      <c r="O129" s="659">
        <f>24275.79+4180-1351</f>
        <v>27104.79</v>
      </c>
      <c r="P129" s="659">
        <v>0</v>
      </c>
      <c r="Q129" s="660">
        <v>27104</v>
      </c>
    </row>
    <row r="130" spans="1:18" ht="25.5" x14ac:dyDescent="0.25">
      <c r="A130" s="811">
        <v>64</v>
      </c>
      <c r="B130" s="812" t="s">
        <v>1005</v>
      </c>
      <c r="C130" s="670"/>
      <c r="D130" s="657">
        <v>0</v>
      </c>
      <c r="E130" s="657">
        <v>0</v>
      </c>
      <c r="F130" s="657">
        <v>0</v>
      </c>
      <c r="G130" s="657">
        <v>0</v>
      </c>
      <c r="H130" s="657">
        <v>0</v>
      </c>
      <c r="I130" s="657">
        <v>0</v>
      </c>
      <c r="J130" s="657">
        <v>0</v>
      </c>
      <c r="K130" s="659">
        <v>0</v>
      </c>
      <c r="L130" s="659">
        <v>0</v>
      </c>
      <c r="M130" s="659">
        <v>0</v>
      </c>
      <c r="N130" s="659">
        <v>0</v>
      </c>
      <c r="O130" s="659">
        <v>0</v>
      </c>
      <c r="P130" s="659">
        <v>0</v>
      </c>
      <c r="Q130" s="660">
        <v>0</v>
      </c>
    </row>
    <row r="131" spans="1:18" x14ac:dyDescent="0.25">
      <c r="A131" s="811">
        <v>65</v>
      </c>
      <c r="B131" s="812" t="s">
        <v>4</v>
      </c>
      <c r="C131" s="670"/>
      <c r="D131" s="657">
        <v>0</v>
      </c>
      <c r="E131" s="657">
        <v>0</v>
      </c>
      <c r="F131" s="657">
        <v>0</v>
      </c>
      <c r="G131" s="657">
        <v>0</v>
      </c>
      <c r="H131" s="657">
        <v>0</v>
      </c>
      <c r="I131" s="657">
        <v>0</v>
      </c>
      <c r="J131" s="657">
        <v>0</v>
      </c>
      <c r="K131" s="659">
        <v>0</v>
      </c>
      <c r="L131" s="659">
        <v>0</v>
      </c>
      <c r="M131" s="659">
        <v>0</v>
      </c>
      <c r="N131" s="659">
        <v>2668.348</v>
      </c>
      <c r="O131" s="659">
        <v>0</v>
      </c>
      <c r="P131" s="659">
        <v>0</v>
      </c>
      <c r="Q131" s="660">
        <v>0</v>
      </c>
    </row>
    <row r="132" spans="1:18" x14ac:dyDescent="0.25">
      <c r="A132" s="811">
        <v>66</v>
      </c>
      <c r="B132" s="812" t="s">
        <v>1006</v>
      </c>
      <c r="C132" s="670"/>
      <c r="D132" s="657">
        <v>0</v>
      </c>
      <c r="E132" s="657">
        <v>0</v>
      </c>
      <c r="F132" s="657">
        <v>0</v>
      </c>
      <c r="G132" s="657">
        <v>0</v>
      </c>
      <c r="H132" s="657">
        <v>0</v>
      </c>
      <c r="I132" s="657">
        <v>0</v>
      </c>
      <c r="J132" s="657">
        <v>0</v>
      </c>
      <c r="K132" s="659">
        <v>0</v>
      </c>
      <c r="L132" s="659">
        <v>0</v>
      </c>
      <c r="M132" s="659">
        <v>0</v>
      </c>
      <c r="N132" s="659">
        <v>0</v>
      </c>
      <c r="O132" s="659">
        <v>0</v>
      </c>
      <c r="P132" s="659">
        <v>0</v>
      </c>
      <c r="Q132" s="660">
        <v>0</v>
      </c>
    </row>
    <row r="133" spans="1:18" ht="25.5" x14ac:dyDescent="0.25">
      <c r="A133" s="811">
        <v>67</v>
      </c>
      <c r="B133" s="812" t="s">
        <v>1007</v>
      </c>
      <c r="C133" s="670"/>
      <c r="D133" s="657">
        <v>0</v>
      </c>
      <c r="E133" s="657">
        <v>0</v>
      </c>
      <c r="F133" s="657">
        <v>0</v>
      </c>
      <c r="G133" s="657">
        <v>0</v>
      </c>
      <c r="H133" s="657">
        <v>0</v>
      </c>
      <c r="I133" s="657">
        <v>0</v>
      </c>
      <c r="J133" s="657">
        <v>0</v>
      </c>
      <c r="K133" s="659">
        <v>0</v>
      </c>
      <c r="L133" s="659">
        <v>0</v>
      </c>
      <c r="M133" s="659">
        <v>0</v>
      </c>
      <c r="N133" s="659">
        <v>0</v>
      </c>
      <c r="O133" s="659">
        <v>0</v>
      </c>
      <c r="P133" s="659">
        <v>0</v>
      </c>
      <c r="Q133" s="660">
        <v>0</v>
      </c>
    </row>
    <row r="134" spans="1:18" ht="25.5" x14ac:dyDescent="0.25">
      <c r="A134" s="811">
        <v>68</v>
      </c>
      <c r="B134" s="812" t="s">
        <v>1008</v>
      </c>
      <c r="C134" s="670"/>
      <c r="D134" s="657">
        <v>0</v>
      </c>
      <c r="E134" s="657">
        <v>0</v>
      </c>
      <c r="F134" s="657">
        <v>0</v>
      </c>
      <c r="G134" s="657">
        <v>0</v>
      </c>
      <c r="H134" s="657">
        <v>0</v>
      </c>
      <c r="I134" s="657">
        <v>0</v>
      </c>
      <c r="J134" s="657">
        <v>0</v>
      </c>
      <c r="K134" s="659">
        <v>0</v>
      </c>
      <c r="L134" s="659">
        <v>0</v>
      </c>
      <c r="M134" s="659">
        <v>0</v>
      </c>
      <c r="N134" s="659">
        <v>0</v>
      </c>
      <c r="O134" s="659">
        <v>0</v>
      </c>
      <c r="P134" s="659">
        <v>0</v>
      </c>
      <c r="Q134" s="660">
        <v>0</v>
      </c>
      <c r="R134" s="761"/>
    </row>
    <row r="135" spans="1:18" s="761" customFormat="1" x14ac:dyDescent="0.25">
      <c r="A135" s="811">
        <v>69</v>
      </c>
      <c r="B135" s="812" t="s">
        <v>1009</v>
      </c>
      <c r="C135" s="670"/>
      <c r="D135" s="657">
        <v>0</v>
      </c>
      <c r="E135" s="657">
        <v>0</v>
      </c>
      <c r="F135" s="657">
        <v>0</v>
      </c>
      <c r="G135" s="657">
        <v>0</v>
      </c>
      <c r="H135" s="657">
        <v>0</v>
      </c>
      <c r="I135" s="657">
        <v>0</v>
      </c>
      <c r="J135" s="657">
        <v>0</v>
      </c>
      <c r="K135" s="659">
        <v>0</v>
      </c>
      <c r="L135" s="659">
        <v>0</v>
      </c>
      <c r="M135" s="659">
        <v>0</v>
      </c>
      <c r="N135" s="659">
        <v>0</v>
      </c>
      <c r="O135" s="659">
        <v>0</v>
      </c>
      <c r="P135" s="659">
        <v>0</v>
      </c>
      <c r="Q135" s="660">
        <v>0</v>
      </c>
    </row>
    <row r="136" spans="1:18" x14ac:dyDescent="0.25">
      <c r="A136" s="671">
        <v>70</v>
      </c>
      <c r="B136" s="672" t="s">
        <v>1010</v>
      </c>
      <c r="C136" s="813">
        <v>0</v>
      </c>
      <c r="D136" s="813">
        <v>0</v>
      </c>
      <c r="E136" s="813">
        <v>0</v>
      </c>
      <c r="F136" s="813">
        <v>0</v>
      </c>
      <c r="G136" s="813">
        <v>0</v>
      </c>
      <c r="H136" s="813">
        <v>184973.91200000001</v>
      </c>
      <c r="I136" s="813">
        <v>83.45</v>
      </c>
      <c r="J136" s="813">
        <v>185057.36200000002</v>
      </c>
      <c r="K136" s="813">
        <v>0</v>
      </c>
      <c r="L136" s="813">
        <v>0</v>
      </c>
      <c r="M136" s="813">
        <v>0</v>
      </c>
      <c r="N136" s="813">
        <v>31124.137999999999</v>
      </c>
      <c r="O136" s="813">
        <f>SUM(O129:O135)</f>
        <v>27104.79</v>
      </c>
      <c r="P136" s="813">
        <v>0</v>
      </c>
      <c r="Q136" s="813">
        <v>27105</v>
      </c>
      <c r="R136" s="761"/>
    </row>
    <row r="137" spans="1:18" s="761" customFormat="1" x14ac:dyDescent="0.25">
      <c r="A137" s="811">
        <v>71</v>
      </c>
      <c r="B137" s="812" t="s">
        <v>1011</v>
      </c>
      <c r="C137" s="670"/>
      <c r="D137" s="657">
        <v>0</v>
      </c>
      <c r="E137" s="657">
        <v>0</v>
      </c>
      <c r="F137" s="657">
        <v>0</v>
      </c>
      <c r="G137" s="657">
        <v>0</v>
      </c>
      <c r="H137" s="657">
        <v>0</v>
      </c>
      <c r="I137" s="657">
        <v>0</v>
      </c>
      <c r="J137" s="657">
        <v>0</v>
      </c>
      <c r="K137" s="659">
        <v>0</v>
      </c>
      <c r="L137" s="659">
        <v>0</v>
      </c>
      <c r="M137" s="659">
        <v>0</v>
      </c>
      <c r="N137" s="659">
        <v>0</v>
      </c>
      <c r="O137" s="659">
        <v>0</v>
      </c>
      <c r="P137" s="659">
        <v>0</v>
      </c>
      <c r="Q137" s="660">
        <v>0</v>
      </c>
      <c r="R137" s="701"/>
    </row>
    <row r="138" spans="1:18" x14ac:dyDescent="0.25">
      <c r="A138" s="671">
        <v>72</v>
      </c>
      <c r="B138" s="672" t="s">
        <v>1012</v>
      </c>
      <c r="C138" s="813">
        <v>0</v>
      </c>
      <c r="D138" s="813">
        <v>84495.775000000009</v>
      </c>
      <c r="E138" s="813">
        <v>22752.658000000003</v>
      </c>
      <c r="F138" s="813">
        <v>16580.095999999998</v>
      </c>
      <c r="G138" s="813">
        <v>4763.2980000000007</v>
      </c>
      <c r="H138" s="813">
        <v>563310.40500000003</v>
      </c>
      <c r="I138" s="813">
        <v>65751.207999999984</v>
      </c>
      <c r="J138" s="813">
        <v>757653.44000000006</v>
      </c>
      <c r="K138" s="813">
        <v>70679.687616191994</v>
      </c>
      <c r="L138" s="813">
        <v>12934.713988976378</v>
      </c>
      <c r="M138" s="813">
        <v>7948.7669249999999</v>
      </c>
      <c r="N138" s="813">
        <v>105424.40290182046</v>
      </c>
      <c r="O138" s="813">
        <v>118359.11689079684</v>
      </c>
      <c r="P138" s="813">
        <v>75810.091716930008</v>
      </c>
      <c r="Q138" s="813">
        <v>272797.66314891889</v>
      </c>
    </row>
    <row r="139" spans="1:18" x14ac:dyDescent="0.25">
      <c r="A139" s="811">
        <v>73</v>
      </c>
      <c r="B139" s="812" t="s">
        <v>1013</v>
      </c>
      <c r="C139" s="670"/>
      <c r="D139" s="657">
        <v>0</v>
      </c>
      <c r="E139" s="657">
        <v>0</v>
      </c>
      <c r="F139" s="657">
        <v>0</v>
      </c>
      <c r="G139" s="657">
        <v>0</v>
      </c>
      <c r="H139" s="657">
        <v>0</v>
      </c>
      <c r="I139" s="657">
        <v>0</v>
      </c>
      <c r="J139" s="657">
        <v>0</v>
      </c>
      <c r="K139" s="659">
        <v>0</v>
      </c>
      <c r="L139" s="659">
        <v>0</v>
      </c>
      <c r="M139" s="659">
        <v>0</v>
      </c>
      <c r="N139" s="659">
        <v>0</v>
      </c>
      <c r="O139" s="659">
        <v>0</v>
      </c>
      <c r="P139" s="659">
        <v>0</v>
      </c>
      <c r="Q139" s="660">
        <v>0</v>
      </c>
    </row>
    <row r="140" spans="1:18" x14ac:dyDescent="0.25">
      <c r="A140" s="811">
        <v>74</v>
      </c>
      <c r="B140" s="812" t="s">
        <v>1014</v>
      </c>
      <c r="C140" s="670"/>
      <c r="D140" s="657">
        <v>0</v>
      </c>
      <c r="E140" s="657">
        <v>0</v>
      </c>
      <c r="F140" s="657">
        <v>0</v>
      </c>
      <c r="G140" s="657">
        <v>0</v>
      </c>
      <c r="H140" s="657">
        <v>109862.193</v>
      </c>
      <c r="I140" s="657">
        <v>0</v>
      </c>
      <c r="J140" s="657">
        <v>109862.193</v>
      </c>
      <c r="K140" s="659">
        <v>0</v>
      </c>
      <c r="L140" s="659">
        <v>0</v>
      </c>
      <c r="M140" s="659">
        <v>0</v>
      </c>
      <c r="N140" s="659">
        <v>0</v>
      </c>
      <c r="O140" s="659">
        <v>0</v>
      </c>
      <c r="P140" s="659">
        <v>0</v>
      </c>
      <c r="Q140" s="660">
        <v>0</v>
      </c>
    </row>
    <row r="141" spans="1:18" x14ac:dyDescent="0.25">
      <c r="A141" s="811">
        <v>75</v>
      </c>
      <c r="B141" s="824" t="s">
        <v>1015</v>
      </c>
      <c r="C141" s="670"/>
      <c r="D141" s="657">
        <v>0</v>
      </c>
      <c r="E141" s="657">
        <v>0</v>
      </c>
      <c r="F141" s="657">
        <v>0</v>
      </c>
      <c r="G141" s="657">
        <v>0</v>
      </c>
      <c r="H141" s="657">
        <v>125604.49400000001</v>
      </c>
      <c r="I141" s="657">
        <v>0</v>
      </c>
      <c r="J141" s="657">
        <v>125604.49400000001</v>
      </c>
      <c r="K141" s="659">
        <v>0</v>
      </c>
      <c r="L141" s="659">
        <v>0</v>
      </c>
      <c r="M141" s="659">
        <v>0</v>
      </c>
      <c r="N141" s="659">
        <v>0</v>
      </c>
      <c r="O141" s="659">
        <v>0</v>
      </c>
      <c r="P141" s="659">
        <v>0</v>
      </c>
      <c r="Q141" s="660">
        <v>0</v>
      </c>
    </row>
    <row r="142" spans="1:18" x14ac:dyDescent="0.25">
      <c r="A142" s="811">
        <v>76</v>
      </c>
      <c r="B142" s="812" t="s">
        <v>1016</v>
      </c>
      <c r="C142" s="670"/>
      <c r="D142" s="657">
        <v>0</v>
      </c>
      <c r="E142" s="657">
        <v>0</v>
      </c>
      <c r="F142" s="657">
        <v>0</v>
      </c>
      <c r="G142" s="657">
        <v>0</v>
      </c>
      <c r="H142" s="657">
        <v>0</v>
      </c>
      <c r="I142" s="657">
        <v>0</v>
      </c>
      <c r="J142" s="657">
        <v>0</v>
      </c>
      <c r="K142" s="659">
        <v>0</v>
      </c>
      <c r="L142" s="659">
        <v>0</v>
      </c>
      <c r="M142" s="659">
        <v>0</v>
      </c>
      <c r="N142" s="659">
        <v>0</v>
      </c>
      <c r="O142" s="659">
        <v>0</v>
      </c>
      <c r="P142" s="659">
        <v>0</v>
      </c>
      <c r="Q142" s="660">
        <v>0</v>
      </c>
    </row>
    <row r="143" spans="1:18" x14ac:dyDescent="0.25">
      <c r="A143" s="811">
        <v>77</v>
      </c>
      <c r="B143" s="812" t="s">
        <v>1017</v>
      </c>
      <c r="C143" s="670"/>
      <c r="D143" s="657">
        <v>0</v>
      </c>
      <c r="E143" s="657">
        <v>0</v>
      </c>
      <c r="F143" s="657">
        <v>0</v>
      </c>
      <c r="G143" s="657">
        <v>0</v>
      </c>
      <c r="H143" s="657">
        <v>0</v>
      </c>
      <c r="I143" s="657">
        <v>0</v>
      </c>
      <c r="J143" s="657">
        <v>0</v>
      </c>
      <c r="K143" s="659">
        <v>0</v>
      </c>
      <c r="L143" s="659">
        <v>0</v>
      </c>
      <c r="M143" s="659">
        <v>0</v>
      </c>
      <c r="N143" s="659">
        <v>0</v>
      </c>
      <c r="O143" s="659">
        <v>0</v>
      </c>
      <c r="P143" s="659">
        <v>0</v>
      </c>
      <c r="Q143" s="660">
        <v>0</v>
      </c>
    </row>
    <row r="144" spans="1:18" x14ac:dyDescent="0.25">
      <c r="A144" s="811">
        <v>78</v>
      </c>
      <c r="B144" s="812" t="s">
        <v>1018</v>
      </c>
      <c r="C144" s="670"/>
      <c r="D144" s="657">
        <v>0</v>
      </c>
      <c r="E144" s="657">
        <v>0</v>
      </c>
      <c r="F144" s="657">
        <v>0</v>
      </c>
      <c r="G144" s="657">
        <v>0</v>
      </c>
      <c r="H144" s="657">
        <v>0</v>
      </c>
      <c r="I144" s="657">
        <v>0</v>
      </c>
      <c r="J144" s="657">
        <v>0</v>
      </c>
      <c r="K144" s="659">
        <v>0</v>
      </c>
      <c r="L144" s="659">
        <v>0</v>
      </c>
      <c r="M144" s="659">
        <v>0</v>
      </c>
      <c r="N144" s="659">
        <v>0</v>
      </c>
      <c r="O144" s="659">
        <v>0</v>
      </c>
      <c r="P144" s="659">
        <v>0</v>
      </c>
      <c r="Q144" s="660">
        <v>0</v>
      </c>
    </row>
    <row r="145" spans="1:18" x14ac:dyDescent="0.25">
      <c r="A145" s="811">
        <v>79</v>
      </c>
      <c r="B145" s="812" t="s">
        <v>1019</v>
      </c>
      <c r="C145" s="670"/>
      <c r="D145" s="657">
        <v>0</v>
      </c>
      <c r="E145" s="657">
        <v>0</v>
      </c>
      <c r="F145" s="657">
        <v>0</v>
      </c>
      <c r="G145" s="657">
        <v>0</v>
      </c>
      <c r="H145" s="657">
        <v>0</v>
      </c>
      <c r="I145" s="657">
        <v>0</v>
      </c>
      <c r="J145" s="657">
        <v>0</v>
      </c>
      <c r="K145" s="659">
        <v>0</v>
      </c>
      <c r="L145" s="659">
        <v>0</v>
      </c>
      <c r="M145" s="659">
        <v>0</v>
      </c>
      <c r="N145" s="659">
        <v>0</v>
      </c>
      <c r="O145" s="659">
        <v>0</v>
      </c>
      <c r="P145" s="659">
        <v>0</v>
      </c>
      <c r="Q145" s="660">
        <v>0</v>
      </c>
    </row>
    <row r="146" spans="1:18" x14ac:dyDescent="0.25">
      <c r="A146" s="811">
        <v>80</v>
      </c>
      <c r="B146" s="812" t="s">
        <v>1020</v>
      </c>
      <c r="C146" s="670"/>
      <c r="D146" s="657">
        <v>0</v>
      </c>
      <c r="E146" s="657">
        <v>0</v>
      </c>
      <c r="F146" s="657">
        <v>0</v>
      </c>
      <c r="G146" s="657">
        <v>0</v>
      </c>
      <c r="H146" s="657">
        <v>0</v>
      </c>
      <c r="I146" s="657">
        <v>0</v>
      </c>
      <c r="J146" s="657">
        <v>0</v>
      </c>
      <c r="K146" s="659">
        <v>0</v>
      </c>
      <c r="L146" s="659">
        <v>0</v>
      </c>
      <c r="M146" s="659">
        <v>0</v>
      </c>
      <c r="N146" s="659">
        <v>0</v>
      </c>
      <c r="O146" s="659">
        <v>0</v>
      </c>
      <c r="P146" s="659">
        <v>0</v>
      </c>
      <c r="Q146" s="660">
        <v>0</v>
      </c>
    </row>
    <row r="147" spans="1:18" x14ac:dyDescent="0.25">
      <c r="A147" s="811">
        <v>81</v>
      </c>
      <c r="B147" s="812" t="s">
        <v>1021</v>
      </c>
      <c r="C147" s="670"/>
      <c r="D147" s="657">
        <v>0</v>
      </c>
      <c r="E147" s="657">
        <v>0</v>
      </c>
      <c r="F147" s="657">
        <v>0</v>
      </c>
      <c r="G147" s="657">
        <v>0</v>
      </c>
      <c r="H147" s="657">
        <v>0</v>
      </c>
      <c r="I147" s="657">
        <v>0</v>
      </c>
      <c r="J147" s="657">
        <v>0</v>
      </c>
      <c r="K147" s="659">
        <v>0</v>
      </c>
      <c r="L147" s="659">
        <v>0</v>
      </c>
      <c r="M147" s="659">
        <v>0</v>
      </c>
      <c r="N147" s="659">
        <v>0</v>
      </c>
      <c r="O147" s="659">
        <v>0</v>
      </c>
      <c r="P147" s="659">
        <v>0</v>
      </c>
      <c r="Q147" s="660">
        <v>0</v>
      </c>
      <c r="R147" s="761"/>
    </row>
    <row r="148" spans="1:18" s="761" customFormat="1" x14ac:dyDescent="0.25">
      <c r="A148" s="811">
        <v>82</v>
      </c>
      <c r="B148" s="812" t="s">
        <v>1022</v>
      </c>
      <c r="C148" s="670"/>
      <c r="D148" s="657">
        <v>-531.072</v>
      </c>
      <c r="E148" s="657">
        <v>20.548999999999999</v>
      </c>
      <c r="F148" s="657">
        <v>41.667000000000002</v>
      </c>
      <c r="G148" s="657">
        <v>0</v>
      </c>
      <c r="H148" s="657">
        <v>-1643.0579999999998</v>
      </c>
      <c r="I148" s="657">
        <v>389.738</v>
      </c>
      <c r="J148" s="657">
        <v>-1722.1759999999997</v>
      </c>
      <c r="K148" s="659">
        <v>0</v>
      </c>
      <c r="L148" s="659">
        <v>0</v>
      </c>
      <c r="M148" s="659">
        <v>0</v>
      </c>
      <c r="N148" s="659">
        <v>0</v>
      </c>
      <c r="O148" s="659">
        <v>0</v>
      </c>
      <c r="P148" s="659">
        <v>0</v>
      </c>
      <c r="Q148" s="660">
        <v>0</v>
      </c>
    </row>
    <row r="149" spans="1:18" x14ac:dyDescent="0.25">
      <c r="A149" s="671">
        <v>83</v>
      </c>
      <c r="B149" s="672" t="s">
        <v>1023</v>
      </c>
      <c r="C149" s="813">
        <v>0</v>
      </c>
      <c r="D149" s="813">
        <v>-531.072</v>
      </c>
      <c r="E149" s="813">
        <v>20.548999999999999</v>
      </c>
      <c r="F149" s="813">
        <v>41.667000000000002</v>
      </c>
      <c r="G149" s="813">
        <v>0</v>
      </c>
      <c r="H149" s="813">
        <v>233823.62900000002</v>
      </c>
      <c r="I149" s="813">
        <v>389.738</v>
      </c>
      <c r="J149" s="813">
        <v>233744.51100000003</v>
      </c>
      <c r="K149" s="813">
        <v>0</v>
      </c>
      <c r="L149" s="813">
        <v>0</v>
      </c>
      <c r="M149" s="813">
        <v>0</v>
      </c>
      <c r="N149" s="813">
        <v>0</v>
      </c>
      <c r="O149" s="813">
        <v>0</v>
      </c>
      <c r="P149" s="813">
        <v>0</v>
      </c>
      <c r="Q149" s="813">
        <v>0</v>
      </c>
    </row>
    <row r="150" spans="1:18" x14ac:dyDescent="0.25">
      <c r="A150" s="671">
        <v>84</v>
      </c>
      <c r="B150" s="672" t="s">
        <v>1024</v>
      </c>
      <c r="C150" s="813">
        <v>0</v>
      </c>
      <c r="D150" s="813">
        <v>83964.703000000009</v>
      </c>
      <c r="E150" s="813">
        <v>22773.207000000002</v>
      </c>
      <c r="F150" s="813">
        <v>16621.762999999999</v>
      </c>
      <c r="G150" s="813">
        <v>4763.2980000000007</v>
      </c>
      <c r="H150" s="813">
        <v>797134.03399999999</v>
      </c>
      <c r="I150" s="813">
        <v>66140.945999999982</v>
      </c>
      <c r="J150" s="813">
        <v>991397.951</v>
      </c>
      <c r="K150" s="813">
        <v>70679.687616191994</v>
      </c>
      <c r="L150" s="813">
        <v>12934.713988976378</v>
      </c>
      <c r="M150" s="813">
        <v>7948.7669249999999</v>
      </c>
      <c r="N150" s="813">
        <v>105424.40290182046</v>
      </c>
      <c r="O150" s="813">
        <v>118359.11689079684</v>
      </c>
      <c r="P150" s="813">
        <v>75810.091716930008</v>
      </c>
      <c r="Q150" s="813">
        <v>272797.66314891889</v>
      </c>
    </row>
    <row r="153" spans="1:18" x14ac:dyDescent="0.25">
      <c r="D153" s="760">
        <v>83964.702999999994</v>
      </c>
      <c r="E153" s="760">
        <v>22773.207000000006</v>
      </c>
      <c r="F153" s="760">
        <v>16621.763000000003</v>
      </c>
      <c r="G153" s="760">
        <v>4763.2979999999989</v>
      </c>
      <c r="H153" s="760">
        <v>797134.03399999975</v>
      </c>
      <c r="I153" s="760">
        <v>66140.945999999996</v>
      </c>
      <c r="J153" s="760">
        <v>991397.95099999977</v>
      </c>
      <c r="K153" s="760">
        <v>70679.687616191994</v>
      </c>
      <c r="L153" s="760">
        <v>12934.713988976378</v>
      </c>
      <c r="M153" s="760">
        <v>7948.7669249999999</v>
      </c>
      <c r="N153" s="760">
        <v>105424.40290182045</v>
      </c>
      <c r="P153" s="760">
        <v>75810.091716930008</v>
      </c>
      <c r="Q153" s="802">
        <v>272797.66314891877</v>
      </c>
    </row>
    <row r="155" spans="1:18" x14ac:dyDescent="0.25">
      <c r="D155" s="760">
        <v>0</v>
      </c>
      <c r="E155" s="760">
        <v>0</v>
      </c>
      <c r="F155" s="802">
        <v>0</v>
      </c>
      <c r="G155" s="760">
        <v>0</v>
      </c>
      <c r="H155" s="760">
        <v>0</v>
      </c>
      <c r="I155" s="760">
        <v>0</v>
      </c>
      <c r="J155" s="760">
        <v>0</v>
      </c>
      <c r="K155" s="760">
        <v>0</v>
      </c>
      <c r="L155" s="760">
        <v>0</v>
      </c>
      <c r="M155" s="760">
        <v>0</v>
      </c>
      <c r="N155" s="760">
        <v>0</v>
      </c>
      <c r="P155" s="760">
        <v>0</v>
      </c>
      <c r="Q155" s="802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99"/>
  <sheetViews>
    <sheetView view="pageBreakPreview" topLeftCell="E19" zoomScale="60" workbookViewId="0">
      <selection activeCell="R63" sqref="R63"/>
    </sheetView>
  </sheetViews>
  <sheetFormatPr defaultColWidth="9.33203125" defaultRowHeight="15" x14ac:dyDescent="0.25"/>
  <cols>
    <col min="1" max="1" width="9.33203125" style="801" hidden="1" customWidth="1"/>
    <col min="2" max="2" width="90.1640625" style="856" hidden="1" customWidth="1"/>
    <col min="3" max="3" width="14.6640625" style="858" hidden="1" customWidth="1"/>
    <col min="4" max="4" width="3" style="701" hidden="1" customWidth="1"/>
    <col min="5" max="5" width="9.33203125" style="701"/>
    <col min="6" max="6" width="89.83203125" style="701" customWidth="1"/>
    <col min="7" max="7" width="14" style="701" customWidth="1"/>
    <col min="8" max="16384" width="9.33203125" style="701"/>
  </cols>
  <sheetData>
    <row r="1" spans="1:7" x14ac:dyDescent="0.25">
      <c r="A1" s="1293" t="s">
        <v>833</v>
      </c>
      <c r="B1" s="1293"/>
      <c r="C1" s="1293"/>
      <c r="E1" s="1293" t="s">
        <v>833</v>
      </c>
      <c r="F1" s="1293"/>
      <c r="G1" s="1293"/>
    </row>
    <row r="2" spans="1:7" x14ac:dyDescent="0.25">
      <c r="C2" s="774"/>
      <c r="E2" s="801"/>
      <c r="F2" s="856"/>
      <c r="G2" s="774"/>
    </row>
    <row r="3" spans="1:7" x14ac:dyDescent="0.25">
      <c r="A3" s="1292" t="s">
        <v>834</v>
      </c>
      <c r="B3" s="1292"/>
      <c r="C3" s="1292"/>
      <c r="E3" s="1292" t="s">
        <v>834</v>
      </c>
      <c r="F3" s="1292"/>
      <c r="G3" s="1292"/>
    </row>
    <row r="4" spans="1:7" x14ac:dyDescent="0.25">
      <c r="A4" s="1290" t="s">
        <v>835</v>
      </c>
      <c r="B4" s="1290"/>
      <c r="C4" s="1290"/>
      <c r="E4" s="1290" t="s">
        <v>835</v>
      </c>
      <c r="F4" s="1290"/>
      <c r="G4" s="1290"/>
    </row>
    <row r="5" spans="1:7" x14ac:dyDescent="0.25">
      <c r="A5" s="1294"/>
      <c r="B5" s="1294"/>
      <c r="C5" s="1294"/>
      <c r="E5" s="1294"/>
      <c r="F5" s="1294"/>
      <c r="G5" s="1294"/>
    </row>
    <row r="6" spans="1:7" x14ac:dyDescent="0.25">
      <c r="E6" s="801"/>
      <c r="F6" s="856"/>
      <c r="G6" s="858"/>
    </row>
    <row r="7" spans="1:7" ht="30" x14ac:dyDescent="0.25">
      <c r="A7" s="1281" t="s">
        <v>836</v>
      </c>
      <c r="B7" s="1295"/>
      <c r="C7" s="775" t="s">
        <v>837</v>
      </c>
      <c r="E7" s="1281" t="s">
        <v>722</v>
      </c>
      <c r="F7" s="1295"/>
      <c r="G7" s="775" t="s">
        <v>837</v>
      </c>
    </row>
    <row r="8" spans="1:7" x14ac:dyDescent="0.25">
      <c r="A8" s="1283" t="s">
        <v>838</v>
      </c>
      <c r="B8" s="1284"/>
      <c r="C8" s="787"/>
      <c r="E8" s="859" t="s">
        <v>1125</v>
      </c>
      <c r="F8" s="860" t="s">
        <v>842</v>
      </c>
      <c r="G8" s="788">
        <v>12500</v>
      </c>
    </row>
    <row r="9" spans="1:7" x14ac:dyDescent="0.25">
      <c r="A9" s="859" t="s">
        <v>1126</v>
      </c>
      <c r="B9" s="860" t="s">
        <v>840</v>
      </c>
      <c r="C9" s="787">
        <v>300</v>
      </c>
      <c r="E9" s="859" t="s">
        <v>1126</v>
      </c>
      <c r="F9" s="860" t="s">
        <v>846</v>
      </c>
      <c r="G9" s="787">
        <v>100</v>
      </c>
    </row>
    <row r="10" spans="1:7" ht="30" x14ac:dyDescent="0.25">
      <c r="A10" s="859" t="s">
        <v>1127</v>
      </c>
      <c r="B10" s="860" t="s">
        <v>841</v>
      </c>
      <c r="C10" s="787">
        <v>1000</v>
      </c>
      <c r="E10" s="861" t="s">
        <v>1127</v>
      </c>
      <c r="F10" s="860" t="s">
        <v>843</v>
      </c>
      <c r="G10" s="787">
        <v>500</v>
      </c>
    </row>
    <row r="11" spans="1:7" x14ac:dyDescent="0.25">
      <c r="A11" s="859" t="s">
        <v>1128</v>
      </c>
      <c r="B11" s="860" t="s">
        <v>842</v>
      </c>
      <c r="C11" s="787">
        <v>12500</v>
      </c>
      <c r="E11" s="859" t="s">
        <v>1128</v>
      </c>
      <c r="F11" s="860" t="s">
        <v>417</v>
      </c>
      <c r="G11" s="787">
        <v>300</v>
      </c>
    </row>
    <row r="12" spans="1:7" ht="13.5" customHeight="1" x14ac:dyDescent="0.25">
      <c r="A12" s="859" t="s">
        <v>1129</v>
      </c>
      <c r="B12" s="860" t="s">
        <v>843</v>
      </c>
      <c r="C12" s="787">
        <v>500</v>
      </c>
      <c r="E12" s="859" t="s">
        <v>1129</v>
      </c>
      <c r="F12" s="860" t="s">
        <v>841</v>
      </c>
      <c r="G12" s="787">
        <v>1000</v>
      </c>
    </row>
    <row r="13" spans="1:7" ht="15" customHeight="1" x14ac:dyDescent="0.25">
      <c r="A13" s="859" t="s">
        <v>1130</v>
      </c>
      <c r="B13" s="860" t="s">
        <v>844</v>
      </c>
      <c r="C13" s="787">
        <v>300</v>
      </c>
      <c r="E13" s="859" t="s">
        <v>1130</v>
      </c>
      <c r="F13" s="860" t="s">
        <v>860</v>
      </c>
      <c r="G13" s="787">
        <v>40</v>
      </c>
    </row>
    <row r="14" spans="1:7" x14ac:dyDescent="0.25">
      <c r="A14" s="859" t="s">
        <v>1131</v>
      </c>
      <c r="B14" s="860" t="s">
        <v>531</v>
      </c>
      <c r="C14" s="787">
        <v>365</v>
      </c>
      <c r="E14" s="859" t="s">
        <v>1131</v>
      </c>
      <c r="F14" s="860" t="s">
        <v>861</v>
      </c>
      <c r="G14" s="787">
        <v>20</v>
      </c>
    </row>
    <row r="15" spans="1:7" ht="30" x14ac:dyDescent="0.25">
      <c r="A15" s="1283" t="s">
        <v>845</v>
      </c>
      <c r="B15" s="1284"/>
      <c r="C15" s="787"/>
      <c r="E15" s="861" t="s">
        <v>1132</v>
      </c>
      <c r="F15" s="860" t="s">
        <v>862</v>
      </c>
      <c r="G15" s="787">
        <f>40+30+50</f>
        <v>120</v>
      </c>
    </row>
    <row r="16" spans="1:7" x14ac:dyDescent="0.25">
      <c r="A16" s="859" t="s">
        <v>1132</v>
      </c>
      <c r="B16" s="860" t="s">
        <v>846</v>
      </c>
      <c r="C16" s="787">
        <v>100</v>
      </c>
      <c r="E16" s="859" t="s">
        <v>1133</v>
      </c>
      <c r="F16" s="860" t="s">
        <v>855</v>
      </c>
      <c r="G16" s="787">
        <v>3000</v>
      </c>
    </row>
    <row r="17" spans="1:7" x14ac:dyDescent="0.25">
      <c r="A17" s="859" t="s">
        <v>1130</v>
      </c>
      <c r="B17" s="860" t="s">
        <v>856</v>
      </c>
      <c r="C17" s="787">
        <v>2000</v>
      </c>
      <c r="E17" s="859" t="s">
        <v>1134</v>
      </c>
      <c r="F17" s="860" t="s">
        <v>531</v>
      </c>
      <c r="G17" s="787">
        <v>365</v>
      </c>
    </row>
    <row r="18" spans="1:7" x14ac:dyDescent="0.25">
      <c r="A18" s="859" t="s">
        <v>1133</v>
      </c>
      <c r="B18" s="860" t="s">
        <v>847</v>
      </c>
      <c r="C18" s="787">
        <v>60</v>
      </c>
      <c r="E18" s="859" t="s">
        <v>1135</v>
      </c>
      <c r="F18" s="860" t="s">
        <v>532</v>
      </c>
      <c r="G18" s="787">
        <v>1895</v>
      </c>
    </row>
    <row r="19" spans="1:7" x14ac:dyDescent="0.25">
      <c r="A19" s="1281" t="s">
        <v>848</v>
      </c>
      <c r="B19" s="1282"/>
      <c r="C19" s="776">
        <f>SUM(C8:C18)</f>
        <v>17125</v>
      </c>
      <c r="E19" s="859" t="s">
        <v>1136</v>
      </c>
      <c r="F19" s="860" t="s">
        <v>858</v>
      </c>
      <c r="G19" s="787">
        <f>1500+3/1.27</f>
        <v>1502.3622047244094</v>
      </c>
    </row>
    <row r="20" spans="1:7" x14ac:dyDescent="0.25">
      <c r="A20" s="777" t="s">
        <v>849</v>
      </c>
      <c r="B20" s="778"/>
      <c r="C20" s="779">
        <f>C19*0.27</f>
        <v>4623.75</v>
      </c>
      <c r="E20" s="1283" t="s">
        <v>845</v>
      </c>
      <c r="F20" s="1284"/>
      <c r="G20" s="787"/>
    </row>
    <row r="21" spans="1:7" x14ac:dyDescent="0.25">
      <c r="A21" s="780"/>
      <c r="B21" s="781"/>
      <c r="C21" s="782"/>
      <c r="E21" s="1281" t="s">
        <v>848</v>
      </c>
      <c r="F21" s="1289"/>
      <c r="G21" s="776">
        <f>SUM(G8:G20)</f>
        <v>21342.36220472441</v>
      </c>
    </row>
    <row r="22" spans="1:7" ht="14.25" customHeight="1" x14ac:dyDescent="0.25">
      <c r="A22" s="1281" t="s">
        <v>850</v>
      </c>
      <c r="B22" s="1282"/>
      <c r="C22" s="775" t="s">
        <v>837</v>
      </c>
      <c r="E22" s="777" t="s">
        <v>849</v>
      </c>
      <c r="F22" s="778"/>
      <c r="G22" s="855">
        <f>G21*0.27</f>
        <v>5762.4377952755913</v>
      </c>
    </row>
    <row r="23" spans="1:7" s="761" customFormat="1" x14ac:dyDescent="0.25">
      <c r="A23" s="1283" t="s">
        <v>256</v>
      </c>
      <c r="B23" s="1284"/>
      <c r="C23" s="783"/>
      <c r="D23" s="701"/>
      <c r="E23" s="777" t="s">
        <v>1158</v>
      </c>
      <c r="F23" s="778"/>
      <c r="G23" s="776">
        <f>G21+G22</f>
        <v>27104.800000000003</v>
      </c>
    </row>
    <row r="24" spans="1:7" s="761" customFormat="1" ht="30" x14ac:dyDescent="0.25">
      <c r="A24" s="859" t="s">
        <v>1125</v>
      </c>
      <c r="B24" s="860" t="s">
        <v>851</v>
      </c>
      <c r="C24" s="787">
        <v>5000</v>
      </c>
      <c r="E24" s="780"/>
      <c r="F24" s="781"/>
      <c r="G24" s="782"/>
    </row>
    <row r="25" spans="1:7" s="761" customFormat="1" ht="30" x14ac:dyDescent="0.25">
      <c r="A25" s="859" t="s">
        <v>1126</v>
      </c>
      <c r="B25" s="860" t="s">
        <v>852</v>
      </c>
      <c r="C25" s="787">
        <v>1800</v>
      </c>
      <c r="E25" s="1281" t="s">
        <v>723</v>
      </c>
      <c r="F25" s="1282"/>
      <c r="G25" s="775" t="s">
        <v>837</v>
      </c>
    </row>
    <row r="26" spans="1:7" x14ac:dyDescent="0.25">
      <c r="A26" s="859" t="s">
        <v>1127</v>
      </c>
      <c r="B26" s="860" t="s">
        <v>853</v>
      </c>
      <c r="C26" s="787">
        <v>1000</v>
      </c>
      <c r="D26" s="761"/>
      <c r="E26" s="1283" t="s">
        <v>256</v>
      </c>
      <c r="F26" s="1284"/>
      <c r="G26" s="783"/>
    </row>
    <row r="27" spans="1:7" x14ac:dyDescent="0.25">
      <c r="A27" s="859" t="s">
        <v>1128</v>
      </c>
      <c r="B27" s="860" t="s">
        <v>854</v>
      </c>
      <c r="C27" s="787">
        <v>500</v>
      </c>
      <c r="E27" s="859" t="s">
        <v>1125</v>
      </c>
      <c r="F27" s="860" t="s">
        <v>857</v>
      </c>
      <c r="G27" s="787">
        <v>1688</v>
      </c>
    </row>
    <row r="28" spans="1:7" x14ac:dyDescent="0.25">
      <c r="A28" s="859" t="s">
        <v>1129</v>
      </c>
      <c r="B28" s="860" t="s">
        <v>855</v>
      </c>
      <c r="C28" s="787">
        <v>3000</v>
      </c>
      <c r="E28" s="859" t="s">
        <v>1126</v>
      </c>
      <c r="F28" s="860" t="s">
        <v>840</v>
      </c>
      <c r="G28" s="787">
        <v>300</v>
      </c>
    </row>
    <row r="29" spans="1:7" ht="30" x14ac:dyDescent="0.25">
      <c r="A29" s="859" t="s">
        <v>1131</v>
      </c>
      <c r="B29" s="860" t="s">
        <v>532</v>
      </c>
      <c r="C29" s="787">
        <v>2260</v>
      </c>
      <c r="E29" s="861" t="s">
        <v>1127</v>
      </c>
      <c r="F29" s="860" t="s">
        <v>851</v>
      </c>
      <c r="G29" s="787">
        <v>5000</v>
      </c>
    </row>
    <row r="30" spans="1:7" x14ac:dyDescent="0.25">
      <c r="A30" s="859" t="s">
        <v>1132</v>
      </c>
      <c r="B30" s="860" t="s">
        <v>857</v>
      </c>
      <c r="C30" s="787">
        <v>1688</v>
      </c>
      <c r="E30" s="859" t="s">
        <v>1128</v>
      </c>
      <c r="F30" s="860" t="s">
        <v>853</v>
      </c>
      <c r="G30" s="787">
        <v>1000</v>
      </c>
    </row>
    <row r="31" spans="1:7" x14ac:dyDescent="0.25">
      <c r="A31" s="859" t="s">
        <v>1133</v>
      </c>
      <c r="B31" s="860" t="s">
        <v>858</v>
      </c>
      <c r="C31" s="787">
        <v>2000</v>
      </c>
      <c r="E31" s="859" t="s">
        <v>1129</v>
      </c>
      <c r="F31" s="860" t="s">
        <v>854</v>
      </c>
      <c r="G31" s="787">
        <v>500</v>
      </c>
    </row>
    <row r="32" spans="1:7" x14ac:dyDescent="0.25">
      <c r="A32" s="1285" t="s">
        <v>859</v>
      </c>
      <c r="B32" s="1286"/>
      <c r="C32" s="787"/>
      <c r="E32" s="859" t="s">
        <v>1130</v>
      </c>
      <c r="F32" s="860" t="s">
        <v>852</v>
      </c>
      <c r="G32" s="787">
        <v>1800</v>
      </c>
    </row>
    <row r="33" spans="1:7" s="761" customFormat="1" x14ac:dyDescent="0.25">
      <c r="A33" s="859" t="s">
        <v>1134</v>
      </c>
      <c r="B33" s="860" t="s">
        <v>860</v>
      </c>
      <c r="C33" s="787">
        <v>40</v>
      </c>
      <c r="D33" s="701"/>
      <c r="E33" s="859" t="s">
        <v>1131</v>
      </c>
      <c r="F33" s="860" t="s">
        <v>856</v>
      </c>
      <c r="G33" s="787">
        <v>2000</v>
      </c>
    </row>
    <row r="34" spans="1:7" x14ac:dyDescent="0.25">
      <c r="A34" s="859" t="s">
        <v>1135</v>
      </c>
      <c r="B34" s="860" t="s">
        <v>861</v>
      </c>
      <c r="C34" s="787">
        <v>20</v>
      </c>
      <c r="D34" s="761"/>
      <c r="E34" s="859" t="s">
        <v>1132</v>
      </c>
      <c r="F34" s="860" t="s">
        <v>839</v>
      </c>
      <c r="G34" s="787">
        <v>1463</v>
      </c>
    </row>
    <row r="35" spans="1:7" ht="30" hidden="1" x14ac:dyDescent="0.25">
      <c r="A35" s="859" t="s">
        <v>1136</v>
      </c>
      <c r="B35" s="860" t="s">
        <v>862</v>
      </c>
      <c r="C35" s="787">
        <f>40+30+50</f>
        <v>120</v>
      </c>
    </row>
    <row r="36" spans="1:7" ht="15" hidden="1" customHeight="1" x14ac:dyDescent="0.25">
      <c r="A36" s="859"/>
      <c r="B36" s="860"/>
      <c r="C36" s="787"/>
      <c r="E36" s="1281" t="s">
        <v>863</v>
      </c>
      <c r="F36" s="1282"/>
      <c r="G36" s="776">
        <f>SUM(G20:G35)</f>
        <v>67960.600000000006</v>
      </c>
    </row>
    <row r="37" spans="1:7" hidden="1" x14ac:dyDescent="0.25">
      <c r="A37" s="1281" t="s">
        <v>863</v>
      </c>
      <c r="B37" s="1282"/>
      <c r="C37" s="776">
        <f>SUM(C24:C36)</f>
        <v>17428</v>
      </c>
      <c r="E37" s="1281" t="s">
        <v>864</v>
      </c>
      <c r="F37" s="1282"/>
      <c r="G37" s="776">
        <f>G36*0.27</f>
        <v>18349.362000000001</v>
      </c>
    </row>
    <row r="38" spans="1:7" hidden="1" x14ac:dyDescent="0.25">
      <c r="A38" s="1281" t="s">
        <v>864</v>
      </c>
      <c r="B38" s="1282"/>
      <c r="C38" s="776">
        <f>C37*0.27</f>
        <v>4705.5600000000004</v>
      </c>
      <c r="E38" s="862"/>
      <c r="F38" s="863"/>
      <c r="G38" s="864"/>
    </row>
    <row r="39" spans="1:7" s="761" customFormat="1" hidden="1" x14ac:dyDescent="0.25">
      <c r="A39" s="862"/>
      <c r="B39" s="863"/>
      <c r="C39" s="864"/>
      <c r="D39" s="701"/>
      <c r="E39" s="1281" t="s">
        <v>865</v>
      </c>
      <c r="F39" s="1282"/>
      <c r="G39" s="776">
        <f>G21+G22+G36+G37</f>
        <v>113414.76200000002</v>
      </c>
    </row>
    <row r="40" spans="1:7" s="761" customFormat="1" hidden="1" x14ac:dyDescent="0.25">
      <c r="A40" s="1281" t="s">
        <v>865</v>
      </c>
      <c r="B40" s="1282"/>
      <c r="C40" s="776">
        <f>C19+C20+C37+C38</f>
        <v>43882.31</v>
      </c>
      <c r="E40" s="1287" t="s">
        <v>866</v>
      </c>
      <c r="F40" s="1288"/>
      <c r="G40" s="784">
        <v>27105</v>
      </c>
    </row>
    <row r="41" spans="1:7" s="761" customFormat="1" hidden="1" x14ac:dyDescent="0.25">
      <c r="A41" s="1287" t="s">
        <v>866</v>
      </c>
      <c r="B41" s="1288"/>
      <c r="C41" s="784">
        <v>27105</v>
      </c>
      <c r="E41" s="862"/>
      <c r="F41" s="863"/>
      <c r="G41" s="864"/>
    </row>
    <row r="42" spans="1:7" s="761" customFormat="1" hidden="1" x14ac:dyDescent="0.25">
      <c r="A42" s="862"/>
      <c r="B42" s="863"/>
      <c r="C42" s="864"/>
      <c r="E42" s="701"/>
      <c r="F42" s="701"/>
      <c r="G42" s="701"/>
    </row>
    <row r="43" spans="1:7" hidden="1" x14ac:dyDescent="0.25">
      <c r="A43" s="1291" t="s">
        <v>833</v>
      </c>
      <c r="B43" s="1291"/>
      <c r="C43" s="1291"/>
      <c r="D43" s="761"/>
    </row>
    <row r="44" spans="1:7" hidden="1" x14ac:dyDescent="0.25">
      <c r="A44" s="862"/>
      <c r="B44" s="863"/>
      <c r="C44" s="864"/>
    </row>
    <row r="45" spans="1:7" hidden="1" x14ac:dyDescent="0.25">
      <c r="A45" s="1292" t="s">
        <v>867</v>
      </c>
      <c r="B45" s="1292"/>
      <c r="C45" s="1292"/>
    </row>
    <row r="46" spans="1:7" hidden="1" x14ac:dyDescent="0.25">
      <c r="A46" s="1290" t="s">
        <v>835</v>
      </c>
      <c r="B46" s="1290"/>
      <c r="C46" s="1290"/>
    </row>
    <row r="47" spans="1:7" hidden="1" x14ac:dyDescent="0.25">
      <c r="A47" s="857"/>
      <c r="B47" s="857"/>
      <c r="C47" s="857"/>
    </row>
    <row r="48" spans="1:7" hidden="1" x14ac:dyDescent="0.25">
      <c r="A48" s="865"/>
      <c r="B48" s="866"/>
      <c r="C48" s="867"/>
    </row>
    <row r="49" spans="1:7" ht="30" hidden="1" x14ac:dyDescent="0.25">
      <c r="A49" s="1281" t="s">
        <v>868</v>
      </c>
      <c r="B49" s="1282"/>
      <c r="C49" s="775" t="s">
        <v>837</v>
      </c>
    </row>
    <row r="50" spans="1:7" hidden="1" x14ac:dyDescent="0.25">
      <c r="A50" s="1283" t="s">
        <v>869</v>
      </c>
      <c r="B50" s="1284"/>
      <c r="C50" s="868"/>
      <c r="E50" s="701">
        <v>3000</v>
      </c>
      <c r="F50" s="701" t="s">
        <v>871</v>
      </c>
    </row>
    <row r="51" spans="1:7" hidden="1" x14ac:dyDescent="0.25">
      <c r="A51" s="785" t="s">
        <v>1125</v>
      </c>
      <c r="B51" s="786" t="s">
        <v>870</v>
      </c>
      <c r="C51" s="787">
        <v>2200</v>
      </c>
    </row>
    <row r="52" spans="1:7" ht="15.75" customHeight="1" x14ac:dyDescent="0.25">
      <c r="A52" s="785" t="s">
        <v>1126</v>
      </c>
      <c r="B52" s="786" t="s">
        <v>872</v>
      </c>
      <c r="C52" s="787">
        <v>20</v>
      </c>
      <c r="E52" s="1281" t="s">
        <v>848</v>
      </c>
      <c r="F52" s="1289"/>
      <c r="G52" s="776">
        <f>SUM(G27:G34)</f>
        <v>13751</v>
      </c>
    </row>
    <row r="53" spans="1:7" x14ac:dyDescent="0.25">
      <c r="A53" s="789" t="s">
        <v>1127</v>
      </c>
      <c r="B53" s="790" t="s">
        <v>873</v>
      </c>
      <c r="C53" s="791">
        <v>100</v>
      </c>
      <c r="E53" s="777" t="s">
        <v>849</v>
      </c>
      <c r="F53" s="778"/>
      <c r="G53" s="855">
        <f>G52*0.27</f>
        <v>3712.7700000000004</v>
      </c>
    </row>
    <row r="54" spans="1:7" x14ac:dyDescent="0.25">
      <c r="A54" s="792"/>
      <c r="B54" s="793" t="s">
        <v>874</v>
      </c>
      <c r="C54" s="794"/>
      <c r="E54" s="853" t="s">
        <v>1158</v>
      </c>
      <c r="F54" s="854"/>
      <c r="G54" s="776">
        <f>G52+G53</f>
        <v>17463.77</v>
      </c>
    </row>
    <row r="55" spans="1:7" x14ac:dyDescent="0.25">
      <c r="A55" s="785" t="s">
        <v>1128</v>
      </c>
      <c r="B55" s="786" t="s">
        <v>875</v>
      </c>
      <c r="C55" s="787">
        <v>20</v>
      </c>
    </row>
    <row r="56" spans="1:7" x14ac:dyDescent="0.25">
      <c r="A56" s="785" t="s">
        <v>1129</v>
      </c>
      <c r="B56" s="786" t="s">
        <v>876</v>
      </c>
      <c r="C56" s="787">
        <v>500</v>
      </c>
    </row>
    <row r="57" spans="1:7" x14ac:dyDescent="0.25">
      <c r="A57" s="785" t="s">
        <v>1130</v>
      </c>
      <c r="B57" s="860" t="s">
        <v>877</v>
      </c>
      <c r="C57" s="868">
        <v>1000</v>
      </c>
      <c r="E57" s="1291" t="s">
        <v>833</v>
      </c>
      <c r="F57" s="1291"/>
      <c r="G57" s="1291"/>
    </row>
    <row r="58" spans="1:7" x14ac:dyDescent="0.25">
      <c r="A58" s="859" t="s">
        <v>1131</v>
      </c>
      <c r="B58" s="786" t="s">
        <v>878</v>
      </c>
      <c r="C58" s="868">
        <v>1427</v>
      </c>
      <c r="E58" s="862"/>
      <c r="F58" s="863"/>
      <c r="G58" s="864"/>
    </row>
    <row r="59" spans="1:7" x14ac:dyDescent="0.25">
      <c r="A59" s="859" t="s">
        <v>1132</v>
      </c>
      <c r="B59" s="786" t="s">
        <v>879</v>
      </c>
      <c r="C59" s="868">
        <v>300</v>
      </c>
      <c r="E59" s="1292" t="s">
        <v>867</v>
      </c>
      <c r="F59" s="1292"/>
      <c r="G59" s="1292"/>
    </row>
    <row r="60" spans="1:7" x14ac:dyDescent="0.25">
      <c r="A60" s="785" t="s">
        <v>1133</v>
      </c>
      <c r="B60" s="786" t="s">
        <v>880</v>
      </c>
      <c r="C60" s="787">
        <v>200</v>
      </c>
      <c r="E60" s="1290" t="s">
        <v>835</v>
      </c>
      <c r="F60" s="1290"/>
      <c r="G60" s="1290"/>
    </row>
    <row r="61" spans="1:7" x14ac:dyDescent="0.25">
      <c r="A61" s="1283" t="s">
        <v>869</v>
      </c>
      <c r="B61" s="1284"/>
      <c r="C61" s="788">
        <f>SUM(C51:C60)</f>
        <v>5767</v>
      </c>
      <c r="E61" s="918"/>
      <c r="F61" s="918"/>
      <c r="G61" s="918"/>
    </row>
    <row r="62" spans="1:7" x14ac:dyDescent="0.25">
      <c r="A62" s="1283" t="s">
        <v>881</v>
      </c>
      <c r="B62" s="1284"/>
      <c r="C62" s="868"/>
      <c r="E62" s="865"/>
      <c r="F62" s="866"/>
      <c r="G62" s="867"/>
    </row>
    <row r="63" spans="1:7" ht="30" x14ac:dyDescent="0.25">
      <c r="A63" s="789" t="s">
        <v>1134</v>
      </c>
      <c r="B63" s="790" t="s">
        <v>882</v>
      </c>
      <c r="C63" s="791">
        <v>80</v>
      </c>
      <c r="E63" s="1281" t="s">
        <v>868</v>
      </c>
      <c r="F63" s="1282"/>
      <c r="G63" s="775" t="s">
        <v>1192</v>
      </c>
    </row>
    <row r="64" spans="1:7" x14ac:dyDescent="0.25">
      <c r="A64" s="792"/>
      <c r="B64" s="793" t="s">
        <v>883</v>
      </c>
      <c r="C64" s="794"/>
      <c r="E64" s="1283" t="s">
        <v>869</v>
      </c>
      <c r="F64" s="1284"/>
      <c r="G64" s="868"/>
    </row>
    <row r="65" spans="1:7" ht="30" x14ac:dyDescent="0.25">
      <c r="A65" s="795" t="s">
        <v>1135</v>
      </c>
      <c r="B65" s="786" t="s">
        <v>884</v>
      </c>
      <c r="C65" s="787">
        <v>100</v>
      </c>
      <c r="E65" s="785" t="s">
        <v>1125</v>
      </c>
      <c r="F65" s="786" t="s">
        <v>870</v>
      </c>
      <c r="G65" s="787">
        <v>2200</v>
      </c>
    </row>
    <row r="66" spans="1:7" ht="30" x14ac:dyDescent="0.25">
      <c r="A66" s="859" t="s">
        <v>1136</v>
      </c>
      <c r="B66" s="786" t="s">
        <v>885</v>
      </c>
      <c r="C66" s="868">
        <v>80</v>
      </c>
      <c r="E66" s="785" t="s">
        <v>1126</v>
      </c>
      <c r="F66" s="786" t="s">
        <v>872</v>
      </c>
      <c r="G66" s="787">
        <v>20</v>
      </c>
    </row>
    <row r="67" spans="1:7" x14ac:dyDescent="0.25">
      <c r="A67" s="785" t="s">
        <v>1137</v>
      </c>
      <c r="B67" s="796" t="s">
        <v>886</v>
      </c>
      <c r="C67" s="787">
        <v>700</v>
      </c>
      <c r="E67" s="789" t="s">
        <v>1127</v>
      </c>
      <c r="F67" s="790" t="s">
        <v>873</v>
      </c>
      <c r="G67" s="791">
        <v>100</v>
      </c>
    </row>
    <row r="68" spans="1:7" x14ac:dyDescent="0.25">
      <c r="A68" s="859" t="s">
        <v>1138</v>
      </c>
      <c r="B68" s="786" t="s">
        <v>887</v>
      </c>
      <c r="C68" s="868">
        <v>300</v>
      </c>
      <c r="E68" s="792"/>
      <c r="F68" s="793" t="s">
        <v>874</v>
      </c>
      <c r="G68" s="794"/>
    </row>
    <row r="69" spans="1:7" x14ac:dyDescent="0.25">
      <c r="A69" s="859" t="s">
        <v>1139</v>
      </c>
      <c r="B69" s="786" t="s">
        <v>888</v>
      </c>
      <c r="C69" s="868">
        <v>200</v>
      </c>
      <c r="E69" s="785" t="s">
        <v>1128</v>
      </c>
      <c r="F69" s="786" t="s">
        <v>875</v>
      </c>
      <c r="G69" s="787">
        <v>20</v>
      </c>
    </row>
    <row r="70" spans="1:7" x14ac:dyDescent="0.25">
      <c r="A70" s="1283" t="s">
        <v>889</v>
      </c>
      <c r="B70" s="1284"/>
      <c r="C70" s="788">
        <f>SUM(C63:C69)</f>
        <v>1460</v>
      </c>
      <c r="E70" s="785" t="s">
        <v>1129</v>
      </c>
      <c r="F70" s="786" t="s">
        <v>876</v>
      </c>
      <c r="G70" s="787">
        <v>500</v>
      </c>
    </row>
    <row r="71" spans="1:7" x14ac:dyDescent="0.25">
      <c r="A71" s="859"/>
      <c r="B71" s="860"/>
      <c r="C71" s="868"/>
      <c r="E71" s="785" t="s">
        <v>1130</v>
      </c>
      <c r="F71" s="860" t="s">
        <v>877</v>
      </c>
      <c r="G71" s="868">
        <v>1000</v>
      </c>
    </row>
    <row r="72" spans="1:7" x14ac:dyDescent="0.25">
      <c r="A72" s="1281" t="s">
        <v>890</v>
      </c>
      <c r="B72" s="1282"/>
      <c r="C72" s="776">
        <f>C61+C70</f>
        <v>7227</v>
      </c>
      <c r="E72" s="859" t="s">
        <v>1131</v>
      </c>
      <c r="F72" s="786" t="s">
        <v>878</v>
      </c>
      <c r="G72" s="868">
        <v>1427</v>
      </c>
    </row>
    <row r="73" spans="1:7" x14ac:dyDescent="0.25">
      <c r="A73" s="1281" t="s">
        <v>891</v>
      </c>
      <c r="B73" s="1282"/>
      <c r="C73" s="776">
        <f>C72*0.27</f>
        <v>1951.2900000000002</v>
      </c>
      <c r="E73" s="859" t="s">
        <v>1132</v>
      </c>
      <c r="F73" s="786" t="s">
        <v>879</v>
      </c>
      <c r="G73" s="868">
        <v>300</v>
      </c>
    </row>
    <row r="74" spans="1:7" x14ac:dyDescent="0.25">
      <c r="A74" s="701"/>
      <c r="B74" s="701"/>
      <c r="C74" s="701"/>
      <c r="E74" s="785" t="s">
        <v>1133</v>
      </c>
      <c r="F74" s="786" t="s">
        <v>880</v>
      </c>
      <c r="G74" s="787">
        <v>200</v>
      </c>
    </row>
    <row r="75" spans="1:7" x14ac:dyDescent="0.25">
      <c r="E75" s="1283" t="s">
        <v>869</v>
      </c>
      <c r="F75" s="1284"/>
      <c r="G75" s="788">
        <f>SUM(G65:G74)</f>
        <v>5767</v>
      </c>
    </row>
    <row r="76" spans="1:7" x14ac:dyDescent="0.25">
      <c r="E76" s="1283" t="s">
        <v>881</v>
      </c>
      <c r="F76" s="1284"/>
      <c r="G76" s="868"/>
    </row>
    <row r="77" spans="1:7" x14ac:dyDescent="0.25">
      <c r="A77" s="701"/>
      <c r="B77" s="701"/>
      <c r="C77" s="701"/>
      <c r="E77" s="789" t="s">
        <v>1134</v>
      </c>
      <c r="F77" s="790" t="s">
        <v>882</v>
      </c>
      <c r="G77" s="791">
        <v>80</v>
      </c>
    </row>
    <row r="78" spans="1:7" x14ac:dyDescent="0.25">
      <c r="A78" s="701"/>
      <c r="B78" s="701"/>
      <c r="C78" s="701"/>
      <c r="E78" s="792"/>
      <c r="F78" s="793" t="s">
        <v>883</v>
      </c>
      <c r="G78" s="794"/>
    </row>
    <row r="79" spans="1:7" ht="30" x14ac:dyDescent="0.25">
      <c r="A79" s="701"/>
      <c r="B79" s="701"/>
      <c r="C79" s="701"/>
      <c r="E79" s="795" t="s">
        <v>1135</v>
      </c>
      <c r="F79" s="786" t="s">
        <v>884</v>
      </c>
      <c r="G79" s="787">
        <v>100</v>
      </c>
    </row>
    <row r="80" spans="1:7" ht="30" x14ac:dyDescent="0.25">
      <c r="A80" s="701"/>
      <c r="B80" s="701"/>
      <c r="C80" s="701"/>
      <c r="E80" s="859" t="s">
        <v>1136</v>
      </c>
      <c r="F80" s="786" t="s">
        <v>885</v>
      </c>
      <c r="G80" s="868">
        <v>80</v>
      </c>
    </row>
    <row r="81" spans="1:7" x14ac:dyDescent="0.25">
      <c r="A81" s="701"/>
      <c r="B81" s="701"/>
      <c r="C81" s="701"/>
      <c r="E81" s="785" t="s">
        <v>1137</v>
      </c>
      <c r="F81" s="796" t="s">
        <v>886</v>
      </c>
      <c r="G81" s="787">
        <v>700</v>
      </c>
    </row>
    <row r="82" spans="1:7" x14ac:dyDescent="0.25">
      <c r="A82" s="701"/>
      <c r="B82" s="701"/>
      <c r="C82" s="701"/>
      <c r="E82" s="859" t="s">
        <v>1138</v>
      </c>
      <c r="F82" s="786" t="s">
        <v>887</v>
      </c>
      <c r="G82" s="868">
        <v>300</v>
      </c>
    </row>
    <row r="83" spans="1:7" x14ac:dyDescent="0.25">
      <c r="A83" s="701"/>
      <c r="B83" s="701"/>
      <c r="C83" s="701"/>
      <c r="E83" s="859" t="s">
        <v>1139</v>
      </c>
      <c r="F83" s="786" t="s">
        <v>888</v>
      </c>
      <c r="G83" s="868">
        <v>200</v>
      </c>
    </row>
    <row r="84" spans="1:7" x14ac:dyDescent="0.25">
      <c r="A84" s="701"/>
      <c r="B84" s="701"/>
      <c r="C84" s="701"/>
      <c r="E84" s="1283" t="s">
        <v>889</v>
      </c>
      <c r="F84" s="1284"/>
      <c r="G84" s="788">
        <f>SUM(G77:G83)</f>
        <v>1460</v>
      </c>
    </row>
    <row r="85" spans="1:7" x14ac:dyDescent="0.25">
      <c r="A85" s="701"/>
      <c r="B85" s="701"/>
      <c r="C85" s="701"/>
      <c r="E85" s="859"/>
      <c r="F85" s="860"/>
      <c r="G85" s="868"/>
    </row>
    <row r="86" spans="1:7" x14ac:dyDescent="0.25">
      <c r="A86" s="701"/>
      <c r="B86" s="701"/>
      <c r="C86" s="701"/>
      <c r="E86" s="1281" t="s">
        <v>890</v>
      </c>
      <c r="F86" s="1282"/>
      <c r="G86" s="776">
        <f>G75+G84</f>
        <v>7227</v>
      </c>
    </row>
    <row r="87" spans="1:7" x14ac:dyDescent="0.25">
      <c r="A87" s="701"/>
      <c r="B87" s="701"/>
      <c r="C87" s="701"/>
      <c r="E87" s="1281" t="s">
        <v>891</v>
      </c>
      <c r="F87" s="1282"/>
      <c r="G87" s="776">
        <f>G86*0.27</f>
        <v>1951.2900000000002</v>
      </c>
    </row>
    <row r="88" spans="1:7" x14ac:dyDescent="0.25">
      <c r="A88" s="701"/>
      <c r="B88" s="701"/>
      <c r="C88" s="701"/>
    </row>
    <row r="89" spans="1:7" x14ac:dyDescent="0.25">
      <c r="A89" s="701"/>
      <c r="B89" s="701"/>
      <c r="C89" s="701"/>
    </row>
    <row r="90" spans="1:7" x14ac:dyDescent="0.25">
      <c r="A90" s="701"/>
      <c r="B90" s="701"/>
      <c r="C90" s="701"/>
    </row>
    <row r="91" spans="1:7" x14ac:dyDescent="0.25">
      <c r="A91" s="701"/>
      <c r="B91" s="701"/>
      <c r="C91" s="701"/>
    </row>
    <row r="92" spans="1:7" x14ac:dyDescent="0.25">
      <c r="A92" s="701"/>
      <c r="B92" s="701"/>
      <c r="C92" s="701"/>
    </row>
    <row r="93" spans="1:7" x14ac:dyDescent="0.25">
      <c r="A93" s="701"/>
      <c r="B93" s="701"/>
      <c r="C93" s="701"/>
    </row>
    <row r="94" spans="1:7" x14ac:dyDescent="0.25">
      <c r="A94" s="701"/>
      <c r="B94" s="701"/>
      <c r="C94" s="701"/>
    </row>
    <row r="95" spans="1:7" x14ac:dyDescent="0.25">
      <c r="A95" s="701"/>
      <c r="B95" s="701"/>
      <c r="C95" s="701"/>
    </row>
    <row r="96" spans="1:7" x14ac:dyDescent="0.25">
      <c r="A96" s="701"/>
      <c r="B96" s="701"/>
      <c r="C96" s="701"/>
    </row>
    <row r="97" spans="1:3" x14ac:dyDescent="0.25">
      <c r="A97" s="701"/>
      <c r="B97" s="701"/>
      <c r="C97" s="701"/>
    </row>
    <row r="98" spans="1:3" x14ac:dyDescent="0.25">
      <c r="A98" s="701"/>
      <c r="B98" s="701"/>
      <c r="C98" s="701"/>
    </row>
    <row r="99" spans="1:3" x14ac:dyDescent="0.25">
      <c r="A99" s="701"/>
      <c r="B99" s="701"/>
      <c r="C99" s="701"/>
    </row>
  </sheetData>
  <mergeCells count="49">
    <mergeCell ref="A1:C1"/>
    <mergeCell ref="A3:C3"/>
    <mergeCell ref="A4:C4"/>
    <mergeCell ref="A5:C5"/>
    <mergeCell ref="E25:F25"/>
    <mergeCell ref="A15:B15"/>
    <mergeCell ref="A23:B23"/>
    <mergeCell ref="A8:B8"/>
    <mergeCell ref="A7:B7"/>
    <mergeCell ref="A19:B19"/>
    <mergeCell ref="A22:B22"/>
    <mergeCell ref="E26:F26"/>
    <mergeCell ref="E37:F37"/>
    <mergeCell ref="E1:G1"/>
    <mergeCell ref="E3:G3"/>
    <mergeCell ref="E4:G4"/>
    <mergeCell ref="E5:G5"/>
    <mergeCell ref="E7:F7"/>
    <mergeCell ref="E36:F36"/>
    <mergeCell ref="E20:F20"/>
    <mergeCell ref="E21:F21"/>
    <mergeCell ref="A73:B73"/>
    <mergeCell ref="A41:B41"/>
    <mergeCell ref="A43:C43"/>
    <mergeCell ref="A45:C45"/>
    <mergeCell ref="A49:B49"/>
    <mergeCell ref="A61:B61"/>
    <mergeCell ref="A70:B70"/>
    <mergeCell ref="A72:B72"/>
    <mergeCell ref="A38:B38"/>
    <mergeCell ref="A32:B32"/>
    <mergeCell ref="A37:B37"/>
    <mergeCell ref="E40:F40"/>
    <mergeCell ref="A62:B62"/>
    <mergeCell ref="E52:F52"/>
    <mergeCell ref="A46:C46"/>
    <mergeCell ref="A50:B50"/>
    <mergeCell ref="E39:F39"/>
    <mergeCell ref="A40:B40"/>
    <mergeCell ref="E57:G57"/>
    <mergeCell ref="E59:G59"/>
    <mergeCell ref="E60:G60"/>
    <mergeCell ref="E86:F86"/>
    <mergeCell ref="E87:F87"/>
    <mergeCell ref="E63:F63"/>
    <mergeCell ref="E64:F64"/>
    <mergeCell ref="E75:F75"/>
    <mergeCell ref="E76:F76"/>
    <mergeCell ref="E84:F84"/>
  </mergeCells>
  <phoneticPr fontId="30" type="noConversion"/>
  <pageMargins left="0.7" right="0.7" top="0.75" bottom="0.75" header="0.3" footer="0.3"/>
  <pageSetup paperSize="9" scale="71" orientation="portrait" horizontalDpi="300" r:id="rId1"/>
  <rowBreaks count="2" manualBreakCount="2">
    <brk id="43" max="2" man="1"/>
    <brk id="55" min="4" max="6" man="1"/>
  </rowBreaks>
  <colBreaks count="1" manualBreakCount="1">
    <brk id="3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23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97" t="s">
        <v>1109</v>
      </c>
      <c r="C1" s="1297"/>
      <c r="D1" s="1297"/>
    </row>
    <row r="2" spans="1:4" s="111" customFormat="1" ht="16.5" thickBot="1" x14ac:dyDescent="0.3">
      <c r="A2" s="110"/>
      <c r="B2" s="567"/>
      <c r="D2" s="54" t="s">
        <v>11</v>
      </c>
    </row>
    <row r="3" spans="1:4" s="113" customFormat="1" ht="48" customHeight="1" thickBot="1" x14ac:dyDescent="0.25">
      <c r="A3" s="112" t="s">
        <v>1123</v>
      </c>
      <c r="B3" s="258" t="s">
        <v>1124</v>
      </c>
      <c r="C3" s="258" t="s">
        <v>21</v>
      </c>
      <c r="D3" s="259" t="s">
        <v>22</v>
      </c>
    </row>
    <row r="4" spans="1:4" s="113" customFormat="1" ht="14.1" customHeight="1" thickBot="1" x14ac:dyDescent="0.25">
      <c r="A4" s="45">
        <v>1</v>
      </c>
      <c r="B4" s="261">
        <v>2</v>
      </c>
      <c r="C4" s="261">
        <v>3</v>
      </c>
      <c r="D4" s="262">
        <v>4</v>
      </c>
    </row>
    <row r="5" spans="1:4" ht="18" customHeight="1" x14ac:dyDescent="0.2">
      <c r="A5" s="177" t="s">
        <v>1125</v>
      </c>
      <c r="B5" s="263" t="s">
        <v>141</v>
      </c>
      <c r="C5" s="175">
        <v>0</v>
      </c>
      <c r="D5" s="114"/>
    </row>
    <row r="6" spans="1:4" ht="18" customHeight="1" x14ac:dyDescent="0.2">
      <c r="A6" s="115" t="s">
        <v>1126</v>
      </c>
      <c r="B6" s="264" t="s">
        <v>142</v>
      </c>
      <c r="C6" s="176">
        <v>0</v>
      </c>
      <c r="D6" s="117"/>
    </row>
    <row r="7" spans="1:4" ht="18" customHeight="1" x14ac:dyDescent="0.2">
      <c r="A7" s="115" t="s">
        <v>1127</v>
      </c>
      <c r="B7" s="264" t="s">
        <v>82</v>
      </c>
      <c r="C7" s="176">
        <v>0</v>
      </c>
      <c r="D7" s="117"/>
    </row>
    <row r="8" spans="1:4" ht="18" customHeight="1" x14ac:dyDescent="0.2">
      <c r="A8" s="115" t="s">
        <v>1128</v>
      </c>
      <c r="B8" s="264" t="s">
        <v>83</v>
      </c>
      <c r="C8" s="176">
        <v>0</v>
      </c>
      <c r="D8" s="117"/>
    </row>
    <row r="9" spans="1:4" ht="18" customHeight="1" x14ac:dyDescent="0.2">
      <c r="A9" s="115" t="s">
        <v>1129</v>
      </c>
      <c r="B9" s="264" t="s">
        <v>133</v>
      </c>
      <c r="C9" s="176"/>
      <c r="D9" s="117"/>
    </row>
    <row r="10" spans="1:4" ht="18" customHeight="1" x14ac:dyDescent="0.2">
      <c r="A10" s="115" t="s">
        <v>1130</v>
      </c>
      <c r="B10" s="264" t="s">
        <v>134</v>
      </c>
      <c r="C10" s="176">
        <f>3310+16057+292+154+109</f>
        <v>19922</v>
      </c>
      <c r="D10" s="117">
        <v>19922</v>
      </c>
    </row>
    <row r="11" spans="1:4" ht="18" customHeight="1" x14ac:dyDescent="0.2">
      <c r="A11" s="115" t="s">
        <v>1131</v>
      </c>
      <c r="B11" s="265" t="s">
        <v>135</v>
      </c>
      <c r="C11" s="176"/>
      <c r="D11" s="117"/>
    </row>
    <row r="12" spans="1:4" ht="18" customHeight="1" x14ac:dyDescent="0.2">
      <c r="A12" s="115" t="s">
        <v>1132</v>
      </c>
      <c r="B12" s="265" t="s">
        <v>136</v>
      </c>
      <c r="C12" s="176"/>
      <c r="D12" s="117"/>
    </row>
    <row r="13" spans="1:4" ht="18" customHeight="1" x14ac:dyDescent="0.2">
      <c r="A13" s="115" t="s">
        <v>1133</v>
      </c>
      <c r="B13" s="265" t="s">
        <v>137</v>
      </c>
      <c r="C13" s="176"/>
      <c r="D13" s="117"/>
    </row>
    <row r="14" spans="1:4" ht="18" customHeight="1" x14ac:dyDescent="0.2">
      <c r="A14" s="115" t="s">
        <v>1134</v>
      </c>
      <c r="B14" s="265" t="s">
        <v>138</v>
      </c>
      <c r="C14" s="176"/>
      <c r="D14" s="117"/>
    </row>
    <row r="15" spans="1:4" ht="18" customHeight="1" x14ac:dyDescent="0.2">
      <c r="A15" s="115" t="s">
        <v>1135</v>
      </c>
      <c r="B15" s="265" t="s">
        <v>139</v>
      </c>
      <c r="C15" s="176"/>
      <c r="D15" s="117"/>
    </row>
    <row r="16" spans="1:4" ht="22.5" customHeight="1" x14ac:dyDescent="0.2">
      <c r="A16" s="115" t="s">
        <v>1136</v>
      </c>
      <c r="B16" s="265" t="s">
        <v>140</v>
      </c>
      <c r="C16" s="176"/>
      <c r="D16" s="117"/>
    </row>
    <row r="17" spans="1:8" ht="18" customHeight="1" x14ac:dyDescent="0.2">
      <c r="A17" s="115" t="s">
        <v>1137</v>
      </c>
      <c r="B17" s="264" t="s">
        <v>84</v>
      </c>
      <c r="C17" s="176"/>
      <c r="D17" s="117"/>
    </row>
    <row r="18" spans="1:8" ht="22.5" x14ac:dyDescent="0.2">
      <c r="A18" s="115" t="s">
        <v>1138</v>
      </c>
      <c r="B18" s="264" t="s">
        <v>802</v>
      </c>
      <c r="C18" s="176">
        <f>SUM(C19:C29)</f>
        <v>1665.3000000000002</v>
      </c>
      <c r="D18" s="117">
        <f>SUM(D19:D29)</f>
        <v>1665.3000000000002</v>
      </c>
      <c r="F18" s="4" t="s">
        <v>803</v>
      </c>
      <c r="G18" s="4">
        <v>3640</v>
      </c>
      <c r="H18" s="4" t="s">
        <v>804</v>
      </c>
    </row>
    <row r="19" spans="1:8" ht="18" hidden="1" customHeight="1" x14ac:dyDescent="0.2">
      <c r="A19" s="115"/>
      <c r="B19" s="265" t="s">
        <v>791</v>
      </c>
      <c r="C19" s="176">
        <f>H19</f>
        <v>660.66</v>
      </c>
      <c r="D19" s="117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115"/>
      <c r="B20" s="265" t="s">
        <v>792</v>
      </c>
      <c r="C20" s="176">
        <f t="shared" ref="C20:C29" si="0">H20</f>
        <v>305.76</v>
      </c>
      <c r="D20" s="117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115"/>
      <c r="B21" s="265" t="s">
        <v>793</v>
      </c>
      <c r="C21" s="176">
        <f t="shared" si="0"/>
        <v>145.6</v>
      </c>
      <c r="D21" s="117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115"/>
      <c r="B22" s="265" t="s">
        <v>794</v>
      </c>
      <c r="C22" s="176">
        <f t="shared" si="0"/>
        <v>72.8</v>
      </c>
      <c r="D22" s="117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115"/>
      <c r="B23" s="265" t="s">
        <v>795</v>
      </c>
      <c r="C23" s="176">
        <f t="shared" si="0"/>
        <v>182</v>
      </c>
      <c r="D23" s="117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115"/>
      <c r="B24" s="265" t="s">
        <v>796</v>
      </c>
      <c r="C24" s="176">
        <f t="shared" si="0"/>
        <v>141.96</v>
      </c>
      <c r="D24" s="117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115"/>
      <c r="B25" s="265" t="s">
        <v>797</v>
      </c>
      <c r="C25" s="176">
        <f t="shared" si="0"/>
        <v>61.88</v>
      </c>
      <c r="D25" s="117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115"/>
      <c r="B26" s="265" t="s">
        <v>798</v>
      </c>
      <c r="C26" s="176">
        <f t="shared" si="0"/>
        <v>36.4</v>
      </c>
      <c r="D26" s="117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115"/>
      <c r="B27" s="265" t="s">
        <v>799</v>
      </c>
      <c r="C27" s="176">
        <f t="shared" si="0"/>
        <v>36.4</v>
      </c>
      <c r="D27" s="117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115"/>
      <c r="B28" s="265" t="s">
        <v>800</v>
      </c>
      <c r="C28" s="176">
        <f t="shared" si="0"/>
        <v>7.28</v>
      </c>
      <c r="D28" s="117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115"/>
      <c r="B29" s="265" t="s">
        <v>801</v>
      </c>
      <c r="C29" s="176">
        <f t="shared" si="0"/>
        <v>14.56</v>
      </c>
      <c r="D29" s="117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115"/>
      <c r="B30" s="264"/>
      <c r="C30" s="176"/>
      <c r="D30" s="117"/>
    </row>
    <row r="31" spans="1:8" ht="18" customHeight="1" x14ac:dyDescent="0.2">
      <c r="A31" s="115" t="s">
        <v>1139</v>
      </c>
      <c r="B31" s="264" t="s">
        <v>1110</v>
      </c>
      <c r="C31" s="176"/>
      <c r="D31" s="117"/>
    </row>
    <row r="32" spans="1:8" ht="18" customHeight="1" x14ac:dyDescent="0.2">
      <c r="A32" s="115" t="s">
        <v>1140</v>
      </c>
      <c r="B32" s="264" t="s">
        <v>85</v>
      </c>
      <c r="C32" s="176"/>
      <c r="D32" s="117"/>
    </row>
    <row r="33" spans="1:4" ht="18" customHeight="1" x14ac:dyDescent="0.2">
      <c r="A33" s="115" t="s">
        <v>1141</v>
      </c>
      <c r="B33" s="264" t="s">
        <v>86</v>
      </c>
      <c r="C33" s="176"/>
      <c r="D33" s="117"/>
    </row>
    <row r="34" spans="1:4" ht="18" customHeight="1" x14ac:dyDescent="0.2">
      <c r="A34" s="115" t="s">
        <v>1149</v>
      </c>
      <c r="B34" s="118"/>
      <c r="C34" s="116"/>
      <c r="D34" s="117"/>
    </row>
    <row r="35" spans="1:4" ht="18" customHeight="1" thickBot="1" x14ac:dyDescent="0.25">
      <c r="A35" s="178" t="s">
        <v>1150</v>
      </c>
      <c r="B35" s="119"/>
      <c r="C35" s="120"/>
      <c r="D35" s="121"/>
    </row>
    <row r="36" spans="1:4" ht="18" customHeight="1" thickBot="1" x14ac:dyDescent="0.25">
      <c r="A36" s="46" t="s">
        <v>1151</v>
      </c>
      <c r="B36" s="269" t="s">
        <v>1160</v>
      </c>
      <c r="C36" s="270">
        <f>SUM(C5:C35)-C18</f>
        <v>21587.3</v>
      </c>
      <c r="D36" s="270">
        <f>SUM(D5:D35)-D18</f>
        <v>21587.3</v>
      </c>
    </row>
    <row r="37" spans="1:4" ht="8.25" customHeight="1" x14ac:dyDescent="0.2">
      <c r="A37" s="122"/>
      <c r="B37" s="1296"/>
      <c r="C37" s="1296"/>
      <c r="D37" s="1296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C00000"/>
  </sheetPr>
  <dimension ref="A1:V83"/>
  <sheetViews>
    <sheetView topLeftCell="A10" workbookViewId="0">
      <selection activeCell="B30" sqref="B30"/>
    </sheetView>
  </sheetViews>
  <sheetFormatPr defaultColWidth="9.33203125" defaultRowHeight="15.75" x14ac:dyDescent="0.25"/>
  <cols>
    <col min="1" max="1" width="4.83203125" style="141" customWidth="1"/>
    <col min="2" max="2" width="30.33203125" style="160" bestFit="1" customWidth="1"/>
    <col min="3" max="4" width="9" style="160" customWidth="1"/>
    <col min="5" max="5" width="9.5" style="160" customWidth="1"/>
    <col min="6" max="6" width="8.83203125" style="160" customWidth="1"/>
    <col min="7" max="7" width="8.6640625" style="160" customWidth="1"/>
    <col min="8" max="8" width="8.83203125" style="160" customWidth="1"/>
    <col min="9" max="9" width="8.1640625" style="160" customWidth="1"/>
    <col min="10" max="14" width="9.5" style="160" customWidth="1"/>
    <col min="15" max="15" width="12.6640625" style="141" customWidth="1"/>
    <col min="16" max="16" width="9.33203125" style="160"/>
    <col min="17" max="17" width="10.1640625" style="752" bestFit="1" customWidth="1"/>
    <col min="18" max="18" width="11.83203125" style="756" bestFit="1" customWidth="1"/>
    <col min="19" max="19" width="9.33203125" style="752"/>
    <col min="20" max="20" width="9.5" style="752" bestFit="1" customWidth="1"/>
    <col min="21" max="21" width="9.33203125" style="752"/>
    <col min="22" max="16384" width="9.33203125" style="160"/>
  </cols>
  <sheetData>
    <row r="1" spans="1:22" ht="31.5" customHeight="1" x14ac:dyDescent="0.25">
      <c r="A1" s="1301" t="s">
        <v>1111</v>
      </c>
      <c r="B1" s="1302"/>
      <c r="C1" s="1302"/>
      <c r="D1" s="1302"/>
      <c r="E1" s="1302"/>
      <c r="F1" s="1302"/>
      <c r="G1" s="1302"/>
      <c r="H1" s="1302"/>
      <c r="I1" s="1302"/>
      <c r="J1" s="1302"/>
      <c r="K1" s="1302"/>
      <c r="L1" s="1302"/>
      <c r="M1" s="1302"/>
      <c r="N1" s="1302"/>
      <c r="O1" s="1302"/>
    </row>
    <row r="2" spans="1:22" ht="16.5" thickBot="1" x14ac:dyDescent="0.3">
      <c r="O2" s="5" t="s">
        <v>1164</v>
      </c>
    </row>
    <row r="3" spans="1:22" s="141" customFormat="1" ht="26.1" customHeight="1" thickBot="1" x14ac:dyDescent="0.3">
      <c r="A3" s="138" t="s">
        <v>1123</v>
      </c>
      <c r="B3" s="139" t="s">
        <v>12</v>
      </c>
      <c r="C3" s="139" t="s">
        <v>23</v>
      </c>
      <c r="D3" s="139" t="s">
        <v>24</v>
      </c>
      <c r="E3" s="139" t="s">
        <v>25</v>
      </c>
      <c r="F3" s="139" t="s">
        <v>26</v>
      </c>
      <c r="G3" s="139" t="s">
        <v>27</v>
      </c>
      <c r="H3" s="139" t="s">
        <v>28</v>
      </c>
      <c r="I3" s="139" t="s">
        <v>29</v>
      </c>
      <c r="J3" s="139" t="s">
        <v>30</v>
      </c>
      <c r="K3" s="139" t="s">
        <v>31</v>
      </c>
      <c r="L3" s="139" t="s">
        <v>32</v>
      </c>
      <c r="M3" s="139" t="s">
        <v>33</v>
      </c>
      <c r="N3" s="139" t="s">
        <v>34</v>
      </c>
      <c r="O3" s="140" t="s">
        <v>1160</v>
      </c>
      <c r="Q3" s="753"/>
      <c r="R3" s="757" t="s">
        <v>772</v>
      </c>
      <c r="S3" s="753"/>
      <c r="T3" s="753"/>
      <c r="U3" s="753"/>
    </row>
    <row r="4" spans="1:22" s="143" customFormat="1" ht="15" customHeight="1" thickBot="1" x14ac:dyDescent="0.25">
      <c r="A4" s="142" t="s">
        <v>1125</v>
      </c>
      <c r="B4" s="1298" t="s">
        <v>1167</v>
      </c>
      <c r="C4" s="1299"/>
      <c r="D4" s="1299"/>
      <c r="E4" s="1299"/>
      <c r="F4" s="1299"/>
      <c r="G4" s="1299"/>
      <c r="H4" s="1299"/>
      <c r="I4" s="1299"/>
      <c r="J4" s="1299"/>
      <c r="K4" s="1299"/>
      <c r="L4" s="1299"/>
      <c r="M4" s="1299"/>
      <c r="N4" s="1299"/>
      <c r="O4" s="1300"/>
      <c r="Q4" s="754"/>
      <c r="R4" s="758"/>
      <c r="S4" s="754"/>
      <c r="T4" s="754"/>
      <c r="U4" s="754"/>
    </row>
    <row r="5" spans="1:22" s="143" customFormat="1" ht="15" customHeight="1" x14ac:dyDescent="0.2">
      <c r="A5" s="144" t="s">
        <v>1126</v>
      </c>
      <c r="B5" s="145" t="s">
        <v>164</v>
      </c>
      <c r="C5" s="146">
        <f>1504-180</f>
        <v>1324</v>
      </c>
      <c r="D5" s="146">
        <f>2886-1504-220</f>
        <v>1162</v>
      </c>
      <c r="E5" s="146">
        <f>31110-1382-1504-3600</f>
        <v>24624</v>
      </c>
      <c r="F5" s="146">
        <f>35970-28224-1382-1504-840</f>
        <v>4020</v>
      </c>
      <c r="G5" s="146">
        <f>46827-4860-28224-1382-1504-420</f>
        <v>10437</v>
      </c>
      <c r="H5" s="146">
        <f>57852-10857-4860-28224-1382-1504-440</f>
        <v>10585</v>
      </c>
      <c r="I5" s="146">
        <f>64856-57852-276</f>
        <v>6728</v>
      </c>
      <c r="J5" s="146">
        <f>72893-64856-320</f>
        <v>7717</v>
      </c>
      <c r="K5" s="146">
        <f>100457-72893-2200+474</f>
        <v>25838</v>
      </c>
      <c r="L5" s="146">
        <f>104953-100457-760</f>
        <v>3736</v>
      </c>
      <c r="M5" s="146">
        <f>110140-104953-360</f>
        <v>4827</v>
      </c>
      <c r="N5" s="146">
        <f>113867-110140-380</f>
        <v>3347</v>
      </c>
      <c r="O5" s="147">
        <f t="shared" ref="O5:O27" si="0">SUM(C5:N5)</f>
        <v>104345</v>
      </c>
      <c r="Q5" s="754">
        <f>'1.1.sz.mell.'!C6</f>
        <v>104345</v>
      </c>
      <c r="R5" s="759">
        <f>O5-Q5</f>
        <v>0</v>
      </c>
      <c r="S5" s="754"/>
      <c r="T5" s="754" t="s">
        <v>788</v>
      </c>
      <c r="U5" s="754"/>
    </row>
    <row r="6" spans="1:22" s="151" customFormat="1" ht="14.1" customHeight="1" x14ac:dyDescent="0.2">
      <c r="A6" s="148" t="s">
        <v>1127</v>
      </c>
      <c r="B6" s="386" t="s">
        <v>1168</v>
      </c>
      <c r="C6" s="149">
        <f>513+288</f>
        <v>801</v>
      </c>
      <c r="D6" s="149">
        <f>514+(828/2)+(636/2)+288</f>
        <v>1534</v>
      </c>
      <c r="E6" s="149">
        <f>513+598/2+288</f>
        <v>1100</v>
      </c>
      <c r="F6" s="149">
        <f>515+288</f>
        <v>803</v>
      </c>
      <c r="G6" s="149">
        <f>515+288+263</f>
        <v>1066</v>
      </c>
      <c r="H6" s="149">
        <f>515+288+577</f>
        <v>1380</v>
      </c>
      <c r="I6" s="149">
        <f>513+(828+636)/2+249+577+288</f>
        <v>2359</v>
      </c>
      <c r="J6" s="149">
        <v>288</v>
      </c>
      <c r="K6" s="149">
        <f>514+598/2+288</f>
        <v>1101</v>
      </c>
      <c r="L6" s="149">
        <f>515+577+288</f>
        <v>1380</v>
      </c>
      <c r="M6" s="149">
        <f>514+288</f>
        <v>802</v>
      </c>
      <c r="N6" s="149">
        <f>510+577+286</f>
        <v>1373</v>
      </c>
      <c r="O6" s="150">
        <f t="shared" si="0"/>
        <v>13987</v>
      </c>
      <c r="Q6" s="755">
        <f>'1.1.sz.mell.'!C11</f>
        <v>13987</v>
      </c>
      <c r="R6" s="759">
        <f t="shared" ref="R6:R27" si="1">O6-Q6</f>
        <v>0</v>
      </c>
      <c r="S6" s="755"/>
      <c r="T6" s="755">
        <f>5651/11</f>
        <v>513.72727272727275</v>
      </c>
      <c r="U6" s="755"/>
      <c r="V6" s="151">
        <f>3454/12</f>
        <v>287.83333333333331</v>
      </c>
    </row>
    <row r="7" spans="1:22" s="151" customFormat="1" x14ac:dyDescent="0.2">
      <c r="A7" s="148" t="s">
        <v>1128</v>
      </c>
      <c r="B7" s="387" t="s">
        <v>0</v>
      </c>
      <c r="C7" s="152">
        <v>180</v>
      </c>
      <c r="D7" s="152">
        <v>220</v>
      </c>
      <c r="E7" s="152">
        <v>3600</v>
      </c>
      <c r="F7" s="152">
        <v>840</v>
      </c>
      <c r="G7" s="152">
        <v>420</v>
      </c>
      <c r="H7" s="152">
        <v>441</v>
      </c>
      <c r="I7" s="152">
        <v>276</v>
      </c>
      <c r="J7" s="152">
        <v>321</v>
      </c>
      <c r="K7" s="152">
        <v>2201</v>
      </c>
      <c r="L7" s="152">
        <v>760</v>
      </c>
      <c r="M7" s="152">
        <v>360</v>
      </c>
      <c r="N7" s="152">
        <v>380</v>
      </c>
      <c r="O7" s="153">
        <f t="shared" si="0"/>
        <v>9999</v>
      </c>
      <c r="Q7" s="755">
        <f>'1.1.sz.mell.'!C20</f>
        <v>9999</v>
      </c>
      <c r="R7" s="759">
        <f t="shared" si="1"/>
        <v>0</v>
      </c>
      <c r="S7" s="755"/>
      <c r="T7" s="755"/>
      <c r="U7" s="755"/>
    </row>
    <row r="8" spans="1:22" s="151" customFormat="1" ht="14.1" customHeight="1" x14ac:dyDescent="0.2">
      <c r="A8" s="148" t="s">
        <v>1129</v>
      </c>
      <c r="B8" s="386" t="s">
        <v>1112</v>
      </c>
      <c r="C8" s="149">
        <f>6770+951</f>
        <v>7721</v>
      </c>
      <c r="D8" s="149">
        <f>12598+951</f>
        <v>13549</v>
      </c>
      <c r="E8" s="149">
        <f>8065+951</f>
        <v>9016</v>
      </c>
      <c r="F8" s="149">
        <f>8713+951</f>
        <v>9664</v>
      </c>
      <c r="G8" s="149">
        <v>9664</v>
      </c>
      <c r="H8" s="149">
        <v>9663</v>
      </c>
      <c r="I8" s="149">
        <v>9664</v>
      </c>
      <c r="J8" s="149">
        <v>9664</v>
      </c>
      <c r="K8" s="149">
        <v>9663</v>
      </c>
      <c r="L8" s="149">
        <v>9664</v>
      </c>
      <c r="M8" s="149">
        <v>9663</v>
      </c>
      <c r="N8" s="149">
        <f>10008+950</f>
        <v>10958</v>
      </c>
      <c r="O8" s="150">
        <f t="shared" si="0"/>
        <v>118553</v>
      </c>
      <c r="Q8" s="755">
        <f>'1.1.sz.mell.'!C21</f>
        <v>118552.6</v>
      </c>
      <c r="R8" s="759">
        <f t="shared" si="1"/>
        <v>0.39999999999417923</v>
      </c>
      <c r="S8" s="755">
        <f>11411/12</f>
        <v>950.91666666666663</v>
      </c>
      <c r="T8" s="755" t="s">
        <v>789</v>
      </c>
      <c r="U8" s="755"/>
    </row>
    <row r="9" spans="1:22" s="151" customFormat="1" ht="14.1" customHeight="1" x14ac:dyDescent="0.2">
      <c r="A9" s="148" t="s">
        <v>1130</v>
      </c>
      <c r="B9" s="386" t="s">
        <v>1113</v>
      </c>
      <c r="C9" s="149">
        <f>862+2668</f>
        <v>3530</v>
      </c>
      <c r="D9" s="149">
        <v>862</v>
      </c>
      <c r="E9" s="149">
        <v>862</v>
      </c>
      <c r="F9" s="149">
        <v>862</v>
      </c>
      <c r="G9" s="149">
        <v>862</v>
      </c>
      <c r="H9" s="149">
        <v>862</v>
      </c>
      <c r="I9" s="149">
        <v>863</v>
      </c>
      <c r="J9" s="149">
        <v>862</v>
      </c>
      <c r="K9" s="149">
        <v>862</v>
      </c>
      <c r="L9" s="149">
        <v>863</v>
      </c>
      <c r="M9" s="149">
        <v>862</v>
      </c>
      <c r="N9" s="149">
        <v>862</v>
      </c>
      <c r="O9" s="150">
        <f t="shared" si="0"/>
        <v>13014</v>
      </c>
      <c r="Q9" s="755">
        <f>'1.1.sz.mell.'!C30</f>
        <v>13014</v>
      </c>
      <c r="R9" s="759">
        <f t="shared" si="1"/>
        <v>0</v>
      </c>
      <c r="S9" s="755"/>
      <c r="T9" s="755">
        <f>10346/12</f>
        <v>862.16666666666663</v>
      </c>
      <c r="U9" s="755"/>
    </row>
    <row r="10" spans="1:22" s="151" customFormat="1" ht="14.1" customHeight="1" x14ac:dyDescent="0.2">
      <c r="A10" s="148" t="s">
        <v>1131</v>
      </c>
      <c r="B10" s="386" t="s">
        <v>1114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>
        <f t="shared" si="0"/>
        <v>0</v>
      </c>
      <c r="Q10" s="755">
        <f>'1.1.sz.mell.'!C43</f>
        <v>0</v>
      </c>
      <c r="R10" s="759">
        <f t="shared" si="1"/>
        <v>0</v>
      </c>
      <c r="S10" s="755"/>
      <c r="T10" s="755"/>
      <c r="U10" s="755"/>
    </row>
    <row r="11" spans="1:22" s="151" customFormat="1" ht="14.1" customHeight="1" x14ac:dyDescent="0.2">
      <c r="A11" s="148" t="s">
        <v>1132</v>
      </c>
      <c r="B11" s="386" t="s">
        <v>1115</v>
      </c>
      <c r="C11" s="149">
        <f>400/12</f>
        <v>33.333333333333336</v>
      </c>
      <c r="D11" s="149">
        <v>33</v>
      </c>
      <c r="E11" s="149">
        <f>400/12</f>
        <v>33.333333333333336</v>
      </c>
      <c r="F11" s="149">
        <v>33</v>
      </c>
      <c r="G11" s="149">
        <f>400/12</f>
        <v>33.333333333333336</v>
      </c>
      <c r="H11" s="149">
        <v>35</v>
      </c>
      <c r="I11" s="149">
        <f>400/12</f>
        <v>33.333333333333336</v>
      </c>
      <c r="J11" s="149">
        <v>33</v>
      </c>
      <c r="K11" s="149">
        <f>400/12</f>
        <v>33.333333333333336</v>
      </c>
      <c r="L11" s="149">
        <v>33</v>
      </c>
      <c r="M11" s="149">
        <f>400/12</f>
        <v>33.333333333333336</v>
      </c>
      <c r="N11" s="149">
        <v>33</v>
      </c>
      <c r="O11" s="150">
        <f t="shared" si="0"/>
        <v>400</v>
      </c>
      <c r="Q11" s="755">
        <f>'1.1.sz.mell.'!C46</f>
        <v>400</v>
      </c>
      <c r="R11" s="759">
        <f t="shared" si="1"/>
        <v>0</v>
      </c>
      <c r="S11" s="755"/>
      <c r="T11" s="755"/>
      <c r="U11" s="755"/>
    </row>
    <row r="12" spans="1:22" s="151" customFormat="1" x14ac:dyDescent="0.2">
      <c r="A12" s="148" t="s">
        <v>1133</v>
      </c>
      <c r="B12" s="388" t="s">
        <v>1116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50">
        <f t="shared" si="0"/>
        <v>0</v>
      </c>
      <c r="Q12" s="755">
        <f>'1.1.sz.mell.'!C50</f>
        <v>0</v>
      </c>
      <c r="R12" s="759">
        <f t="shared" si="1"/>
        <v>0</v>
      </c>
      <c r="S12" s="755"/>
      <c r="T12" s="755"/>
      <c r="U12" s="755"/>
    </row>
    <row r="13" spans="1:22" s="151" customFormat="1" ht="14.1" customHeight="1" thickBot="1" x14ac:dyDescent="0.25">
      <c r="A13" s="148" t="s">
        <v>1134</v>
      </c>
      <c r="B13" s="386" t="s">
        <v>1117</v>
      </c>
      <c r="C13" s="149">
        <v>12500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>
        <f t="shared" si="0"/>
        <v>12500</v>
      </c>
      <c r="Q13" s="755">
        <f>'1.1.sz.mell.'!C52</f>
        <v>12500</v>
      </c>
      <c r="R13" s="759">
        <f t="shared" si="1"/>
        <v>0</v>
      </c>
      <c r="S13" s="755"/>
      <c r="T13" s="755"/>
      <c r="U13" s="755"/>
    </row>
    <row r="14" spans="1:22" s="143" customFormat="1" ht="15.95" customHeight="1" thickBot="1" x14ac:dyDescent="0.25">
      <c r="A14" s="142" t="s">
        <v>1135</v>
      </c>
      <c r="B14" s="47" t="s">
        <v>71</v>
      </c>
      <c r="C14" s="154">
        <f t="shared" ref="C14:N14" si="2">SUM(C5:C13)</f>
        <v>26089.333333333336</v>
      </c>
      <c r="D14" s="154">
        <f t="shared" si="2"/>
        <v>17360</v>
      </c>
      <c r="E14" s="154">
        <f t="shared" si="2"/>
        <v>39235.333333333336</v>
      </c>
      <c r="F14" s="154">
        <f t="shared" si="2"/>
        <v>16222</v>
      </c>
      <c r="G14" s="154">
        <f t="shared" si="2"/>
        <v>22482.333333333332</v>
      </c>
      <c r="H14" s="154">
        <f t="shared" si="2"/>
        <v>22966</v>
      </c>
      <c r="I14" s="154">
        <f t="shared" si="2"/>
        <v>19923.333333333332</v>
      </c>
      <c r="J14" s="154">
        <f t="shared" si="2"/>
        <v>18885</v>
      </c>
      <c r="K14" s="154">
        <f t="shared" si="2"/>
        <v>39698.333333333336</v>
      </c>
      <c r="L14" s="154">
        <f t="shared" si="2"/>
        <v>16436</v>
      </c>
      <c r="M14" s="154">
        <f t="shared" si="2"/>
        <v>16547.333333333332</v>
      </c>
      <c r="N14" s="154">
        <f t="shared" si="2"/>
        <v>16953</v>
      </c>
      <c r="O14" s="155">
        <f>SUM(C14:N14)</f>
        <v>272798</v>
      </c>
      <c r="Q14" s="754">
        <f>SUM(Q5:Q13)</f>
        <v>272797.59999999998</v>
      </c>
      <c r="R14" s="759">
        <f t="shared" si="1"/>
        <v>0.40000000002328306</v>
      </c>
      <c r="S14" s="754"/>
      <c r="T14" s="754"/>
      <c r="U14" s="754"/>
    </row>
    <row r="15" spans="1:22" s="143" customFormat="1" ht="15" customHeight="1" thickBot="1" x14ac:dyDescent="0.25">
      <c r="A15" s="142" t="s">
        <v>1136</v>
      </c>
      <c r="B15" s="1298" t="s">
        <v>1</v>
      </c>
      <c r="C15" s="1299"/>
      <c r="D15" s="1299"/>
      <c r="E15" s="1299"/>
      <c r="F15" s="1299"/>
      <c r="G15" s="1299"/>
      <c r="H15" s="1299"/>
      <c r="I15" s="1299"/>
      <c r="J15" s="1299"/>
      <c r="K15" s="1299"/>
      <c r="L15" s="1299"/>
      <c r="M15" s="1299"/>
      <c r="N15" s="1299"/>
      <c r="O15" s="1300"/>
      <c r="Q15" s="754"/>
      <c r="R15" s="759">
        <f t="shared" si="1"/>
        <v>0</v>
      </c>
      <c r="S15" s="754"/>
      <c r="T15" s="754"/>
      <c r="U15" s="754"/>
    </row>
    <row r="16" spans="1:22" s="151" customFormat="1" ht="14.1" customHeight="1" x14ac:dyDescent="0.2">
      <c r="A16" s="156" t="s">
        <v>1137</v>
      </c>
      <c r="B16" s="389" t="s">
        <v>13</v>
      </c>
      <c r="C16" s="152">
        <f>96883/12</f>
        <v>8073.583333333333</v>
      </c>
      <c r="D16" s="152">
        <f t="shared" ref="D16:N16" si="3">96883/12</f>
        <v>8073.583333333333</v>
      </c>
      <c r="E16" s="152">
        <f t="shared" si="3"/>
        <v>8073.583333333333</v>
      </c>
      <c r="F16" s="152">
        <f t="shared" si="3"/>
        <v>8073.583333333333</v>
      </c>
      <c r="G16" s="152">
        <f t="shared" si="3"/>
        <v>8073.583333333333</v>
      </c>
      <c r="H16" s="152">
        <f t="shared" si="3"/>
        <v>8073.583333333333</v>
      </c>
      <c r="I16" s="152">
        <f t="shared" si="3"/>
        <v>8073.583333333333</v>
      </c>
      <c r="J16" s="152">
        <f t="shared" si="3"/>
        <v>8073.583333333333</v>
      </c>
      <c r="K16" s="152">
        <f t="shared" si="3"/>
        <v>8073.583333333333</v>
      </c>
      <c r="L16" s="152">
        <f>96883/12+1947</f>
        <v>10020.583333333332</v>
      </c>
      <c r="M16" s="152">
        <f t="shared" si="3"/>
        <v>8073.583333333333</v>
      </c>
      <c r="N16" s="152">
        <f t="shared" si="3"/>
        <v>8073.583333333333</v>
      </c>
      <c r="O16" s="153">
        <f t="shared" si="0"/>
        <v>98829.999999999985</v>
      </c>
      <c r="Q16" s="755">
        <f>'1.1.sz.mell.'!C74</f>
        <v>98830</v>
      </c>
      <c r="R16" s="759">
        <v>98830</v>
      </c>
      <c r="S16" s="755">
        <f>Q16-1947</f>
        <v>96883</v>
      </c>
      <c r="T16" s="755"/>
      <c r="U16" s="755"/>
    </row>
    <row r="17" spans="1:21" s="151" customFormat="1" ht="27" customHeight="1" x14ac:dyDescent="0.2">
      <c r="A17" s="148" t="s">
        <v>1138</v>
      </c>
      <c r="B17" s="388" t="s">
        <v>186</v>
      </c>
      <c r="C17" s="149">
        <v>2169</v>
      </c>
      <c r="D17" s="149">
        <f t="shared" ref="D17:K17" si="4">D16*0.27-10</f>
        <v>2169.8674999999998</v>
      </c>
      <c r="E17" s="149">
        <f t="shared" si="4"/>
        <v>2169.8674999999998</v>
      </c>
      <c r="F17" s="149">
        <f t="shared" si="4"/>
        <v>2169.8674999999998</v>
      </c>
      <c r="G17" s="149">
        <f t="shared" si="4"/>
        <v>2169.8674999999998</v>
      </c>
      <c r="H17" s="149">
        <f t="shared" si="4"/>
        <v>2169.8674999999998</v>
      </c>
      <c r="I17" s="149">
        <f t="shared" si="4"/>
        <v>2169.8674999999998</v>
      </c>
      <c r="J17" s="149">
        <f t="shared" si="4"/>
        <v>2169.8674999999998</v>
      </c>
      <c r="K17" s="149">
        <f t="shared" si="4"/>
        <v>2169.8674999999998</v>
      </c>
      <c r="L17" s="149">
        <f>L16*0.27</f>
        <v>2705.5574999999999</v>
      </c>
      <c r="M17" s="149">
        <v>2170</v>
      </c>
      <c r="N17" s="149">
        <v>2170</v>
      </c>
      <c r="O17" s="150">
        <f t="shared" si="0"/>
        <v>26573.497500000001</v>
      </c>
      <c r="Q17" s="755">
        <f>'1.1.sz.mell.'!C75</f>
        <v>26573</v>
      </c>
      <c r="R17" s="759">
        <v>26573</v>
      </c>
      <c r="S17" s="755"/>
      <c r="T17" s="755"/>
      <c r="U17" s="755"/>
    </row>
    <row r="18" spans="1:21" s="151" customFormat="1" ht="14.1" customHeight="1" x14ac:dyDescent="0.2">
      <c r="A18" s="148" t="s">
        <v>1139</v>
      </c>
      <c r="B18" s="386" t="s">
        <v>103</v>
      </c>
      <c r="C18" s="149">
        <v>6452</v>
      </c>
      <c r="D18" s="149">
        <f>Q18/10</f>
        <v>9678.5</v>
      </c>
      <c r="E18" s="149">
        <f>80654/10</f>
        <v>8065.4</v>
      </c>
      <c r="F18" s="149">
        <f>80654/10</f>
        <v>8065.4</v>
      </c>
      <c r="G18" s="149">
        <f t="shared" ref="G18:N18" si="5">80654/10</f>
        <v>8065.4</v>
      </c>
      <c r="H18" s="149">
        <f t="shared" si="5"/>
        <v>8065.4</v>
      </c>
      <c r="I18" s="149">
        <f t="shared" si="5"/>
        <v>8065.4</v>
      </c>
      <c r="J18" s="149">
        <f t="shared" si="5"/>
        <v>8065.4</v>
      </c>
      <c r="K18" s="149">
        <f t="shared" si="5"/>
        <v>8065.4</v>
      </c>
      <c r="L18" s="149">
        <f t="shared" si="5"/>
        <v>8065.4</v>
      </c>
      <c r="M18" s="149">
        <f t="shared" si="5"/>
        <v>8065.4</v>
      </c>
      <c r="N18" s="149">
        <f t="shared" si="5"/>
        <v>8065.4</v>
      </c>
      <c r="O18" s="150">
        <f t="shared" si="0"/>
        <v>96784.499999999985</v>
      </c>
      <c r="Q18" s="755">
        <f>'1.1.sz.mell.'!C76</f>
        <v>96785</v>
      </c>
      <c r="R18" s="759">
        <v>96785</v>
      </c>
      <c r="S18" s="755"/>
      <c r="T18" s="755"/>
      <c r="U18" s="755"/>
    </row>
    <row r="19" spans="1:21" s="151" customFormat="1" ht="14.1" customHeight="1" x14ac:dyDescent="0.2">
      <c r="A19" s="148" t="s">
        <v>1140</v>
      </c>
      <c r="B19" s="386" t="s">
        <v>187</v>
      </c>
      <c r="C19" s="149">
        <v>1280</v>
      </c>
      <c r="D19" s="149">
        <v>1283</v>
      </c>
      <c r="E19" s="149">
        <v>1283</v>
      </c>
      <c r="F19" s="149">
        <v>1283</v>
      </c>
      <c r="G19" s="149">
        <v>1283</v>
      </c>
      <c r="H19" s="149">
        <v>1283</v>
      </c>
      <c r="I19" s="149">
        <v>1283</v>
      </c>
      <c r="J19" s="149">
        <v>1283</v>
      </c>
      <c r="K19" s="149">
        <v>1283</v>
      </c>
      <c r="L19" s="149">
        <v>1283</v>
      </c>
      <c r="M19" s="149">
        <v>1283</v>
      </c>
      <c r="N19" s="149">
        <v>1283</v>
      </c>
      <c r="O19" s="150">
        <f t="shared" si="0"/>
        <v>15393</v>
      </c>
      <c r="Q19" s="755">
        <f>'1.1.sz.mell.'!C77</f>
        <v>15393</v>
      </c>
      <c r="R19" s="759">
        <v>15393</v>
      </c>
      <c r="S19" s="755"/>
      <c r="T19" s="755"/>
      <c r="U19" s="755"/>
    </row>
    <row r="20" spans="1:21" s="151" customFormat="1" ht="14.1" customHeight="1" x14ac:dyDescent="0.2">
      <c r="A20" s="148" t="s">
        <v>1141</v>
      </c>
      <c r="B20" s="386" t="s">
        <v>1118</v>
      </c>
      <c r="C20" s="149">
        <v>341</v>
      </c>
      <c r="D20" s="149">
        <v>341</v>
      </c>
      <c r="E20" s="149">
        <v>341</v>
      </c>
      <c r="F20" s="149">
        <v>341</v>
      </c>
      <c r="G20" s="149">
        <v>341</v>
      </c>
      <c r="H20" s="149">
        <v>341</v>
      </c>
      <c r="I20" s="149">
        <v>342</v>
      </c>
      <c r="J20" s="149">
        <v>341</v>
      </c>
      <c r="K20" s="149">
        <v>341</v>
      </c>
      <c r="L20" s="149">
        <v>341</v>
      </c>
      <c r="M20" s="149">
        <v>341</v>
      </c>
      <c r="N20" s="149">
        <v>342</v>
      </c>
      <c r="O20" s="150">
        <f t="shared" si="0"/>
        <v>4094</v>
      </c>
      <c r="Q20" s="755">
        <f>'1.1.sz.mell.'!C78</f>
        <v>4094</v>
      </c>
      <c r="R20" s="759">
        <v>4094</v>
      </c>
      <c r="S20" s="755"/>
      <c r="T20" s="755">
        <f>4094/12</f>
        <v>341.16666666666669</v>
      </c>
      <c r="U20" s="755"/>
    </row>
    <row r="21" spans="1:21" s="151" customFormat="1" ht="14.1" customHeight="1" x14ac:dyDescent="0.2">
      <c r="A21" s="148" t="s">
        <v>1142</v>
      </c>
      <c r="B21" s="386" t="s">
        <v>304</v>
      </c>
      <c r="C21" s="149">
        <v>0</v>
      </c>
      <c r="D21" s="149"/>
      <c r="E21" s="149">
        <f>12500/2</f>
        <v>6250</v>
      </c>
      <c r="F21" s="149">
        <f>14604/7</f>
        <v>2086.2857142857142</v>
      </c>
      <c r="G21" s="149">
        <v>6250</v>
      </c>
      <c r="H21" s="149">
        <v>2086</v>
      </c>
      <c r="I21" s="149">
        <v>2086</v>
      </c>
      <c r="J21" s="149">
        <v>2086</v>
      </c>
      <c r="K21" s="149">
        <v>2086</v>
      </c>
      <c r="L21" s="149">
        <v>2086</v>
      </c>
      <c r="M21" s="149">
        <v>2088</v>
      </c>
      <c r="N21" s="149"/>
      <c r="O21" s="150">
        <f t="shared" si="0"/>
        <v>27104.285714285714</v>
      </c>
      <c r="Q21" s="755">
        <f>'1.1.sz.mell.'!C87</f>
        <v>17481.55</v>
      </c>
      <c r="R21" s="759">
        <v>27104</v>
      </c>
      <c r="S21" s="755"/>
      <c r="T21" s="755"/>
      <c r="U21" s="755"/>
    </row>
    <row r="22" spans="1:21" s="151" customFormat="1" x14ac:dyDescent="0.2">
      <c r="A22" s="148" t="s">
        <v>1143</v>
      </c>
      <c r="B22" s="388" t="s">
        <v>190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50">
        <f t="shared" si="0"/>
        <v>0</v>
      </c>
      <c r="Q22" s="755">
        <f>'1.1.sz.mell.'!C88</f>
        <v>9623</v>
      </c>
      <c r="R22" s="759">
        <f t="shared" si="1"/>
        <v>-9623</v>
      </c>
      <c r="S22" s="755"/>
      <c r="T22" s="755"/>
      <c r="U22" s="755"/>
    </row>
    <row r="23" spans="1:21" s="151" customFormat="1" ht="14.1" customHeight="1" x14ac:dyDescent="0.2">
      <c r="A23" s="148" t="s">
        <v>1144</v>
      </c>
      <c r="B23" s="386" t="s">
        <v>335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>
        <f t="shared" si="0"/>
        <v>0</v>
      </c>
      <c r="Q23" s="755">
        <f>'1.1.sz.mell.'!C89</f>
        <v>0</v>
      </c>
      <c r="R23" s="759">
        <f t="shared" si="1"/>
        <v>0</v>
      </c>
      <c r="S23" s="755"/>
      <c r="T23" s="755"/>
      <c r="U23" s="755"/>
    </row>
    <row r="24" spans="1:21" s="151" customFormat="1" ht="14.1" customHeight="1" x14ac:dyDescent="0.2">
      <c r="A24" s="148" t="s">
        <v>1145</v>
      </c>
      <c r="B24" s="386" t="s">
        <v>1157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>
        <v>4019</v>
      </c>
      <c r="N24" s="149"/>
      <c r="O24" s="150">
        <f t="shared" si="0"/>
        <v>4019</v>
      </c>
      <c r="Q24" s="755">
        <f>'1.1.sz.mell.'!C97</f>
        <v>4019</v>
      </c>
      <c r="R24" s="759">
        <v>4019</v>
      </c>
      <c r="S24" s="755"/>
      <c r="T24" s="755"/>
      <c r="U24" s="755"/>
    </row>
    <row r="25" spans="1:21" s="151" customFormat="1" ht="13.5" customHeight="1" x14ac:dyDescent="0.2">
      <c r="A25" s="148" t="s">
        <v>1146</v>
      </c>
      <c r="B25" s="386" t="s">
        <v>1119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50">
        <f t="shared" si="0"/>
        <v>0</v>
      </c>
      <c r="Q25" s="755">
        <f>'1.1.sz.mell.'!C100</f>
        <v>0</v>
      </c>
      <c r="R25" s="759">
        <f t="shared" si="1"/>
        <v>0</v>
      </c>
      <c r="S25" s="755"/>
      <c r="T25" s="755"/>
      <c r="U25" s="755"/>
    </row>
    <row r="26" spans="1:21" s="151" customFormat="1" ht="14.1" customHeight="1" thickBot="1" x14ac:dyDescent="0.25">
      <c r="A26" s="148" t="s">
        <v>1147</v>
      </c>
      <c r="B26" s="386" t="s">
        <v>1120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50">
        <f t="shared" si="0"/>
        <v>0</v>
      </c>
      <c r="Q26" s="755">
        <f>'1.1.sz.mell.'!C102</f>
        <v>0</v>
      </c>
      <c r="R26" s="759">
        <f t="shared" si="1"/>
        <v>0</v>
      </c>
      <c r="S26" s="755"/>
      <c r="T26" s="755"/>
      <c r="U26" s="755"/>
    </row>
    <row r="27" spans="1:21" s="143" customFormat="1" ht="15.95" customHeight="1" thickBot="1" x14ac:dyDescent="0.25">
      <c r="A27" s="157" t="s">
        <v>1148</v>
      </c>
      <c r="B27" s="47" t="s">
        <v>72</v>
      </c>
      <c r="C27" s="154">
        <f t="shared" ref="C27:N27" si="6">SUM(C16:C26)</f>
        <v>18315.583333333332</v>
      </c>
      <c r="D27" s="154">
        <f t="shared" si="6"/>
        <v>21545.950833333332</v>
      </c>
      <c r="E27" s="154">
        <f t="shared" si="6"/>
        <v>26182.85083333333</v>
      </c>
      <c r="F27" s="154">
        <f t="shared" si="6"/>
        <v>22019.136547619044</v>
      </c>
      <c r="G27" s="154">
        <f t="shared" si="6"/>
        <v>26182.85083333333</v>
      </c>
      <c r="H27" s="154">
        <f t="shared" si="6"/>
        <v>22018.85083333333</v>
      </c>
      <c r="I27" s="154">
        <f t="shared" si="6"/>
        <v>22019.85083333333</v>
      </c>
      <c r="J27" s="154">
        <f t="shared" si="6"/>
        <v>22018.85083333333</v>
      </c>
      <c r="K27" s="154">
        <f t="shared" si="6"/>
        <v>22018.85083333333</v>
      </c>
      <c r="L27" s="154">
        <f t="shared" si="6"/>
        <v>24501.540833333333</v>
      </c>
      <c r="M27" s="154">
        <f t="shared" si="6"/>
        <v>26039.98333333333</v>
      </c>
      <c r="N27" s="154">
        <f t="shared" si="6"/>
        <v>19933.98333333333</v>
      </c>
      <c r="O27" s="155">
        <f t="shared" si="0"/>
        <v>272798.28321428568</v>
      </c>
      <c r="Q27" s="754">
        <f>SUM(Q16:Q26)</f>
        <v>272798.55</v>
      </c>
      <c r="R27" s="759">
        <f t="shared" si="1"/>
        <v>-0.26678571430966258</v>
      </c>
      <c r="S27" s="754"/>
      <c r="T27" s="754"/>
      <c r="U27" s="754"/>
    </row>
    <row r="28" spans="1:21" ht="16.5" thickBot="1" x14ac:dyDescent="0.3">
      <c r="A28" s="157" t="s">
        <v>1149</v>
      </c>
      <c r="B28" s="390" t="s">
        <v>73</v>
      </c>
      <c r="C28" s="158">
        <f t="shared" ref="C28:O28" si="7">C14-C27</f>
        <v>7773.7500000000036</v>
      </c>
      <c r="D28" s="158">
        <f t="shared" si="7"/>
        <v>-4185.9508333333324</v>
      </c>
      <c r="E28" s="158">
        <f t="shared" si="7"/>
        <v>13052.482500000006</v>
      </c>
      <c r="F28" s="158">
        <f t="shared" si="7"/>
        <v>-5797.136547619044</v>
      </c>
      <c r="G28" s="158">
        <f t="shared" si="7"/>
        <v>-3700.5174999999981</v>
      </c>
      <c r="H28" s="158">
        <f t="shared" si="7"/>
        <v>947.14916666666977</v>
      </c>
      <c r="I28" s="158">
        <f t="shared" si="7"/>
        <v>-2096.5174999999981</v>
      </c>
      <c r="J28" s="158">
        <f t="shared" si="7"/>
        <v>-3133.8508333333302</v>
      </c>
      <c r="K28" s="158">
        <f t="shared" si="7"/>
        <v>17679.482500000006</v>
      </c>
      <c r="L28" s="158">
        <f t="shared" si="7"/>
        <v>-8065.5408333333326</v>
      </c>
      <c r="M28" s="158">
        <f t="shared" si="7"/>
        <v>-9492.6499999999978</v>
      </c>
      <c r="N28" s="158">
        <f t="shared" si="7"/>
        <v>-2980.9833333333299</v>
      </c>
      <c r="O28" s="159">
        <f t="shared" si="7"/>
        <v>-0.28321428567869589</v>
      </c>
    </row>
    <row r="29" spans="1:21" ht="16.5" thickBot="1" x14ac:dyDescent="0.3">
      <c r="A29" s="161"/>
    </row>
    <row r="30" spans="1:21" ht="16.5" thickBot="1" x14ac:dyDescent="0.3">
      <c r="A30" s="157" t="s">
        <v>1150</v>
      </c>
      <c r="B30" s="390" t="s">
        <v>1043</v>
      </c>
      <c r="C30" s="158">
        <f>C28</f>
        <v>7773.7500000000036</v>
      </c>
      <c r="D30" s="158">
        <f>C30+D28</f>
        <v>3587.7991666666712</v>
      </c>
      <c r="E30" s="158">
        <f>D30+E28</f>
        <v>16640.281666666677</v>
      </c>
      <c r="F30" s="158">
        <f t="shared" ref="F30:N30" si="8">E30+F28</f>
        <v>10843.145119047633</v>
      </c>
      <c r="G30" s="158">
        <f t="shared" si="8"/>
        <v>7142.6276190476347</v>
      </c>
      <c r="H30" s="158">
        <f t="shared" si="8"/>
        <v>8089.7767857143044</v>
      </c>
      <c r="I30" s="158">
        <f t="shared" si="8"/>
        <v>5993.2592857143063</v>
      </c>
      <c r="J30" s="158">
        <f t="shared" si="8"/>
        <v>2859.4084523809761</v>
      </c>
      <c r="K30" s="158">
        <f t="shared" si="8"/>
        <v>20538.890952380982</v>
      </c>
      <c r="L30" s="158">
        <f t="shared" si="8"/>
        <v>12473.350119047649</v>
      </c>
      <c r="M30" s="158">
        <f t="shared" si="8"/>
        <v>2980.7001190476512</v>
      </c>
      <c r="N30" s="158">
        <f t="shared" si="8"/>
        <v>-0.28321428567869589</v>
      </c>
      <c r="O30" s="158">
        <v>0</v>
      </c>
    </row>
    <row r="31" spans="1:21" x14ac:dyDescent="0.25">
      <c r="O31" s="160"/>
    </row>
    <row r="32" spans="1:21" x14ac:dyDescent="0.25">
      <c r="O32" s="160"/>
    </row>
    <row r="33" spans="15:15" x14ac:dyDescent="0.25">
      <c r="O33" s="160"/>
    </row>
    <row r="34" spans="15:15" x14ac:dyDescent="0.25">
      <c r="O34" s="160"/>
    </row>
    <row r="35" spans="15:15" x14ac:dyDescent="0.25">
      <c r="O35" s="160"/>
    </row>
    <row r="36" spans="15:15" x14ac:dyDescent="0.25">
      <c r="O36" s="160"/>
    </row>
    <row r="37" spans="15:15" x14ac:dyDescent="0.25">
      <c r="O37" s="160"/>
    </row>
    <row r="38" spans="15:15" x14ac:dyDescent="0.25">
      <c r="O38" s="160"/>
    </row>
    <row r="39" spans="15:15" x14ac:dyDescent="0.25">
      <c r="O39" s="160"/>
    </row>
    <row r="40" spans="15:15" x14ac:dyDescent="0.25">
      <c r="O40" s="160"/>
    </row>
    <row r="41" spans="15:15" x14ac:dyDescent="0.25">
      <c r="O41" s="160"/>
    </row>
    <row r="42" spans="15:15" x14ac:dyDescent="0.25">
      <c r="O42" s="160"/>
    </row>
    <row r="43" spans="15:15" x14ac:dyDescent="0.25">
      <c r="O43" s="160"/>
    </row>
    <row r="44" spans="15:15" x14ac:dyDescent="0.25">
      <c r="O44" s="160"/>
    </row>
    <row r="45" spans="15:15" x14ac:dyDescent="0.25">
      <c r="O45" s="160"/>
    </row>
    <row r="46" spans="15:15" x14ac:dyDescent="0.25">
      <c r="O46" s="160"/>
    </row>
    <row r="47" spans="15:15" x14ac:dyDescent="0.25">
      <c r="O47" s="160"/>
    </row>
    <row r="48" spans="15:15" x14ac:dyDescent="0.25">
      <c r="O48" s="160"/>
    </row>
    <row r="49" spans="15:15" x14ac:dyDescent="0.25">
      <c r="O49" s="160"/>
    </row>
    <row r="50" spans="15:15" x14ac:dyDescent="0.25">
      <c r="O50" s="160"/>
    </row>
    <row r="51" spans="15:15" x14ac:dyDescent="0.25">
      <c r="O51" s="160"/>
    </row>
    <row r="52" spans="15:15" x14ac:dyDescent="0.25">
      <c r="O52" s="160"/>
    </row>
    <row r="53" spans="15:15" x14ac:dyDescent="0.25">
      <c r="O53" s="160"/>
    </row>
    <row r="54" spans="15:15" x14ac:dyDescent="0.25">
      <c r="O54" s="160"/>
    </row>
    <row r="55" spans="15:15" x14ac:dyDescent="0.25">
      <c r="O55" s="160"/>
    </row>
    <row r="56" spans="15:15" x14ac:dyDescent="0.25">
      <c r="O56" s="160"/>
    </row>
    <row r="57" spans="15:15" x14ac:dyDescent="0.25">
      <c r="O57" s="160"/>
    </row>
    <row r="58" spans="15:15" x14ac:dyDescent="0.25">
      <c r="O58" s="160"/>
    </row>
    <row r="59" spans="15:15" x14ac:dyDescent="0.25">
      <c r="O59" s="160"/>
    </row>
    <row r="60" spans="15:15" x14ac:dyDescent="0.25">
      <c r="O60" s="160"/>
    </row>
    <row r="61" spans="15:15" x14ac:dyDescent="0.25">
      <c r="O61" s="160"/>
    </row>
    <row r="62" spans="15:15" x14ac:dyDescent="0.25">
      <c r="O62" s="160"/>
    </row>
    <row r="63" spans="15:15" x14ac:dyDescent="0.25">
      <c r="O63" s="160"/>
    </row>
    <row r="64" spans="15:15" x14ac:dyDescent="0.25">
      <c r="O64" s="160"/>
    </row>
    <row r="65" spans="15:15" x14ac:dyDescent="0.25">
      <c r="O65" s="160"/>
    </row>
    <row r="66" spans="15:15" x14ac:dyDescent="0.25">
      <c r="O66" s="160"/>
    </row>
    <row r="67" spans="15:15" x14ac:dyDescent="0.25">
      <c r="O67" s="160"/>
    </row>
    <row r="68" spans="15:15" x14ac:dyDescent="0.25">
      <c r="O68" s="160"/>
    </row>
    <row r="69" spans="15:15" x14ac:dyDescent="0.25">
      <c r="O69" s="160"/>
    </row>
    <row r="70" spans="15:15" x14ac:dyDescent="0.25">
      <c r="O70" s="160"/>
    </row>
    <row r="71" spans="15:15" x14ac:dyDescent="0.25">
      <c r="O71" s="160"/>
    </row>
    <row r="72" spans="15:15" x14ac:dyDescent="0.25">
      <c r="O72" s="160"/>
    </row>
    <row r="73" spans="15:15" x14ac:dyDescent="0.25">
      <c r="O73" s="160"/>
    </row>
    <row r="74" spans="15:15" x14ac:dyDescent="0.25">
      <c r="O74" s="160"/>
    </row>
    <row r="75" spans="15:15" x14ac:dyDescent="0.25">
      <c r="O75" s="160"/>
    </row>
    <row r="76" spans="15:15" x14ac:dyDescent="0.25">
      <c r="O76" s="160"/>
    </row>
    <row r="77" spans="15:15" x14ac:dyDescent="0.25">
      <c r="O77" s="160"/>
    </row>
    <row r="78" spans="15:15" x14ac:dyDescent="0.25">
      <c r="O78" s="160"/>
    </row>
    <row r="79" spans="15:15" x14ac:dyDescent="0.25">
      <c r="O79" s="160"/>
    </row>
    <row r="80" spans="15:15" x14ac:dyDescent="0.25">
      <c r="O80" s="160"/>
    </row>
    <row r="81" spans="15:15" x14ac:dyDescent="0.25">
      <c r="O81" s="160"/>
    </row>
    <row r="82" spans="15:15" x14ac:dyDescent="0.25">
      <c r="O82" s="160"/>
    </row>
    <row r="83" spans="15:15" x14ac:dyDescent="0.25">
      <c r="O83" s="16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  <ignoredErrors>
    <ignoredError sqref="C11:N11 D18:N18" unlocked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zoomScaleSheetLayoutView="100" workbookViewId="0">
      <selection activeCell="D12" sqref="D12:E12"/>
    </sheetView>
  </sheetViews>
  <sheetFormatPr defaultColWidth="9.33203125" defaultRowHeight="12" x14ac:dyDescent="0.2"/>
  <cols>
    <col min="1" max="1" width="49.1640625" style="873" customWidth="1"/>
    <col min="2" max="2" width="9.33203125" style="873"/>
    <col min="3" max="3" width="18.83203125" style="873" customWidth="1"/>
    <col min="4" max="4" width="6.83203125" style="873" customWidth="1"/>
    <col min="5" max="5" width="6.5" style="873" customWidth="1"/>
    <col min="6" max="6" width="12.1640625" style="873" customWidth="1"/>
    <col min="7" max="7" width="17" style="873" customWidth="1"/>
    <col min="8" max="8" width="12.6640625" style="873" hidden="1" customWidth="1"/>
    <col min="9" max="9" width="14.5" style="873" hidden="1" customWidth="1"/>
    <col min="10" max="16384" width="9.33203125" style="873"/>
  </cols>
  <sheetData>
    <row r="1" spans="1:9" ht="15.75" customHeight="1" x14ac:dyDescent="0.2">
      <c r="A1" s="1326"/>
      <c r="B1" s="1326"/>
      <c r="C1" s="1326"/>
      <c r="D1" s="1326"/>
      <c r="E1" s="1326"/>
      <c r="F1" s="1326"/>
      <c r="G1" s="1326"/>
      <c r="H1" s="1326"/>
      <c r="I1" s="1326"/>
    </row>
    <row r="2" spans="1:9" x14ac:dyDescent="0.2">
      <c r="A2" s="1327" t="s">
        <v>1188</v>
      </c>
      <c r="B2" s="1327"/>
      <c r="C2" s="1327"/>
      <c r="D2" s="1327"/>
      <c r="E2" s="1327"/>
      <c r="F2" s="1327"/>
      <c r="G2" s="1327"/>
      <c r="H2" s="1327"/>
      <c r="I2" s="1327"/>
    </row>
    <row r="3" spans="1:9" x14ac:dyDescent="0.2">
      <c r="A3" s="1327" t="s">
        <v>1189</v>
      </c>
      <c r="B3" s="1327"/>
      <c r="C3" s="1327"/>
      <c r="D3" s="1327"/>
      <c r="E3" s="1327"/>
      <c r="F3" s="1327"/>
      <c r="G3" s="1327"/>
      <c r="H3" s="1327"/>
      <c r="I3" s="1327"/>
    </row>
    <row r="4" spans="1:9" x14ac:dyDescent="0.2">
      <c r="A4" s="1327" t="s">
        <v>1190</v>
      </c>
      <c r="B4" s="1327"/>
      <c r="C4" s="1327"/>
      <c r="D4" s="1327"/>
      <c r="E4" s="1327"/>
      <c r="F4" s="1327"/>
      <c r="G4" s="1327"/>
      <c r="H4" s="1327"/>
      <c r="I4" s="1327"/>
    </row>
    <row r="5" spans="1:9" ht="12.75" thickBot="1" x14ac:dyDescent="0.25"/>
    <row r="6" spans="1:9" s="1008" customFormat="1" ht="48.75" thickBot="1" x14ac:dyDescent="0.25">
      <c r="A6" s="1005" t="s">
        <v>1159</v>
      </c>
      <c r="B6" s="1006" t="s">
        <v>418</v>
      </c>
      <c r="C6" s="1007"/>
      <c r="D6" s="1303" t="s">
        <v>1184</v>
      </c>
      <c r="E6" s="1304"/>
      <c r="F6" s="1009" t="s">
        <v>1187</v>
      </c>
      <c r="G6" s="1009" t="s">
        <v>1186</v>
      </c>
      <c r="H6" s="1005" t="s">
        <v>419</v>
      </c>
      <c r="I6" s="1005" t="s">
        <v>1185</v>
      </c>
    </row>
    <row r="7" spans="1:9" ht="38.25" customHeight="1" thickBot="1" x14ac:dyDescent="0.25">
      <c r="A7" s="1305" t="s">
        <v>420</v>
      </c>
      <c r="B7" s="1307" t="s">
        <v>421</v>
      </c>
      <c r="C7" s="1308"/>
      <c r="D7" s="1309">
        <v>400000</v>
      </c>
      <c r="E7" s="1310"/>
      <c r="F7" s="920"/>
      <c r="G7" s="920"/>
      <c r="H7" s="869" t="s">
        <v>422</v>
      </c>
      <c r="I7" s="870"/>
    </row>
    <row r="8" spans="1:9" ht="27.75" customHeight="1" thickBot="1" x14ac:dyDescent="0.25">
      <c r="A8" s="1306"/>
      <c r="B8" s="1307" t="s">
        <v>423</v>
      </c>
      <c r="C8" s="1308"/>
      <c r="D8" s="1309">
        <v>200000</v>
      </c>
      <c r="E8" s="1310"/>
      <c r="F8" s="920"/>
      <c r="G8" s="920"/>
      <c r="H8" s="869" t="s">
        <v>422</v>
      </c>
      <c r="I8" s="872"/>
    </row>
    <row r="9" spans="1:9" ht="18" customHeight="1" thickBot="1" x14ac:dyDescent="0.25">
      <c r="A9" s="1305" t="s">
        <v>424</v>
      </c>
      <c r="B9" s="1307" t="s">
        <v>425</v>
      </c>
      <c r="C9" s="1308"/>
      <c r="D9" s="1309">
        <v>50000</v>
      </c>
      <c r="E9" s="1310"/>
      <c r="F9" s="920"/>
      <c r="G9" s="920"/>
      <c r="H9" s="869" t="s">
        <v>422</v>
      </c>
      <c r="I9" s="870"/>
    </row>
    <row r="10" spans="1:9" ht="15" customHeight="1" thickBot="1" x14ac:dyDescent="0.25">
      <c r="A10" s="1319"/>
      <c r="B10" s="1307" t="s">
        <v>426</v>
      </c>
      <c r="C10" s="1308"/>
      <c r="D10" s="1309">
        <v>100000</v>
      </c>
      <c r="E10" s="1310"/>
      <c r="F10" s="920"/>
      <c r="G10" s="920"/>
      <c r="H10" s="869" t="s">
        <v>422</v>
      </c>
      <c r="I10" s="870"/>
    </row>
    <row r="11" spans="1:9" ht="17.25" customHeight="1" thickBot="1" x14ac:dyDescent="0.25">
      <c r="A11" s="1319"/>
      <c r="B11" s="1307" t="s">
        <v>427</v>
      </c>
      <c r="C11" s="1308"/>
      <c r="D11" s="1320" t="s">
        <v>428</v>
      </c>
      <c r="E11" s="1321"/>
      <c r="F11" s="869"/>
      <c r="G11" s="869"/>
      <c r="H11" s="869" t="s">
        <v>422</v>
      </c>
      <c r="I11" s="870"/>
    </row>
    <row r="12" spans="1:9" ht="38.25" customHeight="1" thickBot="1" x14ac:dyDescent="0.25">
      <c r="A12" s="1306"/>
      <c r="B12" s="1307" t="s">
        <v>429</v>
      </c>
      <c r="C12" s="1308"/>
      <c r="D12" s="1309">
        <v>640000</v>
      </c>
      <c r="E12" s="1310"/>
      <c r="F12" s="920"/>
      <c r="G12" s="920"/>
      <c r="H12" s="869" t="s">
        <v>422</v>
      </c>
      <c r="I12" s="870"/>
    </row>
    <row r="13" spans="1:9" ht="30" customHeight="1" x14ac:dyDescent="0.2">
      <c r="A13" s="1305" t="s">
        <v>430</v>
      </c>
      <c r="B13" s="1311" t="s">
        <v>431</v>
      </c>
      <c r="C13" s="1312"/>
      <c r="D13" s="1315">
        <v>110000</v>
      </c>
      <c r="E13" s="1316"/>
      <c r="F13" s="919"/>
      <c r="G13" s="919"/>
      <c r="H13" s="1324" t="s">
        <v>422</v>
      </c>
      <c r="I13" s="1328"/>
    </row>
    <row r="14" spans="1:9" ht="29.25" customHeight="1" thickBot="1" x14ac:dyDescent="0.25">
      <c r="A14" s="1306"/>
      <c r="B14" s="1313" t="s">
        <v>432</v>
      </c>
      <c r="C14" s="1314"/>
      <c r="D14" s="1317"/>
      <c r="E14" s="1318"/>
      <c r="F14" s="920"/>
      <c r="G14" s="920"/>
      <c r="H14" s="1325"/>
      <c r="I14" s="1329"/>
    </row>
    <row r="15" spans="1:9" ht="18" customHeight="1" thickBot="1" x14ac:dyDescent="0.25">
      <c r="A15" s="871" t="s">
        <v>433</v>
      </c>
      <c r="B15" s="1322"/>
      <c r="C15" s="1323"/>
      <c r="D15" s="1320" t="s">
        <v>434</v>
      </c>
      <c r="E15" s="1321"/>
      <c r="F15" s="869"/>
      <c r="G15" s="869"/>
      <c r="H15" s="869"/>
      <c r="I15" s="870"/>
    </row>
    <row r="16" spans="1:9" ht="36.75" customHeight="1" thickBot="1" x14ac:dyDescent="0.25">
      <c r="A16" s="871" t="s">
        <v>435</v>
      </c>
      <c r="B16" s="1322" t="s">
        <v>436</v>
      </c>
      <c r="C16" s="1323"/>
      <c r="D16" s="1309">
        <v>50000</v>
      </c>
      <c r="E16" s="1310"/>
      <c r="F16" s="920"/>
      <c r="G16" s="920"/>
      <c r="H16" s="869" t="s">
        <v>422</v>
      </c>
      <c r="I16" s="870"/>
    </row>
    <row r="17" spans="1:9" ht="24.75" thickBot="1" x14ac:dyDescent="0.25">
      <c r="A17" s="871" t="s">
        <v>437</v>
      </c>
      <c r="B17" s="1322"/>
      <c r="C17" s="1323"/>
      <c r="D17" s="1320" t="s">
        <v>438</v>
      </c>
      <c r="E17" s="1321"/>
      <c r="F17" s="869"/>
      <c r="G17" s="869"/>
      <c r="H17" s="869"/>
      <c r="I17" s="870"/>
    </row>
    <row r="18" spans="1:9" ht="24.75" thickBot="1" x14ac:dyDescent="0.25">
      <c r="A18" s="871" t="s">
        <v>439</v>
      </c>
      <c r="B18" s="1307"/>
      <c r="C18" s="1308"/>
      <c r="D18" s="1320"/>
      <c r="E18" s="1321"/>
      <c r="F18" s="869"/>
      <c r="G18" s="869"/>
      <c r="H18" s="869"/>
      <c r="I18" s="870"/>
    </row>
    <row r="19" spans="1:9" ht="63" customHeight="1" thickBot="1" x14ac:dyDescent="0.25">
      <c r="A19" s="871" t="s">
        <v>440</v>
      </c>
      <c r="B19" s="1322" t="s">
        <v>457</v>
      </c>
      <c r="C19" s="1323"/>
      <c r="D19" s="1309">
        <f>579281+3920148-3919281</f>
        <v>580148</v>
      </c>
      <c r="E19" s="1310"/>
      <c r="F19" s="920"/>
      <c r="G19" s="920"/>
      <c r="H19" s="869" t="s">
        <v>422</v>
      </c>
      <c r="I19" s="870"/>
    </row>
    <row r="20" spans="1:9" ht="45.75" customHeight="1" thickBot="1" x14ac:dyDescent="0.25">
      <c r="A20" s="871" t="s">
        <v>441</v>
      </c>
      <c r="B20" s="1307" t="s">
        <v>442</v>
      </c>
      <c r="C20" s="1308"/>
      <c r="D20" s="1309">
        <v>100000</v>
      </c>
      <c r="E20" s="1310"/>
      <c r="F20" s="920"/>
      <c r="G20" s="920"/>
      <c r="H20" s="869" t="s">
        <v>422</v>
      </c>
      <c r="I20" s="870"/>
    </row>
    <row r="21" spans="1:9" ht="16.5" customHeight="1" thickBot="1" x14ac:dyDescent="0.25">
      <c r="A21" s="871" t="s">
        <v>443</v>
      </c>
      <c r="B21" s="1322"/>
      <c r="C21" s="1323"/>
      <c r="D21" s="1309">
        <v>100000</v>
      </c>
      <c r="E21" s="1310"/>
      <c r="F21" s="920"/>
      <c r="G21" s="920"/>
      <c r="H21" s="869" t="s">
        <v>444</v>
      </c>
      <c r="I21" s="870"/>
    </row>
    <row r="22" spans="1:9" ht="24" customHeight="1" thickBot="1" x14ac:dyDescent="0.25">
      <c r="A22" s="871" t="s">
        <v>445</v>
      </c>
      <c r="B22" s="1322" t="s">
        <v>446</v>
      </c>
      <c r="C22" s="1323"/>
      <c r="D22" s="1309">
        <v>100000</v>
      </c>
      <c r="E22" s="1310"/>
      <c r="F22" s="920"/>
      <c r="G22" s="920"/>
      <c r="H22" s="869" t="s">
        <v>422</v>
      </c>
      <c r="I22" s="870"/>
    </row>
    <row r="23" spans="1:9" ht="21" customHeight="1" thickBot="1" x14ac:dyDescent="0.25">
      <c r="A23" s="1305" t="s">
        <v>447</v>
      </c>
      <c r="B23" s="1307" t="s">
        <v>448</v>
      </c>
      <c r="C23" s="1308"/>
      <c r="D23" s="1309">
        <v>120000</v>
      </c>
      <c r="E23" s="1310"/>
      <c r="F23" s="920"/>
      <c r="G23" s="920"/>
      <c r="H23" s="869" t="s">
        <v>422</v>
      </c>
      <c r="I23" s="870"/>
    </row>
    <row r="24" spans="1:9" ht="24" customHeight="1" thickBot="1" x14ac:dyDescent="0.25">
      <c r="A24" s="1319"/>
      <c r="B24" s="1307" t="s">
        <v>449</v>
      </c>
      <c r="C24" s="1308"/>
      <c r="D24" s="1309">
        <v>50000</v>
      </c>
      <c r="E24" s="1310"/>
      <c r="F24" s="920"/>
      <c r="G24" s="920"/>
      <c r="H24" s="869" t="s">
        <v>422</v>
      </c>
      <c r="I24" s="870"/>
    </row>
    <row r="25" spans="1:9" ht="25.5" customHeight="1" thickBot="1" x14ac:dyDescent="0.25">
      <c r="A25" s="1319"/>
      <c r="B25" s="1307" t="s">
        <v>450</v>
      </c>
      <c r="C25" s="1308"/>
      <c r="D25" s="1309">
        <v>800000</v>
      </c>
      <c r="E25" s="1310"/>
      <c r="F25" s="920"/>
      <c r="G25" s="920"/>
      <c r="H25" s="869" t="s">
        <v>422</v>
      </c>
      <c r="I25" s="870"/>
    </row>
    <row r="26" spans="1:9" ht="39" customHeight="1" thickBot="1" x14ac:dyDescent="0.25">
      <c r="A26" s="1319"/>
      <c r="B26" s="1307" t="s">
        <v>451</v>
      </c>
      <c r="C26" s="1308"/>
      <c r="D26" s="1309">
        <v>20000</v>
      </c>
      <c r="E26" s="1310"/>
      <c r="F26" s="920"/>
      <c r="G26" s="920"/>
      <c r="H26" s="869" t="s">
        <v>422</v>
      </c>
      <c r="I26" s="870"/>
    </row>
    <row r="27" spans="1:9" ht="27" customHeight="1" thickBot="1" x14ac:dyDescent="0.25">
      <c r="A27" s="1306"/>
      <c r="B27" s="1307" t="s">
        <v>452</v>
      </c>
      <c r="C27" s="1308"/>
      <c r="D27" s="1309">
        <v>50000</v>
      </c>
      <c r="E27" s="1310"/>
      <c r="F27" s="920"/>
      <c r="G27" s="920"/>
      <c r="H27" s="869" t="s">
        <v>422</v>
      </c>
      <c r="I27" s="870"/>
    </row>
    <row r="28" spans="1:9" ht="58.5" customHeight="1" thickBot="1" x14ac:dyDescent="0.25">
      <c r="A28" s="871" t="s">
        <v>453</v>
      </c>
      <c r="B28" s="1307" t="s">
        <v>454</v>
      </c>
      <c r="C28" s="1308"/>
      <c r="D28" s="1309">
        <v>400000</v>
      </c>
      <c r="E28" s="1310"/>
      <c r="F28" s="920"/>
      <c r="G28" s="920"/>
      <c r="H28" s="869" t="s">
        <v>422</v>
      </c>
      <c r="I28" s="872"/>
    </row>
    <row r="29" spans="1:9" ht="16.5" customHeight="1" thickBot="1" x14ac:dyDescent="0.25">
      <c r="A29" s="871" t="s">
        <v>455</v>
      </c>
      <c r="B29" s="1307"/>
      <c r="C29" s="1308"/>
      <c r="D29" s="1309">
        <v>50000</v>
      </c>
      <c r="E29" s="1310"/>
      <c r="F29" s="920"/>
      <c r="G29" s="920"/>
      <c r="H29" s="869" t="s">
        <v>422</v>
      </c>
      <c r="I29" s="870"/>
    </row>
    <row r="30" spans="1:9" ht="13.5" customHeight="1" thickBot="1" x14ac:dyDescent="0.25">
      <c r="A30" s="912" t="s">
        <v>456</v>
      </c>
      <c r="B30" s="1340"/>
      <c r="C30" s="1341"/>
      <c r="D30" s="1338">
        <f>SUM(D7:E29)</f>
        <v>3920148</v>
      </c>
      <c r="E30" s="1339"/>
      <c r="F30" s="1010"/>
      <c r="G30" s="1010"/>
      <c r="H30" s="913"/>
      <c r="I30" s="913"/>
    </row>
    <row r="31" spans="1:9" x14ac:dyDescent="0.2">
      <c r="A31" s="914" t="s">
        <v>786</v>
      </c>
      <c r="B31" s="1334"/>
      <c r="C31" s="1335"/>
      <c r="D31" s="1330">
        <v>2661593</v>
      </c>
      <c r="E31" s="1331"/>
      <c r="F31" s="922"/>
      <c r="G31" s="922"/>
      <c r="H31" s="915"/>
      <c r="I31" s="915"/>
    </row>
    <row r="32" spans="1:9" ht="12.75" thickBot="1" x14ac:dyDescent="0.25">
      <c r="A32" s="916" t="s">
        <v>787</v>
      </c>
      <c r="B32" s="1336"/>
      <c r="C32" s="1337"/>
      <c r="D32" s="1332">
        <f>D30-D31</f>
        <v>1258555</v>
      </c>
      <c r="E32" s="1333"/>
      <c r="F32" s="923"/>
      <c r="G32" s="923"/>
      <c r="H32" s="917"/>
      <c r="I32" s="917"/>
    </row>
    <row r="33" spans="1:1" x14ac:dyDescent="0.2">
      <c r="A33" s="874"/>
    </row>
  </sheetData>
  <mergeCells count="62">
    <mergeCell ref="D31:E31"/>
    <mergeCell ref="D32:E32"/>
    <mergeCell ref="B31:C31"/>
    <mergeCell ref="B32:C32"/>
    <mergeCell ref="D30:E30"/>
    <mergeCell ref="B30:C30"/>
    <mergeCell ref="B29:C29"/>
    <mergeCell ref="D29:E29"/>
    <mergeCell ref="D27:E27"/>
    <mergeCell ref="B28:C28"/>
    <mergeCell ref="D28:E28"/>
    <mergeCell ref="B22:C22"/>
    <mergeCell ref="D23:E23"/>
    <mergeCell ref="D22:E22"/>
    <mergeCell ref="B27:C27"/>
    <mergeCell ref="A23:A27"/>
    <mergeCell ref="B23:C23"/>
    <mergeCell ref="D26:E26"/>
    <mergeCell ref="B24:C24"/>
    <mergeCell ref="D24:E24"/>
    <mergeCell ref="B25:C25"/>
    <mergeCell ref="D25:E25"/>
    <mergeCell ref="B26:C26"/>
    <mergeCell ref="A1:I1"/>
    <mergeCell ref="A2:I2"/>
    <mergeCell ref="A3:I3"/>
    <mergeCell ref="A4:I4"/>
    <mergeCell ref="B21:C21"/>
    <mergeCell ref="D21:E21"/>
    <mergeCell ref="B18:C18"/>
    <mergeCell ref="D18:E18"/>
    <mergeCell ref="B19:C19"/>
    <mergeCell ref="D19:E19"/>
    <mergeCell ref="I13:I14"/>
    <mergeCell ref="B20:C20"/>
    <mergeCell ref="D20:E20"/>
    <mergeCell ref="B15:C15"/>
    <mergeCell ref="D15:E15"/>
    <mergeCell ref="B16:C16"/>
    <mergeCell ref="D16:E16"/>
    <mergeCell ref="B17:C17"/>
    <mergeCell ref="D17:E17"/>
    <mergeCell ref="H13:H14"/>
    <mergeCell ref="B12:C12"/>
    <mergeCell ref="D12:E12"/>
    <mergeCell ref="A13:A14"/>
    <mergeCell ref="B13:C13"/>
    <mergeCell ref="B14:C14"/>
    <mergeCell ref="D13:E14"/>
    <mergeCell ref="A9:A12"/>
    <mergeCell ref="B9:C9"/>
    <mergeCell ref="D9:E9"/>
    <mergeCell ref="B10:C10"/>
    <mergeCell ref="D10:E10"/>
    <mergeCell ref="B11:C11"/>
    <mergeCell ref="D11:E11"/>
    <mergeCell ref="D6:E6"/>
    <mergeCell ref="A7:A8"/>
    <mergeCell ref="B7:C7"/>
    <mergeCell ref="D7:E7"/>
    <mergeCell ref="B8:C8"/>
    <mergeCell ref="D8:E8"/>
  </mergeCells>
  <phoneticPr fontId="30" type="noConversion"/>
  <printOptions horizontalCentered="1"/>
  <pageMargins left="0.59055118110236227" right="0.59055118110236227" top="0.59055118110236227" bottom="0.43307086614173229" header="0.31496062992125984" footer="0.31496062992125984"/>
  <pageSetup paperSize="9" scale="84" orientation="portrait" r:id="rId1"/>
  <headerFooter>
    <oddHeader>&amp;R&amp;"Times New Roman CE,Félkövér"&amp;11 13. melléklet az 5/2014. (III.6.)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 tint="-0.249977111117893"/>
    <pageSetUpPr fitToPage="1"/>
  </sheetPr>
  <dimension ref="A1:J89"/>
  <sheetViews>
    <sheetView workbookViewId="0">
      <selection activeCell="B16" sqref="B16:B22"/>
    </sheetView>
  </sheetViews>
  <sheetFormatPr defaultColWidth="9.33203125" defaultRowHeight="12.75" x14ac:dyDescent="0.2"/>
  <cols>
    <col min="1" max="1" width="8.5" style="57" customWidth="1"/>
    <col min="2" max="2" width="5.83203125" style="57" customWidth="1"/>
    <col min="3" max="5" width="9.33203125" style="57"/>
    <col min="6" max="6" width="61.1640625" style="57" bestFit="1" customWidth="1"/>
    <col min="7" max="9" width="12.6640625" style="57" bestFit="1" customWidth="1"/>
    <col min="10" max="10" width="16.1640625" style="57" bestFit="1" customWidth="1"/>
    <col min="11" max="16384" width="9.33203125" style="57"/>
  </cols>
  <sheetData>
    <row r="1" spans="1:10" ht="32.25" customHeight="1" x14ac:dyDescent="0.2">
      <c r="A1" s="1342" t="s">
        <v>1121</v>
      </c>
      <c r="B1" s="1342"/>
      <c r="C1" s="1342"/>
      <c r="D1" s="1342"/>
      <c r="E1" s="1342"/>
      <c r="F1" s="1342"/>
      <c r="G1" s="1342"/>
      <c r="H1" s="1342"/>
      <c r="I1" s="1342"/>
      <c r="J1" s="1342"/>
    </row>
    <row r="2" spans="1:10" s="58" customFormat="1" ht="13.5" thickBot="1" x14ac:dyDescent="0.25">
      <c r="A2" s="712"/>
      <c r="B2" s="712"/>
      <c r="C2" s="712"/>
      <c r="D2" s="712"/>
      <c r="E2" s="712"/>
      <c r="F2" s="712"/>
      <c r="G2" s="713"/>
    </row>
    <row r="3" spans="1:10" s="59" customFormat="1" ht="39" thickBot="1" x14ac:dyDescent="0.25">
      <c r="A3" s="1343" t="s">
        <v>1159</v>
      </c>
      <c r="B3" s="1344"/>
      <c r="C3" s="1344"/>
      <c r="D3" s="1344"/>
      <c r="E3" s="1344"/>
      <c r="F3" s="1345"/>
      <c r="G3" s="732" t="s">
        <v>665</v>
      </c>
      <c r="H3" s="732" t="s">
        <v>1194</v>
      </c>
      <c r="I3" s="732" t="s">
        <v>1193</v>
      </c>
      <c r="J3" s="732" t="s">
        <v>1171</v>
      </c>
    </row>
    <row r="4" spans="1:10" ht="14.25" customHeight="1" thickBot="1" x14ac:dyDescent="0.25">
      <c r="A4" s="1346" t="s">
        <v>666</v>
      </c>
      <c r="B4" s="1350">
        <v>1</v>
      </c>
      <c r="C4" s="1352" t="s">
        <v>667</v>
      </c>
      <c r="D4" s="1353"/>
      <c r="E4" s="1353"/>
      <c r="F4" s="1354"/>
      <c r="G4" s="1117">
        <f>G10+G13</f>
        <v>51035884</v>
      </c>
      <c r="H4" s="1117">
        <f>H10+H13</f>
        <v>51035884</v>
      </c>
      <c r="I4" s="1117">
        <v>25517940</v>
      </c>
      <c r="J4" s="1011">
        <f>I4/H4</f>
        <v>0.4999999608118868</v>
      </c>
    </row>
    <row r="5" spans="1:10" hidden="1" x14ac:dyDescent="0.2">
      <c r="A5" s="1347"/>
      <c r="B5" s="1351"/>
      <c r="C5" s="1130" t="s">
        <v>668</v>
      </c>
      <c r="D5" s="1130"/>
      <c r="E5" s="1130"/>
      <c r="F5" s="1131" t="s">
        <v>669</v>
      </c>
      <c r="G5" s="724">
        <f>G6+G7</f>
        <v>38014000</v>
      </c>
      <c r="H5" s="724">
        <f>H6+H7</f>
        <v>38014000</v>
      </c>
      <c r="I5" s="724">
        <f>I6+I7</f>
        <v>38014000</v>
      </c>
      <c r="J5" s="1012">
        <f t="shared" ref="J5:J68" si="0">I5/H5</f>
        <v>1</v>
      </c>
    </row>
    <row r="6" spans="1:10" ht="25.5" hidden="1" x14ac:dyDescent="0.2">
      <c r="A6" s="1347"/>
      <c r="B6" s="1351"/>
      <c r="C6" s="1130"/>
      <c r="D6" s="1130" t="s">
        <v>670</v>
      </c>
      <c r="E6" s="1130"/>
      <c r="F6" s="1132" t="s">
        <v>671</v>
      </c>
      <c r="G6" s="725">
        <v>38014000</v>
      </c>
      <c r="H6" s="725">
        <v>38014000</v>
      </c>
      <c r="I6" s="725">
        <v>38014000</v>
      </c>
      <c r="J6" s="1013">
        <f t="shared" si="0"/>
        <v>1</v>
      </c>
    </row>
    <row r="7" spans="1:10" ht="25.5" hidden="1" x14ac:dyDescent="0.2">
      <c r="A7" s="1347"/>
      <c r="B7" s="1351"/>
      <c r="C7" s="1130"/>
      <c r="D7" s="1130" t="s">
        <v>672</v>
      </c>
      <c r="E7" s="1130"/>
      <c r="F7" s="1132" t="s">
        <v>673</v>
      </c>
      <c r="G7" s="725">
        <v>0</v>
      </c>
      <c r="H7" s="725">
        <v>0</v>
      </c>
      <c r="I7" s="725">
        <v>0</v>
      </c>
      <c r="J7" s="1013"/>
    </row>
    <row r="8" spans="1:10" hidden="1" x14ac:dyDescent="0.2">
      <c r="A8" s="1347"/>
      <c r="B8" s="1351"/>
      <c r="C8" s="1130" t="s">
        <v>674</v>
      </c>
      <c r="D8" s="1130"/>
      <c r="E8" s="1130"/>
      <c r="F8" s="1131" t="s">
        <v>675</v>
      </c>
      <c r="G8" s="724">
        <v>12448359</v>
      </c>
      <c r="H8" s="724">
        <v>12448359</v>
      </c>
      <c r="I8" s="724">
        <v>12448359</v>
      </c>
      <c r="J8" s="1012">
        <f t="shared" si="0"/>
        <v>1</v>
      </c>
    </row>
    <row r="9" spans="1:10" hidden="1" x14ac:dyDescent="0.2">
      <c r="A9" s="1347"/>
      <c r="B9" s="1351"/>
      <c r="C9" s="1130" t="s">
        <v>676</v>
      </c>
      <c r="D9" s="1130"/>
      <c r="E9" s="1130"/>
      <c r="F9" s="1131" t="s">
        <v>677</v>
      </c>
      <c r="G9" s="724">
        <v>8071875</v>
      </c>
      <c r="H9" s="724">
        <v>8071875</v>
      </c>
      <c r="I9" s="724">
        <v>8071875</v>
      </c>
      <c r="J9" s="1012">
        <f t="shared" si="0"/>
        <v>1</v>
      </c>
    </row>
    <row r="10" spans="1:10" hidden="1" x14ac:dyDescent="0.2">
      <c r="A10" s="1347"/>
      <c r="B10" s="1351"/>
      <c r="C10" s="1133" t="s">
        <v>678</v>
      </c>
      <c r="D10" s="1133"/>
      <c r="E10" s="1133"/>
      <c r="F10" s="1123" t="s">
        <v>679</v>
      </c>
      <c r="G10" s="1124">
        <f>G11+G12</f>
        <v>42390484</v>
      </c>
      <c r="H10" s="1124">
        <f>H11+H12</f>
        <v>42390484</v>
      </c>
      <c r="I10" s="1124">
        <f>I11+I12</f>
        <v>42390484</v>
      </c>
      <c r="J10" s="1125">
        <f t="shared" si="0"/>
        <v>1</v>
      </c>
    </row>
    <row r="11" spans="1:10" hidden="1" x14ac:dyDescent="0.2">
      <c r="A11" s="1347"/>
      <c r="B11" s="1351"/>
      <c r="C11" s="1126"/>
      <c r="D11" s="1126"/>
      <c r="E11" s="1126"/>
      <c r="F11" s="1127" t="s">
        <v>680</v>
      </c>
      <c r="G11" s="1128">
        <v>42390484</v>
      </c>
      <c r="H11" s="1128">
        <v>42390484</v>
      </c>
      <c r="I11" s="1128">
        <v>42390484</v>
      </c>
      <c r="J11" s="1129">
        <f t="shared" si="0"/>
        <v>1</v>
      </c>
    </row>
    <row r="12" spans="1:10" hidden="1" x14ac:dyDescent="0.2">
      <c r="A12" s="1347"/>
      <c r="B12" s="1351"/>
      <c r="C12" s="1126"/>
      <c r="D12" s="1126"/>
      <c r="E12" s="1126"/>
      <c r="F12" s="1127" t="s">
        <v>681</v>
      </c>
      <c r="G12" s="1128">
        <v>0</v>
      </c>
      <c r="H12" s="1128">
        <v>0</v>
      </c>
      <c r="I12" s="1128">
        <v>0</v>
      </c>
      <c r="J12" s="1129"/>
    </row>
    <row r="13" spans="1:10" hidden="1" x14ac:dyDescent="0.2">
      <c r="A13" s="1347"/>
      <c r="B13" s="1351"/>
      <c r="C13" s="1122" t="s">
        <v>682</v>
      </c>
      <c r="D13" s="1122"/>
      <c r="E13" s="1122"/>
      <c r="F13" s="1123" t="s">
        <v>683</v>
      </c>
      <c r="G13" s="1124">
        <v>8645400</v>
      </c>
      <c r="H13" s="1124">
        <v>8645400</v>
      </c>
      <c r="I13" s="1124">
        <v>8645400</v>
      </c>
      <c r="J13" s="1125">
        <f t="shared" si="0"/>
        <v>1</v>
      </c>
    </row>
    <row r="14" spans="1:10" ht="13.5" hidden="1" thickBot="1" x14ac:dyDescent="0.25">
      <c r="A14" s="1348"/>
      <c r="B14" s="738">
        <v>2</v>
      </c>
      <c r="C14" s="1355" t="s">
        <v>684</v>
      </c>
      <c r="D14" s="1356"/>
      <c r="E14" s="1356"/>
      <c r="F14" s="1357"/>
      <c r="G14" s="739">
        <v>0</v>
      </c>
      <c r="H14" s="739">
        <v>0</v>
      </c>
      <c r="I14" s="739">
        <v>0</v>
      </c>
      <c r="J14" s="1015"/>
    </row>
    <row r="15" spans="1:10" ht="24" customHeight="1" thickBot="1" x14ac:dyDescent="0.25">
      <c r="A15" s="1349"/>
      <c r="B15" s="1358" t="s">
        <v>685</v>
      </c>
      <c r="C15" s="1359"/>
      <c r="D15" s="1359"/>
      <c r="E15" s="1359"/>
      <c r="F15" s="1360"/>
      <c r="G15" s="740">
        <f>G4+G14</f>
        <v>51035884</v>
      </c>
      <c r="H15" s="740">
        <f>H4+H14</f>
        <v>51035884</v>
      </c>
      <c r="I15" s="740">
        <f>I4+I14</f>
        <v>25517940</v>
      </c>
      <c r="J15" s="1016">
        <f t="shared" si="0"/>
        <v>0.4999999608118868</v>
      </c>
    </row>
    <row r="16" spans="1:10" x14ac:dyDescent="0.2">
      <c r="A16" s="1361" t="s">
        <v>686</v>
      </c>
      <c r="B16" s="1371">
        <v>1</v>
      </c>
      <c r="C16" s="1372" t="s">
        <v>1215</v>
      </c>
      <c r="D16" s="1373"/>
      <c r="E16" s="1373"/>
      <c r="F16" s="1374"/>
      <c r="G16" s="1120">
        <f>G17+G20</f>
        <v>33648000</v>
      </c>
      <c r="H16" s="1120">
        <f>H17+H20+2631000</f>
        <v>36279000</v>
      </c>
      <c r="I16" s="1120">
        <v>16824000</v>
      </c>
      <c r="J16" s="1121">
        <f t="shared" si="0"/>
        <v>0.46373935334491029</v>
      </c>
    </row>
    <row r="17" spans="1:10" hidden="1" x14ac:dyDescent="0.2">
      <c r="A17" s="1362"/>
      <c r="B17" s="1365"/>
      <c r="C17" s="1122" t="s">
        <v>668</v>
      </c>
      <c r="D17" s="1122"/>
      <c r="E17" s="1122"/>
      <c r="F17" s="1123" t="s">
        <v>687</v>
      </c>
      <c r="G17" s="1124">
        <f>G18+G19</f>
        <v>25488000</v>
      </c>
      <c r="H17" s="1124">
        <f>H18+H19</f>
        <v>25488000</v>
      </c>
      <c r="I17" s="1124">
        <f>I18+I19</f>
        <v>25488000</v>
      </c>
      <c r="J17" s="1125">
        <f t="shared" si="0"/>
        <v>1</v>
      </c>
    </row>
    <row r="18" spans="1:10" hidden="1" x14ac:dyDescent="0.2">
      <c r="A18" s="1362"/>
      <c r="B18" s="1365"/>
      <c r="C18" s="1126"/>
      <c r="D18" s="1126"/>
      <c r="E18" s="1126"/>
      <c r="F18" s="1127" t="s">
        <v>688</v>
      </c>
      <c r="G18" s="1128">
        <v>16992000</v>
      </c>
      <c r="H18" s="1128">
        <v>16992000</v>
      </c>
      <c r="I18" s="1128">
        <v>16992000</v>
      </c>
      <c r="J18" s="1129">
        <f t="shared" si="0"/>
        <v>1</v>
      </c>
    </row>
    <row r="19" spans="1:10" hidden="1" x14ac:dyDescent="0.2">
      <c r="A19" s="1362"/>
      <c r="B19" s="1365"/>
      <c r="C19" s="1126"/>
      <c r="D19" s="1126"/>
      <c r="E19" s="1126"/>
      <c r="F19" s="1127" t="s">
        <v>689</v>
      </c>
      <c r="G19" s="1128">
        <v>8496000</v>
      </c>
      <c r="H19" s="1128">
        <v>8496000</v>
      </c>
      <c r="I19" s="1128">
        <v>8496000</v>
      </c>
      <c r="J19" s="1129">
        <f t="shared" si="0"/>
        <v>1</v>
      </c>
    </row>
    <row r="20" spans="1:10" ht="25.5" hidden="1" x14ac:dyDescent="0.2">
      <c r="A20" s="1362"/>
      <c r="B20" s="1365"/>
      <c r="C20" s="1122" t="s">
        <v>674</v>
      </c>
      <c r="D20" s="1122"/>
      <c r="E20" s="1122"/>
      <c r="F20" s="1123" t="s">
        <v>1218</v>
      </c>
      <c r="G20" s="1124">
        <f>G21+G22</f>
        <v>8160000</v>
      </c>
      <c r="H20" s="1124">
        <f>H21+H22</f>
        <v>8160000</v>
      </c>
      <c r="I20" s="1124">
        <f>I21+I22</f>
        <v>8160000</v>
      </c>
      <c r="J20" s="1125">
        <f t="shared" si="0"/>
        <v>1</v>
      </c>
    </row>
    <row r="21" spans="1:10" hidden="1" x14ac:dyDescent="0.2">
      <c r="A21" s="1362"/>
      <c r="B21" s="1365"/>
      <c r="C21" s="1126"/>
      <c r="D21" s="1126"/>
      <c r="E21" s="1126"/>
      <c r="F21" s="1127" t="s">
        <v>688</v>
      </c>
      <c r="G21" s="1128">
        <v>5440000</v>
      </c>
      <c r="H21" s="1128">
        <v>5440000</v>
      </c>
      <c r="I21" s="1128">
        <v>5440000</v>
      </c>
      <c r="J21" s="1129">
        <f t="shared" si="0"/>
        <v>1</v>
      </c>
    </row>
    <row r="22" spans="1:10" hidden="1" x14ac:dyDescent="0.2">
      <c r="A22" s="1362"/>
      <c r="B22" s="1365"/>
      <c r="C22" s="1126"/>
      <c r="D22" s="1126"/>
      <c r="E22" s="1126"/>
      <c r="F22" s="1127" t="s">
        <v>689</v>
      </c>
      <c r="G22" s="1128">
        <v>2720000</v>
      </c>
      <c r="H22" s="1128">
        <v>2720000</v>
      </c>
      <c r="I22" s="1128">
        <v>2720000</v>
      </c>
      <c r="J22" s="1129">
        <f t="shared" si="0"/>
        <v>1</v>
      </c>
    </row>
    <row r="23" spans="1:10" x14ac:dyDescent="0.2">
      <c r="A23" s="1362"/>
      <c r="B23" s="1365">
        <v>2</v>
      </c>
      <c r="C23" s="1366" t="s">
        <v>1216</v>
      </c>
      <c r="D23" s="1367"/>
      <c r="E23" s="1367"/>
      <c r="F23" s="1368"/>
      <c r="G23" s="1124">
        <f>G24+G25</f>
        <v>5400000</v>
      </c>
      <c r="H23" s="1124">
        <f>H24+H25</f>
        <v>5400000</v>
      </c>
      <c r="I23" s="1124">
        <v>2700000</v>
      </c>
      <c r="J23" s="1125">
        <f t="shared" si="0"/>
        <v>0.5</v>
      </c>
    </row>
    <row r="24" spans="1:10" s="60" customFormat="1" hidden="1" x14ac:dyDescent="0.2">
      <c r="A24" s="1362"/>
      <c r="B24" s="1365"/>
      <c r="C24" s="1126"/>
      <c r="D24" s="1126"/>
      <c r="E24" s="1126"/>
      <c r="F24" s="1127" t="s">
        <v>688</v>
      </c>
      <c r="G24" s="1128">
        <v>3600000</v>
      </c>
      <c r="H24" s="1128">
        <v>3600000</v>
      </c>
      <c r="I24" s="1128">
        <v>3600000</v>
      </c>
      <c r="J24" s="1129">
        <f t="shared" si="0"/>
        <v>1</v>
      </c>
    </row>
    <row r="25" spans="1:10" hidden="1" x14ac:dyDescent="0.2">
      <c r="A25" s="1362"/>
      <c r="B25" s="1365"/>
      <c r="C25" s="1126"/>
      <c r="D25" s="1126"/>
      <c r="E25" s="1126"/>
      <c r="F25" s="1127" t="s">
        <v>689</v>
      </c>
      <c r="G25" s="1128">
        <v>1800000</v>
      </c>
      <c r="H25" s="1128">
        <v>1800000</v>
      </c>
      <c r="I25" s="1128">
        <v>1800000</v>
      </c>
      <c r="J25" s="1129">
        <f t="shared" si="0"/>
        <v>1</v>
      </c>
    </row>
    <row r="26" spans="1:10" ht="13.5" thickBot="1" x14ac:dyDescent="0.25">
      <c r="A26" s="1362"/>
      <c r="B26" s="1365">
        <v>3</v>
      </c>
      <c r="C26" s="1366" t="s">
        <v>1217</v>
      </c>
      <c r="D26" s="1367"/>
      <c r="E26" s="1367"/>
      <c r="F26" s="1368"/>
      <c r="G26" s="1124">
        <f>G27+G28</f>
        <v>8160000</v>
      </c>
      <c r="H26" s="1124">
        <f>H27+H28</f>
        <v>8160000</v>
      </c>
      <c r="I26" s="1124">
        <v>4080000</v>
      </c>
      <c r="J26" s="1125">
        <f t="shared" si="0"/>
        <v>0.5</v>
      </c>
    </row>
    <row r="27" spans="1:10" ht="25.5" hidden="1" x14ac:dyDescent="0.2">
      <c r="A27" s="1362"/>
      <c r="B27" s="1365"/>
      <c r="C27" s="1122" t="s">
        <v>668</v>
      </c>
      <c r="D27" s="1122"/>
      <c r="E27" s="1122"/>
      <c r="F27" s="1123" t="s">
        <v>690</v>
      </c>
      <c r="G27" s="1124">
        <v>0</v>
      </c>
      <c r="H27" s="1124">
        <v>0</v>
      </c>
      <c r="I27" s="1124">
        <v>0</v>
      </c>
      <c r="J27" s="1125" t="e">
        <f t="shared" si="0"/>
        <v>#DIV/0!</v>
      </c>
    </row>
    <row r="28" spans="1:10" hidden="1" x14ac:dyDescent="0.2">
      <c r="A28" s="1362"/>
      <c r="B28" s="1365"/>
      <c r="C28" s="1122" t="s">
        <v>674</v>
      </c>
      <c r="D28" s="1122"/>
      <c r="E28" s="1122"/>
      <c r="F28" s="1123" t="s">
        <v>691</v>
      </c>
      <c r="G28" s="1124">
        <v>8160000</v>
      </c>
      <c r="H28" s="1124">
        <v>8160000</v>
      </c>
      <c r="I28" s="1124">
        <v>8160000</v>
      </c>
      <c r="J28" s="1125">
        <f t="shared" si="0"/>
        <v>1</v>
      </c>
    </row>
    <row r="29" spans="1:10" ht="13.5" hidden="1" thickBot="1" x14ac:dyDescent="0.25">
      <c r="A29" s="1363"/>
      <c r="B29" s="1369">
        <v>4</v>
      </c>
      <c r="C29" s="1375" t="s">
        <v>692</v>
      </c>
      <c r="D29" s="1376"/>
      <c r="E29" s="1376"/>
      <c r="F29" s="1377"/>
      <c r="G29" s="727">
        <f>G30+G31</f>
        <v>0</v>
      </c>
      <c r="H29" s="727">
        <f>H30+H31</f>
        <v>0</v>
      </c>
      <c r="I29" s="727">
        <f>I30+I31</f>
        <v>0</v>
      </c>
      <c r="J29" s="1017" t="e">
        <f t="shared" si="0"/>
        <v>#DIV/0!</v>
      </c>
    </row>
    <row r="30" spans="1:10" hidden="1" x14ac:dyDescent="0.2">
      <c r="A30" s="1363"/>
      <c r="B30" s="1369"/>
      <c r="C30" s="718"/>
      <c r="D30" s="715"/>
      <c r="E30" s="715"/>
      <c r="F30" s="716" t="s">
        <v>688</v>
      </c>
      <c r="G30" s="726">
        <v>0</v>
      </c>
      <c r="H30" s="726">
        <v>0</v>
      </c>
      <c r="I30" s="726">
        <v>0</v>
      </c>
      <c r="J30" s="1014" t="e">
        <f t="shared" si="0"/>
        <v>#DIV/0!</v>
      </c>
    </row>
    <row r="31" spans="1:10" ht="13.5" hidden="1" thickBot="1" x14ac:dyDescent="0.25">
      <c r="A31" s="1363"/>
      <c r="B31" s="1370"/>
      <c r="C31" s="741"/>
      <c r="D31" s="742"/>
      <c r="E31" s="742"/>
      <c r="F31" s="743" t="s">
        <v>689</v>
      </c>
      <c r="G31" s="744">
        <v>0</v>
      </c>
      <c r="H31" s="744">
        <v>0</v>
      </c>
      <c r="I31" s="744">
        <v>0</v>
      </c>
      <c r="J31" s="1018" t="e">
        <f t="shared" si="0"/>
        <v>#DIV/0!</v>
      </c>
    </row>
    <row r="32" spans="1:10" ht="28.5" customHeight="1" thickBot="1" x14ac:dyDescent="0.25">
      <c r="A32" s="1364"/>
      <c r="B32" s="1378" t="s">
        <v>693</v>
      </c>
      <c r="C32" s="1379"/>
      <c r="D32" s="1379"/>
      <c r="E32" s="1379"/>
      <c r="F32" s="1380"/>
      <c r="G32" s="740">
        <f>G16+G23+G26+G29</f>
        <v>47208000</v>
      </c>
      <c r="H32" s="740">
        <f>H16+H23+H26+H29</f>
        <v>49839000</v>
      </c>
      <c r="I32" s="740">
        <f>I16+I23+I26+I29</f>
        <v>23604000</v>
      </c>
      <c r="J32" s="1016">
        <f t="shared" si="0"/>
        <v>0.47360500812616624</v>
      </c>
    </row>
    <row r="33" spans="1:10" x14ac:dyDescent="0.2">
      <c r="A33" s="1361" t="s">
        <v>694</v>
      </c>
      <c r="B33" s="1136">
        <v>2</v>
      </c>
      <c r="C33" s="1372" t="s">
        <v>547</v>
      </c>
      <c r="D33" s="1373"/>
      <c r="E33" s="1373"/>
      <c r="F33" s="1374"/>
      <c r="G33" s="1120">
        <v>5246099</v>
      </c>
      <c r="H33" s="1120">
        <v>5246099</v>
      </c>
      <c r="I33" s="1120">
        <v>2623050</v>
      </c>
      <c r="J33" s="1121">
        <f t="shared" si="0"/>
        <v>0.50000009530891432</v>
      </c>
    </row>
    <row r="34" spans="1:10" ht="13.5" thickBot="1" x14ac:dyDescent="0.25">
      <c r="A34" s="1362"/>
      <c r="B34" s="1365">
        <v>3</v>
      </c>
      <c r="C34" s="1366" t="s">
        <v>695</v>
      </c>
      <c r="D34" s="1367"/>
      <c r="E34" s="1367"/>
      <c r="F34" s="1368"/>
      <c r="G34" s="1124">
        <f>SUM(G35:G46)</f>
        <v>0</v>
      </c>
      <c r="H34" s="1124">
        <v>1214196</v>
      </c>
      <c r="I34" s="1124">
        <f>SUM(I35:I46)</f>
        <v>0</v>
      </c>
      <c r="J34" s="1125">
        <f t="shared" si="0"/>
        <v>0</v>
      </c>
    </row>
    <row r="35" spans="1:10" hidden="1" x14ac:dyDescent="0.2">
      <c r="A35" s="1362"/>
      <c r="B35" s="1365"/>
      <c r="C35" s="1122" t="s">
        <v>668</v>
      </c>
      <c r="D35" s="1122"/>
      <c r="E35" s="1122"/>
      <c r="F35" s="1123" t="s">
        <v>696</v>
      </c>
      <c r="G35" s="1124">
        <v>0</v>
      </c>
      <c r="H35" s="1124">
        <v>0</v>
      </c>
      <c r="I35" s="1124">
        <v>0</v>
      </c>
      <c r="J35" s="1125" t="e">
        <f t="shared" si="0"/>
        <v>#DIV/0!</v>
      </c>
    </row>
    <row r="36" spans="1:10" hidden="1" x14ac:dyDescent="0.2">
      <c r="A36" s="1362"/>
      <c r="B36" s="1365"/>
      <c r="C36" s="1122" t="s">
        <v>674</v>
      </c>
      <c r="D36" s="1122"/>
      <c r="E36" s="1122"/>
      <c r="F36" s="1123" t="s">
        <v>697</v>
      </c>
      <c r="G36" s="1124">
        <v>0</v>
      </c>
      <c r="H36" s="1124">
        <v>0</v>
      </c>
      <c r="I36" s="1124">
        <v>0</v>
      </c>
      <c r="J36" s="1125" t="e">
        <f t="shared" si="0"/>
        <v>#DIV/0!</v>
      </c>
    </row>
    <row r="37" spans="1:10" hidden="1" x14ac:dyDescent="0.2">
      <c r="A37" s="1362"/>
      <c r="B37" s="1365"/>
      <c r="C37" s="1122" t="s">
        <v>676</v>
      </c>
      <c r="D37" s="1122"/>
      <c r="E37" s="1122"/>
      <c r="F37" s="1123" t="s">
        <v>698</v>
      </c>
      <c r="G37" s="1124">
        <v>0</v>
      </c>
      <c r="H37" s="1124">
        <v>0</v>
      </c>
      <c r="I37" s="1124">
        <v>0</v>
      </c>
      <c r="J37" s="1125" t="e">
        <f t="shared" si="0"/>
        <v>#DIV/0!</v>
      </c>
    </row>
    <row r="38" spans="1:10" hidden="1" x14ac:dyDescent="0.2">
      <c r="A38" s="1362"/>
      <c r="B38" s="1365"/>
      <c r="C38" s="1122" t="s">
        <v>682</v>
      </c>
      <c r="D38" s="1122"/>
      <c r="E38" s="1122"/>
      <c r="F38" s="1123" t="s">
        <v>699</v>
      </c>
      <c r="G38" s="1124">
        <v>0</v>
      </c>
      <c r="H38" s="1124">
        <v>0</v>
      </c>
      <c r="I38" s="1124">
        <v>0</v>
      </c>
      <c r="J38" s="1125" t="e">
        <f t="shared" si="0"/>
        <v>#DIV/0!</v>
      </c>
    </row>
    <row r="39" spans="1:10" hidden="1" x14ac:dyDescent="0.2">
      <c r="A39" s="1362"/>
      <c r="B39" s="1365"/>
      <c r="C39" s="1122" t="s">
        <v>700</v>
      </c>
      <c r="D39" s="1122"/>
      <c r="E39" s="1122"/>
      <c r="F39" s="1123" t="s">
        <v>701</v>
      </c>
      <c r="G39" s="1134">
        <v>0</v>
      </c>
      <c r="H39" s="1134">
        <v>0</v>
      </c>
      <c r="I39" s="1134">
        <v>0</v>
      </c>
      <c r="J39" s="1135" t="e">
        <f t="shared" si="0"/>
        <v>#DIV/0!</v>
      </c>
    </row>
    <row r="40" spans="1:10" hidden="1" x14ac:dyDescent="0.2">
      <c r="A40" s="1362"/>
      <c r="B40" s="1365"/>
      <c r="C40" s="1122" t="s">
        <v>702</v>
      </c>
      <c r="D40" s="1122"/>
      <c r="E40" s="1122"/>
      <c r="F40" s="1123" t="s">
        <v>703</v>
      </c>
      <c r="G40" s="1134">
        <v>0</v>
      </c>
      <c r="H40" s="1134">
        <v>0</v>
      </c>
      <c r="I40" s="1134">
        <v>0</v>
      </c>
      <c r="J40" s="1135" t="e">
        <f t="shared" si="0"/>
        <v>#DIV/0!</v>
      </c>
    </row>
    <row r="41" spans="1:10" hidden="1" x14ac:dyDescent="0.2">
      <c r="A41" s="1362"/>
      <c r="B41" s="1365"/>
      <c r="C41" s="1122" t="s">
        <v>704</v>
      </c>
      <c r="D41" s="1122"/>
      <c r="E41" s="1122"/>
      <c r="F41" s="1123" t="s">
        <v>705</v>
      </c>
      <c r="G41" s="1134">
        <v>0</v>
      </c>
      <c r="H41" s="1134">
        <v>0</v>
      </c>
      <c r="I41" s="1134">
        <v>0</v>
      </c>
      <c r="J41" s="1135" t="e">
        <f t="shared" si="0"/>
        <v>#DIV/0!</v>
      </c>
    </row>
    <row r="42" spans="1:10" hidden="1" x14ac:dyDescent="0.2">
      <c r="A42" s="1362"/>
      <c r="B42" s="1365"/>
      <c r="C42" s="1122" t="s">
        <v>706</v>
      </c>
      <c r="D42" s="1122"/>
      <c r="E42" s="1122"/>
      <c r="F42" s="1123" t="s">
        <v>707</v>
      </c>
      <c r="G42" s="1134">
        <v>0</v>
      </c>
      <c r="H42" s="1134">
        <v>0</v>
      </c>
      <c r="I42" s="1134">
        <v>0</v>
      </c>
      <c r="J42" s="1135" t="e">
        <f t="shared" si="0"/>
        <v>#DIV/0!</v>
      </c>
    </row>
    <row r="43" spans="1:10" hidden="1" x14ac:dyDescent="0.2">
      <c r="A43" s="1362"/>
      <c r="B43" s="1365"/>
      <c r="C43" s="1122" t="s">
        <v>708</v>
      </c>
      <c r="D43" s="1122"/>
      <c r="E43" s="1122"/>
      <c r="F43" s="1123" t="s">
        <v>709</v>
      </c>
      <c r="G43" s="1134">
        <v>0</v>
      </c>
      <c r="H43" s="1134">
        <v>0</v>
      </c>
      <c r="I43" s="1134">
        <v>0</v>
      </c>
      <c r="J43" s="1135" t="e">
        <f t="shared" si="0"/>
        <v>#DIV/0!</v>
      </c>
    </row>
    <row r="44" spans="1:10" hidden="1" x14ac:dyDescent="0.2">
      <c r="A44" s="1362"/>
      <c r="B44" s="1365"/>
      <c r="C44" s="1122" t="s">
        <v>710</v>
      </c>
      <c r="D44" s="1122"/>
      <c r="E44" s="1122"/>
      <c r="F44" s="1123" t="s">
        <v>711</v>
      </c>
      <c r="G44" s="1134">
        <v>0</v>
      </c>
      <c r="H44" s="1134">
        <v>0</v>
      </c>
      <c r="I44" s="1134">
        <v>0</v>
      </c>
      <c r="J44" s="1135" t="e">
        <f t="shared" si="0"/>
        <v>#DIV/0!</v>
      </c>
    </row>
    <row r="45" spans="1:10" hidden="1" x14ac:dyDescent="0.2">
      <c r="A45" s="1362"/>
      <c r="B45" s="1365"/>
      <c r="C45" s="1122" t="s">
        <v>712</v>
      </c>
      <c r="D45" s="1122"/>
      <c r="E45" s="1122"/>
      <c r="F45" s="1123" t="s">
        <v>713</v>
      </c>
      <c r="G45" s="1134">
        <v>0</v>
      </c>
      <c r="H45" s="1134">
        <v>0</v>
      </c>
      <c r="I45" s="1134">
        <v>0</v>
      </c>
      <c r="J45" s="1135" t="e">
        <f t="shared" si="0"/>
        <v>#DIV/0!</v>
      </c>
    </row>
    <row r="46" spans="1:10" hidden="1" x14ac:dyDescent="0.2">
      <c r="A46" s="1362"/>
      <c r="B46" s="1365"/>
      <c r="C46" s="1122" t="s">
        <v>714</v>
      </c>
      <c r="D46" s="1122"/>
      <c r="E46" s="1122"/>
      <c r="F46" s="1123" t="s">
        <v>715</v>
      </c>
      <c r="G46" s="1134">
        <v>0</v>
      </c>
      <c r="H46" s="1134">
        <v>0</v>
      </c>
      <c r="I46" s="1134">
        <v>0</v>
      </c>
      <c r="J46" s="1135" t="e">
        <f t="shared" si="0"/>
        <v>#DIV/0!</v>
      </c>
    </row>
    <row r="47" spans="1:10" ht="13.5" hidden="1" thickBot="1" x14ac:dyDescent="0.25">
      <c r="A47" s="1363"/>
      <c r="B47" s="1396">
        <v>4</v>
      </c>
      <c r="C47" s="1375" t="s">
        <v>716</v>
      </c>
      <c r="D47" s="1376"/>
      <c r="E47" s="1376"/>
      <c r="F47" s="1377"/>
      <c r="G47" s="729">
        <f>G48+G49</f>
        <v>0</v>
      </c>
      <c r="H47" s="729">
        <f>H48+H49</f>
        <v>0</v>
      </c>
      <c r="I47" s="729">
        <f>I48+I49</f>
        <v>0</v>
      </c>
      <c r="J47" s="1020" t="e">
        <f t="shared" si="0"/>
        <v>#DIV/0!</v>
      </c>
    </row>
    <row r="48" spans="1:10" ht="25.5" hidden="1" x14ac:dyDescent="0.2">
      <c r="A48" s="1363"/>
      <c r="B48" s="1396"/>
      <c r="C48" s="717" t="s">
        <v>668</v>
      </c>
      <c r="D48" s="717"/>
      <c r="E48" s="717"/>
      <c r="F48" s="714" t="s">
        <v>717</v>
      </c>
      <c r="G48" s="728">
        <v>0</v>
      </c>
      <c r="H48" s="728">
        <v>0</v>
      </c>
      <c r="I48" s="728">
        <v>0</v>
      </c>
      <c r="J48" s="1019" t="e">
        <f t="shared" si="0"/>
        <v>#DIV/0!</v>
      </c>
    </row>
    <row r="49" spans="1:10" ht="13.5" hidden="1" thickBot="1" x14ac:dyDescent="0.25">
      <c r="A49" s="1363"/>
      <c r="B49" s="1396"/>
      <c r="C49" s="745" t="s">
        <v>674</v>
      </c>
      <c r="D49" s="745"/>
      <c r="E49" s="745"/>
      <c r="F49" s="746" t="s">
        <v>718</v>
      </c>
      <c r="G49" s="747">
        <v>0</v>
      </c>
      <c r="H49" s="747">
        <v>0</v>
      </c>
      <c r="I49" s="747">
        <v>0</v>
      </c>
      <c r="J49" s="1021" t="e">
        <f t="shared" si="0"/>
        <v>#DIV/0!</v>
      </c>
    </row>
    <row r="50" spans="1:10" ht="39" customHeight="1" thickBot="1" x14ac:dyDescent="0.25">
      <c r="A50" s="1364"/>
      <c r="B50" s="1378" t="s">
        <v>719</v>
      </c>
      <c r="C50" s="1379"/>
      <c r="D50" s="1379"/>
      <c r="E50" s="1379"/>
      <c r="F50" s="1380"/>
      <c r="G50" s="748">
        <f>G33+G34+G47</f>
        <v>5246099</v>
      </c>
      <c r="H50" s="748">
        <f>H33+H34+H47</f>
        <v>6460295</v>
      </c>
      <c r="I50" s="748">
        <f>I33+I34+I47</f>
        <v>2623050</v>
      </c>
      <c r="J50" s="1022">
        <f t="shared" si="0"/>
        <v>0.40602635018989069</v>
      </c>
    </row>
    <row r="51" spans="1:10" ht="13.5" thickBot="1" x14ac:dyDescent="0.25">
      <c r="A51" s="1361" t="s">
        <v>720</v>
      </c>
      <c r="B51" s="1390">
        <v>1</v>
      </c>
      <c r="C51" s="1392" t="s">
        <v>724</v>
      </c>
      <c r="D51" s="1393"/>
      <c r="E51" s="1393"/>
      <c r="F51" s="1394"/>
      <c r="G51" s="1137">
        <f>SUM(G52:G59)</f>
        <v>3650280</v>
      </c>
      <c r="H51" s="1137">
        <f>SUM(H52:H59)</f>
        <v>3650280</v>
      </c>
      <c r="I51" s="1137">
        <f>SUM(I52:I59)</f>
        <v>1825138</v>
      </c>
      <c r="J51" s="1138">
        <f t="shared" si="0"/>
        <v>0.49999945209682545</v>
      </c>
    </row>
    <row r="52" spans="1:10" hidden="1" x14ac:dyDescent="0.2">
      <c r="A52" s="1362"/>
      <c r="B52" s="1391"/>
      <c r="C52" s="1119" t="s">
        <v>668</v>
      </c>
      <c r="D52" s="1119"/>
      <c r="E52" s="1119"/>
      <c r="F52" s="1118" t="s">
        <v>725</v>
      </c>
      <c r="G52" s="1139">
        <v>0</v>
      </c>
      <c r="H52" s="1139">
        <v>0</v>
      </c>
      <c r="I52" s="1139">
        <v>0</v>
      </c>
      <c r="J52" s="1140" t="e">
        <f t="shared" si="0"/>
        <v>#DIV/0!</v>
      </c>
    </row>
    <row r="53" spans="1:10" hidden="1" x14ac:dyDescent="0.2">
      <c r="A53" s="1362"/>
      <c r="B53" s="1391"/>
      <c r="C53" s="1119" t="s">
        <v>674</v>
      </c>
      <c r="D53" s="1119"/>
      <c r="E53" s="1119"/>
      <c r="F53" s="1118" t="s">
        <v>726</v>
      </c>
      <c r="G53" s="1139">
        <v>0</v>
      </c>
      <c r="H53" s="1139">
        <v>0</v>
      </c>
      <c r="I53" s="1139">
        <v>0</v>
      </c>
      <c r="J53" s="1140" t="e">
        <f t="shared" si="0"/>
        <v>#DIV/0!</v>
      </c>
    </row>
    <row r="54" spans="1:10" ht="25.5" hidden="1" x14ac:dyDescent="0.2">
      <c r="A54" s="1362"/>
      <c r="B54" s="1391"/>
      <c r="C54" s="1119" t="s">
        <v>676</v>
      </c>
      <c r="D54" s="1119"/>
      <c r="E54" s="1119"/>
      <c r="F54" s="1118" t="s">
        <v>727</v>
      </c>
      <c r="G54" s="1139">
        <v>0</v>
      </c>
      <c r="H54" s="1139">
        <v>0</v>
      </c>
      <c r="I54" s="1139">
        <v>0</v>
      </c>
      <c r="J54" s="1140" t="e">
        <f t="shared" si="0"/>
        <v>#DIV/0!</v>
      </c>
    </row>
    <row r="55" spans="1:10" ht="25.5" hidden="1" x14ac:dyDescent="0.2">
      <c r="A55" s="1362"/>
      <c r="B55" s="1391"/>
      <c r="C55" s="1119" t="s">
        <v>682</v>
      </c>
      <c r="D55" s="1119"/>
      <c r="E55" s="1119"/>
      <c r="F55" s="1118" t="s">
        <v>728</v>
      </c>
      <c r="G55" s="1139">
        <v>3650280</v>
      </c>
      <c r="H55" s="1139">
        <v>3650280</v>
      </c>
      <c r="I55" s="1027">
        <v>1825138</v>
      </c>
      <c r="J55" s="1140">
        <f t="shared" si="0"/>
        <v>0.49999945209682545</v>
      </c>
    </row>
    <row r="56" spans="1:10" ht="25.5" hidden="1" x14ac:dyDescent="0.2">
      <c r="A56" s="1362"/>
      <c r="B56" s="1391"/>
      <c r="C56" s="1119" t="s">
        <v>700</v>
      </c>
      <c r="D56" s="1119"/>
      <c r="E56" s="1119"/>
      <c r="F56" s="1118" t="s">
        <v>729</v>
      </c>
      <c r="G56" s="1139">
        <v>0</v>
      </c>
      <c r="H56" s="1139">
        <v>0</v>
      </c>
      <c r="I56" s="1139">
        <v>0</v>
      </c>
      <c r="J56" s="1140" t="e">
        <f t="shared" si="0"/>
        <v>#DIV/0!</v>
      </c>
    </row>
    <row r="57" spans="1:10" ht="25.5" hidden="1" x14ac:dyDescent="0.2">
      <c r="A57" s="1362"/>
      <c r="B57" s="1391"/>
      <c r="C57" s="1119" t="s">
        <v>702</v>
      </c>
      <c r="D57" s="1119"/>
      <c r="E57" s="1119"/>
      <c r="F57" s="1118" t="s">
        <v>730</v>
      </c>
      <c r="G57" s="1139">
        <v>0</v>
      </c>
      <c r="H57" s="1139">
        <v>0</v>
      </c>
      <c r="I57" s="1139">
        <v>0</v>
      </c>
      <c r="J57" s="1140" t="e">
        <f t="shared" si="0"/>
        <v>#DIV/0!</v>
      </c>
    </row>
    <row r="58" spans="1:10" hidden="1" x14ac:dyDescent="0.2">
      <c r="A58" s="1362"/>
      <c r="B58" s="1391"/>
      <c r="C58" s="1119" t="s">
        <v>704</v>
      </c>
      <c r="D58" s="1119"/>
      <c r="E58" s="1119"/>
      <c r="F58" s="1118" t="s">
        <v>731</v>
      </c>
      <c r="G58" s="1139">
        <v>0</v>
      </c>
      <c r="H58" s="1139">
        <v>0</v>
      </c>
      <c r="I58" s="1139">
        <v>0</v>
      </c>
      <c r="J58" s="1140" t="e">
        <f t="shared" si="0"/>
        <v>#DIV/0!</v>
      </c>
    </row>
    <row r="59" spans="1:10" ht="25.5" hidden="1" x14ac:dyDescent="0.2">
      <c r="A59" s="1362"/>
      <c r="B59" s="1391"/>
      <c r="C59" s="1119" t="s">
        <v>706</v>
      </c>
      <c r="D59" s="1119"/>
      <c r="E59" s="1119"/>
      <c r="F59" s="1118" t="s">
        <v>732</v>
      </c>
      <c r="G59" s="1139">
        <v>0</v>
      </c>
      <c r="H59" s="1139">
        <v>0</v>
      </c>
      <c r="I59" s="1139">
        <v>0</v>
      </c>
      <c r="J59" s="1140" t="e">
        <f t="shared" si="0"/>
        <v>#DIV/0!</v>
      </c>
    </row>
    <row r="60" spans="1:10" hidden="1" x14ac:dyDescent="0.2">
      <c r="A60" s="1363"/>
      <c r="B60" s="1369">
        <v>2</v>
      </c>
      <c r="C60" s="1375" t="s">
        <v>733</v>
      </c>
      <c r="D60" s="1376"/>
      <c r="E60" s="1376"/>
      <c r="F60" s="1377"/>
      <c r="G60" s="729">
        <f>G61+G68+G73</f>
        <v>0</v>
      </c>
      <c r="H60" s="729">
        <f>H61+H68+H73</f>
        <v>0</v>
      </c>
      <c r="I60" s="729">
        <f>I61+I68+I73</f>
        <v>0</v>
      </c>
      <c r="J60" s="1020" t="e">
        <f t="shared" si="0"/>
        <v>#DIV/0!</v>
      </c>
    </row>
    <row r="61" spans="1:10" hidden="1" x14ac:dyDescent="0.2">
      <c r="A61" s="1363"/>
      <c r="B61" s="1369"/>
      <c r="C61" s="717" t="s">
        <v>668</v>
      </c>
      <c r="D61" s="717"/>
      <c r="E61" s="717"/>
      <c r="F61" s="714" t="s">
        <v>734</v>
      </c>
      <c r="G61" s="728">
        <f>G62+G65</f>
        <v>0</v>
      </c>
      <c r="H61" s="728">
        <f>H62+H65</f>
        <v>0</v>
      </c>
      <c r="I61" s="728">
        <f>I62+I65</f>
        <v>0</v>
      </c>
      <c r="J61" s="1019" t="e">
        <f t="shared" si="0"/>
        <v>#DIV/0!</v>
      </c>
    </row>
    <row r="62" spans="1:10" ht="25.5" hidden="1" x14ac:dyDescent="0.2">
      <c r="A62" s="1363"/>
      <c r="B62" s="1369"/>
      <c r="C62" s="717"/>
      <c r="D62" s="717" t="s">
        <v>670</v>
      </c>
      <c r="E62" s="717"/>
      <c r="F62" s="719" t="s">
        <v>735</v>
      </c>
      <c r="G62" s="730">
        <f>G63+G64</f>
        <v>0</v>
      </c>
      <c r="H62" s="730">
        <f>H63+H64</f>
        <v>0</v>
      </c>
      <c r="I62" s="730">
        <f>I63+I64</f>
        <v>0</v>
      </c>
      <c r="J62" s="1023" t="e">
        <f t="shared" si="0"/>
        <v>#DIV/0!</v>
      </c>
    </row>
    <row r="63" spans="1:10" ht="25.5" hidden="1" x14ac:dyDescent="0.2">
      <c r="A63" s="1363"/>
      <c r="B63" s="1369"/>
      <c r="C63" s="717"/>
      <c r="D63" s="717"/>
      <c r="E63" s="717" t="s">
        <v>736</v>
      </c>
      <c r="F63" s="720" t="s">
        <v>737</v>
      </c>
      <c r="G63" s="730">
        <v>0</v>
      </c>
      <c r="H63" s="730">
        <v>0</v>
      </c>
      <c r="I63" s="730">
        <v>0</v>
      </c>
      <c r="J63" s="1023" t="e">
        <f t="shared" si="0"/>
        <v>#DIV/0!</v>
      </c>
    </row>
    <row r="64" spans="1:10" ht="25.5" hidden="1" x14ac:dyDescent="0.2">
      <c r="A64" s="1363"/>
      <c r="B64" s="1369"/>
      <c r="C64" s="717"/>
      <c r="D64" s="717"/>
      <c r="E64" s="717" t="s">
        <v>738</v>
      </c>
      <c r="F64" s="720" t="s">
        <v>739</v>
      </c>
      <c r="G64" s="730">
        <v>0</v>
      </c>
      <c r="H64" s="730">
        <v>0</v>
      </c>
      <c r="I64" s="730">
        <v>0</v>
      </c>
      <c r="J64" s="1023" t="e">
        <f t="shared" si="0"/>
        <v>#DIV/0!</v>
      </c>
    </row>
    <row r="65" spans="1:10" ht="25.5" hidden="1" x14ac:dyDescent="0.2">
      <c r="A65" s="1363"/>
      <c r="B65" s="1369"/>
      <c r="C65" s="717"/>
      <c r="D65" s="717" t="s">
        <v>672</v>
      </c>
      <c r="E65" s="717"/>
      <c r="F65" s="719" t="s">
        <v>740</v>
      </c>
      <c r="G65" s="730">
        <f>G66+G67</f>
        <v>0</v>
      </c>
      <c r="H65" s="730">
        <f>H66+H67</f>
        <v>0</v>
      </c>
      <c r="I65" s="730">
        <f>I66+I67</f>
        <v>0</v>
      </c>
      <c r="J65" s="1023" t="e">
        <f t="shared" si="0"/>
        <v>#DIV/0!</v>
      </c>
    </row>
    <row r="66" spans="1:10" ht="25.5" hidden="1" x14ac:dyDescent="0.2">
      <c r="A66" s="1363"/>
      <c r="B66" s="1369"/>
      <c r="C66" s="717"/>
      <c r="D66" s="717"/>
      <c r="E66" s="717" t="s">
        <v>741</v>
      </c>
      <c r="F66" s="720" t="s">
        <v>742</v>
      </c>
      <c r="G66" s="730">
        <v>0</v>
      </c>
      <c r="H66" s="730">
        <v>0</v>
      </c>
      <c r="I66" s="730">
        <v>0</v>
      </c>
      <c r="J66" s="1023" t="e">
        <f t="shared" si="0"/>
        <v>#DIV/0!</v>
      </c>
    </row>
    <row r="67" spans="1:10" ht="25.5" hidden="1" x14ac:dyDescent="0.2">
      <c r="A67" s="1363"/>
      <c r="B67" s="1369"/>
      <c r="C67" s="717"/>
      <c r="D67" s="717"/>
      <c r="E67" s="717" t="s">
        <v>743</v>
      </c>
      <c r="F67" s="720" t="s">
        <v>744</v>
      </c>
      <c r="G67" s="730">
        <v>0</v>
      </c>
      <c r="H67" s="730">
        <v>0</v>
      </c>
      <c r="I67" s="730">
        <v>0</v>
      </c>
      <c r="J67" s="1023" t="e">
        <f t="shared" si="0"/>
        <v>#DIV/0!</v>
      </c>
    </row>
    <row r="68" spans="1:10" hidden="1" x14ac:dyDescent="0.2">
      <c r="A68" s="1363"/>
      <c r="B68" s="1369"/>
      <c r="C68" s="717" t="s">
        <v>674</v>
      </c>
      <c r="D68" s="717"/>
      <c r="E68" s="717"/>
      <c r="F68" s="714" t="s">
        <v>745</v>
      </c>
      <c r="G68" s="728">
        <f>SUM(G69:G72)</f>
        <v>0</v>
      </c>
      <c r="H68" s="728">
        <f>SUM(H69:H72)</f>
        <v>0</v>
      </c>
      <c r="I68" s="728">
        <f>SUM(I69:I72)</f>
        <v>0</v>
      </c>
      <c r="J68" s="1019" t="e">
        <f t="shared" si="0"/>
        <v>#DIV/0!</v>
      </c>
    </row>
    <row r="69" spans="1:10" ht="25.5" hidden="1" x14ac:dyDescent="0.2">
      <c r="A69" s="1363"/>
      <c r="B69" s="1369"/>
      <c r="C69" s="717"/>
      <c r="D69" s="717" t="s">
        <v>746</v>
      </c>
      <c r="E69" s="717"/>
      <c r="F69" s="719" t="s">
        <v>747</v>
      </c>
      <c r="G69" s="730">
        <v>0</v>
      </c>
      <c r="H69" s="730">
        <v>0</v>
      </c>
      <c r="I69" s="730">
        <v>0</v>
      </c>
      <c r="J69" s="1023" t="e">
        <f t="shared" ref="J69:J82" si="1">I69/H69</f>
        <v>#DIV/0!</v>
      </c>
    </row>
    <row r="70" spans="1:10" ht="25.5" hidden="1" x14ac:dyDescent="0.2">
      <c r="A70" s="1363"/>
      <c r="B70" s="1369"/>
      <c r="C70" s="717"/>
      <c r="D70" s="717" t="s">
        <v>748</v>
      </c>
      <c r="E70" s="717"/>
      <c r="F70" s="719" t="s">
        <v>749</v>
      </c>
      <c r="G70" s="730">
        <v>0</v>
      </c>
      <c r="H70" s="730">
        <v>0</v>
      </c>
      <c r="I70" s="730">
        <v>0</v>
      </c>
      <c r="J70" s="1023" t="e">
        <f t="shared" si="1"/>
        <v>#DIV/0!</v>
      </c>
    </row>
    <row r="71" spans="1:10" ht="25.5" hidden="1" x14ac:dyDescent="0.2">
      <c r="A71" s="1363"/>
      <c r="B71" s="1369"/>
      <c r="C71" s="717"/>
      <c r="D71" s="717" t="s">
        <v>750</v>
      </c>
      <c r="E71" s="717"/>
      <c r="F71" s="719" t="s">
        <v>751</v>
      </c>
      <c r="G71" s="730">
        <v>0</v>
      </c>
      <c r="H71" s="730">
        <v>0</v>
      </c>
      <c r="I71" s="730">
        <v>0</v>
      </c>
      <c r="J71" s="1023" t="e">
        <f t="shared" si="1"/>
        <v>#DIV/0!</v>
      </c>
    </row>
    <row r="72" spans="1:10" ht="25.5" hidden="1" x14ac:dyDescent="0.2">
      <c r="A72" s="1363"/>
      <c r="B72" s="1369"/>
      <c r="C72" s="717"/>
      <c r="D72" s="717" t="s">
        <v>752</v>
      </c>
      <c r="E72" s="717"/>
      <c r="F72" s="719" t="s">
        <v>753</v>
      </c>
      <c r="G72" s="730">
        <v>0</v>
      </c>
      <c r="H72" s="730">
        <v>0</v>
      </c>
      <c r="I72" s="730">
        <v>0</v>
      </c>
      <c r="J72" s="1023" t="e">
        <f t="shared" si="1"/>
        <v>#DIV/0!</v>
      </c>
    </row>
    <row r="73" spans="1:10" hidden="1" x14ac:dyDescent="0.2">
      <c r="A73" s="1363"/>
      <c r="B73" s="1369"/>
      <c r="C73" s="717" t="s">
        <v>676</v>
      </c>
      <c r="D73" s="717"/>
      <c r="E73" s="717"/>
      <c r="F73" s="714" t="s">
        <v>754</v>
      </c>
      <c r="G73" s="728">
        <f>G74+G77</f>
        <v>0</v>
      </c>
      <c r="H73" s="728">
        <f>H74+H77</f>
        <v>0</v>
      </c>
      <c r="I73" s="728">
        <f>I74+I77</f>
        <v>0</v>
      </c>
      <c r="J73" s="1019" t="e">
        <f t="shared" si="1"/>
        <v>#DIV/0!</v>
      </c>
    </row>
    <row r="74" spans="1:10" hidden="1" x14ac:dyDescent="0.2">
      <c r="A74" s="1363"/>
      <c r="B74" s="1369"/>
      <c r="C74" s="717"/>
      <c r="D74" s="717" t="s">
        <v>755</v>
      </c>
      <c r="E74" s="717"/>
      <c r="F74" s="719" t="s">
        <v>756</v>
      </c>
      <c r="G74" s="730">
        <f>G75+G76</f>
        <v>0</v>
      </c>
      <c r="H74" s="730">
        <f>H75+H76</f>
        <v>0</v>
      </c>
      <c r="I74" s="730">
        <f>I75+I76</f>
        <v>0</v>
      </c>
      <c r="J74" s="1023" t="e">
        <f t="shared" si="1"/>
        <v>#DIV/0!</v>
      </c>
    </row>
    <row r="75" spans="1:10" hidden="1" x14ac:dyDescent="0.2">
      <c r="A75" s="1363"/>
      <c r="B75" s="1369"/>
      <c r="C75" s="717"/>
      <c r="D75" s="717"/>
      <c r="E75" s="717" t="s">
        <v>757</v>
      </c>
      <c r="F75" s="720" t="s">
        <v>758</v>
      </c>
      <c r="G75" s="730">
        <v>0</v>
      </c>
      <c r="H75" s="730">
        <v>0</v>
      </c>
      <c r="I75" s="730">
        <v>0</v>
      </c>
      <c r="J75" s="1023" t="e">
        <f t="shared" si="1"/>
        <v>#DIV/0!</v>
      </c>
    </row>
    <row r="76" spans="1:10" hidden="1" x14ac:dyDescent="0.2">
      <c r="A76" s="1363"/>
      <c r="B76" s="1369"/>
      <c r="C76" s="717"/>
      <c r="D76" s="717"/>
      <c r="E76" s="717" t="s">
        <v>759</v>
      </c>
      <c r="F76" s="720" t="s">
        <v>760</v>
      </c>
      <c r="G76" s="730">
        <v>0</v>
      </c>
      <c r="H76" s="730">
        <v>0</v>
      </c>
      <c r="I76" s="730">
        <v>0</v>
      </c>
      <c r="J76" s="1023" t="e">
        <f t="shared" si="1"/>
        <v>#DIV/0!</v>
      </c>
    </row>
    <row r="77" spans="1:10" hidden="1" x14ac:dyDescent="0.2">
      <c r="A77" s="1363"/>
      <c r="B77" s="1369"/>
      <c r="C77" s="717"/>
      <c r="D77" s="717" t="s">
        <v>761</v>
      </c>
      <c r="E77" s="717"/>
      <c r="F77" s="719" t="s">
        <v>762</v>
      </c>
      <c r="G77" s="730">
        <f>G78+G79</f>
        <v>0</v>
      </c>
      <c r="H77" s="730">
        <f>H78+H79</f>
        <v>0</v>
      </c>
      <c r="I77" s="730">
        <f>I78+I79</f>
        <v>0</v>
      </c>
      <c r="J77" s="1023" t="e">
        <f t="shared" si="1"/>
        <v>#DIV/0!</v>
      </c>
    </row>
    <row r="78" spans="1:10" hidden="1" x14ac:dyDescent="0.2">
      <c r="A78" s="1363"/>
      <c r="B78" s="1369"/>
      <c r="C78" s="717"/>
      <c r="D78" s="717"/>
      <c r="E78" s="717" t="s">
        <v>763</v>
      </c>
      <c r="F78" s="720" t="s">
        <v>764</v>
      </c>
      <c r="G78" s="730">
        <v>0</v>
      </c>
      <c r="H78" s="730">
        <v>0</v>
      </c>
      <c r="I78" s="730">
        <v>0</v>
      </c>
      <c r="J78" s="1023" t="e">
        <f t="shared" si="1"/>
        <v>#DIV/0!</v>
      </c>
    </row>
    <row r="79" spans="1:10" ht="13.5" hidden="1" thickBot="1" x14ac:dyDescent="0.25">
      <c r="A79" s="1363"/>
      <c r="B79" s="1370"/>
      <c r="C79" s="745"/>
      <c r="D79" s="745"/>
      <c r="E79" s="745" t="s">
        <v>765</v>
      </c>
      <c r="F79" s="749" t="s">
        <v>766</v>
      </c>
      <c r="G79" s="750">
        <v>0</v>
      </c>
      <c r="H79" s="750">
        <v>0</v>
      </c>
      <c r="I79" s="750">
        <v>0</v>
      </c>
      <c r="J79" s="1024" t="e">
        <f t="shared" si="1"/>
        <v>#DIV/0!</v>
      </c>
    </row>
    <row r="80" spans="1:10" ht="13.5" thickBot="1" x14ac:dyDescent="0.25">
      <c r="A80" s="1364"/>
      <c r="B80" s="1378" t="s">
        <v>767</v>
      </c>
      <c r="C80" s="1379"/>
      <c r="D80" s="1379"/>
      <c r="E80" s="1379"/>
      <c r="F80" s="1380"/>
      <c r="G80" s="748">
        <f>G51+G60</f>
        <v>3650280</v>
      </c>
      <c r="H80" s="748">
        <f>H51+H60</f>
        <v>3650280</v>
      </c>
      <c r="I80" s="748">
        <f>I51+I60</f>
        <v>1825138</v>
      </c>
      <c r="J80" s="1022">
        <f t="shared" si="1"/>
        <v>0.49999945209682545</v>
      </c>
    </row>
    <row r="81" spans="1:10" ht="13.5" thickBot="1" x14ac:dyDescent="0.25">
      <c r="A81" s="721"/>
      <c r="B81" s="722"/>
      <c r="C81" s="722"/>
      <c r="D81" s="722"/>
      <c r="E81" s="722"/>
      <c r="F81" s="722"/>
      <c r="G81" s="723"/>
      <c r="H81" s="723"/>
      <c r="I81" s="723"/>
      <c r="J81" s="723"/>
    </row>
    <row r="82" spans="1:10" ht="13.5" thickBot="1" x14ac:dyDescent="0.25">
      <c r="A82" s="1387" t="s">
        <v>771</v>
      </c>
      <c r="B82" s="1388"/>
      <c r="C82" s="1388"/>
      <c r="D82" s="1388"/>
      <c r="E82" s="1388"/>
      <c r="F82" s="1389"/>
      <c r="G82" s="751">
        <f>G80+G50+G32+G15</f>
        <v>107140263</v>
      </c>
      <c r="H82" s="751">
        <f>H80+H50+H32+H15</f>
        <v>110985459</v>
      </c>
      <c r="I82" s="751">
        <f>I80+I50+I32+I15</f>
        <v>53570128</v>
      </c>
      <c r="J82" s="1022">
        <f t="shared" si="1"/>
        <v>0.482676996452301</v>
      </c>
    </row>
    <row r="83" spans="1:10" x14ac:dyDescent="0.2">
      <c r="A83" s="721"/>
      <c r="B83" s="722"/>
      <c r="C83" s="722"/>
      <c r="D83" s="722"/>
      <c r="E83" s="722"/>
      <c r="F83" s="722"/>
      <c r="G83" s="723"/>
    </row>
    <row r="84" spans="1:10" ht="46.5" customHeight="1" x14ac:dyDescent="0.2">
      <c r="A84" s="1395" t="s">
        <v>768</v>
      </c>
      <c r="B84" s="1395"/>
      <c r="C84" s="1395"/>
      <c r="D84" s="1395"/>
      <c r="E84" s="1395"/>
      <c r="F84" s="1395"/>
      <c r="G84" s="1395"/>
      <c r="H84" s="1395"/>
      <c r="I84" s="1395"/>
      <c r="J84" s="1395"/>
    </row>
    <row r="85" spans="1:10" ht="14.25" thickBot="1" x14ac:dyDescent="0.25">
      <c r="A85" s="721"/>
      <c r="B85" s="721"/>
      <c r="C85" s="721"/>
      <c r="D85" s="721"/>
      <c r="E85" s="734"/>
      <c r="F85" s="735"/>
      <c r="G85" s="723"/>
    </row>
    <row r="86" spans="1:10" ht="39" thickBot="1" x14ac:dyDescent="0.25">
      <c r="A86" s="1343" t="s">
        <v>12</v>
      </c>
      <c r="B86" s="1344"/>
      <c r="C86" s="1344"/>
      <c r="D86" s="1344"/>
      <c r="E86" s="1344"/>
      <c r="F86" s="1345"/>
      <c r="G86" s="732" t="s">
        <v>665</v>
      </c>
      <c r="H86" s="732" t="s">
        <v>1194</v>
      </c>
      <c r="I86" s="732" t="s">
        <v>1193</v>
      </c>
      <c r="J86" s="732" t="s">
        <v>1171</v>
      </c>
    </row>
    <row r="87" spans="1:10" x14ac:dyDescent="0.2">
      <c r="A87" s="736">
        <v>15</v>
      </c>
      <c r="B87" s="1381" t="s">
        <v>769</v>
      </c>
      <c r="C87" s="1382"/>
      <c r="D87" s="1382"/>
      <c r="E87" s="1382"/>
      <c r="F87" s="1383"/>
      <c r="G87" s="733">
        <v>0</v>
      </c>
      <c r="H87" s="733">
        <v>0</v>
      </c>
      <c r="I87" s="733">
        <v>0</v>
      </c>
      <c r="J87" s="1025"/>
    </row>
    <row r="88" spans="1:10" ht="13.5" thickBot="1" x14ac:dyDescent="0.25">
      <c r="A88" s="737">
        <v>17</v>
      </c>
      <c r="B88" s="1384" t="s">
        <v>770</v>
      </c>
      <c r="C88" s="1385"/>
      <c r="D88" s="1385"/>
      <c r="E88" s="1385"/>
      <c r="F88" s="1386"/>
      <c r="G88" s="731">
        <v>7765</v>
      </c>
      <c r="H88" s="731">
        <v>7765</v>
      </c>
      <c r="I88" s="1141">
        <v>3882</v>
      </c>
      <c r="J88" s="1026">
        <f>I88/H88</f>
        <v>0.49993560849967805</v>
      </c>
    </row>
    <row r="89" spans="1:10" x14ac:dyDescent="0.2">
      <c r="A89" s="1167"/>
      <c r="B89" s="1167" t="s">
        <v>1230</v>
      </c>
      <c r="C89" s="1167"/>
      <c r="D89" s="1167"/>
      <c r="E89" s="1167"/>
      <c r="F89" s="1167"/>
      <c r="G89" s="1167"/>
      <c r="H89" s="1167">
        <v>276352</v>
      </c>
      <c r="I89" s="1167"/>
      <c r="J89" s="1167"/>
    </row>
  </sheetData>
  <mergeCells count="35">
    <mergeCell ref="B87:F87"/>
    <mergeCell ref="C33:F33"/>
    <mergeCell ref="B88:F88"/>
    <mergeCell ref="A82:F82"/>
    <mergeCell ref="A51:A80"/>
    <mergeCell ref="B51:B59"/>
    <mergeCell ref="C51:F51"/>
    <mergeCell ref="B60:B79"/>
    <mergeCell ref="C60:F60"/>
    <mergeCell ref="B80:F80"/>
    <mergeCell ref="A86:F86"/>
    <mergeCell ref="A84:J84"/>
    <mergeCell ref="A33:A50"/>
    <mergeCell ref="B47:B49"/>
    <mergeCell ref="C47:F47"/>
    <mergeCell ref="B50:F50"/>
    <mergeCell ref="A16:A32"/>
    <mergeCell ref="B34:B46"/>
    <mergeCell ref="C34:F34"/>
    <mergeCell ref="C23:F23"/>
    <mergeCell ref="B26:B28"/>
    <mergeCell ref="B29:B31"/>
    <mergeCell ref="B16:B22"/>
    <mergeCell ref="C26:F26"/>
    <mergeCell ref="C16:F16"/>
    <mergeCell ref="B23:B25"/>
    <mergeCell ref="C29:F29"/>
    <mergeCell ref="B32:F32"/>
    <mergeCell ref="A1:J1"/>
    <mergeCell ref="A3:F3"/>
    <mergeCell ref="A4:A15"/>
    <mergeCell ref="B4:B13"/>
    <mergeCell ref="C4:F4"/>
    <mergeCell ref="C14:F14"/>
    <mergeCell ref="B15:F1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1" orientation="portrait" verticalDpi="300" r:id="rId1"/>
  <headerFooter alignWithMargins="0">
    <oddHeader>&amp;R&amp;"Times New Roman CE,Félkövér dőlt"&amp;11Tájékoztató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42"/>
  <sheetViews>
    <sheetView workbookViewId="0">
      <selection activeCell="E15" sqref="E15"/>
    </sheetView>
  </sheetViews>
  <sheetFormatPr defaultRowHeight="12.75" x14ac:dyDescent="0.2"/>
  <cols>
    <col min="1" max="1" width="6.6640625" customWidth="1"/>
    <col min="2" max="2" width="38.6640625" customWidth="1"/>
    <col min="3" max="3" width="32.6640625" bestFit="1" customWidth="1"/>
    <col min="4" max="4" width="11" style="700" bestFit="1" customWidth="1"/>
    <col min="5" max="5" width="12" style="700" customWidth="1"/>
    <col min="6" max="6" width="0" hidden="1" customWidth="1"/>
  </cols>
  <sheetData>
    <row r="1" spans="1:12" ht="45" customHeight="1" x14ac:dyDescent="0.25">
      <c r="A1" s="1400" t="s">
        <v>654</v>
      </c>
      <c r="B1" s="1400"/>
      <c r="C1" s="1400"/>
      <c r="D1" s="1400"/>
      <c r="E1" s="1400"/>
    </row>
    <row r="2" spans="1:12" ht="17.25" customHeight="1" x14ac:dyDescent="0.25">
      <c r="A2" s="568"/>
      <c r="B2" s="568"/>
      <c r="C2" s="568"/>
      <c r="D2" s="1112"/>
    </row>
    <row r="3" spans="1:12" ht="13.5" thickBot="1" x14ac:dyDescent="0.25">
      <c r="A3" s="271"/>
      <c r="B3" s="271"/>
      <c r="C3" s="1397" t="s">
        <v>1164</v>
      </c>
      <c r="D3" s="1397"/>
    </row>
    <row r="4" spans="1:12" ht="42.75" customHeight="1" thickBot="1" x14ac:dyDescent="0.25">
      <c r="A4" s="569" t="s">
        <v>19</v>
      </c>
      <c r="B4" s="570" t="s">
        <v>87</v>
      </c>
      <c r="C4" s="570" t="s">
        <v>88</v>
      </c>
      <c r="D4" s="1113" t="s">
        <v>1206</v>
      </c>
      <c r="E4" s="1114" t="s">
        <v>1205</v>
      </c>
      <c r="F4" s="1106" t="s">
        <v>1207</v>
      </c>
    </row>
    <row r="5" spans="1:12" ht="15.95" customHeight="1" x14ac:dyDescent="0.2">
      <c r="A5" s="272" t="s">
        <v>1125</v>
      </c>
      <c r="B5" s="37" t="s">
        <v>655</v>
      </c>
      <c r="C5" s="37" t="s">
        <v>656</v>
      </c>
      <c r="D5" s="1104">
        <v>600</v>
      </c>
      <c r="E5" s="38">
        <v>600</v>
      </c>
      <c r="F5" s="1107">
        <v>600</v>
      </c>
    </row>
    <row r="6" spans="1:12" ht="15.95" customHeight="1" x14ac:dyDescent="0.2">
      <c r="A6" s="273" t="s">
        <v>1126</v>
      </c>
      <c r="B6" s="39" t="s">
        <v>664</v>
      </c>
      <c r="C6" s="39" t="s">
        <v>657</v>
      </c>
      <c r="D6" s="1105">
        <v>576</v>
      </c>
      <c r="E6" s="40">
        <f>576+530+133+1</f>
        <v>1240</v>
      </c>
      <c r="F6" s="1108">
        <f>576+530+133</f>
        <v>1239</v>
      </c>
      <c r="H6" s="700"/>
    </row>
    <row r="7" spans="1:12" ht="15.95" customHeight="1" x14ac:dyDescent="0.2">
      <c r="A7" s="273" t="s">
        <v>1127</v>
      </c>
      <c r="B7" s="39" t="s">
        <v>658</v>
      </c>
      <c r="C7" s="39" t="s">
        <v>659</v>
      </c>
      <c r="D7" s="1105">
        <v>78</v>
      </c>
      <c r="E7" s="40">
        <v>78</v>
      </c>
      <c r="F7" s="1108">
        <v>78</v>
      </c>
    </row>
    <row r="8" spans="1:12" ht="15.95" customHeight="1" x14ac:dyDescent="0.2">
      <c r="A8" s="273" t="s">
        <v>1128</v>
      </c>
      <c r="B8" s="39" t="s">
        <v>658</v>
      </c>
      <c r="C8" s="39" t="s">
        <v>660</v>
      </c>
      <c r="D8" s="1105">
        <v>1080</v>
      </c>
      <c r="E8" s="40">
        <f>1080-90</f>
        <v>990</v>
      </c>
      <c r="F8" s="1108">
        <v>1080</v>
      </c>
    </row>
    <row r="9" spans="1:12" ht="15.95" customHeight="1" x14ac:dyDescent="0.2">
      <c r="A9" s="273" t="s">
        <v>1129</v>
      </c>
      <c r="B9" s="39" t="s">
        <v>661</v>
      </c>
      <c r="C9" s="39" t="s">
        <v>662</v>
      </c>
      <c r="D9" s="1105">
        <v>600</v>
      </c>
      <c r="E9" s="40">
        <f>50*12</f>
        <v>600</v>
      </c>
      <c r="F9" s="1108">
        <f>50*12</f>
        <v>600</v>
      </c>
    </row>
    <row r="10" spans="1:12" ht="15.95" customHeight="1" x14ac:dyDescent="0.2">
      <c r="A10" s="273" t="s">
        <v>1130</v>
      </c>
      <c r="B10" s="39" t="s">
        <v>663</v>
      </c>
      <c r="C10" s="39" t="s">
        <v>1214</v>
      </c>
      <c r="D10" s="1105">
        <v>1100</v>
      </c>
      <c r="E10" s="40">
        <v>0</v>
      </c>
      <c r="F10" s="1108">
        <v>1100</v>
      </c>
      <c r="L10" s="700"/>
    </row>
    <row r="11" spans="1:12" ht="15.95" customHeight="1" x14ac:dyDescent="0.2">
      <c r="A11" s="273" t="s">
        <v>1131</v>
      </c>
      <c r="B11" s="39" t="s">
        <v>1202</v>
      </c>
      <c r="C11" s="39" t="s">
        <v>1204</v>
      </c>
      <c r="D11" s="1105"/>
      <c r="E11" s="40">
        <v>101</v>
      </c>
      <c r="F11" s="1108">
        <v>102</v>
      </c>
      <c r="L11" s="700"/>
    </row>
    <row r="12" spans="1:12" ht="31.5" customHeight="1" x14ac:dyDescent="0.2">
      <c r="A12" s="273" t="s">
        <v>1132</v>
      </c>
      <c r="B12" s="1103" t="s">
        <v>1201</v>
      </c>
      <c r="C12" s="39" t="s">
        <v>1204</v>
      </c>
      <c r="D12" s="1105"/>
      <c r="E12" s="40">
        <v>50</v>
      </c>
      <c r="F12" s="1108">
        <v>50</v>
      </c>
    </row>
    <row r="13" spans="1:12" ht="15.95" customHeight="1" x14ac:dyDescent="0.2">
      <c r="A13" s="273" t="s">
        <v>1133</v>
      </c>
      <c r="B13" s="39" t="s">
        <v>1208</v>
      </c>
      <c r="C13" s="39" t="s">
        <v>1209</v>
      </c>
      <c r="D13" s="1115"/>
      <c r="E13" s="40">
        <v>20</v>
      </c>
      <c r="F13" s="1108"/>
    </row>
    <row r="14" spans="1:12" ht="15.95" customHeight="1" x14ac:dyDescent="0.2">
      <c r="A14" s="273" t="s">
        <v>1134</v>
      </c>
      <c r="B14" s="39" t="s">
        <v>663</v>
      </c>
      <c r="C14" s="39" t="s">
        <v>1209</v>
      </c>
      <c r="D14" s="1115"/>
      <c r="E14" s="40">
        <v>50</v>
      </c>
      <c r="F14" s="1108"/>
    </row>
    <row r="15" spans="1:12" ht="15.95" customHeight="1" x14ac:dyDescent="0.2">
      <c r="A15" s="273" t="s">
        <v>1135</v>
      </c>
      <c r="B15" s="39" t="s">
        <v>1210</v>
      </c>
      <c r="C15" s="39" t="s">
        <v>1228</v>
      </c>
      <c r="D15" s="1115"/>
      <c r="E15" s="40"/>
      <c r="F15" s="1108"/>
    </row>
    <row r="16" spans="1:12" ht="15.95" customHeight="1" x14ac:dyDescent="0.2">
      <c r="A16" s="273" t="s">
        <v>1136</v>
      </c>
      <c r="B16" s="39" t="s">
        <v>1211</v>
      </c>
      <c r="C16" s="39" t="s">
        <v>1212</v>
      </c>
      <c r="D16" s="1115"/>
      <c r="E16" s="40">
        <v>1327</v>
      </c>
      <c r="F16" s="1108"/>
    </row>
    <row r="17" spans="1:6" ht="15.95" customHeight="1" x14ac:dyDescent="0.2">
      <c r="A17" s="273" t="s">
        <v>1137</v>
      </c>
      <c r="B17" s="39" t="s">
        <v>663</v>
      </c>
      <c r="C17" s="39" t="s">
        <v>1213</v>
      </c>
      <c r="D17" s="1115"/>
      <c r="E17" s="40">
        <v>1157</v>
      </c>
      <c r="F17" s="1108"/>
    </row>
    <row r="18" spans="1:6" ht="15.95" customHeight="1" x14ac:dyDescent="0.2">
      <c r="A18" s="273" t="s">
        <v>1138</v>
      </c>
      <c r="B18" s="39" t="s">
        <v>1227</v>
      </c>
      <c r="C18" s="39"/>
      <c r="D18" s="1115"/>
      <c r="E18" s="40">
        <v>90</v>
      </c>
      <c r="F18" s="1108"/>
    </row>
    <row r="19" spans="1:6" ht="15.95" customHeight="1" x14ac:dyDescent="0.2">
      <c r="A19" s="273" t="s">
        <v>1139</v>
      </c>
      <c r="B19" s="39"/>
      <c r="C19" s="39"/>
      <c r="D19" s="1115"/>
      <c r="E19" s="40"/>
      <c r="F19" s="1108"/>
    </row>
    <row r="20" spans="1:6" ht="15.95" customHeight="1" x14ac:dyDescent="0.2">
      <c r="A20" s="273" t="s">
        <v>1140</v>
      </c>
      <c r="B20" s="39"/>
      <c r="C20" s="39"/>
      <c r="D20" s="1115"/>
      <c r="E20" s="40"/>
      <c r="F20" s="1108"/>
    </row>
    <row r="21" spans="1:6" ht="15.95" customHeight="1" x14ac:dyDescent="0.2">
      <c r="A21" s="273" t="s">
        <v>1141</v>
      </c>
      <c r="B21" s="39"/>
      <c r="C21" s="39"/>
      <c r="D21" s="1115"/>
      <c r="E21" s="40"/>
      <c r="F21" s="1108"/>
    </row>
    <row r="22" spans="1:6" ht="15.95" customHeight="1" x14ac:dyDescent="0.2">
      <c r="A22" s="273" t="s">
        <v>1142</v>
      </c>
      <c r="B22" s="39"/>
      <c r="C22" s="39"/>
      <c r="D22" s="1115"/>
      <c r="E22" s="40"/>
      <c r="F22" s="1108"/>
    </row>
    <row r="23" spans="1:6" ht="15.95" customHeight="1" x14ac:dyDescent="0.2">
      <c r="A23" s="273" t="s">
        <v>1143</v>
      </c>
      <c r="B23" s="39"/>
      <c r="C23" s="39"/>
      <c r="D23" s="1115"/>
      <c r="E23" s="40"/>
      <c r="F23" s="1108"/>
    </row>
    <row r="24" spans="1:6" ht="15.95" customHeight="1" x14ac:dyDescent="0.2">
      <c r="A24" s="273" t="s">
        <v>1144</v>
      </c>
      <c r="B24" s="39"/>
      <c r="C24" s="39"/>
      <c r="D24" s="1115"/>
      <c r="E24" s="40"/>
      <c r="F24" s="1108"/>
    </row>
    <row r="25" spans="1:6" ht="15.95" customHeight="1" x14ac:dyDescent="0.2">
      <c r="A25" s="273" t="s">
        <v>1145</v>
      </c>
      <c r="B25" s="39"/>
      <c r="C25" s="39"/>
      <c r="D25" s="1115"/>
      <c r="E25" s="40"/>
      <c r="F25" s="1108"/>
    </row>
    <row r="26" spans="1:6" ht="15.95" customHeight="1" x14ac:dyDescent="0.2">
      <c r="A26" s="273" t="s">
        <v>1146</v>
      </c>
      <c r="B26" s="39"/>
      <c r="C26" s="39"/>
      <c r="D26" s="1115"/>
      <c r="E26" s="40"/>
      <c r="F26" s="1108"/>
    </row>
    <row r="27" spans="1:6" ht="15.95" customHeight="1" x14ac:dyDescent="0.2">
      <c r="A27" s="273" t="s">
        <v>1147</v>
      </c>
      <c r="B27" s="39"/>
      <c r="C27" s="39"/>
      <c r="D27" s="1115"/>
      <c r="E27" s="40"/>
      <c r="F27" s="1108"/>
    </row>
    <row r="28" spans="1:6" ht="15.95" customHeight="1" x14ac:dyDescent="0.2">
      <c r="A28" s="273" t="s">
        <v>1148</v>
      </c>
      <c r="B28" s="39"/>
      <c r="C28" s="39"/>
      <c r="D28" s="1115"/>
      <c r="E28" s="40"/>
      <c r="F28" s="1108"/>
    </row>
    <row r="29" spans="1:6" ht="15.95" customHeight="1" x14ac:dyDescent="0.2">
      <c r="A29" s="273" t="s">
        <v>1149</v>
      </c>
      <c r="B29" s="39"/>
      <c r="C29" s="39"/>
      <c r="D29" s="1115"/>
      <c r="E29" s="40"/>
      <c r="F29" s="1108"/>
    </row>
    <row r="30" spans="1:6" ht="15.95" customHeight="1" x14ac:dyDescent="0.2">
      <c r="A30" s="273" t="s">
        <v>1150</v>
      </c>
      <c r="B30" s="39"/>
      <c r="C30" s="39"/>
      <c r="D30" s="1115"/>
      <c r="E30" s="40"/>
      <c r="F30" s="1108"/>
    </row>
    <row r="31" spans="1:6" ht="15.95" customHeight="1" x14ac:dyDescent="0.2">
      <c r="A31" s="273" t="s">
        <v>1151</v>
      </c>
      <c r="B31" s="39"/>
      <c r="C31" s="39"/>
      <c r="D31" s="1115"/>
      <c r="E31" s="40"/>
      <c r="F31" s="1108"/>
    </row>
    <row r="32" spans="1:6" ht="15.95" customHeight="1" x14ac:dyDescent="0.2">
      <c r="A32" s="273" t="s">
        <v>1152</v>
      </c>
      <c r="B32" s="39"/>
      <c r="C32" s="39"/>
      <c r="D32" s="1115"/>
      <c r="E32" s="40"/>
      <c r="F32" s="1108"/>
    </row>
    <row r="33" spans="1:6" ht="15.95" customHeight="1" x14ac:dyDescent="0.2">
      <c r="A33" s="273" t="s">
        <v>1153</v>
      </c>
      <c r="B33" s="39"/>
      <c r="C33" s="39"/>
      <c r="D33" s="1115"/>
      <c r="E33" s="40"/>
      <c r="F33" s="1108"/>
    </row>
    <row r="34" spans="1:6" ht="15.95" customHeight="1" x14ac:dyDescent="0.2">
      <c r="A34" s="273" t="s">
        <v>89</v>
      </c>
      <c r="B34" s="39"/>
      <c r="C34" s="39"/>
      <c r="D34" s="1115"/>
      <c r="E34" s="124"/>
      <c r="F34" s="1109"/>
    </row>
    <row r="35" spans="1:6" ht="15.95" customHeight="1" x14ac:dyDescent="0.2">
      <c r="A35" s="273" t="s">
        <v>90</v>
      </c>
      <c r="B35" s="39"/>
      <c r="C35" s="39"/>
      <c r="D35" s="1115"/>
      <c r="E35" s="124"/>
      <c r="F35" s="1109"/>
    </row>
    <row r="36" spans="1:6" ht="15.95" customHeight="1" x14ac:dyDescent="0.2">
      <c r="A36" s="273" t="s">
        <v>91</v>
      </c>
      <c r="B36" s="39"/>
      <c r="C36" s="39"/>
      <c r="D36" s="1115"/>
      <c r="E36" s="124"/>
      <c r="F36" s="1109"/>
    </row>
    <row r="37" spans="1:6" ht="15.95" customHeight="1" thickBot="1" x14ac:dyDescent="0.25">
      <c r="A37" s="274" t="s">
        <v>92</v>
      </c>
      <c r="B37" s="41"/>
      <c r="C37" s="41"/>
      <c r="D37" s="1116"/>
      <c r="E37" s="125"/>
      <c r="F37" s="1110"/>
    </row>
    <row r="38" spans="1:6" ht="15.95" customHeight="1" thickBot="1" x14ac:dyDescent="0.25">
      <c r="A38" s="1398" t="s">
        <v>1160</v>
      </c>
      <c r="B38" s="1399"/>
      <c r="C38" s="275"/>
      <c r="D38" s="276">
        <f>SUM(D5:D37)</f>
        <v>4034</v>
      </c>
      <c r="E38" s="276">
        <f>SUM(E5:E37)</f>
        <v>6303</v>
      </c>
      <c r="F38" s="1111">
        <f>SUM(F5:F37)</f>
        <v>4849</v>
      </c>
    </row>
    <row r="41" spans="1:6" x14ac:dyDescent="0.2">
      <c r="C41" t="s">
        <v>1203</v>
      </c>
      <c r="E41" s="700">
        <f>'9. sz. mell'!E73</f>
        <v>6303</v>
      </c>
    </row>
    <row r="42" spans="1:6" x14ac:dyDescent="0.2">
      <c r="E42" s="700">
        <f>E41-E38</f>
        <v>0</v>
      </c>
    </row>
  </sheetData>
  <mergeCells count="3">
    <mergeCell ref="C3:D3"/>
    <mergeCell ref="A38:B38"/>
    <mergeCell ref="A1:E1"/>
  </mergeCells>
  <phoneticPr fontId="30" type="noConversion"/>
  <conditionalFormatting sqref="D38:E38">
    <cfRule type="cellIs" dxfId="1" priority="2" stopIfTrue="1" operator="equal">
      <formula>0</formula>
    </cfRule>
  </conditionalFormatting>
  <conditionalFormatting sqref="F38">
    <cfRule type="cellIs" dxfId="0" priority="1" stopIfTrue="1" operator="equal">
      <formula>0</formula>
    </cfRule>
  </conditionalFormatting>
  <printOptions horizontalCentered="1"/>
  <pageMargins left="0.59055118110236227" right="0.59055118110236227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 tint="-0.249977111117893"/>
  </sheetPr>
  <dimension ref="A1:I142"/>
  <sheetViews>
    <sheetView view="pageLayout" zoomScaleNormal="100" zoomScaleSheetLayoutView="110" workbookViewId="0">
      <selection sqref="A1:C1"/>
    </sheetView>
  </sheetViews>
  <sheetFormatPr defaultColWidth="9.33203125" defaultRowHeight="15.75" x14ac:dyDescent="0.25"/>
  <cols>
    <col min="1" max="1" width="9.5" style="589" customWidth="1"/>
    <col min="2" max="2" width="91.6640625" style="589" customWidth="1"/>
    <col min="3" max="4" width="14.83203125" style="590" customWidth="1"/>
    <col min="5" max="6" width="14.83203125" style="964" hidden="1" customWidth="1"/>
    <col min="7" max="7" width="9.5" style="48" bestFit="1" customWidth="1"/>
    <col min="8" max="8" width="0" style="48" hidden="1" customWidth="1"/>
    <col min="9" max="16384" width="9.33203125" style="48"/>
  </cols>
  <sheetData>
    <row r="1" spans="1:6" ht="15.95" customHeight="1" x14ac:dyDescent="0.25">
      <c r="A1" s="1210" t="s">
        <v>1122</v>
      </c>
      <c r="B1" s="1210"/>
      <c r="C1" s="1210"/>
      <c r="D1" s="48"/>
      <c r="E1" s="924"/>
      <c r="F1" s="924"/>
    </row>
    <row r="2" spans="1:6" ht="15.95" customHeight="1" thickBot="1" x14ac:dyDescent="0.3">
      <c r="A2" s="1212" t="s">
        <v>121</v>
      </c>
      <c r="B2" s="1212"/>
      <c r="C2" s="445"/>
      <c r="D2" s="445" t="s">
        <v>324</v>
      </c>
      <c r="E2" s="925"/>
      <c r="F2" s="925" t="s">
        <v>324</v>
      </c>
    </row>
    <row r="3" spans="1:6" ht="38.1" customHeight="1" thickBot="1" x14ac:dyDescent="0.3">
      <c r="A3" s="28" t="s">
        <v>19</v>
      </c>
      <c r="B3" s="29" t="s">
        <v>1124</v>
      </c>
      <c r="C3" s="49" t="s">
        <v>302</v>
      </c>
      <c r="D3" s="49" t="s">
        <v>777</v>
      </c>
      <c r="E3" s="926" t="s">
        <v>1170</v>
      </c>
      <c r="F3" s="926" t="s">
        <v>1171</v>
      </c>
    </row>
    <row r="4" spans="1:6" s="50" customFormat="1" ht="12" customHeight="1" thickBot="1" x14ac:dyDescent="0.25">
      <c r="A4" s="42">
        <v>1</v>
      </c>
      <c r="B4" s="43">
        <v>2</v>
      </c>
      <c r="C4" s="44">
        <v>3</v>
      </c>
      <c r="D4" s="44">
        <v>3</v>
      </c>
      <c r="E4" s="927">
        <v>4</v>
      </c>
      <c r="F4" s="927">
        <v>5</v>
      </c>
    </row>
    <row r="5" spans="1:6" s="1" customFormat="1" ht="12" customHeight="1" thickBot="1" x14ac:dyDescent="0.25">
      <c r="A5" s="25" t="s">
        <v>1125</v>
      </c>
      <c r="B5" s="24" t="s">
        <v>147</v>
      </c>
      <c r="C5" s="424">
        <f>+C6+C11+C20</f>
        <v>128331</v>
      </c>
      <c r="D5" s="424">
        <f>+D6+D11+D20</f>
        <v>117584</v>
      </c>
      <c r="E5" s="928">
        <f>+E6+E11+E20</f>
        <v>117582</v>
      </c>
      <c r="F5" s="928">
        <f>+F6+F11+F20</f>
        <v>117582</v>
      </c>
    </row>
    <row r="6" spans="1:6" s="1" customFormat="1" ht="12" customHeight="1" thickBot="1" x14ac:dyDescent="0.25">
      <c r="A6" s="23" t="s">
        <v>1126</v>
      </c>
      <c r="B6" s="401" t="s">
        <v>401</v>
      </c>
      <c r="C6" s="360">
        <f>+C7+C8+C9+C10</f>
        <v>104345</v>
      </c>
      <c r="D6" s="360">
        <f>+D7+D8+D9+D10</f>
        <v>93719</v>
      </c>
      <c r="E6" s="929">
        <f>+E7+E8+E9+E10</f>
        <v>93719</v>
      </c>
      <c r="F6" s="929">
        <f>+F7+F8+F9+F10</f>
        <v>93719</v>
      </c>
    </row>
    <row r="7" spans="1:6" s="1" customFormat="1" ht="12" customHeight="1" x14ac:dyDescent="0.2">
      <c r="A7" s="16" t="s">
        <v>66</v>
      </c>
      <c r="B7" s="571" t="s">
        <v>1169</v>
      </c>
      <c r="C7" s="361">
        <f>'1.2.sz.mell. _köt'!C7+'1.3.sz.mell._önk'!C7+'1.4.sz.mell._állig'!C7</f>
        <v>100698</v>
      </c>
      <c r="D7" s="361">
        <f>'1.2.sz.mell. _köt'!D7+'1.3.sz.mell._önk'!D7+'1.4.sz.mell._állig'!D7</f>
        <v>90506</v>
      </c>
      <c r="E7" s="930">
        <f>'1.2.sz.mell. _köt'!E7+'1.3.sz.mell._önk'!E7+'1.4.sz.mell._állig'!E7</f>
        <v>90506</v>
      </c>
      <c r="F7" s="930">
        <f>'1.2.sz.mell. _köt'!F7+'1.3.sz.mell._önk'!F7+'1.4.sz.mell._állig'!F7</f>
        <v>90506</v>
      </c>
    </row>
    <row r="8" spans="1:6" s="1" customFormat="1" ht="12" customHeight="1" x14ac:dyDescent="0.2">
      <c r="A8" s="16" t="s">
        <v>67</v>
      </c>
      <c r="B8" s="415" t="s">
        <v>35</v>
      </c>
      <c r="C8" s="361">
        <f>'1.2.sz.mell. _köt'!C8+'1.3.sz.mell._önk'!C8+'1.4.sz.mell._állig'!C8</f>
        <v>0</v>
      </c>
      <c r="D8" s="361">
        <f>'1.2.sz.mell. _köt'!D8+'1.3.sz.mell._önk'!D8+'1.4.sz.mell._állig'!D8</f>
        <v>0</v>
      </c>
      <c r="E8" s="930">
        <f>'1.2.sz.mell. _köt'!E8+'1.3.sz.mell._önk'!E8+'1.4.sz.mell._állig'!E8</f>
        <v>0</v>
      </c>
      <c r="F8" s="930">
        <f>'1.2.sz.mell. _köt'!F8+'1.3.sz.mell._önk'!F8+'1.4.sz.mell._állig'!F8</f>
        <v>0</v>
      </c>
    </row>
    <row r="9" spans="1:6" s="1" customFormat="1" ht="12" customHeight="1" x14ac:dyDescent="0.2">
      <c r="A9" s="16" t="s">
        <v>68</v>
      </c>
      <c r="B9" s="415" t="s">
        <v>148</v>
      </c>
      <c r="C9" s="361">
        <f>'1.2.sz.mell. _köt'!C9+'1.3.sz.mell._önk'!C9+'1.4.sz.mell._állig'!C9</f>
        <v>3412</v>
      </c>
      <c r="D9" s="361">
        <f>'1.2.sz.mell. _köt'!D9+'1.3.sz.mell._önk'!D9+'1.4.sz.mell._állig'!D9</f>
        <v>3072</v>
      </c>
      <c r="E9" s="930">
        <f>'1.2.sz.mell. _köt'!E9+'1.3.sz.mell._önk'!E9+'1.4.sz.mell._állig'!E9</f>
        <v>3072</v>
      </c>
      <c r="F9" s="930">
        <f>'1.2.sz.mell. _köt'!F9+'1.3.sz.mell._önk'!F9+'1.4.sz.mell._állig'!F9</f>
        <v>3072</v>
      </c>
    </row>
    <row r="10" spans="1:6" s="1" customFormat="1" ht="12" customHeight="1" thickBot="1" x14ac:dyDescent="0.25">
      <c r="A10" s="16" t="s">
        <v>69</v>
      </c>
      <c r="B10" s="572" t="s">
        <v>149</v>
      </c>
      <c r="C10" s="361">
        <f>'1.2.sz.mell. _köt'!C10+'1.3.sz.mell._önk'!C10+'1.4.sz.mell._állig'!C10</f>
        <v>235</v>
      </c>
      <c r="D10" s="361">
        <f>'1.2.sz.mell. _köt'!D10+'1.3.sz.mell._önk'!D10+'1.4.sz.mell._állig'!D10</f>
        <v>141</v>
      </c>
      <c r="E10" s="930">
        <f>'1.2.sz.mell. _köt'!E10+'1.3.sz.mell._önk'!E10+'1.4.sz.mell._állig'!E10</f>
        <v>141</v>
      </c>
      <c r="F10" s="930">
        <f>'1.2.sz.mell. _köt'!F10+'1.3.sz.mell._önk'!F10+'1.4.sz.mell._állig'!F10</f>
        <v>141</v>
      </c>
    </row>
    <row r="11" spans="1:6" s="1" customFormat="1" ht="12" customHeight="1" thickBot="1" x14ac:dyDescent="0.25">
      <c r="A11" s="23" t="s">
        <v>1127</v>
      </c>
      <c r="B11" s="24" t="s">
        <v>150</v>
      </c>
      <c r="C11" s="425">
        <f>+C12+C13+C14+C15+C16+C17+C18+C19</f>
        <v>13987</v>
      </c>
      <c r="D11" s="425">
        <f>+D12+D13+D14+D15+D16+D17+D18+D19</f>
        <v>14388</v>
      </c>
      <c r="E11" s="931">
        <f>+E12+E13+E14+E15+E16+E17+E18+E19</f>
        <v>14386</v>
      </c>
      <c r="F11" s="931">
        <f>+F12+F13+F14+F15+F16+F17+F18+F19</f>
        <v>14386</v>
      </c>
    </row>
    <row r="12" spans="1:6" s="1" customFormat="1" ht="12" customHeight="1" x14ac:dyDescent="0.2">
      <c r="A12" s="20" t="s">
        <v>40</v>
      </c>
      <c r="B12" s="12" t="s">
        <v>155</v>
      </c>
      <c r="C12" s="361">
        <f>'1.2.sz.mell. _köt'!C12+'1.3.sz.mell._önk'!C12+'1.4.sz.mell._állig'!C12</f>
        <v>0</v>
      </c>
      <c r="D12" s="361">
        <f>'1.2.sz.mell. _köt'!D12+'1.3.sz.mell._önk'!D12+'1.4.sz.mell._állig'!D12</f>
        <v>0</v>
      </c>
      <c r="E12" s="930">
        <f>'1.2.sz.mell. _köt'!E12+'1.3.sz.mell._önk'!E12+'1.4.sz.mell._állig'!E12</f>
        <v>0</v>
      </c>
      <c r="F12" s="930">
        <f>'1.2.sz.mell. _köt'!F12+'1.3.sz.mell._önk'!F12+'1.4.sz.mell._állig'!F12</f>
        <v>0</v>
      </c>
    </row>
    <row r="13" spans="1:6" s="1" customFormat="1" ht="12" customHeight="1" x14ac:dyDescent="0.2">
      <c r="A13" s="16" t="s">
        <v>41</v>
      </c>
      <c r="B13" s="9" t="s">
        <v>156</v>
      </c>
      <c r="C13" s="361">
        <f>'1.2.sz.mell. _köt'!C13+'1.3.sz.mell._önk'!C13+'1.4.sz.mell._állig'!C13</f>
        <v>0</v>
      </c>
      <c r="D13" s="361">
        <f>'1.2.sz.mell. _köt'!D13+'1.3.sz.mell._önk'!D13+'1.4.sz.mell._állig'!D13</f>
        <v>0</v>
      </c>
      <c r="E13" s="930">
        <f>'1.2.sz.mell. _köt'!E13+'1.3.sz.mell._önk'!E13+'1.4.sz.mell._állig'!E13</f>
        <v>0</v>
      </c>
      <c r="F13" s="930">
        <f>'1.2.sz.mell. _köt'!F13+'1.3.sz.mell._önk'!F13+'1.4.sz.mell._állig'!F13</f>
        <v>0</v>
      </c>
    </row>
    <row r="14" spans="1:6" s="1" customFormat="1" ht="12" customHeight="1" x14ac:dyDescent="0.2">
      <c r="A14" s="16" t="s">
        <v>42</v>
      </c>
      <c r="B14" s="9" t="s">
        <v>157</v>
      </c>
      <c r="C14" s="361">
        <f>'1.2.sz.mell. _köt'!C14+'1.3.sz.mell._önk'!C14+'1.4.sz.mell._állig'!C14</f>
        <v>6810</v>
      </c>
      <c r="D14" s="361">
        <f>'1.2.sz.mell. _köt'!D14+'1.3.sz.mell._önk'!D14+'1.4.sz.mell._állig'!D14</f>
        <v>6812</v>
      </c>
      <c r="E14" s="930">
        <f>'1.2.sz.mell. _köt'!E14+'1.3.sz.mell._önk'!E14+'1.4.sz.mell._állig'!E14</f>
        <v>6810</v>
      </c>
      <c r="F14" s="930">
        <f>'1.2.sz.mell. _köt'!F14+'1.3.sz.mell._önk'!F14+'1.4.sz.mell._állig'!F14</f>
        <v>6810</v>
      </c>
    </row>
    <row r="15" spans="1:6" s="1" customFormat="1" ht="12" customHeight="1" x14ac:dyDescent="0.2">
      <c r="A15" s="16" t="s">
        <v>43</v>
      </c>
      <c r="B15" s="9" t="s">
        <v>158</v>
      </c>
      <c r="C15" s="361">
        <f>'1.2.sz.mell. _köt'!C15+'1.3.sz.mell._önk'!C15+'1.4.sz.mell._állig'!C15</f>
        <v>5651</v>
      </c>
      <c r="D15" s="361">
        <f>'1.2.sz.mell. _köt'!D15+'1.3.sz.mell._önk'!D15+'1.4.sz.mell._állig'!D15</f>
        <v>5650</v>
      </c>
      <c r="E15" s="930">
        <f>'1.2.sz.mell. _köt'!E15+'1.3.sz.mell._önk'!E15+'1.4.sz.mell._állig'!E15</f>
        <v>5650</v>
      </c>
      <c r="F15" s="930">
        <f>'1.2.sz.mell. _köt'!F15+'1.3.sz.mell._önk'!F15+'1.4.sz.mell._állig'!F15</f>
        <v>5650</v>
      </c>
    </row>
    <row r="16" spans="1:6" s="1" customFormat="1" ht="12" customHeight="1" x14ac:dyDescent="0.2">
      <c r="A16" s="15" t="s">
        <v>151</v>
      </c>
      <c r="B16" s="8" t="s">
        <v>159</v>
      </c>
      <c r="C16" s="361">
        <f>'1.2.sz.mell. _köt'!C16+'1.3.sz.mell._önk'!C16+'1.4.sz.mell._állig'!C16</f>
        <v>0</v>
      </c>
      <c r="D16" s="361">
        <f>'1.2.sz.mell. _köt'!D16+'1.3.sz.mell._önk'!D16+'1.4.sz.mell._állig'!D16</f>
        <v>0</v>
      </c>
      <c r="E16" s="930">
        <f>'1.2.sz.mell. _köt'!E16+'1.3.sz.mell._önk'!E16+'1.4.sz.mell._állig'!E16</f>
        <v>0</v>
      </c>
      <c r="F16" s="930">
        <f>'1.2.sz.mell. _köt'!F16+'1.3.sz.mell._önk'!F16+'1.4.sz.mell._állig'!F16</f>
        <v>0</v>
      </c>
    </row>
    <row r="17" spans="1:7" s="1" customFormat="1" ht="12" customHeight="1" x14ac:dyDescent="0.2">
      <c r="A17" s="16" t="s">
        <v>152</v>
      </c>
      <c r="B17" s="9" t="s">
        <v>263</v>
      </c>
      <c r="C17" s="361">
        <f>'1.2.sz.mell. _köt'!C17+'1.3.sz.mell._önk'!C17+'1.4.sz.mell._állig'!C17</f>
        <v>1526</v>
      </c>
      <c r="D17" s="361">
        <f>'1.2.sz.mell. _köt'!D17+'1.3.sz.mell._önk'!D17+'1.4.sz.mell._állig'!D17</f>
        <v>1526</v>
      </c>
      <c r="E17" s="930">
        <f>'1.2.sz.mell. _köt'!E17+'1.3.sz.mell._önk'!E17+'1.4.sz.mell._állig'!E17</f>
        <v>1526</v>
      </c>
      <c r="F17" s="930">
        <f>'1.2.sz.mell. _köt'!F17+'1.3.sz.mell._önk'!F17+'1.4.sz.mell._állig'!F17</f>
        <v>1526</v>
      </c>
    </row>
    <row r="18" spans="1:7" s="1" customFormat="1" ht="12" customHeight="1" x14ac:dyDescent="0.2">
      <c r="A18" s="16" t="s">
        <v>153</v>
      </c>
      <c r="B18" s="9" t="s">
        <v>161</v>
      </c>
      <c r="C18" s="361">
        <f>'1.2.sz.mell. _köt'!C18+'1.3.sz.mell._önk'!C18+'1.4.sz.mell._állig'!C18</f>
        <v>0</v>
      </c>
      <c r="D18" s="361">
        <f>'1.2.sz.mell. _köt'!D18+'1.3.sz.mell._önk'!D18+'1.4.sz.mell._állig'!D18</f>
        <v>0</v>
      </c>
      <c r="E18" s="930">
        <f>'1.2.sz.mell. _köt'!E18+'1.3.sz.mell._önk'!E18+'1.4.sz.mell._állig'!E18</f>
        <v>0</v>
      </c>
      <c r="F18" s="930">
        <f>'1.2.sz.mell. _köt'!F18+'1.3.sz.mell._önk'!F18+'1.4.sz.mell._állig'!F18</f>
        <v>0</v>
      </c>
    </row>
    <row r="19" spans="1:7" s="1" customFormat="1" ht="12" customHeight="1" thickBot="1" x14ac:dyDescent="0.25">
      <c r="A19" s="17" t="s">
        <v>154</v>
      </c>
      <c r="B19" s="10" t="s">
        <v>162</v>
      </c>
      <c r="C19" s="361">
        <f>'1.2.sz.mell. _köt'!C19+'1.3.sz.mell._önk'!C19+'1.4.sz.mell._állig'!C19</f>
        <v>0</v>
      </c>
      <c r="D19" s="361">
        <f>'1.2.sz.mell. _köt'!D19+'1.3.sz.mell._önk'!D19+'1.4.sz.mell._állig'!D19</f>
        <v>400</v>
      </c>
      <c r="E19" s="930">
        <f>'1.2.sz.mell. _köt'!E19+'1.3.sz.mell._önk'!E19+'1.4.sz.mell._állig'!E19</f>
        <v>400</v>
      </c>
      <c r="F19" s="930">
        <f>'1.2.sz.mell. _köt'!F19+'1.3.sz.mell._önk'!F19+'1.4.sz.mell._állig'!F19</f>
        <v>400</v>
      </c>
    </row>
    <row r="20" spans="1:7" s="1" customFormat="1" ht="12" customHeight="1" thickBot="1" x14ac:dyDescent="0.25">
      <c r="A20" s="23" t="s">
        <v>163</v>
      </c>
      <c r="B20" s="24" t="s">
        <v>264</v>
      </c>
      <c r="C20" s="705">
        <f>'1.2.sz.mell. _köt'!C20+'1.3.sz.mell._önk'!C20+'1.4.sz.mell._állig'!C20</f>
        <v>9999</v>
      </c>
      <c r="D20" s="705">
        <f>'1.2.sz.mell. _köt'!D20+'1.3.sz.mell._önk'!D20+'1.4.sz.mell._állig'!D20</f>
        <v>9477</v>
      </c>
      <c r="E20" s="932">
        <f>'1.2.sz.mell. _köt'!E20+'1.3.sz.mell._önk'!E20+'1.4.sz.mell._állig'!E20</f>
        <v>9477</v>
      </c>
      <c r="F20" s="932">
        <f>'1.2.sz.mell. _köt'!F20+'1.3.sz.mell._önk'!F20+'1.4.sz.mell._állig'!F20</f>
        <v>9477</v>
      </c>
    </row>
    <row r="21" spans="1:7" s="1" customFormat="1" ht="12" customHeight="1" thickBot="1" x14ac:dyDescent="0.25">
      <c r="A21" s="23" t="s">
        <v>1129</v>
      </c>
      <c r="B21" s="24" t="s">
        <v>165</v>
      </c>
      <c r="C21" s="425">
        <f>+C22+C23+C24+C25+C26+C27+C28+C29</f>
        <v>118552.6</v>
      </c>
      <c r="D21" s="425">
        <f>+D22+D23+D24+D25+D26+D27+D28+D29</f>
        <v>136962.6</v>
      </c>
      <c r="E21" s="931">
        <f>+E22+E23+E24+E25+E26+E27+E28+E29</f>
        <v>119202.6</v>
      </c>
      <c r="F21" s="931">
        <f>+F22+F23+F24+F25+F26+F27+F28+F29</f>
        <v>119202.6</v>
      </c>
    </row>
    <row r="22" spans="1:7" s="1" customFormat="1" ht="12" customHeight="1" x14ac:dyDescent="0.2">
      <c r="A22" s="18" t="s">
        <v>44</v>
      </c>
      <c r="B22" s="11" t="s">
        <v>1053</v>
      </c>
      <c r="C22" s="361">
        <f>'1.2.sz.mell. _köt'!C22+'1.3.sz.mell._önk'!C22+'1.4.sz.mell._állig'!C22</f>
        <v>118552.6</v>
      </c>
      <c r="D22" s="361">
        <f>'1.2.sz.mell. _köt'!D22+'1.3.sz.mell._önk'!D22+'1.4.sz.mell._állig'!D22</f>
        <v>122085.6</v>
      </c>
      <c r="E22" s="930">
        <f>'1.2.sz.mell. _köt'!E22+'1.3.sz.mell._önk'!E22+'1.4.sz.mell._állig'!E22</f>
        <v>119202.6</v>
      </c>
      <c r="F22" s="930">
        <f>'1.2.sz.mell. _köt'!F22+'1.3.sz.mell._önk'!F22+'1.4.sz.mell._állig'!F22</f>
        <v>119202.6</v>
      </c>
    </row>
    <row r="23" spans="1:7" s="1" customFormat="1" ht="12" customHeight="1" x14ac:dyDescent="0.2">
      <c r="A23" s="16" t="s">
        <v>45</v>
      </c>
      <c r="B23" s="9" t="s">
        <v>171</v>
      </c>
      <c r="C23" s="361">
        <f>'1.2.sz.mell. _köt'!C23+'1.3.sz.mell._önk'!C23+'1.4.sz.mell._állig'!C23</f>
        <v>0</v>
      </c>
      <c r="D23" s="361">
        <f>'1.2.sz.mell. _köt'!D23+'1.3.sz.mell._önk'!D23+'1.4.sz.mell._állig'!D23</f>
        <v>5457</v>
      </c>
      <c r="E23" s="930">
        <f>'1.2.sz.mell. _köt'!E23+'1.3.sz.mell._önk'!E23+'1.4.sz.mell._állig'!E23</f>
        <v>0</v>
      </c>
      <c r="F23" s="930">
        <f>'1.2.sz.mell. _köt'!F23+'1.3.sz.mell._önk'!F23+'1.4.sz.mell._állig'!F23</f>
        <v>0</v>
      </c>
    </row>
    <row r="24" spans="1:7" s="1" customFormat="1" ht="12" customHeight="1" x14ac:dyDescent="0.2">
      <c r="A24" s="16" t="s">
        <v>46</v>
      </c>
      <c r="B24" s="9" t="s">
        <v>49</v>
      </c>
      <c r="C24" s="361">
        <f>'1.2.sz.mell. _köt'!C24+'1.3.sz.mell._önk'!C24+'1.4.sz.mell._állig'!C24</f>
        <v>0</v>
      </c>
      <c r="D24" s="361">
        <f>'1.2.sz.mell. _köt'!D24+'1.3.sz.mell._önk'!D24+'1.4.sz.mell._állig'!D24</f>
        <v>0</v>
      </c>
      <c r="E24" s="930">
        <f>'1.2.sz.mell. _köt'!E24+'1.3.sz.mell._önk'!E24+'1.4.sz.mell._állig'!E24</f>
        <v>0</v>
      </c>
      <c r="F24" s="930">
        <f>'1.2.sz.mell. _köt'!F24+'1.3.sz.mell._önk'!F24+'1.4.sz.mell._állig'!F24</f>
        <v>0</v>
      </c>
    </row>
    <row r="25" spans="1:7" s="1" customFormat="1" ht="12" customHeight="1" x14ac:dyDescent="0.2">
      <c r="A25" s="19" t="s">
        <v>166</v>
      </c>
      <c r="B25" s="9" t="s">
        <v>1221</v>
      </c>
      <c r="C25" s="361">
        <f>'1.2.sz.mell. _köt'!C25+'1.3.sz.mell._önk'!C25+'1.4.sz.mell._állig'!C25</f>
        <v>0</v>
      </c>
      <c r="D25" s="361">
        <f>'1.2.sz.mell. _köt'!D25+'1.3.sz.mell._önk'!D25+'1.4.sz.mell._állig'!D25</f>
        <v>9420</v>
      </c>
      <c r="E25" s="930">
        <f>'1.2.sz.mell. _köt'!E25+'1.3.sz.mell._önk'!E25+'1.4.sz.mell._állig'!E25</f>
        <v>0</v>
      </c>
      <c r="F25" s="930">
        <f>'1.2.sz.mell. _köt'!F25+'1.3.sz.mell._önk'!F25+'1.4.sz.mell._állig'!F25</f>
        <v>0</v>
      </c>
    </row>
    <row r="26" spans="1:7" s="1" customFormat="1" ht="12" customHeight="1" x14ac:dyDescent="0.2">
      <c r="A26" s="19" t="s">
        <v>167</v>
      </c>
      <c r="B26" s="9" t="s">
        <v>173</v>
      </c>
      <c r="C26" s="361">
        <f>'1.2.sz.mell. _köt'!C26+'1.3.sz.mell._önk'!C26+'1.4.sz.mell._állig'!C26</f>
        <v>0</v>
      </c>
      <c r="D26" s="361">
        <f>'1.2.sz.mell. _köt'!D26+'1.3.sz.mell._önk'!D26+'1.4.sz.mell._állig'!D26</f>
        <v>0</v>
      </c>
      <c r="E26" s="930">
        <f>'1.2.sz.mell. _köt'!E26+'1.3.sz.mell._önk'!E26+'1.4.sz.mell._állig'!E26</f>
        <v>0</v>
      </c>
      <c r="F26" s="930">
        <f>'1.2.sz.mell. _köt'!F26+'1.3.sz.mell._önk'!F26+'1.4.sz.mell._állig'!F26</f>
        <v>0</v>
      </c>
    </row>
    <row r="27" spans="1:7" s="1" customFormat="1" ht="12" customHeight="1" x14ac:dyDescent="0.2">
      <c r="A27" s="16" t="s">
        <v>168</v>
      </c>
      <c r="B27" s="9" t="s">
        <v>174</v>
      </c>
      <c r="C27" s="361">
        <f>'1.2.sz.mell. _köt'!C27+'1.3.sz.mell._önk'!C27+'1.4.sz.mell._állig'!C27</f>
        <v>0</v>
      </c>
      <c r="D27" s="361">
        <f>'1.2.sz.mell. _köt'!D27+'1.3.sz.mell._önk'!D27+'1.4.sz.mell._állig'!D27</f>
        <v>0</v>
      </c>
      <c r="E27" s="930">
        <f>'1.2.sz.mell. _köt'!E27+'1.3.sz.mell._önk'!E27+'1.4.sz.mell._állig'!E27</f>
        <v>0</v>
      </c>
      <c r="F27" s="930">
        <f>'1.2.sz.mell. _köt'!F27+'1.3.sz.mell._önk'!F27+'1.4.sz.mell._állig'!F27</f>
        <v>0</v>
      </c>
    </row>
    <row r="28" spans="1:7" s="1" customFormat="1" ht="12" customHeight="1" x14ac:dyDescent="0.2">
      <c r="A28" s="16" t="s">
        <v>169</v>
      </c>
      <c r="B28" s="9" t="s">
        <v>265</v>
      </c>
      <c r="C28" s="361">
        <f>'1.2.sz.mell. _köt'!C28+'1.3.sz.mell._önk'!C28+'1.4.sz.mell._állig'!C28</f>
        <v>0</v>
      </c>
      <c r="D28" s="361">
        <f>'1.2.sz.mell. _köt'!D28+'1.3.sz.mell._önk'!D28+'1.4.sz.mell._állig'!D28</f>
        <v>0</v>
      </c>
      <c r="E28" s="930">
        <f>'1.2.sz.mell. _köt'!E28+'1.3.sz.mell._önk'!E28+'1.4.sz.mell._állig'!E28</f>
        <v>0</v>
      </c>
      <c r="F28" s="930">
        <f>'1.2.sz.mell. _köt'!F28+'1.3.sz.mell._önk'!F28+'1.4.sz.mell._állig'!F28</f>
        <v>0</v>
      </c>
    </row>
    <row r="29" spans="1:7" s="1" customFormat="1" ht="12" customHeight="1" thickBot="1" x14ac:dyDescent="0.25">
      <c r="A29" s="16" t="s">
        <v>170</v>
      </c>
      <c r="B29" s="14" t="s">
        <v>175</v>
      </c>
      <c r="C29" s="361">
        <f>'1.2.sz.mell. _köt'!C29+'1.3.sz.mell._önk'!C29+'1.4.sz.mell._állig'!C29</f>
        <v>0</v>
      </c>
      <c r="D29" s="361">
        <f>'1.2.sz.mell. _köt'!D29+'1.3.sz.mell._önk'!D29+'1.4.sz.mell._állig'!D29</f>
        <v>0</v>
      </c>
      <c r="E29" s="930">
        <f>'1.2.sz.mell. _köt'!E29+'1.3.sz.mell._önk'!E29+'1.4.sz.mell._állig'!E29</f>
        <v>0</v>
      </c>
      <c r="F29" s="930">
        <f>'1.2.sz.mell. _köt'!F29+'1.3.sz.mell._önk'!F29+'1.4.sz.mell._állig'!F29</f>
        <v>0</v>
      </c>
    </row>
    <row r="30" spans="1:7" s="1" customFormat="1" ht="12" customHeight="1" thickBot="1" x14ac:dyDescent="0.25">
      <c r="A30" s="394" t="s">
        <v>1130</v>
      </c>
      <c r="B30" s="24" t="s">
        <v>402</v>
      </c>
      <c r="C30" s="360">
        <f>+C31+C37</f>
        <v>13014</v>
      </c>
      <c r="D30" s="360">
        <f>+D31+D37</f>
        <v>16170</v>
      </c>
      <c r="E30" s="929">
        <f>+E31+E37</f>
        <v>13804</v>
      </c>
      <c r="F30" s="929">
        <f>+F31+F37</f>
        <v>13804</v>
      </c>
      <c r="G30" s="1151"/>
    </row>
    <row r="31" spans="1:7" s="1" customFormat="1" ht="12" customHeight="1" x14ac:dyDescent="0.2">
      <c r="A31" s="395" t="s">
        <v>47</v>
      </c>
      <c r="B31" s="573" t="s">
        <v>403</v>
      </c>
      <c r="C31" s="392">
        <f>+C32+C33+C34+C35+C36</f>
        <v>11561</v>
      </c>
      <c r="D31" s="392">
        <f>+D32+D33+D34+D35+D36</f>
        <v>14717</v>
      </c>
      <c r="E31" s="933">
        <f>+E32+E33+E34+E35+E36</f>
        <v>12351</v>
      </c>
      <c r="F31" s="933">
        <f>+F32+F33+F34+F35+F36</f>
        <v>12351</v>
      </c>
      <c r="G31" s="1151"/>
    </row>
    <row r="32" spans="1:7" s="1" customFormat="1" ht="12" customHeight="1" x14ac:dyDescent="0.2">
      <c r="A32" s="396" t="s">
        <v>50</v>
      </c>
      <c r="B32" s="402" t="s">
        <v>266</v>
      </c>
      <c r="C32" s="361">
        <f>'1.2.sz.mell. _köt'!C32+'1.3.sz.mell._önk'!C32+'1.4.sz.mell._állig'!C32</f>
        <v>4019</v>
      </c>
      <c r="D32" s="361">
        <f>'1.2.sz.mell. _köt'!D32+'1.3.sz.mell._önk'!D32+'1.4.sz.mell._állig'!D32</f>
        <v>4019</v>
      </c>
      <c r="E32" s="930">
        <f>'1.2.sz.mell. _köt'!E32+'1.3.sz.mell._önk'!E32+'1.4.sz.mell._állig'!E32</f>
        <v>4019</v>
      </c>
      <c r="F32" s="930">
        <f>'1.2.sz.mell. _köt'!F32+'1.3.sz.mell._önk'!F32+'1.4.sz.mell._állig'!F32</f>
        <v>4019</v>
      </c>
    </row>
    <row r="33" spans="1:6" s="1" customFormat="1" ht="12" customHeight="1" x14ac:dyDescent="0.2">
      <c r="A33" s="396" t="s">
        <v>51</v>
      </c>
      <c r="B33" s="402" t="s">
        <v>267</v>
      </c>
      <c r="C33" s="361">
        <f>'1.2.sz.mell. _köt'!C33+'1.3.sz.mell._önk'!C33+'1.4.sz.mell._állig'!C33</f>
        <v>0</v>
      </c>
      <c r="D33" s="361">
        <f>'1.2.sz.mell. _köt'!D33+'1.3.sz.mell._önk'!D33+'1.4.sz.mell._állig'!D33</f>
        <v>0</v>
      </c>
      <c r="E33" s="930">
        <f>'1.2.sz.mell. _köt'!E33+'1.3.sz.mell._önk'!E33+'1.4.sz.mell._állig'!E33</f>
        <v>0</v>
      </c>
      <c r="F33" s="930">
        <f>'1.2.sz.mell. _köt'!F33+'1.3.sz.mell._önk'!F33+'1.4.sz.mell._állig'!F33</f>
        <v>0</v>
      </c>
    </row>
    <row r="34" spans="1:6" s="1" customFormat="1" ht="12" customHeight="1" x14ac:dyDescent="0.2">
      <c r="A34" s="396" t="s">
        <v>52</v>
      </c>
      <c r="B34" s="402" t="s">
        <v>268</v>
      </c>
      <c r="C34" s="361">
        <f>'1.2.sz.mell. _köt'!C34+'1.3.sz.mell._önk'!C34+'1.4.sz.mell._állig'!C34</f>
        <v>0</v>
      </c>
      <c r="D34" s="361">
        <f>'1.2.sz.mell. _köt'!D34+'1.3.sz.mell._önk'!D34+'1.4.sz.mell._állig'!D34</f>
        <v>0</v>
      </c>
      <c r="E34" s="930">
        <f>'1.2.sz.mell. _köt'!E34+'1.3.sz.mell._önk'!E34+'1.4.sz.mell._állig'!E34</f>
        <v>0</v>
      </c>
      <c r="F34" s="930">
        <f>'1.2.sz.mell. _köt'!F34+'1.3.sz.mell._önk'!F34+'1.4.sz.mell._állig'!F34</f>
        <v>0</v>
      </c>
    </row>
    <row r="35" spans="1:6" s="1" customFormat="1" ht="12" customHeight="1" x14ac:dyDescent="0.2">
      <c r="A35" s="396" t="s">
        <v>53</v>
      </c>
      <c r="B35" s="402" t="s">
        <v>269</v>
      </c>
      <c r="C35" s="361">
        <f>'1.2.sz.mell. _köt'!C35+'1.3.sz.mell._önk'!C35+'1.4.sz.mell._állig'!C35</f>
        <v>0</v>
      </c>
      <c r="D35" s="361">
        <f>'1.2.sz.mell. _köt'!D35+'1.3.sz.mell._önk'!D35+'1.4.sz.mell._állig'!D35</f>
        <v>0</v>
      </c>
      <c r="E35" s="930">
        <f>'1.2.sz.mell. _köt'!E35+'1.3.sz.mell._önk'!E35+'1.4.sz.mell._állig'!E35</f>
        <v>0</v>
      </c>
      <c r="F35" s="930">
        <f>'1.2.sz.mell. _köt'!F35+'1.3.sz.mell._önk'!F35+'1.4.sz.mell._állig'!F35</f>
        <v>0</v>
      </c>
    </row>
    <row r="36" spans="1:6" s="1" customFormat="1" ht="12" customHeight="1" x14ac:dyDescent="0.2">
      <c r="A36" s="396" t="s">
        <v>176</v>
      </c>
      <c r="B36" s="402" t="s">
        <v>404</v>
      </c>
      <c r="C36" s="361">
        <f>'1.2.sz.mell. _köt'!C36+'1.3.sz.mell._önk'!C36+'1.4.sz.mell._állig'!C36</f>
        <v>7542</v>
      </c>
      <c r="D36" s="361">
        <f>'1.2.sz.mell. _köt'!D36+'1.3.sz.mell._önk'!D36+'1.4.sz.mell._állig'!D36</f>
        <v>10698</v>
      </c>
      <c r="E36" s="930">
        <f>'1.2.sz.mell. _köt'!E36+'1.3.sz.mell._önk'!E36+'1.4.sz.mell._állig'!E36</f>
        <v>8332</v>
      </c>
      <c r="F36" s="930">
        <f>'1.2.sz.mell. _köt'!F36+'1.3.sz.mell._önk'!F36+'1.4.sz.mell._állig'!F36</f>
        <v>8332</v>
      </c>
    </row>
    <row r="37" spans="1:6" s="1" customFormat="1" ht="12" customHeight="1" x14ac:dyDescent="0.2">
      <c r="A37" s="396" t="s">
        <v>48</v>
      </c>
      <c r="B37" s="403" t="s">
        <v>405</v>
      </c>
      <c r="C37" s="391">
        <f>+C38+C39+C40+C41+C42</f>
        <v>1453</v>
      </c>
      <c r="D37" s="391">
        <f>+D38+D39+D40+D41+D42</f>
        <v>1453</v>
      </c>
      <c r="E37" s="934">
        <f>+E38+E39+E40+E41+E42</f>
        <v>1453</v>
      </c>
      <c r="F37" s="934">
        <f>+F38+F39+F40+F41+F42</f>
        <v>1453</v>
      </c>
    </row>
    <row r="38" spans="1:6" s="1" customFormat="1" ht="12" customHeight="1" x14ac:dyDescent="0.2">
      <c r="A38" s="396" t="s">
        <v>56</v>
      </c>
      <c r="B38" s="402" t="s">
        <v>266</v>
      </c>
      <c r="C38" s="361">
        <f>'1.2.sz.mell. _köt'!C38+'1.3.sz.mell._önk'!C38+'1.4.sz.mell._állig'!C38</f>
        <v>0</v>
      </c>
      <c r="D38" s="361">
        <f>'1.2.sz.mell. _köt'!D38+'1.3.sz.mell._önk'!D38+'1.4.sz.mell._állig'!D38</f>
        <v>0</v>
      </c>
      <c r="E38" s="930">
        <f>'1.2.sz.mell. _köt'!E38+'1.3.sz.mell._önk'!E38+'1.4.sz.mell._állig'!E38</f>
        <v>0</v>
      </c>
      <c r="F38" s="930">
        <f>'1.2.sz.mell. _köt'!F38+'1.3.sz.mell._önk'!F38+'1.4.sz.mell._állig'!F38</f>
        <v>0</v>
      </c>
    </row>
    <row r="39" spans="1:6" s="1" customFormat="1" ht="12" customHeight="1" x14ac:dyDescent="0.2">
      <c r="A39" s="396" t="s">
        <v>57</v>
      </c>
      <c r="B39" s="402" t="s">
        <v>267</v>
      </c>
      <c r="C39" s="361">
        <f>'1.2.sz.mell. _köt'!C39+'1.3.sz.mell._önk'!C39+'1.4.sz.mell._állig'!C39</f>
        <v>0</v>
      </c>
      <c r="D39" s="361">
        <f>'1.2.sz.mell. _köt'!D39+'1.3.sz.mell._önk'!D39+'1.4.sz.mell._állig'!D39</f>
        <v>0</v>
      </c>
      <c r="E39" s="930">
        <f>'1.2.sz.mell. _köt'!E39+'1.3.sz.mell._önk'!E39+'1.4.sz.mell._állig'!E39</f>
        <v>0</v>
      </c>
      <c r="F39" s="930">
        <f>'1.2.sz.mell. _köt'!F39+'1.3.sz.mell._önk'!F39+'1.4.sz.mell._állig'!F39</f>
        <v>0</v>
      </c>
    </row>
    <row r="40" spans="1:6" s="1" customFormat="1" ht="12" customHeight="1" x14ac:dyDescent="0.2">
      <c r="A40" s="396" t="s">
        <v>58</v>
      </c>
      <c r="B40" s="402" t="s">
        <v>268</v>
      </c>
      <c r="C40" s="361">
        <f>'1.2.sz.mell. _köt'!C40+'1.3.sz.mell._önk'!C40+'1.4.sz.mell._állig'!C40</f>
        <v>0</v>
      </c>
      <c r="D40" s="361">
        <f>'1.2.sz.mell. _köt'!D40+'1.3.sz.mell._önk'!D40+'1.4.sz.mell._állig'!D40</f>
        <v>0</v>
      </c>
      <c r="E40" s="930">
        <f>'1.2.sz.mell. _köt'!E40+'1.3.sz.mell._önk'!E40+'1.4.sz.mell._állig'!E40</f>
        <v>0</v>
      </c>
      <c r="F40" s="930">
        <f>'1.2.sz.mell. _köt'!F40+'1.3.sz.mell._önk'!F40+'1.4.sz.mell._állig'!F40</f>
        <v>0</v>
      </c>
    </row>
    <row r="41" spans="1:6" s="1" customFormat="1" ht="12" customHeight="1" x14ac:dyDescent="0.2">
      <c r="A41" s="396" t="s">
        <v>59</v>
      </c>
      <c r="B41" s="404" t="s">
        <v>269</v>
      </c>
      <c r="C41" s="361">
        <f>'1.2.sz.mell. _köt'!C41+'1.3.sz.mell._önk'!C41+'1.4.sz.mell._állig'!C41</f>
        <v>1453</v>
      </c>
      <c r="D41" s="361">
        <f>'1.2.sz.mell. _köt'!D41+'1.3.sz.mell._önk'!D41+'1.4.sz.mell._állig'!D41</f>
        <v>1453</v>
      </c>
      <c r="E41" s="930">
        <f>'1.2.sz.mell. _köt'!E41+'1.3.sz.mell._önk'!E41+'1.4.sz.mell._állig'!E41</f>
        <v>1453</v>
      </c>
      <c r="F41" s="930">
        <f>'1.2.sz.mell. _köt'!F41+'1.3.sz.mell._önk'!F41+'1.4.sz.mell._állig'!F41</f>
        <v>1453</v>
      </c>
    </row>
    <row r="42" spans="1:6" s="1" customFormat="1" ht="12" customHeight="1" thickBot="1" x14ac:dyDescent="0.25">
      <c r="A42" s="397" t="s">
        <v>177</v>
      </c>
      <c r="B42" s="405" t="s">
        <v>406</v>
      </c>
      <c r="C42" s="361">
        <f>'1.2.sz.mell. _köt'!C42+'1.3.sz.mell._önk'!C42+'1.4.sz.mell._állig'!C42</f>
        <v>0</v>
      </c>
      <c r="D42" s="361">
        <f>'1.2.sz.mell. _köt'!D42+'1.3.sz.mell._önk'!D42+'1.4.sz.mell._állig'!D42</f>
        <v>0</v>
      </c>
      <c r="E42" s="930">
        <f>'1.2.sz.mell. _köt'!E42+'1.3.sz.mell._önk'!E42+'1.4.sz.mell._állig'!E42</f>
        <v>0</v>
      </c>
      <c r="F42" s="930">
        <f>'1.2.sz.mell. _köt'!F42+'1.3.sz.mell._önk'!F42+'1.4.sz.mell._állig'!F42</f>
        <v>0</v>
      </c>
    </row>
    <row r="43" spans="1:6" s="1" customFormat="1" ht="12" customHeight="1" thickBot="1" x14ac:dyDescent="0.25">
      <c r="A43" s="23" t="s">
        <v>178</v>
      </c>
      <c r="B43" s="574" t="s">
        <v>270</v>
      </c>
      <c r="C43" s="360">
        <f>+C44+C45</f>
        <v>0</v>
      </c>
      <c r="D43" s="360">
        <f>+D44+D45</f>
        <v>400</v>
      </c>
      <c r="E43" s="929">
        <f>+E44+E45</f>
        <v>400</v>
      </c>
      <c r="F43" s="929">
        <f>+F44+F45</f>
        <v>400</v>
      </c>
    </row>
    <row r="44" spans="1:6" s="1" customFormat="1" ht="12" customHeight="1" x14ac:dyDescent="0.2">
      <c r="A44" s="18" t="s">
        <v>54</v>
      </c>
      <c r="B44" s="415" t="s">
        <v>271</v>
      </c>
      <c r="C44" s="361">
        <f>'1.2.sz.mell. _köt'!C44+'1.3.sz.mell._önk'!C44+'1.4.sz.mell._állig'!C44</f>
        <v>0</v>
      </c>
      <c r="D44" s="361">
        <f>'1.2.sz.mell. _köt'!D44+'1.3.sz.mell._önk'!D44+'1.4.sz.mell._állig'!D44</f>
        <v>400</v>
      </c>
      <c r="E44" s="930">
        <f>'1.2.sz.mell. _köt'!E44+'1.3.sz.mell._önk'!E44+'1.4.sz.mell._állig'!E44</f>
        <v>400</v>
      </c>
      <c r="F44" s="930">
        <f>'1.2.sz.mell. _köt'!F44+'1.3.sz.mell._önk'!F44+'1.4.sz.mell._állig'!F44</f>
        <v>400</v>
      </c>
    </row>
    <row r="45" spans="1:6" s="1" customFormat="1" ht="12" customHeight="1" thickBot="1" x14ac:dyDescent="0.25">
      <c r="A45" s="15" t="s">
        <v>55</v>
      </c>
      <c r="B45" s="410" t="s">
        <v>275</v>
      </c>
      <c r="C45" s="361">
        <f>'1.2.sz.mell. _köt'!C45+'1.3.sz.mell._önk'!C45+'1.4.sz.mell._állig'!C45</f>
        <v>0</v>
      </c>
      <c r="D45" s="361">
        <f>'1.2.sz.mell. _köt'!D45+'1.3.sz.mell._önk'!D45+'1.4.sz.mell._állig'!D45</f>
        <v>0</v>
      </c>
      <c r="E45" s="930">
        <f>'1.2.sz.mell. _köt'!E45+'1.3.sz.mell._önk'!E45+'1.4.sz.mell._állig'!E45</f>
        <v>0</v>
      </c>
      <c r="F45" s="930">
        <f>'1.2.sz.mell. _köt'!F45+'1.3.sz.mell._önk'!F45+'1.4.sz.mell._állig'!F45</f>
        <v>0</v>
      </c>
    </row>
    <row r="46" spans="1:6" s="1" customFormat="1" ht="12" customHeight="1" thickBot="1" x14ac:dyDescent="0.25">
      <c r="A46" s="23" t="s">
        <v>1132</v>
      </c>
      <c r="B46" s="574" t="s">
        <v>274</v>
      </c>
      <c r="C46" s="360">
        <f>+C47+C48+C49</f>
        <v>400</v>
      </c>
      <c r="D46" s="360">
        <f>+D47+D48+D49</f>
        <v>7075</v>
      </c>
      <c r="E46" s="929">
        <f>+E47+E48+E49</f>
        <v>400</v>
      </c>
      <c r="F46" s="929">
        <f>+F47+F48+F49</f>
        <v>400</v>
      </c>
    </row>
    <row r="47" spans="1:6" s="1" customFormat="1" ht="12" customHeight="1" x14ac:dyDescent="0.2">
      <c r="A47" s="18" t="s">
        <v>181</v>
      </c>
      <c r="B47" s="415" t="s">
        <v>179</v>
      </c>
      <c r="C47" s="361">
        <f>'1.2.sz.mell. _köt'!C47+'1.3.sz.mell._önk'!C47+'1.4.sz.mell._állig'!C47</f>
        <v>0</v>
      </c>
      <c r="D47" s="361">
        <f>'1.2.sz.mell. _köt'!D47+'1.3.sz.mell._önk'!D47+'1.4.sz.mell._állig'!D47</f>
        <v>0</v>
      </c>
      <c r="E47" s="930">
        <f>'1.2.sz.mell. _köt'!E47+'1.3.sz.mell._önk'!E47+'1.4.sz.mell._állig'!E47</f>
        <v>0</v>
      </c>
      <c r="F47" s="930">
        <f>'1.2.sz.mell. _köt'!F47+'1.3.sz.mell._önk'!F47+'1.4.sz.mell._állig'!F47</f>
        <v>0</v>
      </c>
    </row>
    <row r="48" spans="1:6" s="1" customFormat="1" ht="12" customHeight="1" x14ac:dyDescent="0.2">
      <c r="A48" s="16" t="s">
        <v>182</v>
      </c>
      <c r="B48" s="402" t="s">
        <v>180</v>
      </c>
      <c r="C48" s="361">
        <f>'1.2.sz.mell. _köt'!C48+'1.3.sz.mell._önk'!C48+'1.4.sz.mell._állig'!C48</f>
        <v>400</v>
      </c>
      <c r="D48" s="361">
        <f>'1.2.sz.mell. _köt'!D48+'1.3.sz.mell._önk'!D48+'1.4.sz.mell._állig'!D48</f>
        <v>7075</v>
      </c>
      <c r="E48" s="930">
        <f>'1.2.sz.mell. _köt'!E48+'1.3.sz.mell._önk'!E48+'1.4.sz.mell._állig'!E48</f>
        <v>400</v>
      </c>
      <c r="F48" s="930">
        <f>'1.2.sz.mell. _köt'!F48+'1.3.sz.mell._önk'!F48+'1.4.sz.mell._állig'!F48</f>
        <v>400</v>
      </c>
    </row>
    <row r="49" spans="1:6" s="1" customFormat="1" ht="12" customHeight="1" thickBot="1" x14ac:dyDescent="0.25">
      <c r="A49" s="15" t="s">
        <v>333</v>
      </c>
      <c r="B49" s="410" t="s">
        <v>272</v>
      </c>
      <c r="C49" s="361">
        <f>'1.2.sz.mell. _köt'!C49+'1.3.sz.mell._önk'!C49+'1.4.sz.mell._állig'!C49</f>
        <v>0</v>
      </c>
      <c r="D49" s="361">
        <f>'1.2.sz.mell. _köt'!D49+'1.3.sz.mell._önk'!D49+'1.4.sz.mell._állig'!D49</f>
        <v>0</v>
      </c>
      <c r="E49" s="930">
        <f>'1.2.sz.mell. _köt'!E49+'1.3.sz.mell._önk'!E49+'1.4.sz.mell._állig'!E49</f>
        <v>0</v>
      </c>
      <c r="F49" s="930">
        <f>'1.2.sz.mell. _köt'!F49+'1.3.sz.mell._önk'!F49+'1.4.sz.mell._állig'!F49</f>
        <v>0</v>
      </c>
    </row>
    <row r="50" spans="1:6" s="1" customFormat="1" ht="17.25" customHeight="1" thickBot="1" x14ac:dyDescent="0.25">
      <c r="A50" s="23" t="s">
        <v>183</v>
      </c>
      <c r="B50" s="575" t="s">
        <v>273</v>
      </c>
      <c r="C50" s="704">
        <f>'1.2.sz.mell. _köt'!C50+'1.3.sz.mell._önk'!C50+'1.4.sz.mell._állig'!C50</f>
        <v>0</v>
      </c>
      <c r="D50" s="704">
        <f>'1.2.sz.mell. _köt'!D50+'1.3.sz.mell._önk'!D50+'1.4.sz.mell._állig'!D50</f>
        <v>0</v>
      </c>
      <c r="E50" s="935">
        <f>'1.2.sz.mell. _köt'!E50+'1.3.sz.mell._önk'!E50+'1.4.sz.mell._állig'!E50</f>
        <v>0</v>
      </c>
      <c r="F50" s="935">
        <f>'1.2.sz.mell. _köt'!F50+'1.3.sz.mell._önk'!F50+'1.4.sz.mell._állig'!F50</f>
        <v>0</v>
      </c>
    </row>
    <row r="51" spans="1:6" s="1" customFormat="1" ht="12" customHeight="1" thickBot="1" x14ac:dyDescent="0.25">
      <c r="A51" s="23" t="s">
        <v>1134</v>
      </c>
      <c r="B51" s="27" t="s">
        <v>184</v>
      </c>
      <c r="C51" s="435">
        <f>+C6+C11+C20+C21+C30+C43+C46+C50</f>
        <v>260297.60000000001</v>
      </c>
      <c r="D51" s="435">
        <f>+D6+D11+D20+D21+D30+D43+D46+D50</f>
        <v>278191.59999999998</v>
      </c>
      <c r="E51" s="936">
        <f>+E6+E11+E20+E21+E30+E43+E46+E50</f>
        <v>251388.6</v>
      </c>
      <c r="F51" s="936">
        <f>+F6+F11+F20+F21+F30+F43+F46+F50</f>
        <v>251388.6</v>
      </c>
    </row>
    <row r="52" spans="1:6" s="1" customFormat="1" ht="12" customHeight="1" thickBot="1" x14ac:dyDescent="0.25">
      <c r="A52" s="406" t="s">
        <v>1135</v>
      </c>
      <c r="B52" s="401" t="s">
        <v>276</v>
      </c>
      <c r="C52" s="436">
        <f>+C53+C59</f>
        <v>12500</v>
      </c>
      <c r="D52" s="436">
        <f>+D53+D59</f>
        <v>52597</v>
      </c>
      <c r="E52" s="937">
        <f>+E53+E59</f>
        <v>52597</v>
      </c>
      <c r="F52" s="937">
        <f>+F53+F59</f>
        <v>52597</v>
      </c>
    </row>
    <row r="53" spans="1:6" s="1" customFormat="1" ht="12" customHeight="1" x14ac:dyDescent="0.2">
      <c r="A53" s="576" t="s">
        <v>114</v>
      </c>
      <c r="B53" s="573" t="s">
        <v>363</v>
      </c>
      <c r="C53" s="437">
        <f>+C54+C55+C56+C57+C58</f>
        <v>12500</v>
      </c>
      <c r="D53" s="437">
        <f>+D54+D55+D56+D57+D58</f>
        <v>52597</v>
      </c>
      <c r="E53" s="938">
        <f>+E54+E55+E56+E57+E58</f>
        <v>52597</v>
      </c>
      <c r="F53" s="938">
        <f>+F54+F55+F56+F57+F58</f>
        <v>52597</v>
      </c>
    </row>
    <row r="54" spans="1:6" s="1" customFormat="1" ht="12" customHeight="1" x14ac:dyDescent="0.2">
      <c r="A54" s="407" t="s">
        <v>292</v>
      </c>
      <c r="B54" s="402" t="s">
        <v>278</v>
      </c>
      <c r="C54" s="361">
        <f>'1.2.sz.mell. _köt'!C54+'1.3.sz.mell._önk'!C54+'1.4.sz.mell._állig'!C54</f>
        <v>12500</v>
      </c>
      <c r="D54" s="361">
        <f>'1.2.sz.mell. _köt'!D54+'1.3.sz.mell._önk'!D54+'1.4.sz.mell._állig'!D54</f>
        <v>52597</v>
      </c>
      <c r="E54" s="930">
        <f>'1.2.sz.mell. _köt'!E54+'1.3.sz.mell._önk'!E54+'1.4.sz.mell._állig'!E54</f>
        <v>52597</v>
      </c>
      <c r="F54" s="930">
        <f>'1.2.sz.mell. _köt'!F54+'1.3.sz.mell._önk'!F54+'1.4.sz.mell._állig'!F54</f>
        <v>52597</v>
      </c>
    </row>
    <row r="55" spans="1:6" s="1" customFormat="1" ht="12" customHeight="1" x14ac:dyDescent="0.2">
      <c r="A55" s="407" t="s">
        <v>293</v>
      </c>
      <c r="B55" s="402" t="s">
        <v>279</v>
      </c>
      <c r="C55" s="361">
        <f>'1.2.sz.mell. _köt'!C55+'1.3.sz.mell._önk'!C55+'1.4.sz.mell._állig'!C55</f>
        <v>0</v>
      </c>
      <c r="D55" s="361">
        <f>'1.2.sz.mell. _köt'!D55+'1.3.sz.mell._önk'!D55+'1.4.sz.mell._állig'!D55</f>
        <v>0</v>
      </c>
      <c r="E55" s="930">
        <f>'1.2.sz.mell. _köt'!E55+'1.3.sz.mell._önk'!E55+'1.4.sz.mell._állig'!E55</f>
        <v>0</v>
      </c>
      <c r="F55" s="930">
        <f>'1.2.sz.mell. _köt'!F55+'1.3.sz.mell._önk'!F55+'1.4.sz.mell._állig'!F55</f>
        <v>0</v>
      </c>
    </row>
    <row r="56" spans="1:6" s="1" customFormat="1" ht="12" customHeight="1" x14ac:dyDescent="0.2">
      <c r="A56" s="407" t="s">
        <v>294</v>
      </c>
      <c r="B56" s="402" t="s">
        <v>280</v>
      </c>
      <c r="C56" s="361">
        <f>'1.2.sz.mell. _köt'!C56+'1.3.sz.mell._önk'!C56+'1.4.sz.mell._állig'!C56</f>
        <v>0</v>
      </c>
      <c r="D56" s="361">
        <f>'1.2.sz.mell. _köt'!D56+'1.3.sz.mell._önk'!D56+'1.4.sz.mell._állig'!D56</f>
        <v>0</v>
      </c>
      <c r="E56" s="930">
        <f>'1.2.sz.mell. _köt'!E56+'1.3.sz.mell._önk'!E56+'1.4.sz.mell._állig'!E56</f>
        <v>0</v>
      </c>
      <c r="F56" s="930">
        <f>'1.2.sz.mell. _köt'!F56+'1.3.sz.mell._önk'!F56+'1.4.sz.mell._állig'!F56</f>
        <v>0</v>
      </c>
    </row>
    <row r="57" spans="1:6" s="1" customFormat="1" ht="12" customHeight="1" x14ac:dyDescent="0.2">
      <c r="A57" s="407" t="s">
        <v>295</v>
      </c>
      <c r="B57" s="402" t="s">
        <v>281</v>
      </c>
      <c r="C57" s="361">
        <f>'1.2.sz.mell. _köt'!C57+'1.3.sz.mell._önk'!C57+'1.4.sz.mell._állig'!C57</f>
        <v>0</v>
      </c>
      <c r="D57" s="361">
        <f>'1.2.sz.mell. _köt'!D57+'1.3.sz.mell._önk'!D57+'1.4.sz.mell._állig'!D57</f>
        <v>0</v>
      </c>
      <c r="E57" s="930">
        <f>'1.2.sz.mell. _köt'!E57+'1.3.sz.mell._önk'!E57+'1.4.sz.mell._állig'!E57</f>
        <v>0</v>
      </c>
      <c r="F57" s="930">
        <f>'1.2.sz.mell. _köt'!F57+'1.3.sz.mell._önk'!F57+'1.4.sz.mell._állig'!F57</f>
        <v>0</v>
      </c>
    </row>
    <row r="58" spans="1:6" s="1" customFormat="1" ht="12" customHeight="1" x14ac:dyDescent="0.2">
      <c r="A58" s="407" t="s">
        <v>296</v>
      </c>
      <c r="B58" s="402" t="s">
        <v>282</v>
      </c>
      <c r="C58" s="361">
        <f>'1.2.sz.mell. _köt'!C58+'1.3.sz.mell._önk'!C58+'1.4.sz.mell._állig'!C58</f>
        <v>0</v>
      </c>
      <c r="D58" s="361">
        <f>'1.2.sz.mell. _köt'!D58+'1.3.sz.mell._önk'!D58+'1.4.sz.mell._állig'!D58</f>
        <v>0</v>
      </c>
      <c r="E58" s="930">
        <f>'1.2.sz.mell. _köt'!E58+'1.3.sz.mell._önk'!E58+'1.4.sz.mell._állig'!E58</f>
        <v>0</v>
      </c>
      <c r="F58" s="930">
        <f>'1.2.sz.mell. _köt'!F58+'1.3.sz.mell._önk'!F58+'1.4.sz.mell._állig'!F58</f>
        <v>0</v>
      </c>
    </row>
    <row r="59" spans="1:6" s="1" customFormat="1" ht="12" customHeight="1" x14ac:dyDescent="0.2">
      <c r="A59" s="408" t="s">
        <v>115</v>
      </c>
      <c r="B59" s="403" t="s">
        <v>362</v>
      </c>
      <c r="C59" s="438">
        <f>+C60+C61+C62+C63+C64</f>
        <v>0</v>
      </c>
      <c r="D59" s="438">
        <f>+D60+D61+D62+D63+D64</f>
        <v>0</v>
      </c>
      <c r="E59" s="939">
        <f>+E60+E61+E62+E63+E64</f>
        <v>0</v>
      </c>
      <c r="F59" s="939">
        <f>+F60+F61+F62+F63+F64</f>
        <v>0</v>
      </c>
    </row>
    <row r="60" spans="1:6" s="1" customFormat="1" ht="12" customHeight="1" x14ac:dyDescent="0.2">
      <c r="A60" s="407" t="s">
        <v>297</v>
      </c>
      <c r="B60" s="402" t="s">
        <v>284</v>
      </c>
      <c r="C60" s="361">
        <f>'1.2.sz.mell. _köt'!C60+'1.3.sz.mell._önk'!C60+'1.4.sz.mell._állig'!C60</f>
        <v>0</v>
      </c>
      <c r="D60" s="361">
        <f>'1.2.sz.mell. _köt'!D60+'1.3.sz.mell._önk'!D60+'1.4.sz.mell._állig'!D60</f>
        <v>0</v>
      </c>
      <c r="E60" s="930">
        <f>'1.2.sz.mell. _köt'!E60+'1.3.sz.mell._önk'!E60+'1.4.sz.mell._állig'!E60</f>
        <v>0</v>
      </c>
      <c r="F60" s="930">
        <f>'1.2.sz.mell. _köt'!F60+'1.3.sz.mell._önk'!F60+'1.4.sz.mell._állig'!F60</f>
        <v>0</v>
      </c>
    </row>
    <row r="61" spans="1:6" s="1" customFormat="1" ht="12" customHeight="1" x14ac:dyDescent="0.2">
      <c r="A61" s="407" t="s">
        <v>298</v>
      </c>
      <c r="B61" s="402" t="s">
        <v>285</v>
      </c>
      <c r="C61" s="361">
        <f>'1.2.sz.mell. _köt'!C61+'1.3.sz.mell._önk'!C61+'1.4.sz.mell._állig'!C61</f>
        <v>0</v>
      </c>
      <c r="D61" s="361">
        <f>'1.2.sz.mell. _köt'!D61+'1.3.sz.mell._önk'!D61+'1.4.sz.mell._állig'!D61</f>
        <v>0</v>
      </c>
      <c r="E61" s="930">
        <f>'1.2.sz.mell. _köt'!E61+'1.3.sz.mell._önk'!E61+'1.4.sz.mell._állig'!E61</f>
        <v>0</v>
      </c>
      <c r="F61" s="930">
        <f>'1.2.sz.mell. _köt'!F61+'1.3.sz.mell._önk'!F61+'1.4.sz.mell._állig'!F61</f>
        <v>0</v>
      </c>
    </row>
    <row r="62" spans="1:6" s="1" customFormat="1" ht="12" customHeight="1" x14ac:dyDescent="0.2">
      <c r="A62" s="407" t="s">
        <v>299</v>
      </c>
      <c r="B62" s="402" t="s">
        <v>286</v>
      </c>
      <c r="C62" s="361">
        <f>'1.2.sz.mell. _köt'!C62+'1.3.sz.mell._önk'!C62+'1.4.sz.mell._állig'!C62</f>
        <v>0</v>
      </c>
      <c r="D62" s="361">
        <f>'1.2.sz.mell. _köt'!D62+'1.3.sz.mell._önk'!D62+'1.4.sz.mell._állig'!D62</f>
        <v>0</v>
      </c>
      <c r="E62" s="930">
        <f>'1.2.sz.mell. _köt'!E62+'1.3.sz.mell._önk'!E62+'1.4.sz.mell._állig'!E62</f>
        <v>0</v>
      </c>
      <c r="F62" s="930">
        <f>'1.2.sz.mell. _köt'!F62+'1.3.sz.mell._önk'!F62+'1.4.sz.mell._állig'!F62</f>
        <v>0</v>
      </c>
    </row>
    <row r="63" spans="1:6" s="1" customFormat="1" ht="12" customHeight="1" x14ac:dyDescent="0.2">
      <c r="A63" s="407" t="s">
        <v>300</v>
      </c>
      <c r="B63" s="402" t="s">
        <v>287</v>
      </c>
      <c r="C63" s="361">
        <f>'1.2.sz.mell. _köt'!C63+'1.3.sz.mell._önk'!C63+'1.4.sz.mell._állig'!C63</f>
        <v>0</v>
      </c>
      <c r="D63" s="361">
        <f>'1.2.sz.mell. _köt'!D63+'1.3.sz.mell._önk'!D63+'1.4.sz.mell._állig'!D63</f>
        <v>0</v>
      </c>
      <c r="E63" s="930">
        <f>'1.2.sz.mell. _köt'!E63+'1.3.sz.mell._önk'!E63+'1.4.sz.mell._állig'!E63</f>
        <v>0</v>
      </c>
      <c r="F63" s="930">
        <f>'1.2.sz.mell. _köt'!F63+'1.3.sz.mell._önk'!F63+'1.4.sz.mell._állig'!F63</f>
        <v>0</v>
      </c>
    </row>
    <row r="64" spans="1:6" s="1" customFormat="1" ht="12" customHeight="1" thickBot="1" x14ac:dyDescent="0.25">
      <c r="A64" s="409" t="s">
        <v>301</v>
      </c>
      <c r="B64" s="410" t="s">
        <v>288</v>
      </c>
      <c r="C64" s="361">
        <f>'1.2.sz.mell. _köt'!C64+'1.3.sz.mell._önk'!C64+'1.4.sz.mell._állig'!C64</f>
        <v>0</v>
      </c>
      <c r="D64" s="361">
        <f>'1.2.sz.mell. _köt'!D64+'1.3.sz.mell._önk'!D64+'1.4.sz.mell._állig'!D64</f>
        <v>0</v>
      </c>
      <c r="E64" s="930">
        <f>'1.2.sz.mell. _köt'!E64+'1.3.sz.mell._önk'!E64+'1.4.sz.mell._állig'!E64</f>
        <v>0</v>
      </c>
      <c r="F64" s="930">
        <f>'1.2.sz.mell. _köt'!F64+'1.3.sz.mell._önk'!F64+'1.4.sz.mell._állig'!F64</f>
        <v>0</v>
      </c>
    </row>
    <row r="65" spans="1:9" s="1" customFormat="1" ht="12" customHeight="1" thickBot="1" x14ac:dyDescent="0.25">
      <c r="A65" s="411" t="s">
        <v>1136</v>
      </c>
      <c r="B65" s="577" t="s">
        <v>360</v>
      </c>
      <c r="C65" s="436">
        <f>+C51+C52</f>
        <v>272797.59999999998</v>
      </c>
      <c r="D65" s="436">
        <f>+D51+D52</f>
        <v>330788.59999999998</v>
      </c>
      <c r="E65" s="937">
        <f>+E51+E52</f>
        <v>303985.59999999998</v>
      </c>
      <c r="F65" s="937">
        <f>+F51+F52</f>
        <v>303985.59999999998</v>
      </c>
    </row>
    <row r="66" spans="1:9" s="1" customFormat="1" ht="13.5" customHeight="1" thickBot="1" x14ac:dyDescent="0.25">
      <c r="A66" s="412" t="s">
        <v>1137</v>
      </c>
      <c r="B66" s="578" t="s">
        <v>290</v>
      </c>
      <c r="C66" s="361">
        <f>'1.2.sz.mell. _köt'!C66+'1.3.sz.mell._önk'!C66+'1.4.sz.mell._állig'!C66</f>
        <v>0</v>
      </c>
      <c r="D66" s="361">
        <f>'1.2.sz.mell. _köt'!D66+'1.3.sz.mell._önk'!D66+'1.4.sz.mell._állig'!D66</f>
        <v>0</v>
      </c>
      <c r="E66" s="930">
        <f>'1.2.sz.mell. _köt'!E66+'1.3.sz.mell._önk'!E66+'1.4.sz.mell._állig'!E66</f>
        <v>0</v>
      </c>
      <c r="F66" s="930">
        <f>'1.2.sz.mell. _köt'!F66+'1.3.sz.mell._önk'!F66+'1.4.sz.mell._állig'!F66</f>
        <v>0</v>
      </c>
    </row>
    <row r="67" spans="1:9" s="1" customFormat="1" ht="12" customHeight="1" thickBot="1" x14ac:dyDescent="0.25">
      <c r="A67" s="411" t="s">
        <v>1138</v>
      </c>
      <c r="B67" s="577" t="s">
        <v>361</v>
      </c>
      <c r="C67" s="447">
        <f>+C65+C66</f>
        <v>272797.59999999998</v>
      </c>
      <c r="D67" s="447">
        <f>+D65+D66</f>
        <v>330788.59999999998</v>
      </c>
      <c r="E67" s="940">
        <f>+E65+E66</f>
        <v>303985.59999999998</v>
      </c>
      <c r="F67" s="940">
        <f>+F65+F66</f>
        <v>303985.59999999998</v>
      </c>
      <c r="H67" s="1">
        <f>'9. sz. mell'!E59+'10. sz. mell.'!E32+'11. sz. mell.'!E31+'12. sz. mell.'!E31-'9. sz. mell'!E93</f>
        <v>330788</v>
      </c>
      <c r="I67" s="1151">
        <f>D67-H67</f>
        <v>0.59999999997671694</v>
      </c>
    </row>
    <row r="68" spans="1:9" s="1" customFormat="1" ht="56.45" customHeight="1" x14ac:dyDescent="0.2">
      <c r="A68" s="6"/>
      <c r="B68" s="7"/>
      <c r="C68" s="440"/>
      <c r="D68" s="440"/>
      <c r="E68" s="941"/>
      <c r="F68" s="941"/>
    </row>
    <row r="69" spans="1:9" ht="16.5" customHeight="1" x14ac:dyDescent="0.25">
      <c r="A69" s="1210" t="s">
        <v>1154</v>
      </c>
      <c r="B69" s="1210"/>
      <c r="C69" s="1210"/>
      <c r="D69" s="48"/>
      <c r="E69" s="924"/>
      <c r="F69" s="924"/>
    </row>
    <row r="70" spans="1:9" s="452" customFormat="1" ht="16.5" customHeight="1" thickBot="1" x14ac:dyDescent="0.3">
      <c r="A70" s="1213" t="s">
        <v>122</v>
      </c>
      <c r="B70" s="1213"/>
      <c r="C70" s="183"/>
      <c r="D70" s="183" t="s">
        <v>324</v>
      </c>
      <c r="E70" s="942" t="s">
        <v>324</v>
      </c>
      <c r="F70" s="942" t="s">
        <v>324</v>
      </c>
    </row>
    <row r="71" spans="1:9" ht="38.1" customHeight="1" thickBot="1" x14ac:dyDescent="0.3">
      <c r="A71" s="28" t="s">
        <v>1123</v>
      </c>
      <c r="B71" s="29" t="s">
        <v>1155</v>
      </c>
      <c r="C71" s="49" t="s">
        <v>302</v>
      </c>
      <c r="D71" s="49" t="s">
        <v>777</v>
      </c>
      <c r="E71" s="926" t="s">
        <v>1170</v>
      </c>
      <c r="F71" s="926" t="s">
        <v>1171</v>
      </c>
    </row>
    <row r="72" spans="1:9" s="50" customFormat="1" ht="12" customHeight="1" thickBot="1" x14ac:dyDescent="0.25">
      <c r="A72" s="42">
        <v>1</v>
      </c>
      <c r="B72" s="43">
        <v>2</v>
      </c>
      <c r="C72" s="44">
        <v>3</v>
      </c>
      <c r="D72" s="44">
        <v>3</v>
      </c>
      <c r="E72" s="927">
        <v>3</v>
      </c>
      <c r="F72" s="927">
        <v>3</v>
      </c>
    </row>
    <row r="73" spans="1:9" ht="12" customHeight="1" thickBot="1" x14ac:dyDescent="0.3">
      <c r="A73" s="25" t="s">
        <v>1125</v>
      </c>
      <c r="B73" s="36" t="s">
        <v>185</v>
      </c>
      <c r="C73" s="424">
        <f>+C74+C75+C76+C77+C78</f>
        <v>241675</v>
      </c>
      <c r="D73" s="424">
        <f>+D74+D75+D76+D77+D78</f>
        <v>279603</v>
      </c>
      <c r="E73" s="928">
        <f>+E74+E75+E76+E77+E78</f>
        <v>261939</v>
      </c>
      <c r="F73" s="928">
        <f>+F74+F75+F76+F77+F78</f>
        <v>261939</v>
      </c>
    </row>
    <row r="74" spans="1:9" ht="12" customHeight="1" x14ac:dyDescent="0.25">
      <c r="A74" s="20" t="s">
        <v>60</v>
      </c>
      <c r="B74" s="12" t="s">
        <v>1156</v>
      </c>
      <c r="C74" s="426">
        <f>'1.2.sz.mell. _köt'!C74+'1.3.sz.mell._önk'!C74+'1.4.sz.mell._állig'!C74</f>
        <v>98830</v>
      </c>
      <c r="D74" s="426">
        <f>'1.2.sz.mell. _köt'!D74+'1.3.sz.mell._önk'!D74+'1.4.sz.mell._állig'!D74</f>
        <v>109003</v>
      </c>
      <c r="E74" s="943">
        <f>'1.2.sz.mell. _köt'!E74+'1.3.sz.mell._önk'!E74+'1.4.sz.mell._állig'!E74</f>
        <v>104312</v>
      </c>
      <c r="F74" s="943">
        <f>'1.2.sz.mell. _köt'!F74+'1.3.sz.mell._önk'!F74+'1.4.sz.mell._állig'!F74</f>
        <v>104312</v>
      </c>
    </row>
    <row r="75" spans="1:9" ht="12" customHeight="1" x14ac:dyDescent="0.25">
      <c r="A75" s="16" t="s">
        <v>61</v>
      </c>
      <c r="B75" s="9" t="s">
        <v>186</v>
      </c>
      <c r="C75" s="427">
        <f>'1.2.sz.mell. _köt'!C75+'1.3.sz.mell._önk'!C75+'1.4.sz.mell._állig'!C75</f>
        <v>26573</v>
      </c>
      <c r="D75" s="427">
        <f>'1.2.sz.mell. _köt'!D75+'1.3.sz.mell._önk'!D75+'1.4.sz.mell._állig'!D75</f>
        <v>28831</v>
      </c>
      <c r="E75" s="944">
        <f>'1.2.sz.mell. _köt'!E75+'1.3.sz.mell._önk'!E75+'1.4.sz.mell._állig'!E75</f>
        <v>27197</v>
      </c>
      <c r="F75" s="944">
        <f>'1.2.sz.mell. _köt'!F75+'1.3.sz.mell._önk'!F75+'1.4.sz.mell._állig'!F75</f>
        <v>27197</v>
      </c>
    </row>
    <row r="76" spans="1:9" ht="12" customHeight="1" x14ac:dyDescent="0.25">
      <c r="A76" s="16" t="s">
        <v>62</v>
      </c>
      <c r="B76" s="9" t="s">
        <v>103</v>
      </c>
      <c r="C76" s="432">
        <f>'1.2.sz.mell. _köt'!C76+'1.3.sz.mell._önk'!C76+'1.4.sz.mell._állig'!C76</f>
        <v>96785</v>
      </c>
      <c r="D76" s="432">
        <f>'1.2.sz.mell. _köt'!D76+'1.3.sz.mell._önk'!D76+'1.4.sz.mell._állig'!D76</f>
        <v>113638</v>
      </c>
      <c r="E76" s="945">
        <f>'1.2.sz.mell. _köt'!E76+'1.3.sz.mell._önk'!E76+'1.4.sz.mell._állig'!E76</f>
        <v>105769</v>
      </c>
      <c r="F76" s="945">
        <f>'1.2.sz.mell. _köt'!F76+'1.3.sz.mell._önk'!F76+'1.4.sz.mell._állig'!F76</f>
        <v>105769</v>
      </c>
    </row>
    <row r="77" spans="1:9" ht="12" customHeight="1" x14ac:dyDescent="0.25">
      <c r="A77" s="16" t="s">
        <v>63</v>
      </c>
      <c r="B77" s="13" t="s">
        <v>187</v>
      </c>
      <c r="C77" s="432">
        <f>'1.2.sz.mell. _köt'!C77+'1.3.sz.mell._önk'!C77+'1.4.sz.mell._állig'!C77</f>
        <v>15393</v>
      </c>
      <c r="D77" s="432">
        <f>'1.2.sz.mell. _köt'!D77+'1.3.sz.mell._önk'!D77+'1.4.sz.mell._állig'!D77</f>
        <v>17523</v>
      </c>
      <c r="E77" s="945">
        <f>'1.2.sz.mell. _köt'!E77+'1.3.sz.mell._önk'!E77+'1.4.sz.mell._állig'!E77</f>
        <v>15507</v>
      </c>
      <c r="F77" s="945">
        <f>'1.2.sz.mell. _köt'!F77+'1.3.sz.mell._önk'!F77+'1.4.sz.mell._állig'!F77</f>
        <v>15507</v>
      </c>
    </row>
    <row r="78" spans="1:9" ht="12" customHeight="1" x14ac:dyDescent="0.25">
      <c r="A78" s="16" t="s">
        <v>74</v>
      </c>
      <c r="B78" s="22" t="s">
        <v>188</v>
      </c>
      <c r="C78" s="432">
        <f>'1.2.sz.mell. _köt'!C78+'1.3.sz.mell._önk'!C78+'1.4.sz.mell._állig'!C78</f>
        <v>4094</v>
      </c>
      <c r="D78" s="432">
        <f>'1.2.sz.mell. _köt'!D78+'1.3.sz.mell._önk'!D78+'1.4.sz.mell._állig'!D78</f>
        <v>10608</v>
      </c>
      <c r="E78" s="945">
        <f>'1.2.sz.mell. _köt'!E78+'1.3.sz.mell._önk'!E78+'1.4.sz.mell._állig'!E78</f>
        <v>9154</v>
      </c>
      <c r="F78" s="945">
        <f>'1.2.sz.mell. _köt'!F78+'1.3.sz.mell._önk'!F78+'1.4.sz.mell._állig'!F78</f>
        <v>9154</v>
      </c>
    </row>
    <row r="79" spans="1:9" ht="12" customHeight="1" x14ac:dyDescent="0.25">
      <c r="A79" s="16" t="s">
        <v>64</v>
      </c>
      <c r="B79" s="9" t="s">
        <v>210</v>
      </c>
      <c r="C79" s="432">
        <f>'1.2.sz.mell. _köt'!C79+'1.3.sz.mell._önk'!C79+'1.4.sz.mell._állig'!C79</f>
        <v>0</v>
      </c>
      <c r="D79" s="432">
        <f>'1.2.sz.mell. _köt'!D79+'1.3.sz.mell._önk'!D79+'1.4.sz.mell._állig'!D79</f>
        <v>0</v>
      </c>
      <c r="E79" s="945">
        <f>'1.2.sz.mell. _köt'!E79+'1.3.sz.mell._önk'!E79+'1.4.sz.mell._állig'!E79</f>
        <v>0</v>
      </c>
      <c r="F79" s="945">
        <f>'1.2.sz.mell. _köt'!F79+'1.3.sz.mell._önk'!F79+'1.4.sz.mell._állig'!F79</f>
        <v>0</v>
      </c>
    </row>
    <row r="80" spans="1:9" ht="12" customHeight="1" x14ac:dyDescent="0.25">
      <c r="A80" s="16" t="s">
        <v>65</v>
      </c>
      <c r="B80" s="187" t="s">
        <v>211</v>
      </c>
      <c r="C80" s="432">
        <f>'1.2.sz.mell. _köt'!C80+'1.3.sz.mell._önk'!C80+'1.4.sz.mell._állig'!C80</f>
        <v>0</v>
      </c>
      <c r="D80" s="432">
        <f>'1.2.sz.mell. _köt'!D80+'1.3.sz.mell._önk'!D80+'1.4.sz.mell._állig'!D80</f>
        <v>0</v>
      </c>
      <c r="E80" s="945">
        <f>'1.2.sz.mell. _köt'!E80+'1.3.sz.mell._önk'!E80+'1.4.sz.mell._állig'!E80</f>
        <v>0</v>
      </c>
      <c r="F80" s="945">
        <f>'1.2.sz.mell. _köt'!F80+'1.3.sz.mell._önk'!F80+'1.4.sz.mell._állig'!F80</f>
        <v>0</v>
      </c>
    </row>
    <row r="81" spans="1:6" ht="12" customHeight="1" x14ac:dyDescent="0.25">
      <c r="A81" s="16" t="s">
        <v>75</v>
      </c>
      <c r="B81" s="187" t="s">
        <v>303</v>
      </c>
      <c r="C81" s="432">
        <f>'1.2.sz.mell. _köt'!C81+'1.3.sz.mell._önk'!C81+'1.4.sz.mell._állig'!C81</f>
        <v>0</v>
      </c>
      <c r="D81" s="432">
        <f>'1.2.sz.mell. _köt'!D81+'1.3.sz.mell._önk'!D81+'1.4.sz.mell._állig'!D81</f>
        <v>0</v>
      </c>
      <c r="E81" s="945">
        <f>'1.2.sz.mell. _köt'!E81+'1.3.sz.mell._önk'!E81+'1.4.sz.mell._állig'!E81</f>
        <v>0</v>
      </c>
      <c r="F81" s="945">
        <f>'1.2.sz.mell. _köt'!F81+'1.3.sz.mell._önk'!F81+'1.4.sz.mell._állig'!F81</f>
        <v>0</v>
      </c>
    </row>
    <row r="82" spans="1:6" ht="12" customHeight="1" x14ac:dyDescent="0.25">
      <c r="A82" s="16" t="s">
        <v>76</v>
      </c>
      <c r="B82" s="188" t="s">
        <v>212</v>
      </c>
      <c r="C82" s="432">
        <f>'1.2.sz.mell. _köt'!C82+'1.3.sz.mell._önk'!C82+'1.4.sz.mell._állig'!C82</f>
        <v>4034</v>
      </c>
      <c r="D82" s="432">
        <f>'1.2.sz.mell. _köt'!D82+'1.3.sz.mell._önk'!D82+'1.4.sz.mell._állig'!D82</f>
        <v>6303</v>
      </c>
      <c r="E82" s="945">
        <f>'1.2.sz.mell. _köt'!E82+'1.3.sz.mell._önk'!E82+'1.4.sz.mell._állig'!E82</f>
        <v>7394</v>
      </c>
      <c r="F82" s="945">
        <f>'1.2.sz.mell. _köt'!F82+'1.3.sz.mell._önk'!F82+'1.4.sz.mell._állig'!F82</f>
        <v>7394</v>
      </c>
    </row>
    <row r="83" spans="1:6" ht="12" customHeight="1" x14ac:dyDescent="0.25">
      <c r="A83" s="15" t="s">
        <v>77</v>
      </c>
      <c r="B83" s="189" t="s">
        <v>213</v>
      </c>
      <c r="C83" s="432">
        <f>'1.2.sz.mell. _köt'!C83+'1.3.sz.mell._önk'!C83+'1.4.sz.mell._állig'!C83</f>
        <v>0</v>
      </c>
      <c r="D83" s="432">
        <f>'1.2.sz.mell. _köt'!D83+'1.3.sz.mell._önk'!D83+'1.4.sz.mell._állig'!D83</f>
        <v>2545</v>
      </c>
      <c r="E83" s="945">
        <f>'1.2.sz.mell. _köt'!E83+'1.3.sz.mell._önk'!E83+'1.4.sz.mell._állig'!E83</f>
        <v>0</v>
      </c>
      <c r="F83" s="945">
        <f>'1.2.sz.mell. _köt'!F83+'1.3.sz.mell._önk'!F83+'1.4.sz.mell._állig'!F83</f>
        <v>0</v>
      </c>
    </row>
    <row r="84" spans="1:6" ht="12" customHeight="1" x14ac:dyDescent="0.25">
      <c r="A84" s="16" t="s">
        <v>78</v>
      </c>
      <c r="B84" s="189" t="s">
        <v>214</v>
      </c>
      <c r="C84" s="432">
        <f>'1.2.sz.mell. _köt'!C84+'1.3.sz.mell._önk'!C84+'1.4.sz.mell._állig'!C84</f>
        <v>60</v>
      </c>
      <c r="D84" s="432">
        <f>'1.2.sz.mell. _köt'!D84+'1.3.sz.mell._önk'!D84+'1.4.sz.mell._állig'!D84</f>
        <v>260</v>
      </c>
      <c r="E84" s="945">
        <f>'1.2.sz.mell. _köt'!E84+'1.3.sz.mell._önk'!E84+'1.4.sz.mell._állig'!E84</f>
        <v>260</v>
      </c>
      <c r="F84" s="945">
        <f>'1.2.sz.mell. _köt'!F84+'1.3.sz.mell._önk'!F84+'1.4.sz.mell._állig'!F84</f>
        <v>260</v>
      </c>
    </row>
    <row r="85" spans="1:6" ht="12" customHeight="1" thickBot="1" x14ac:dyDescent="0.3">
      <c r="A85" s="21" t="s">
        <v>80</v>
      </c>
      <c r="B85" s="190" t="s">
        <v>215</v>
      </c>
      <c r="C85" s="441">
        <f>'1.2.sz.mell. _köt'!C85+'1.3.sz.mell._önk'!C85+'1.4.sz.mell._állig'!C85</f>
        <v>0</v>
      </c>
      <c r="D85" s="441">
        <f>'1.2.sz.mell. _köt'!D85+'1.3.sz.mell._önk'!D85+'1.4.sz.mell._állig'!D85</f>
        <v>1500</v>
      </c>
      <c r="E85" s="946">
        <f>'1.2.sz.mell. _köt'!E85+'1.3.sz.mell._önk'!E85+'1.4.sz.mell._állig'!E85</f>
        <v>1500</v>
      </c>
      <c r="F85" s="946">
        <f>'1.2.sz.mell. _köt'!F85+'1.3.sz.mell._önk'!F85+'1.4.sz.mell._állig'!F85</f>
        <v>1500</v>
      </c>
    </row>
    <row r="86" spans="1:6" ht="12" customHeight="1" thickBot="1" x14ac:dyDescent="0.3">
      <c r="A86" s="23" t="s">
        <v>1126</v>
      </c>
      <c r="B86" s="35" t="s">
        <v>334</v>
      </c>
      <c r="C86" s="425">
        <f>+C87+C88+C89</f>
        <v>27104.55</v>
      </c>
      <c r="D86" s="425">
        <f>+D87+D88+D89</f>
        <v>41331</v>
      </c>
      <c r="E86" s="931">
        <f>+E87+E88+E89</f>
        <v>41320</v>
      </c>
      <c r="F86" s="931">
        <f>+F87+F88+F89</f>
        <v>41320</v>
      </c>
    </row>
    <row r="87" spans="1:6" ht="12" customHeight="1" x14ac:dyDescent="0.25">
      <c r="A87" s="18" t="s">
        <v>66</v>
      </c>
      <c r="B87" s="9" t="s">
        <v>304</v>
      </c>
      <c r="C87" s="431">
        <f>'1.2.sz.mell. _köt'!C87+'1.3.sz.mell._önk'!C87+'1.4.sz.mell._állig'!C87</f>
        <v>17481.55</v>
      </c>
      <c r="D87" s="431">
        <f>'1.2.sz.mell. _köt'!D87+'1.3.sz.mell._önk'!D87+'1.4.sz.mell._állig'!D87</f>
        <v>20933</v>
      </c>
      <c r="E87" s="947">
        <f>'1.2.sz.mell. _köt'!E87+'1.3.sz.mell._önk'!E87+'1.4.sz.mell._állig'!E87</f>
        <v>20933</v>
      </c>
      <c r="F87" s="947">
        <f>'1.2.sz.mell. _köt'!F87+'1.3.sz.mell._önk'!F87+'1.4.sz.mell._állig'!F87</f>
        <v>20933</v>
      </c>
    </row>
    <row r="88" spans="1:6" ht="12" customHeight="1" x14ac:dyDescent="0.25">
      <c r="A88" s="18" t="s">
        <v>67</v>
      </c>
      <c r="B88" s="14" t="s">
        <v>190</v>
      </c>
      <c r="C88" s="427">
        <f>'1.2.sz.mell. _köt'!C88+'1.3.sz.mell._önk'!C88+'1.4.sz.mell._állig'!C88</f>
        <v>9623</v>
      </c>
      <c r="D88" s="427">
        <f>'1.2.sz.mell. _köt'!D88+'1.3.sz.mell._önk'!D88+'1.4.sz.mell._állig'!D88</f>
        <v>20387</v>
      </c>
      <c r="E88" s="944">
        <f>'1.2.sz.mell. _köt'!E88+'1.3.sz.mell._önk'!E88+'1.4.sz.mell._állig'!E88</f>
        <v>20387</v>
      </c>
      <c r="F88" s="944">
        <f>'1.2.sz.mell. _köt'!F88+'1.3.sz.mell._önk'!F88+'1.4.sz.mell._állig'!F88</f>
        <v>20387</v>
      </c>
    </row>
    <row r="89" spans="1:6" ht="12" customHeight="1" x14ac:dyDescent="0.25">
      <c r="A89" s="18" t="s">
        <v>68</v>
      </c>
      <c r="B89" s="402" t="s">
        <v>335</v>
      </c>
      <c r="C89" s="361">
        <f>'1.2.sz.mell. _köt'!C89+'1.3.sz.mell._önk'!C89+'1.4.sz.mell._állig'!C89</f>
        <v>0</v>
      </c>
      <c r="D89" s="361">
        <v>11</v>
      </c>
      <c r="E89" s="930">
        <f>'1.2.sz.mell. _köt'!E89+'1.3.sz.mell._önk'!E89+'1.4.sz.mell._állig'!E89</f>
        <v>0</v>
      </c>
      <c r="F89" s="930">
        <f>'1.2.sz.mell. _köt'!F89+'1.3.sz.mell._önk'!F89+'1.4.sz.mell._állig'!F89</f>
        <v>0</v>
      </c>
    </row>
    <row r="90" spans="1:6" ht="12" customHeight="1" x14ac:dyDescent="0.25">
      <c r="A90" s="18" t="s">
        <v>69</v>
      </c>
      <c r="B90" s="402" t="s">
        <v>407</v>
      </c>
      <c r="C90" s="361">
        <f>'1.2.sz.mell. _köt'!C90+'1.3.sz.mell._önk'!C90+'1.4.sz.mell._állig'!C90</f>
        <v>0</v>
      </c>
      <c r="D90" s="361">
        <f>'1.2.sz.mell. _köt'!D90+'1.3.sz.mell._önk'!D90+'1.4.sz.mell._állig'!D90</f>
        <v>0</v>
      </c>
      <c r="E90" s="930">
        <f>'1.2.sz.mell. _köt'!E90+'1.3.sz.mell._önk'!E90+'1.4.sz.mell._állig'!E90</f>
        <v>0</v>
      </c>
      <c r="F90" s="930">
        <f>'1.2.sz.mell. _köt'!F90+'1.3.sz.mell._önk'!F90+'1.4.sz.mell._állig'!F90</f>
        <v>0</v>
      </c>
    </row>
    <row r="91" spans="1:6" ht="12" customHeight="1" x14ac:dyDescent="0.25">
      <c r="A91" s="18" t="s">
        <v>70</v>
      </c>
      <c r="B91" s="402" t="s">
        <v>336</v>
      </c>
      <c r="C91" s="361">
        <f>'1.2.sz.mell. _köt'!C91+'1.3.sz.mell._önk'!C91+'1.4.sz.mell._állig'!C91</f>
        <v>0</v>
      </c>
      <c r="D91" s="361">
        <f>'1.2.sz.mell. _köt'!D91+'1.3.sz.mell._önk'!D91+'1.4.sz.mell._állig'!D91</f>
        <v>0</v>
      </c>
      <c r="E91" s="930">
        <f>'1.2.sz.mell. _köt'!E91+'1.3.sz.mell._önk'!E91+'1.4.sz.mell._állig'!E91</f>
        <v>0</v>
      </c>
      <c r="F91" s="930">
        <f>'1.2.sz.mell. _köt'!F91+'1.3.sz.mell._önk'!F91+'1.4.sz.mell._állig'!F91</f>
        <v>0</v>
      </c>
    </row>
    <row r="92" spans="1:6" x14ac:dyDescent="0.25">
      <c r="A92" s="18" t="s">
        <v>79</v>
      </c>
      <c r="B92" s="402" t="s">
        <v>337</v>
      </c>
      <c r="C92" s="361">
        <f>'1.2.sz.mell. _köt'!C92+'1.3.sz.mell._önk'!C92+'1.4.sz.mell._állig'!C92</f>
        <v>0</v>
      </c>
      <c r="D92" s="361">
        <f>'1.2.sz.mell. _köt'!D92+'1.3.sz.mell._önk'!D92+'1.4.sz.mell._állig'!D92</f>
        <v>11</v>
      </c>
      <c r="E92" s="930">
        <f>'1.2.sz.mell. _köt'!E92+'1.3.sz.mell._önk'!E92+'1.4.sz.mell._állig'!E92</f>
        <v>0</v>
      </c>
      <c r="F92" s="930">
        <f>'1.2.sz.mell. _köt'!F92+'1.3.sz.mell._önk'!F92+'1.4.sz.mell._állig'!F92</f>
        <v>0</v>
      </c>
    </row>
    <row r="93" spans="1:6" ht="12" customHeight="1" x14ac:dyDescent="0.25">
      <c r="A93" s="18" t="s">
        <v>81</v>
      </c>
      <c r="B93" s="579" t="s">
        <v>308</v>
      </c>
      <c r="C93" s="361">
        <f>'1.2.sz.mell. _köt'!C93+'1.3.sz.mell._önk'!C93+'1.4.sz.mell._állig'!C93</f>
        <v>0</v>
      </c>
      <c r="D93" s="361">
        <f>'1.2.sz.mell. _köt'!D93+'1.3.sz.mell._önk'!D93+'1.4.sz.mell._állig'!D93</f>
        <v>0</v>
      </c>
      <c r="E93" s="930">
        <f>'1.2.sz.mell. _köt'!E93+'1.3.sz.mell._önk'!E93+'1.4.sz.mell._állig'!E93</f>
        <v>0</v>
      </c>
      <c r="F93" s="930">
        <f>'1.2.sz.mell. _köt'!F93+'1.3.sz.mell._önk'!F93+'1.4.sz.mell._állig'!F93</f>
        <v>0</v>
      </c>
    </row>
    <row r="94" spans="1:6" ht="12" customHeight="1" x14ac:dyDescent="0.25">
      <c r="A94" s="18" t="s">
        <v>191</v>
      </c>
      <c r="B94" s="579" t="s">
        <v>309</v>
      </c>
      <c r="C94" s="361">
        <f>'1.2.sz.mell. _köt'!C94+'1.3.sz.mell._önk'!C94+'1.4.sz.mell._állig'!C94</f>
        <v>0</v>
      </c>
      <c r="D94" s="361">
        <f>'1.2.sz.mell. _köt'!D94+'1.3.sz.mell._önk'!D94+'1.4.sz.mell._állig'!D94</f>
        <v>0</v>
      </c>
      <c r="E94" s="930">
        <f>'1.2.sz.mell. _köt'!E94+'1.3.sz.mell._önk'!E94+'1.4.sz.mell._állig'!E94</f>
        <v>0</v>
      </c>
      <c r="F94" s="930">
        <f>'1.2.sz.mell. _köt'!F94+'1.3.sz.mell._önk'!F94+'1.4.sz.mell._állig'!F94</f>
        <v>0</v>
      </c>
    </row>
    <row r="95" spans="1:6" ht="12" customHeight="1" x14ac:dyDescent="0.25">
      <c r="A95" s="18" t="s">
        <v>192</v>
      </c>
      <c r="B95" s="579" t="s">
        <v>307</v>
      </c>
      <c r="C95" s="361">
        <f>'1.2.sz.mell. _köt'!C95+'1.3.sz.mell._önk'!C95+'1.4.sz.mell._állig'!C95</f>
        <v>0</v>
      </c>
      <c r="D95" s="361">
        <f>'1.2.sz.mell. _köt'!D95+'1.3.sz.mell._önk'!D95+'1.4.sz.mell._állig'!D95</f>
        <v>0</v>
      </c>
      <c r="E95" s="930">
        <f>'1.2.sz.mell. _köt'!E95+'1.3.sz.mell._önk'!E95+'1.4.sz.mell._állig'!E95</f>
        <v>0</v>
      </c>
      <c r="F95" s="930">
        <f>'1.2.sz.mell. _köt'!F95+'1.3.sz.mell._önk'!F95+'1.4.sz.mell._állig'!F95</f>
        <v>0</v>
      </c>
    </row>
    <row r="96" spans="1:6" ht="24" customHeight="1" thickBot="1" x14ac:dyDescent="0.3">
      <c r="A96" s="15" t="s">
        <v>193</v>
      </c>
      <c r="B96" s="580" t="s">
        <v>306</v>
      </c>
      <c r="C96" s="364">
        <f>'1.2.sz.mell. _köt'!C96+'1.3.sz.mell._önk'!C96+'1.4.sz.mell._állig'!C96</f>
        <v>0</v>
      </c>
      <c r="D96" s="364">
        <f>'1.2.sz.mell. _köt'!D96+'1.3.sz.mell._önk'!D96+'1.4.sz.mell._állig'!D96</f>
        <v>0</v>
      </c>
      <c r="E96" s="948">
        <f>'1.2.sz.mell. _köt'!E96+'1.3.sz.mell._önk'!E96+'1.4.sz.mell._állig'!E96</f>
        <v>0</v>
      </c>
      <c r="F96" s="948">
        <f>'1.2.sz.mell. _köt'!F96+'1.3.sz.mell._önk'!F96+'1.4.sz.mell._állig'!F96</f>
        <v>0</v>
      </c>
    </row>
    <row r="97" spans="1:6" ht="12" customHeight="1" thickBot="1" x14ac:dyDescent="0.3">
      <c r="A97" s="23" t="s">
        <v>1127</v>
      </c>
      <c r="B97" s="167" t="s">
        <v>338</v>
      </c>
      <c r="C97" s="425">
        <f>+C98+C99</f>
        <v>4019</v>
      </c>
      <c r="D97" s="425">
        <f>+D98+D99</f>
        <v>9854</v>
      </c>
      <c r="E97" s="931">
        <f>+E98+E99</f>
        <v>727</v>
      </c>
      <c r="F97" s="931">
        <f>+F98+F99</f>
        <v>727</v>
      </c>
    </row>
    <row r="98" spans="1:6" ht="12" customHeight="1" x14ac:dyDescent="0.25">
      <c r="A98" s="18" t="s">
        <v>40</v>
      </c>
      <c r="B98" s="11" t="s">
        <v>3</v>
      </c>
      <c r="C98" s="431">
        <f>'1.2.sz.mell. _köt'!C98+'1.3.sz.mell._önk'!C98+'1.4.sz.mell._állig'!C98</f>
        <v>1351</v>
      </c>
      <c r="D98" s="431">
        <f>'1.2.sz.mell. _köt'!D98+'1.3.sz.mell._önk'!D98+'1.4.sz.mell._állig'!D98</f>
        <v>3179</v>
      </c>
      <c r="E98" s="947">
        <f>'1.2.sz.mell. _köt'!E98+'1.3.sz.mell._önk'!E98+'1.4.sz.mell._állig'!E98</f>
        <v>727</v>
      </c>
      <c r="F98" s="947">
        <f>'1.2.sz.mell. _köt'!F98+'1.3.sz.mell._önk'!F98+'1.4.sz.mell._állig'!F98</f>
        <v>727</v>
      </c>
    </row>
    <row r="99" spans="1:6" ht="12" customHeight="1" thickBot="1" x14ac:dyDescent="0.3">
      <c r="A99" s="19" t="s">
        <v>41</v>
      </c>
      <c r="B99" s="14" t="s">
        <v>4</v>
      </c>
      <c r="C99" s="432">
        <f>'1.2.sz.mell. _köt'!C99+'1.3.sz.mell._önk'!C99+'1.4.sz.mell._állig'!C99</f>
        <v>2668</v>
      </c>
      <c r="D99" s="432">
        <f>'1.2.sz.mell. _köt'!D99+'1.3.sz.mell._önk'!D99+'1.4.sz.mell._állig'!D99</f>
        <v>6675</v>
      </c>
      <c r="E99" s="945">
        <f>'1.2.sz.mell. _köt'!E99+'1.3.sz.mell._önk'!E99+'1.4.sz.mell._állig'!E99</f>
        <v>0</v>
      </c>
      <c r="F99" s="945">
        <f>'1.2.sz.mell. _köt'!F99+'1.3.sz.mell._önk'!F99+'1.4.sz.mell._állig'!F99</f>
        <v>0</v>
      </c>
    </row>
    <row r="100" spans="1:6" s="400" customFormat="1" ht="12" customHeight="1" thickBot="1" x14ac:dyDescent="0.25">
      <c r="A100" s="406" t="s">
        <v>1128</v>
      </c>
      <c r="B100" s="401" t="s">
        <v>310</v>
      </c>
      <c r="C100" s="591"/>
      <c r="D100" s="591"/>
      <c r="E100" s="949"/>
      <c r="F100" s="949"/>
    </row>
    <row r="101" spans="1:6" ht="12" customHeight="1" thickBot="1" x14ac:dyDescent="0.3">
      <c r="A101" s="398" t="s">
        <v>1129</v>
      </c>
      <c r="B101" s="399" t="s">
        <v>127</v>
      </c>
      <c r="C101" s="424">
        <f>+C73+C86+C97+C100</f>
        <v>272798.55</v>
      </c>
      <c r="D101" s="424">
        <f>+D73+D86+D97+D100</f>
        <v>330788</v>
      </c>
      <c r="E101" s="928">
        <f>+E73+E86+E97+E100</f>
        <v>303986</v>
      </c>
      <c r="F101" s="928">
        <f>+F73+F86+F97+F100</f>
        <v>303986</v>
      </c>
    </row>
    <row r="102" spans="1:6" ht="12" customHeight="1" thickBot="1" x14ac:dyDescent="0.3">
      <c r="A102" s="406" t="s">
        <v>1130</v>
      </c>
      <c r="B102" s="401" t="s">
        <v>408</v>
      </c>
      <c r="C102" s="425">
        <f>+C103+C111</f>
        <v>0</v>
      </c>
      <c r="D102" s="425">
        <f>+D103+D111</f>
        <v>0</v>
      </c>
      <c r="E102" s="931">
        <f>+E103+E111</f>
        <v>0</v>
      </c>
      <c r="F102" s="931">
        <f>+F103+F111</f>
        <v>0</v>
      </c>
    </row>
    <row r="103" spans="1:6" ht="12" customHeight="1" thickBot="1" x14ac:dyDescent="0.3">
      <c r="A103" s="422" t="s">
        <v>47</v>
      </c>
      <c r="B103" s="581" t="s">
        <v>409</v>
      </c>
      <c r="C103" s="602">
        <f>+C104+C105+C106+C107+C108+C109+C110</f>
        <v>0</v>
      </c>
      <c r="D103" s="602">
        <f>+D104+D105+D106+D107+D108+D109+D110</f>
        <v>0</v>
      </c>
      <c r="E103" s="950">
        <f>+E104+E105+E106+E107+E108+E109+E110</f>
        <v>0</v>
      </c>
      <c r="F103" s="950">
        <f>+F104+F105+F106+F107+F108+F109+F110</f>
        <v>0</v>
      </c>
    </row>
    <row r="104" spans="1:6" ht="12" customHeight="1" x14ac:dyDescent="0.25">
      <c r="A104" s="414" t="s">
        <v>50</v>
      </c>
      <c r="B104" s="415" t="s">
        <v>311</v>
      </c>
      <c r="C104" s="448">
        <f>'1.2.sz.mell. _köt'!C104+'1.3.sz.mell._önk'!C104+'1.4.sz.mell._állig'!C104</f>
        <v>0</v>
      </c>
      <c r="D104" s="448">
        <f>'1.2.sz.mell. _köt'!D104+'1.3.sz.mell._önk'!D104+'1.4.sz.mell._állig'!D104</f>
        <v>0</v>
      </c>
      <c r="E104" s="951">
        <f>'1.2.sz.mell. _köt'!E104+'1.3.sz.mell._önk'!E104+'1.4.sz.mell._állig'!E104</f>
        <v>0</v>
      </c>
      <c r="F104" s="951">
        <f>'1.2.sz.mell. _köt'!F104+'1.3.sz.mell._önk'!F104+'1.4.sz.mell._állig'!F104</f>
        <v>0</v>
      </c>
    </row>
    <row r="105" spans="1:6" ht="12" customHeight="1" x14ac:dyDescent="0.25">
      <c r="A105" s="407" t="s">
        <v>51</v>
      </c>
      <c r="B105" s="402" t="s">
        <v>312</v>
      </c>
      <c r="C105" s="449">
        <f>'1.2.sz.mell. _köt'!C105+'1.3.sz.mell._önk'!C105+'1.4.sz.mell._állig'!C105</f>
        <v>0</v>
      </c>
      <c r="D105" s="449">
        <f>'1.2.sz.mell. _köt'!D105+'1.3.sz.mell._önk'!D105+'1.4.sz.mell._állig'!D105</f>
        <v>0</v>
      </c>
      <c r="E105" s="952">
        <f>'1.2.sz.mell. _köt'!E105+'1.3.sz.mell._önk'!E105+'1.4.sz.mell._állig'!E105</f>
        <v>0</v>
      </c>
      <c r="F105" s="952">
        <f>'1.2.sz.mell. _köt'!F105+'1.3.sz.mell._önk'!F105+'1.4.sz.mell._állig'!F105</f>
        <v>0</v>
      </c>
    </row>
    <row r="106" spans="1:6" ht="12" customHeight="1" x14ac:dyDescent="0.25">
      <c r="A106" s="407" t="s">
        <v>52</v>
      </c>
      <c r="B106" s="402" t="s">
        <v>313</v>
      </c>
      <c r="C106" s="449">
        <f>'1.2.sz.mell. _köt'!C106+'1.3.sz.mell._önk'!C106+'1.4.sz.mell._állig'!C106</f>
        <v>0</v>
      </c>
      <c r="D106" s="449">
        <f>'1.2.sz.mell. _köt'!D106+'1.3.sz.mell._önk'!D106+'1.4.sz.mell._állig'!D106</f>
        <v>0</v>
      </c>
      <c r="E106" s="952">
        <f>'1.2.sz.mell. _köt'!E106+'1.3.sz.mell._önk'!E106+'1.4.sz.mell._állig'!E106</f>
        <v>0</v>
      </c>
      <c r="F106" s="952">
        <f>'1.2.sz.mell. _köt'!F106+'1.3.sz.mell._önk'!F106+'1.4.sz.mell._állig'!F106</f>
        <v>0</v>
      </c>
    </row>
    <row r="107" spans="1:6" ht="12" customHeight="1" x14ac:dyDescent="0.25">
      <c r="A107" s="407" t="s">
        <v>53</v>
      </c>
      <c r="B107" s="402" t="s">
        <v>314</v>
      </c>
      <c r="C107" s="449">
        <f>'1.2.sz.mell. _köt'!C107+'1.3.sz.mell._önk'!C107+'1.4.sz.mell._állig'!C107</f>
        <v>0</v>
      </c>
      <c r="D107" s="449">
        <f>'1.2.sz.mell. _köt'!D107+'1.3.sz.mell._önk'!D107+'1.4.sz.mell._állig'!D107</f>
        <v>0</v>
      </c>
      <c r="E107" s="952">
        <f>'1.2.sz.mell. _köt'!E107+'1.3.sz.mell._önk'!E107+'1.4.sz.mell._állig'!E107</f>
        <v>0</v>
      </c>
      <c r="F107" s="952">
        <f>'1.2.sz.mell. _köt'!F107+'1.3.sz.mell._önk'!F107+'1.4.sz.mell._állig'!F107</f>
        <v>0</v>
      </c>
    </row>
    <row r="108" spans="1:6" ht="12" customHeight="1" x14ac:dyDescent="0.25">
      <c r="A108" s="407" t="s">
        <v>176</v>
      </c>
      <c r="B108" s="402" t="s">
        <v>315</v>
      </c>
      <c r="C108" s="449">
        <f>'1.2.sz.mell. _köt'!C108+'1.3.sz.mell._önk'!C108+'1.4.sz.mell._állig'!C108</f>
        <v>0</v>
      </c>
      <c r="D108" s="449">
        <f>'1.2.sz.mell. _köt'!D108+'1.3.sz.mell._önk'!D108+'1.4.sz.mell._állig'!D108</f>
        <v>0</v>
      </c>
      <c r="E108" s="952">
        <f>'1.2.sz.mell. _köt'!E108+'1.3.sz.mell._önk'!E108+'1.4.sz.mell._állig'!E108</f>
        <v>0</v>
      </c>
      <c r="F108" s="952">
        <f>'1.2.sz.mell. _köt'!F108+'1.3.sz.mell._önk'!F108+'1.4.sz.mell._állig'!F108</f>
        <v>0</v>
      </c>
    </row>
    <row r="109" spans="1:6" ht="12" customHeight="1" x14ac:dyDescent="0.25">
      <c r="A109" s="407" t="s">
        <v>194</v>
      </c>
      <c r="B109" s="402" t="s">
        <v>316</v>
      </c>
      <c r="C109" s="449">
        <f>'1.2.sz.mell. _köt'!C109+'1.3.sz.mell._önk'!C109+'1.4.sz.mell._állig'!C109</f>
        <v>0</v>
      </c>
      <c r="D109" s="449">
        <f>'1.2.sz.mell. _köt'!D109+'1.3.sz.mell._önk'!D109+'1.4.sz.mell._állig'!D109</f>
        <v>0</v>
      </c>
      <c r="E109" s="952">
        <f>'1.2.sz.mell. _köt'!E109+'1.3.sz.mell._önk'!E109+'1.4.sz.mell._állig'!E109</f>
        <v>0</v>
      </c>
      <c r="F109" s="952">
        <f>'1.2.sz.mell. _köt'!F109+'1.3.sz.mell._önk'!F109+'1.4.sz.mell._állig'!F109</f>
        <v>0</v>
      </c>
    </row>
    <row r="110" spans="1:6" ht="12" customHeight="1" thickBot="1" x14ac:dyDescent="0.3">
      <c r="A110" s="416" t="s">
        <v>195</v>
      </c>
      <c r="B110" s="417" t="s">
        <v>317</v>
      </c>
      <c r="C110" s="450">
        <f>'1.2.sz.mell. _köt'!C110+'1.3.sz.mell._önk'!C110+'1.4.sz.mell._állig'!C110</f>
        <v>0</v>
      </c>
      <c r="D110" s="450">
        <f>'1.2.sz.mell. _köt'!D110+'1.3.sz.mell._önk'!D110+'1.4.sz.mell._állig'!D110</f>
        <v>0</v>
      </c>
      <c r="E110" s="953">
        <f>'1.2.sz.mell. _köt'!E110+'1.3.sz.mell._önk'!E110+'1.4.sz.mell._állig'!E110</f>
        <v>0</v>
      </c>
      <c r="F110" s="953">
        <f>'1.2.sz.mell. _köt'!F110+'1.3.sz.mell._önk'!F110+'1.4.sz.mell._állig'!F110</f>
        <v>0</v>
      </c>
    </row>
    <row r="111" spans="1:6" ht="12" customHeight="1" thickBot="1" x14ac:dyDescent="0.3">
      <c r="A111" s="422" t="s">
        <v>48</v>
      </c>
      <c r="B111" s="581" t="s">
        <v>410</v>
      </c>
      <c r="C111" s="602">
        <f>+C112+C113+C114+C115+C116+C117+C118+C119</f>
        <v>0</v>
      </c>
      <c r="D111" s="602">
        <f>+D112+D113+D114+D115+D116+D117+D118+D119</f>
        <v>0</v>
      </c>
      <c r="E111" s="950">
        <f>+E112+E113+E114+E115+E116+E117+E118+E119</f>
        <v>0</v>
      </c>
      <c r="F111" s="950">
        <f>+F112+F113+F114+F115+F116+F117+F118+F119</f>
        <v>0</v>
      </c>
    </row>
    <row r="112" spans="1:6" ht="12" customHeight="1" x14ac:dyDescent="0.25">
      <c r="A112" s="414" t="s">
        <v>56</v>
      </c>
      <c r="B112" s="415" t="s">
        <v>311</v>
      </c>
      <c r="C112" s="448">
        <f>'1.2.sz.mell. _köt'!C112+'1.3.sz.mell._önk'!C112+'1.4.sz.mell._állig'!C112</f>
        <v>0</v>
      </c>
      <c r="D112" s="448">
        <f>'1.2.sz.mell. _köt'!D112+'1.3.sz.mell._önk'!D112+'1.4.sz.mell._állig'!D112</f>
        <v>0</v>
      </c>
      <c r="E112" s="951">
        <f>'1.2.sz.mell. _köt'!E112+'1.3.sz.mell._önk'!E112+'1.4.sz.mell._állig'!E112</f>
        <v>0</v>
      </c>
      <c r="F112" s="951">
        <f>'1.2.sz.mell. _köt'!F112+'1.3.sz.mell._önk'!F112+'1.4.sz.mell._állig'!F112</f>
        <v>0</v>
      </c>
    </row>
    <row r="113" spans="1:9" ht="12" customHeight="1" x14ac:dyDescent="0.25">
      <c r="A113" s="407" t="s">
        <v>57</v>
      </c>
      <c r="B113" s="402" t="s">
        <v>318</v>
      </c>
      <c r="C113" s="449">
        <f>'1.2.sz.mell. _köt'!C113+'1.3.sz.mell._önk'!C113+'1.4.sz.mell._állig'!C113</f>
        <v>0</v>
      </c>
      <c r="D113" s="449">
        <f>'1.2.sz.mell. _köt'!D113+'1.3.sz.mell._önk'!D113+'1.4.sz.mell._állig'!D113</f>
        <v>0</v>
      </c>
      <c r="E113" s="952">
        <f>'1.2.sz.mell. _köt'!E113+'1.3.sz.mell._önk'!E113+'1.4.sz.mell._állig'!E113</f>
        <v>0</v>
      </c>
      <c r="F113" s="952">
        <f>'1.2.sz.mell. _köt'!F113+'1.3.sz.mell._önk'!F113+'1.4.sz.mell._állig'!F113</f>
        <v>0</v>
      </c>
    </row>
    <row r="114" spans="1:9" ht="12" customHeight="1" x14ac:dyDescent="0.25">
      <c r="A114" s="407" t="s">
        <v>58</v>
      </c>
      <c r="B114" s="402" t="s">
        <v>313</v>
      </c>
      <c r="C114" s="449">
        <f>'1.2.sz.mell. _köt'!C114+'1.3.sz.mell._önk'!C114+'1.4.sz.mell._állig'!C114</f>
        <v>0</v>
      </c>
      <c r="D114" s="449">
        <f>'1.2.sz.mell. _köt'!D114+'1.3.sz.mell._önk'!D114+'1.4.sz.mell._állig'!D114</f>
        <v>0</v>
      </c>
      <c r="E114" s="952">
        <f>'1.2.sz.mell. _köt'!E114+'1.3.sz.mell._önk'!E114+'1.4.sz.mell._állig'!E114</f>
        <v>0</v>
      </c>
      <c r="F114" s="952">
        <f>'1.2.sz.mell. _köt'!F114+'1.3.sz.mell._önk'!F114+'1.4.sz.mell._állig'!F114</f>
        <v>0</v>
      </c>
    </row>
    <row r="115" spans="1:9" ht="12" customHeight="1" x14ac:dyDescent="0.25">
      <c r="A115" s="407" t="s">
        <v>59</v>
      </c>
      <c r="B115" s="402" t="s">
        <v>314</v>
      </c>
      <c r="C115" s="449">
        <f>'1.2.sz.mell. _köt'!C115+'1.3.sz.mell._önk'!C115+'1.4.sz.mell._állig'!C115</f>
        <v>0</v>
      </c>
      <c r="D115" s="449">
        <f>'1.2.sz.mell. _köt'!D115+'1.3.sz.mell._önk'!D115+'1.4.sz.mell._állig'!D115</f>
        <v>0</v>
      </c>
      <c r="E115" s="952">
        <f>'1.2.sz.mell. _köt'!E115+'1.3.sz.mell._önk'!E115+'1.4.sz.mell._állig'!E115</f>
        <v>0</v>
      </c>
      <c r="F115" s="952">
        <f>'1.2.sz.mell. _köt'!F115+'1.3.sz.mell._önk'!F115+'1.4.sz.mell._állig'!F115</f>
        <v>0</v>
      </c>
    </row>
    <row r="116" spans="1:9" ht="12" customHeight="1" x14ac:dyDescent="0.25">
      <c r="A116" s="407" t="s">
        <v>177</v>
      </c>
      <c r="B116" s="402" t="s">
        <v>315</v>
      </c>
      <c r="C116" s="449">
        <f>'1.2.sz.mell. _köt'!C116+'1.3.sz.mell._önk'!C116+'1.4.sz.mell._állig'!C116</f>
        <v>0</v>
      </c>
      <c r="D116" s="449">
        <f>'1.2.sz.mell. _köt'!D116+'1.3.sz.mell._önk'!D116+'1.4.sz.mell._állig'!D116</f>
        <v>0</v>
      </c>
      <c r="E116" s="952">
        <f>'1.2.sz.mell. _köt'!E116+'1.3.sz.mell._önk'!E116+'1.4.sz.mell._állig'!E116</f>
        <v>0</v>
      </c>
      <c r="F116" s="952">
        <f>'1.2.sz.mell. _köt'!F116+'1.3.sz.mell._önk'!F116+'1.4.sz.mell._állig'!F116</f>
        <v>0</v>
      </c>
    </row>
    <row r="117" spans="1:9" ht="12" customHeight="1" x14ac:dyDescent="0.25">
      <c r="A117" s="407" t="s">
        <v>196</v>
      </c>
      <c r="B117" s="402" t="s">
        <v>319</v>
      </c>
      <c r="C117" s="449">
        <f>'1.2.sz.mell. _köt'!C117+'1.3.sz.mell._önk'!C117+'1.4.sz.mell._állig'!C117</f>
        <v>0</v>
      </c>
      <c r="D117" s="449">
        <f>'1.2.sz.mell. _köt'!D117+'1.3.sz.mell._önk'!D117+'1.4.sz.mell._állig'!D117</f>
        <v>0</v>
      </c>
      <c r="E117" s="952">
        <f>'1.2.sz.mell. _köt'!E117+'1.3.sz.mell._önk'!E117+'1.4.sz.mell._állig'!E117</f>
        <v>0</v>
      </c>
      <c r="F117" s="952">
        <f>'1.2.sz.mell. _köt'!F117+'1.3.sz.mell._önk'!F117+'1.4.sz.mell._állig'!F117</f>
        <v>0</v>
      </c>
    </row>
    <row r="118" spans="1:9" ht="12" customHeight="1" x14ac:dyDescent="0.25">
      <c r="A118" s="407" t="s">
        <v>197</v>
      </c>
      <c r="B118" s="402" t="s">
        <v>317</v>
      </c>
      <c r="C118" s="449">
        <f>'1.2.sz.mell. _köt'!C118+'1.3.sz.mell._önk'!C118+'1.4.sz.mell._állig'!C118</f>
        <v>0</v>
      </c>
      <c r="D118" s="449">
        <f>'1.2.sz.mell. _köt'!D118+'1.3.sz.mell._önk'!D118+'1.4.sz.mell._állig'!D118</f>
        <v>0</v>
      </c>
      <c r="E118" s="952">
        <f>'1.2.sz.mell. _köt'!E118+'1.3.sz.mell._önk'!E118+'1.4.sz.mell._állig'!E118</f>
        <v>0</v>
      </c>
      <c r="F118" s="952">
        <f>'1.2.sz.mell. _köt'!F118+'1.3.sz.mell._önk'!F118+'1.4.sz.mell._állig'!F118</f>
        <v>0</v>
      </c>
    </row>
    <row r="119" spans="1:9" ht="12" customHeight="1" thickBot="1" x14ac:dyDescent="0.3">
      <c r="A119" s="416" t="s">
        <v>198</v>
      </c>
      <c r="B119" s="417" t="s">
        <v>411</v>
      </c>
      <c r="C119" s="450">
        <f>'1.2.sz.mell. _köt'!C119+'1.3.sz.mell._önk'!C119+'1.4.sz.mell._állig'!C119</f>
        <v>0</v>
      </c>
      <c r="D119" s="450">
        <f>'1.2.sz.mell. _köt'!D119+'1.3.sz.mell._önk'!D119+'1.4.sz.mell._állig'!D119</f>
        <v>0</v>
      </c>
      <c r="E119" s="953">
        <f>'1.2.sz.mell. _köt'!E119+'1.3.sz.mell._önk'!E119+'1.4.sz.mell._állig'!E119</f>
        <v>0</v>
      </c>
      <c r="F119" s="953">
        <f>'1.2.sz.mell. _köt'!F119+'1.3.sz.mell._önk'!F119+'1.4.sz.mell._állig'!F119</f>
        <v>0</v>
      </c>
    </row>
    <row r="120" spans="1:9" ht="12" customHeight="1" thickBot="1" x14ac:dyDescent="0.3">
      <c r="A120" s="406" t="s">
        <v>1131</v>
      </c>
      <c r="B120" s="577" t="s">
        <v>320</v>
      </c>
      <c r="C120" s="442">
        <f>+C101+C102</f>
        <v>272798.55</v>
      </c>
      <c r="D120" s="442">
        <f>+D101+D102</f>
        <v>330788</v>
      </c>
      <c r="E120" s="954">
        <f>+E101+E102</f>
        <v>303986</v>
      </c>
      <c r="F120" s="954">
        <f>+F101+F102</f>
        <v>303986</v>
      </c>
    </row>
    <row r="121" spans="1:9" ht="15" customHeight="1" thickBot="1" x14ac:dyDescent="0.3">
      <c r="A121" s="406" t="s">
        <v>1132</v>
      </c>
      <c r="B121" s="577" t="s">
        <v>321</v>
      </c>
      <c r="C121" s="443"/>
      <c r="D121" s="443"/>
      <c r="E121" s="955"/>
      <c r="F121" s="955"/>
      <c r="G121" s="168"/>
      <c r="H121" s="168"/>
      <c r="I121" s="168"/>
    </row>
    <row r="122" spans="1:9" s="1" customFormat="1" ht="12.95" customHeight="1" thickBot="1" x14ac:dyDescent="0.25">
      <c r="A122" s="418" t="s">
        <v>1133</v>
      </c>
      <c r="B122" s="578" t="s">
        <v>322</v>
      </c>
      <c r="C122" s="436">
        <f>+C120+C121</f>
        <v>272798.55</v>
      </c>
      <c r="D122" s="436">
        <f>+D120+D121</f>
        <v>330788</v>
      </c>
      <c r="E122" s="937">
        <f>+E120+E121</f>
        <v>303986</v>
      </c>
      <c r="F122" s="937">
        <f>+F120+F121</f>
        <v>303986</v>
      </c>
      <c r="H122" s="1">
        <f>'9. sz. mell'!E99+'10. sz. mell.'!E49+'11. sz. mell.'!E48+'12. sz. mell.'!E48-'9. sz. mell'!E93</f>
        <v>330788</v>
      </c>
      <c r="I122" s="1151">
        <f>H122-D122</f>
        <v>0</v>
      </c>
    </row>
    <row r="123" spans="1:9" ht="7.5" customHeight="1" x14ac:dyDescent="0.25">
      <c r="A123" s="582"/>
      <c r="B123" s="582"/>
      <c r="C123" s="583"/>
      <c r="D123" s="583"/>
      <c r="E123" s="956"/>
      <c r="F123" s="956"/>
    </row>
    <row r="124" spans="1:9" x14ac:dyDescent="0.25">
      <c r="A124" s="1214" t="s">
        <v>130</v>
      </c>
      <c r="B124" s="1214"/>
      <c r="C124" s="1214"/>
      <c r="D124" s="48"/>
      <c r="E124" s="924"/>
      <c r="F124" s="924"/>
    </row>
    <row r="125" spans="1:9" ht="15" customHeight="1" thickBot="1" x14ac:dyDescent="0.3">
      <c r="A125" s="1212" t="s">
        <v>123</v>
      </c>
      <c r="B125" s="1212"/>
      <c r="C125" s="445"/>
      <c r="D125" s="445" t="s">
        <v>324</v>
      </c>
      <c r="E125" s="925" t="s">
        <v>324</v>
      </c>
      <c r="F125" s="925" t="s">
        <v>324</v>
      </c>
    </row>
    <row r="126" spans="1:9" ht="13.5" customHeight="1" thickBot="1" x14ac:dyDescent="0.3">
      <c r="A126" s="23">
        <v>1</v>
      </c>
      <c r="B126" s="35" t="s">
        <v>205</v>
      </c>
      <c r="C126" s="444">
        <f>+C51-C101</f>
        <v>-12500.949999999983</v>
      </c>
      <c r="D126" s="425">
        <f>+D51-D101</f>
        <v>-52596.400000000023</v>
      </c>
      <c r="E126" s="931">
        <f>+E51-E101</f>
        <v>-52597.399999999994</v>
      </c>
      <c r="F126" s="931">
        <f>+F51-F101</f>
        <v>-52597.399999999994</v>
      </c>
    </row>
    <row r="127" spans="1:9" ht="7.5" customHeight="1" x14ac:dyDescent="0.25">
      <c r="A127" s="582"/>
      <c r="B127" s="582"/>
      <c r="C127" s="583"/>
      <c r="D127" s="583"/>
      <c r="E127" s="956"/>
      <c r="F127" s="956"/>
    </row>
    <row r="128" spans="1:9" x14ac:dyDescent="0.25">
      <c r="A128" s="1208" t="s">
        <v>323</v>
      </c>
      <c r="B128" s="1208"/>
      <c r="C128" s="1208"/>
      <c r="D128"/>
      <c r="E128" s="957"/>
      <c r="F128" s="957"/>
    </row>
    <row r="129" spans="1:6" ht="12.75" customHeight="1" thickBot="1" x14ac:dyDescent="0.3">
      <c r="A129" s="1211" t="s">
        <v>124</v>
      </c>
      <c r="B129" s="1211"/>
      <c r="C129" s="451"/>
      <c r="D129" s="451" t="s">
        <v>324</v>
      </c>
      <c r="E129" s="958" t="s">
        <v>324</v>
      </c>
      <c r="F129" s="958" t="s">
        <v>324</v>
      </c>
    </row>
    <row r="130" spans="1:6" ht="13.5" customHeight="1" thickBot="1" x14ac:dyDescent="0.3">
      <c r="A130" s="406" t="s">
        <v>1125</v>
      </c>
      <c r="B130" s="419" t="s">
        <v>412</v>
      </c>
      <c r="C130" s="442">
        <f>IF('2.1.sz.mell  '!C32&lt;&gt;"-",'2.1.sz.mell  '!C32,0)</f>
        <v>0.39999999999417923</v>
      </c>
      <c r="D130" s="442">
        <f>IF('2.1.sz.mell  '!D32&lt;&gt;"-",'2.1.sz.mell  '!D32,0)</f>
        <v>0</v>
      </c>
      <c r="E130" s="954" t="str">
        <f>IF('2.1.sz.mell  '!G32&lt;&gt;"-",'2.1.sz.mell  '!G32,0)</f>
        <v>Tárgyévi  többlet:</v>
      </c>
      <c r="F130" s="954">
        <f>IF('2.1.sz.mell  '!H32&lt;&gt;"-",'2.1.sz.mell  '!H32,0)</f>
        <v>0</v>
      </c>
    </row>
    <row r="131" spans="1:6" ht="13.5" customHeight="1" thickBot="1" x14ac:dyDescent="0.3">
      <c r="A131" s="406" t="s">
        <v>1126</v>
      </c>
      <c r="B131" s="419" t="s">
        <v>413</v>
      </c>
      <c r="C131" s="442">
        <f>IF('2.2.sz.mell  '!C36&lt;&gt;"-",'2.2.sz.mell  '!C36,0)</f>
        <v>0.5499999999992724</v>
      </c>
      <c r="D131" s="442">
        <f>IF('2.2.sz.mell  '!D36&lt;&gt;"-",'2.2.sz.mell  '!D36,0)</f>
        <v>0</v>
      </c>
      <c r="E131" s="954" t="str">
        <f>IF('2.2.sz.mell  '!G36&lt;&gt;"-",'2.2.sz.mell  '!G36,0)</f>
        <v>Tárgyévi  többlet:</v>
      </c>
      <c r="F131" s="954">
        <f>IF('2.2.sz.mell  '!H36&lt;&gt;"-",'2.2.sz.mell  '!H36,0)</f>
        <v>0</v>
      </c>
    </row>
    <row r="132" spans="1:6" ht="13.5" customHeight="1" thickBot="1" x14ac:dyDescent="0.3">
      <c r="A132" s="406" t="s">
        <v>1127</v>
      </c>
      <c r="B132" s="419" t="s">
        <v>339</v>
      </c>
      <c r="C132" s="442">
        <f>C131+C130</f>
        <v>0.94999999999345164</v>
      </c>
      <c r="D132" s="442">
        <f>D131+D130</f>
        <v>0</v>
      </c>
      <c r="E132" s="954" t="e">
        <f>E131+E130</f>
        <v>#VALUE!</v>
      </c>
      <c r="F132" s="954">
        <f>F131+F130</f>
        <v>0</v>
      </c>
    </row>
    <row r="133" spans="1:6" ht="7.5" customHeight="1" x14ac:dyDescent="0.25">
      <c r="A133" s="584"/>
      <c r="B133" s="585"/>
      <c r="C133" s="586"/>
      <c r="D133" s="586"/>
      <c r="E133" s="959"/>
      <c r="F133" s="959"/>
    </row>
    <row r="134" spans="1:6" x14ac:dyDescent="0.25">
      <c r="A134" s="1209" t="s">
        <v>325</v>
      </c>
      <c r="B134" s="1209"/>
      <c r="C134" s="1209"/>
      <c r="D134" s="48"/>
      <c r="E134" s="924"/>
      <c r="F134" s="924"/>
    </row>
    <row r="135" spans="1:6" ht="12.75" customHeight="1" thickBot="1" x14ac:dyDescent="0.3">
      <c r="A135" s="1211" t="s">
        <v>326</v>
      </c>
      <c r="B135" s="1211"/>
      <c r="C135" s="451"/>
      <c r="D135" s="451" t="s">
        <v>324</v>
      </c>
      <c r="E135" s="958" t="s">
        <v>324</v>
      </c>
      <c r="F135" s="958" t="s">
        <v>324</v>
      </c>
    </row>
    <row r="136" spans="1:6" ht="12.75" customHeight="1" thickBot="1" x14ac:dyDescent="0.3">
      <c r="A136" s="406" t="s">
        <v>1125</v>
      </c>
      <c r="B136" s="419" t="s">
        <v>414</v>
      </c>
      <c r="C136" s="442">
        <f>+C137-C140</f>
        <v>12500</v>
      </c>
      <c r="D136" s="442">
        <f>+D137-D140</f>
        <v>52597</v>
      </c>
      <c r="E136" s="954">
        <f>+E137-E140</f>
        <v>52597</v>
      </c>
      <c r="F136" s="954">
        <f>+F137-F140</f>
        <v>52597</v>
      </c>
    </row>
    <row r="137" spans="1:6" ht="12.75" customHeight="1" thickBot="1" x14ac:dyDescent="0.3">
      <c r="A137" s="421" t="s">
        <v>60</v>
      </c>
      <c r="B137" s="587" t="s">
        <v>327</v>
      </c>
      <c r="C137" s="601">
        <f>+C52</f>
        <v>12500</v>
      </c>
      <c r="D137" s="601">
        <f>+D52</f>
        <v>52597</v>
      </c>
      <c r="E137" s="960">
        <f>+E52</f>
        <v>52597</v>
      </c>
      <c r="F137" s="960">
        <f>+F52</f>
        <v>52597</v>
      </c>
    </row>
    <row r="138" spans="1:6" s="708" customFormat="1" ht="12.75" customHeight="1" thickBot="1" x14ac:dyDescent="0.25">
      <c r="A138" s="706" t="s">
        <v>206</v>
      </c>
      <c r="B138" s="588" t="s">
        <v>328</v>
      </c>
      <c r="C138" s="709">
        <f>+'2.1.sz.mell  '!C27</f>
        <v>0</v>
      </c>
      <c r="D138" s="709">
        <f>+'2.1.sz.mell  '!D27</f>
        <v>26281</v>
      </c>
      <c r="E138" s="961" t="str">
        <f>+'2.1.sz.mell  '!G27</f>
        <v>Működési célú finanszírozási kiadások összesen (14+...+21)</v>
      </c>
      <c r="F138" s="961">
        <f>+'2.1.sz.mell  '!H27</f>
        <v>0</v>
      </c>
    </row>
    <row r="139" spans="1:6" s="708" customFormat="1" ht="12.75" customHeight="1" thickBot="1" x14ac:dyDescent="0.25">
      <c r="A139" s="706" t="s">
        <v>207</v>
      </c>
      <c r="B139" s="588" t="s">
        <v>329</v>
      </c>
      <c r="C139" s="710">
        <f>+'2.2.sz.mell  '!C31</f>
        <v>12500</v>
      </c>
      <c r="D139" s="710">
        <f>+'2.2.sz.mell  '!D31</f>
        <v>26316</v>
      </c>
      <c r="E139" s="962" t="str">
        <f>+'2.2.sz.mell  '!G31</f>
        <v>Felhalmozási célú finanszírozási kiadások összesen
(14+...+25)</v>
      </c>
      <c r="F139" s="962">
        <f>+'2.2.sz.mell  '!H31</f>
        <v>0</v>
      </c>
    </row>
    <row r="140" spans="1:6" ht="12.75" customHeight="1" thickBot="1" x14ac:dyDescent="0.3">
      <c r="A140" s="421" t="s">
        <v>61</v>
      </c>
      <c r="B140" s="587" t="s">
        <v>330</v>
      </c>
      <c r="C140" s="601">
        <f>+C102</f>
        <v>0</v>
      </c>
      <c r="D140" s="601">
        <f>+D102</f>
        <v>0</v>
      </c>
      <c r="E140" s="960">
        <f>+E102</f>
        <v>0</v>
      </c>
      <c r="F140" s="960">
        <f>+F102</f>
        <v>0</v>
      </c>
    </row>
    <row r="141" spans="1:6" s="708" customFormat="1" ht="12.75" customHeight="1" thickBot="1" x14ac:dyDescent="0.25">
      <c r="A141" s="706" t="s">
        <v>208</v>
      </c>
      <c r="B141" s="588" t="s">
        <v>331</v>
      </c>
      <c r="C141" s="707">
        <f>+'2.1.sz.mell  '!H27</f>
        <v>0</v>
      </c>
      <c r="D141" s="707">
        <f>+'2.1.sz.mell  '!I27</f>
        <v>0</v>
      </c>
      <c r="E141" s="963">
        <f>+'2.1.sz.mell  '!L27</f>
        <v>0</v>
      </c>
      <c r="F141" s="963">
        <f>+'2.1.sz.mell  '!M27</f>
        <v>0</v>
      </c>
    </row>
    <row r="142" spans="1:6" s="708" customFormat="1" ht="12.75" customHeight="1" thickBot="1" x14ac:dyDescent="0.25">
      <c r="A142" s="706" t="s">
        <v>209</v>
      </c>
      <c r="B142" s="588" t="s">
        <v>332</v>
      </c>
      <c r="C142" s="707">
        <f>+'2.2.sz.mell  '!H31</f>
        <v>0</v>
      </c>
      <c r="D142" s="707">
        <f>+'2.2.sz.mell  '!I31</f>
        <v>11</v>
      </c>
      <c r="E142" s="963">
        <f>+'2.2.sz.mell  '!L31</f>
        <v>0</v>
      </c>
      <c r="F142" s="963">
        <f>+'2.2.sz.mell  '!M31</f>
        <v>0</v>
      </c>
    </row>
  </sheetData>
  <mergeCells count="10">
    <mergeCell ref="A128:C128"/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</mergeCells>
  <phoneticPr fontId="0" type="noConversion"/>
  <printOptions horizontalCentered="1"/>
  <pageMargins left="0.59055118110236227" right="0.59055118110236227" top="0.86614173228346458" bottom="0.55118110236220474" header="0.39370078740157483" footer="0.39370078740157483"/>
  <pageSetup paperSize="9" scale="75" fitToHeight="2" orientation="portrait" r:id="rId1"/>
  <headerFooter alignWithMargins="0">
    <oddHeader>&amp;C&amp;"Times New Roman CE,Félkövér"&amp;12
Csobánka Község Önkormányzat2013. ÉVI KÖLTSÉGVETÉSÉNEK ÖSSZEVONT MÉRLEGE&amp;R&amp;"Times New Roman CE,Félkövér dőlt"&amp;11 &amp;"Times New Roman CE,Félkövér"1.1. melléklet az 5/2014. (III.6.) önkormányzati rendelethez</oddHeader>
  </headerFooter>
  <rowBreaks count="1" manualBreakCount="1">
    <brk id="6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27"/>
  <sheetViews>
    <sheetView view="pageLayout" zoomScaleNormal="120" zoomScaleSheetLayoutView="100" workbookViewId="0">
      <selection sqref="A1:C1"/>
    </sheetView>
  </sheetViews>
  <sheetFormatPr defaultColWidth="9.33203125" defaultRowHeight="15.75" x14ac:dyDescent="0.25"/>
  <cols>
    <col min="1" max="1" width="9" style="589" customWidth="1"/>
    <col min="2" max="2" width="91.6640625" style="589" customWidth="1"/>
    <col min="3" max="4" width="14.83203125" style="590" customWidth="1"/>
    <col min="5" max="6" width="14.83203125" style="590" hidden="1" customWidth="1"/>
    <col min="7" max="16384" width="9.33203125" style="48"/>
  </cols>
  <sheetData>
    <row r="1" spans="1:6" ht="15.95" customHeight="1" x14ac:dyDescent="0.25">
      <c r="A1" s="1210" t="s">
        <v>1122</v>
      </c>
      <c r="B1" s="1210"/>
      <c r="C1" s="1210"/>
      <c r="D1" s="48"/>
      <c r="E1" s="48"/>
      <c r="F1" s="48"/>
    </row>
    <row r="2" spans="1:6" ht="15.95" customHeight="1" thickBot="1" x14ac:dyDescent="0.3">
      <c r="A2" s="1212" t="s">
        <v>121</v>
      </c>
      <c r="B2" s="1212"/>
      <c r="C2" s="445"/>
      <c r="D2" s="445" t="s">
        <v>324</v>
      </c>
      <c r="E2" s="445"/>
      <c r="F2" s="445" t="s">
        <v>324</v>
      </c>
    </row>
    <row r="3" spans="1:6" ht="38.1" customHeight="1" thickBot="1" x14ac:dyDescent="0.3">
      <c r="A3" s="28" t="s">
        <v>19</v>
      </c>
      <c r="B3" s="29" t="s">
        <v>1124</v>
      </c>
      <c r="C3" s="49" t="s">
        <v>302</v>
      </c>
      <c r="D3" s="49" t="s">
        <v>776</v>
      </c>
      <c r="E3" s="49" t="s">
        <v>1172</v>
      </c>
      <c r="F3" s="49" t="s">
        <v>1171</v>
      </c>
    </row>
    <row r="4" spans="1:6" s="50" customFormat="1" ht="12" customHeight="1" thickBot="1" x14ac:dyDescent="0.25">
      <c r="A4" s="42">
        <v>1</v>
      </c>
      <c r="B4" s="43">
        <v>2</v>
      </c>
      <c r="C4" s="44">
        <v>3</v>
      </c>
      <c r="D4" s="44">
        <v>3</v>
      </c>
      <c r="E4" s="44">
        <v>3</v>
      </c>
      <c r="F4" s="44">
        <v>3</v>
      </c>
    </row>
    <row r="5" spans="1:6" s="1" customFormat="1" ht="12" customHeight="1" thickBot="1" x14ac:dyDescent="0.25">
      <c r="A5" s="25" t="s">
        <v>1125</v>
      </c>
      <c r="B5" s="24" t="s">
        <v>147</v>
      </c>
      <c r="C5" s="424">
        <f>+C6+C11+C20</f>
        <v>127373</v>
      </c>
      <c r="D5" s="424">
        <f>+D6+D11+D20</f>
        <v>116626</v>
      </c>
      <c r="E5" s="424">
        <f>+E6+E11+E20</f>
        <v>116624</v>
      </c>
      <c r="F5" s="424">
        <f>+F6+F11+F20</f>
        <v>116624</v>
      </c>
    </row>
    <row r="6" spans="1:6" s="1" customFormat="1" ht="12" customHeight="1" thickBot="1" x14ac:dyDescent="0.25">
      <c r="A6" s="23" t="s">
        <v>1126</v>
      </c>
      <c r="B6" s="401" t="s">
        <v>401</v>
      </c>
      <c r="C6" s="360">
        <f>+C7+C8+C9+C10</f>
        <v>103387</v>
      </c>
      <c r="D6" s="360">
        <f>+D7+D8+D9+D10</f>
        <v>92761</v>
      </c>
      <c r="E6" s="360">
        <f>+E7+E8+E9+E10</f>
        <v>92761</v>
      </c>
      <c r="F6" s="360">
        <f>+F7+F8+F9+F10</f>
        <v>92761</v>
      </c>
    </row>
    <row r="7" spans="1:6" s="1" customFormat="1" ht="12" customHeight="1" x14ac:dyDescent="0.2">
      <c r="A7" s="16" t="s">
        <v>66</v>
      </c>
      <c r="B7" s="571" t="s">
        <v>1169</v>
      </c>
      <c r="C7" s="361">
        <f>100698-958</f>
        <v>99740</v>
      </c>
      <c r="D7" s="361">
        <f>90506-958</f>
        <v>89548</v>
      </c>
      <c r="E7" s="361">
        <f>90506-958</f>
        <v>89548</v>
      </c>
      <c r="F7" s="361">
        <f>90506-958</f>
        <v>89548</v>
      </c>
    </row>
    <row r="8" spans="1:6" s="1" customFormat="1" ht="12" customHeight="1" x14ac:dyDescent="0.2">
      <c r="A8" s="16" t="s">
        <v>67</v>
      </c>
      <c r="B8" s="415" t="s">
        <v>35</v>
      </c>
      <c r="C8" s="361"/>
      <c r="D8" s="361"/>
      <c r="E8" s="361"/>
      <c r="F8" s="361"/>
    </row>
    <row r="9" spans="1:6" s="1" customFormat="1" ht="12" customHeight="1" x14ac:dyDescent="0.2">
      <c r="A9" s="16" t="s">
        <v>68</v>
      </c>
      <c r="B9" s="415" t="s">
        <v>148</v>
      </c>
      <c r="C9" s="361">
        <v>3412</v>
      </c>
      <c r="D9" s="361">
        <v>3072</v>
      </c>
      <c r="E9" s="361">
        <v>3072</v>
      </c>
      <c r="F9" s="361">
        <v>3072</v>
      </c>
    </row>
    <row r="10" spans="1:6" s="1" customFormat="1" ht="12" customHeight="1" thickBot="1" x14ac:dyDescent="0.25">
      <c r="A10" s="16" t="s">
        <v>69</v>
      </c>
      <c r="B10" s="572" t="s">
        <v>149</v>
      </c>
      <c r="C10" s="361">
        <v>235</v>
      </c>
      <c r="D10" s="361">
        <v>141</v>
      </c>
      <c r="E10" s="361">
        <v>141</v>
      </c>
      <c r="F10" s="361">
        <v>141</v>
      </c>
    </row>
    <row r="11" spans="1:6" s="1" customFormat="1" ht="12" customHeight="1" thickBot="1" x14ac:dyDescent="0.25">
      <c r="A11" s="23" t="s">
        <v>1127</v>
      </c>
      <c r="B11" s="24" t="s">
        <v>150</v>
      </c>
      <c r="C11" s="425">
        <f>+C12+C13+C14+C15+C16+C17+C18+C19</f>
        <v>13987</v>
      </c>
      <c r="D11" s="425">
        <f>+D12+D13+D14+D15+D16+D17+D18+D19</f>
        <v>14388</v>
      </c>
      <c r="E11" s="425">
        <f>+E12+E13+E14+E15+E16+E17+E18+E19</f>
        <v>14386</v>
      </c>
      <c r="F11" s="425">
        <f>+F12+F13+F14+F15+F16+F17+F18+F19</f>
        <v>14386</v>
      </c>
    </row>
    <row r="12" spans="1:6" s="1" customFormat="1" ht="12" customHeight="1" x14ac:dyDescent="0.2">
      <c r="A12" s="20" t="s">
        <v>40</v>
      </c>
      <c r="B12" s="12" t="s">
        <v>155</v>
      </c>
      <c r="C12" s="426"/>
      <c r="D12" s="426"/>
      <c r="E12" s="426"/>
      <c r="F12" s="426"/>
    </row>
    <row r="13" spans="1:6" s="1" customFormat="1" ht="12" customHeight="1" x14ac:dyDescent="0.2">
      <c r="A13" s="16" t="s">
        <v>41</v>
      </c>
      <c r="B13" s="9" t="s">
        <v>156</v>
      </c>
      <c r="C13" s="361"/>
      <c r="D13" s="361"/>
      <c r="E13" s="361"/>
      <c r="F13" s="361"/>
    </row>
    <row r="14" spans="1:6" s="1" customFormat="1" ht="12" customHeight="1" x14ac:dyDescent="0.2">
      <c r="A14" s="16" t="s">
        <v>42</v>
      </c>
      <c r="B14" s="9" t="s">
        <v>157</v>
      </c>
      <c r="C14" s="361">
        <v>6810</v>
      </c>
      <c r="D14" s="361">
        <f>6811+1</f>
        <v>6812</v>
      </c>
      <c r="E14" s="361">
        <f>6810</f>
        <v>6810</v>
      </c>
      <c r="F14" s="361">
        <f>6810</f>
        <v>6810</v>
      </c>
    </row>
    <row r="15" spans="1:6" s="1" customFormat="1" ht="12" customHeight="1" x14ac:dyDescent="0.2">
      <c r="A15" s="16" t="s">
        <v>43</v>
      </c>
      <c r="B15" s="9" t="s">
        <v>158</v>
      </c>
      <c r="C15" s="427">
        <v>5651</v>
      </c>
      <c r="D15" s="427">
        <v>5650</v>
      </c>
      <c r="E15" s="427">
        <v>5650</v>
      </c>
      <c r="F15" s="427">
        <v>5650</v>
      </c>
    </row>
    <row r="16" spans="1:6" s="1" customFormat="1" ht="12" customHeight="1" x14ac:dyDescent="0.2">
      <c r="A16" s="15" t="s">
        <v>151</v>
      </c>
      <c r="B16" s="8" t="s">
        <v>159</v>
      </c>
      <c r="C16" s="428"/>
      <c r="D16" s="428"/>
      <c r="E16" s="428"/>
      <c r="F16" s="428"/>
    </row>
    <row r="17" spans="1:6" s="1" customFormat="1" ht="12" customHeight="1" x14ac:dyDescent="0.2">
      <c r="A17" s="16" t="s">
        <v>152</v>
      </c>
      <c r="B17" s="9" t="s">
        <v>263</v>
      </c>
      <c r="C17" s="427">
        <v>1526</v>
      </c>
      <c r="D17" s="427">
        <v>1526</v>
      </c>
      <c r="E17" s="427">
        <v>1526</v>
      </c>
      <c r="F17" s="427">
        <v>1526</v>
      </c>
    </row>
    <row r="18" spans="1:6" s="1" customFormat="1" ht="12" customHeight="1" x14ac:dyDescent="0.2">
      <c r="A18" s="16" t="s">
        <v>153</v>
      </c>
      <c r="B18" s="9" t="s">
        <v>161</v>
      </c>
      <c r="C18" s="427"/>
      <c r="D18" s="427"/>
      <c r="E18" s="427"/>
      <c r="F18" s="427"/>
    </row>
    <row r="19" spans="1:6" s="1" customFormat="1" ht="12" customHeight="1" thickBot="1" x14ac:dyDescent="0.25">
      <c r="A19" s="17" t="s">
        <v>154</v>
      </c>
      <c r="B19" s="10" t="s">
        <v>162</v>
      </c>
      <c r="C19" s="429"/>
      <c r="D19" s="429">
        <v>400</v>
      </c>
      <c r="E19" s="429">
        <v>400</v>
      </c>
      <c r="F19" s="429">
        <v>400</v>
      </c>
    </row>
    <row r="20" spans="1:6" s="1" customFormat="1" ht="12" customHeight="1" thickBot="1" x14ac:dyDescent="0.25">
      <c r="A20" s="23" t="s">
        <v>163</v>
      </c>
      <c r="B20" s="24" t="s">
        <v>264</v>
      </c>
      <c r="C20" s="430">
        <v>9999</v>
      </c>
      <c r="D20" s="430">
        <v>9477</v>
      </c>
      <c r="E20" s="430">
        <v>9477</v>
      </c>
      <c r="F20" s="430">
        <v>9477</v>
      </c>
    </row>
    <row r="21" spans="1:6" s="1" customFormat="1" ht="12" customHeight="1" thickBot="1" x14ac:dyDescent="0.25">
      <c r="A21" s="23" t="s">
        <v>1129</v>
      </c>
      <c r="B21" s="24" t="s">
        <v>165</v>
      </c>
      <c r="C21" s="425">
        <f>+C22+C23+C24+C25+C26+C27+C28+C29</f>
        <v>85822</v>
      </c>
      <c r="D21" s="425">
        <f>+D22+D23+D24+D25+D26+D27+D28+D29</f>
        <v>104232</v>
      </c>
      <c r="E21" s="425">
        <f>+E22+E23+E24+E25+E26+E27+E28+E29</f>
        <v>86472</v>
      </c>
      <c r="F21" s="425">
        <f>+F22+F23+F24+F25+F26+F27+F28+F29</f>
        <v>86472</v>
      </c>
    </row>
    <row r="22" spans="1:6" s="1" customFormat="1" ht="12" customHeight="1" x14ac:dyDescent="0.2">
      <c r="A22" s="18" t="s">
        <v>44</v>
      </c>
      <c r="B22" s="11" t="s">
        <v>1053</v>
      </c>
      <c r="C22" s="431">
        <f>118553-32731</f>
        <v>85822</v>
      </c>
      <c r="D22" s="431">
        <f>122086-32731</f>
        <v>89355</v>
      </c>
      <c r="E22" s="431">
        <f>119203-32731</f>
        <v>86472</v>
      </c>
      <c r="F22" s="431">
        <f>119203-32731</f>
        <v>86472</v>
      </c>
    </row>
    <row r="23" spans="1:6" s="1" customFormat="1" ht="12" customHeight="1" x14ac:dyDescent="0.2">
      <c r="A23" s="16" t="s">
        <v>45</v>
      </c>
      <c r="B23" s="9" t="s">
        <v>171</v>
      </c>
      <c r="C23" s="427"/>
      <c r="D23" s="427">
        <v>5457</v>
      </c>
      <c r="E23" s="427"/>
      <c r="F23" s="427"/>
    </row>
    <row r="24" spans="1:6" s="1" customFormat="1" ht="12" customHeight="1" x14ac:dyDescent="0.2">
      <c r="A24" s="16" t="s">
        <v>46</v>
      </c>
      <c r="B24" s="9" t="s">
        <v>49</v>
      </c>
      <c r="C24" s="427"/>
      <c r="D24" s="427"/>
      <c r="E24" s="427"/>
      <c r="F24" s="427"/>
    </row>
    <row r="25" spans="1:6" s="1" customFormat="1" ht="12" customHeight="1" x14ac:dyDescent="0.2">
      <c r="A25" s="19" t="s">
        <v>166</v>
      </c>
      <c r="B25" s="9" t="s">
        <v>1221</v>
      </c>
      <c r="C25" s="432"/>
      <c r="D25" s="432">
        <v>9420</v>
      </c>
      <c r="E25" s="432"/>
      <c r="F25" s="432"/>
    </row>
    <row r="26" spans="1:6" s="1" customFormat="1" ht="12" customHeight="1" x14ac:dyDescent="0.2">
      <c r="A26" s="19" t="s">
        <v>167</v>
      </c>
      <c r="B26" s="9" t="s">
        <v>173</v>
      </c>
      <c r="C26" s="432"/>
      <c r="D26" s="432"/>
      <c r="E26" s="432"/>
      <c r="F26" s="432"/>
    </row>
    <row r="27" spans="1:6" s="1" customFormat="1" ht="12" customHeight="1" x14ac:dyDescent="0.2">
      <c r="A27" s="16" t="s">
        <v>168</v>
      </c>
      <c r="B27" s="9" t="s">
        <v>174</v>
      </c>
      <c r="C27" s="427"/>
      <c r="D27" s="427"/>
      <c r="E27" s="427"/>
      <c r="F27" s="427"/>
    </row>
    <row r="28" spans="1:6" s="1" customFormat="1" ht="12" customHeight="1" x14ac:dyDescent="0.2">
      <c r="A28" s="16" t="s">
        <v>169</v>
      </c>
      <c r="B28" s="9" t="s">
        <v>265</v>
      </c>
      <c r="C28" s="433"/>
      <c r="D28" s="433"/>
      <c r="E28" s="433"/>
      <c r="F28" s="433"/>
    </row>
    <row r="29" spans="1:6" s="1" customFormat="1" ht="12" customHeight="1" thickBot="1" x14ac:dyDescent="0.25">
      <c r="A29" s="16" t="s">
        <v>170</v>
      </c>
      <c r="B29" s="14" t="s">
        <v>175</v>
      </c>
      <c r="C29" s="433"/>
      <c r="D29" s="433"/>
      <c r="E29" s="433"/>
      <c r="F29" s="433"/>
    </row>
    <row r="30" spans="1:6" s="1" customFormat="1" ht="12" customHeight="1" thickBot="1" x14ac:dyDescent="0.25">
      <c r="A30" s="394" t="s">
        <v>1130</v>
      </c>
      <c r="B30" s="24" t="s">
        <v>402</v>
      </c>
      <c r="C30" s="360">
        <f>+C31+C37</f>
        <v>13014</v>
      </c>
      <c r="D30" s="360">
        <f>+D31+D37</f>
        <v>16170</v>
      </c>
      <c r="E30" s="360">
        <f>+E31+E37</f>
        <v>13804</v>
      </c>
      <c r="F30" s="360">
        <f>+F31+F37</f>
        <v>13804</v>
      </c>
    </row>
    <row r="31" spans="1:6" s="1" customFormat="1" ht="12" customHeight="1" x14ac:dyDescent="0.2">
      <c r="A31" s="395" t="s">
        <v>47</v>
      </c>
      <c r="B31" s="573" t="s">
        <v>403</v>
      </c>
      <c r="C31" s="392">
        <f>+C32+C33+C34+C35+C36</f>
        <v>11561</v>
      </c>
      <c r="D31" s="392">
        <f>+D32+D33+D34+D35+D36</f>
        <v>14717</v>
      </c>
      <c r="E31" s="392">
        <f>+E32+E33+E34+E35+E36</f>
        <v>12351</v>
      </c>
      <c r="F31" s="392">
        <f>+F32+F33+F34+F35+F36</f>
        <v>12351</v>
      </c>
    </row>
    <row r="32" spans="1:6" s="1" customFormat="1" ht="12" customHeight="1" x14ac:dyDescent="0.2">
      <c r="A32" s="396" t="s">
        <v>50</v>
      </c>
      <c r="B32" s="402" t="s">
        <v>266</v>
      </c>
      <c r="C32" s="365">
        <v>4019</v>
      </c>
      <c r="D32" s="365">
        <v>4019</v>
      </c>
      <c r="E32" s="365">
        <v>4019</v>
      </c>
      <c r="F32" s="365">
        <v>4019</v>
      </c>
    </row>
    <row r="33" spans="1:6" s="1" customFormat="1" ht="12" customHeight="1" x14ac:dyDescent="0.2">
      <c r="A33" s="396" t="s">
        <v>51</v>
      </c>
      <c r="B33" s="402" t="s">
        <v>267</v>
      </c>
      <c r="C33" s="365"/>
      <c r="D33" s="365"/>
      <c r="E33" s="365"/>
      <c r="F33" s="365"/>
    </row>
    <row r="34" spans="1:6" s="1" customFormat="1" ht="12" customHeight="1" x14ac:dyDescent="0.2">
      <c r="A34" s="396" t="s">
        <v>52</v>
      </c>
      <c r="B34" s="402" t="s">
        <v>268</v>
      </c>
      <c r="C34" s="365"/>
      <c r="D34" s="365"/>
      <c r="E34" s="365"/>
      <c r="F34" s="365"/>
    </row>
    <row r="35" spans="1:6" s="1" customFormat="1" ht="12" customHeight="1" x14ac:dyDescent="0.2">
      <c r="A35" s="396" t="s">
        <v>53</v>
      </c>
      <c r="B35" s="402" t="s">
        <v>269</v>
      </c>
      <c r="C35" s="365"/>
      <c r="D35" s="365"/>
      <c r="E35" s="365"/>
      <c r="F35" s="365"/>
    </row>
    <row r="36" spans="1:6" s="1" customFormat="1" ht="12" customHeight="1" x14ac:dyDescent="0.2">
      <c r="A36" s="396" t="s">
        <v>176</v>
      </c>
      <c r="B36" s="402" t="s">
        <v>404</v>
      </c>
      <c r="C36" s="365">
        <f>4874+2668</f>
        <v>7542</v>
      </c>
      <c r="D36" s="365">
        <v>10698</v>
      </c>
      <c r="E36" s="365">
        <v>8332</v>
      </c>
      <c r="F36" s="365">
        <v>8332</v>
      </c>
    </row>
    <row r="37" spans="1:6" s="1" customFormat="1" ht="12" customHeight="1" x14ac:dyDescent="0.2">
      <c r="A37" s="396" t="s">
        <v>48</v>
      </c>
      <c r="B37" s="403" t="s">
        <v>405</v>
      </c>
      <c r="C37" s="391">
        <f>+C38+C39+C40+C41+C42</f>
        <v>1453</v>
      </c>
      <c r="D37" s="391">
        <f>+D38+D39+D40+D41+D42</f>
        <v>1453</v>
      </c>
      <c r="E37" s="391">
        <f>+E38+E39+E40+E41+E42</f>
        <v>1453</v>
      </c>
      <c r="F37" s="391">
        <f>+F38+F39+F40+F41+F42</f>
        <v>1453</v>
      </c>
    </row>
    <row r="38" spans="1:6" s="1" customFormat="1" ht="12" customHeight="1" x14ac:dyDescent="0.2">
      <c r="A38" s="396" t="s">
        <v>56</v>
      </c>
      <c r="B38" s="402" t="s">
        <v>266</v>
      </c>
      <c r="C38" s="365"/>
      <c r="D38" s="365"/>
      <c r="E38" s="365"/>
      <c r="F38" s="365"/>
    </row>
    <row r="39" spans="1:6" s="1" customFormat="1" ht="12" customHeight="1" x14ac:dyDescent="0.2">
      <c r="A39" s="396" t="s">
        <v>57</v>
      </c>
      <c r="B39" s="402" t="s">
        <v>267</v>
      </c>
      <c r="C39" s="365"/>
      <c r="D39" s="365"/>
      <c r="E39" s="365"/>
      <c r="F39" s="365"/>
    </row>
    <row r="40" spans="1:6" s="1" customFormat="1" ht="12" customHeight="1" x14ac:dyDescent="0.2">
      <c r="A40" s="396" t="s">
        <v>58</v>
      </c>
      <c r="B40" s="402" t="s">
        <v>268</v>
      </c>
      <c r="C40" s="365"/>
      <c r="D40" s="365"/>
      <c r="E40" s="365"/>
      <c r="F40" s="365"/>
    </row>
    <row r="41" spans="1:6" s="1" customFormat="1" ht="12" customHeight="1" x14ac:dyDescent="0.2">
      <c r="A41" s="396" t="s">
        <v>59</v>
      </c>
      <c r="B41" s="404" t="s">
        <v>269</v>
      </c>
      <c r="C41" s="365">
        <v>1453</v>
      </c>
      <c r="D41" s="365">
        <v>1453</v>
      </c>
      <c r="E41" s="365">
        <v>1453</v>
      </c>
      <c r="F41" s="365">
        <v>1453</v>
      </c>
    </row>
    <row r="42" spans="1:6" s="1" customFormat="1" ht="12" customHeight="1" thickBot="1" x14ac:dyDescent="0.25">
      <c r="A42" s="397" t="s">
        <v>177</v>
      </c>
      <c r="B42" s="405" t="s">
        <v>406</v>
      </c>
      <c r="C42" s="366"/>
      <c r="D42" s="366"/>
      <c r="E42" s="366"/>
      <c r="F42" s="366"/>
    </row>
    <row r="43" spans="1:6" s="1" customFormat="1" ht="12" customHeight="1" thickBot="1" x14ac:dyDescent="0.25">
      <c r="A43" s="23" t="s">
        <v>178</v>
      </c>
      <c r="B43" s="574" t="s">
        <v>270</v>
      </c>
      <c r="C43" s="360">
        <f>+C44+C45</f>
        <v>0</v>
      </c>
      <c r="D43" s="360">
        <f>+D44+D45</f>
        <v>400</v>
      </c>
      <c r="E43" s="360">
        <f>+E44+E45</f>
        <v>400</v>
      </c>
      <c r="F43" s="360">
        <f>+F44+F45</f>
        <v>400</v>
      </c>
    </row>
    <row r="44" spans="1:6" s="1" customFormat="1" ht="12" customHeight="1" x14ac:dyDescent="0.2">
      <c r="A44" s="18" t="s">
        <v>54</v>
      </c>
      <c r="B44" s="415" t="s">
        <v>271</v>
      </c>
      <c r="C44" s="363"/>
      <c r="D44" s="363">
        <v>400</v>
      </c>
      <c r="E44" s="363">
        <v>400</v>
      </c>
      <c r="F44" s="363">
        <v>400</v>
      </c>
    </row>
    <row r="45" spans="1:6" s="1" customFormat="1" ht="12" customHeight="1" thickBot="1" x14ac:dyDescent="0.25">
      <c r="A45" s="15" t="s">
        <v>55</v>
      </c>
      <c r="B45" s="410" t="s">
        <v>275</v>
      </c>
      <c r="C45" s="362"/>
      <c r="D45" s="362"/>
      <c r="E45" s="362"/>
      <c r="F45" s="362"/>
    </row>
    <row r="46" spans="1:6" s="1" customFormat="1" ht="12" customHeight="1" thickBot="1" x14ac:dyDescent="0.25">
      <c r="A46" s="23" t="s">
        <v>1132</v>
      </c>
      <c r="B46" s="574" t="s">
        <v>274</v>
      </c>
      <c r="C46" s="360">
        <f>+C47+C48+C49</f>
        <v>400</v>
      </c>
      <c r="D46" s="360">
        <f>+D47+D48+D49</f>
        <v>7075</v>
      </c>
      <c r="E46" s="360">
        <f>+E47+E48+E49</f>
        <v>400</v>
      </c>
      <c r="F46" s="360">
        <f>+F47+F48+F49</f>
        <v>400</v>
      </c>
    </row>
    <row r="47" spans="1:6" s="1" customFormat="1" ht="12" customHeight="1" x14ac:dyDescent="0.2">
      <c r="A47" s="18" t="s">
        <v>181</v>
      </c>
      <c r="B47" s="415" t="s">
        <v>179</v>
      </c>
      <c r="C47" s="393"/>
      <c r="D47" s="393"/>
      <c r="E47" s="393"/>
      <c r="F47" s="393"/>
    </row>
    <row r="48" spans="1:6" s="1" customFormat="1" ht="12" customHeight="1" x14ac:dyDescent="0.2">
      <c r="A48" s="16" t="s">
        <v>182</v>
      </c>
      <c r="B48" s="402" t="s">
        <v>180</v>
      </c>
      <c r="C48" s="433">
        <v>400</v>
      </c>
      <c r="D48" s="433">
        <f>400+6675</f>
        <v>7075</v>
      </c>
      <c r="E48" s="433">
        <v>400</v>
      </c>
      <c r="F48" s="433">
        <v>400</v>
      </c>
    </row>
    <row r="49" spans="1:6" s="1" customFormat="1" ht="12" customHeight="1" thickBot="1" x14ac:dyDescent="0.25">
      <c r="A49" s="15" t="s">
        <v>333</v>
      </c>
      <c r="B49" s="410" t="s">
        <v>272</v>
      </c>
      <c r="C49" s="367"/>
      <c r="D49" s="367"/>
      <c r="E49" s="367"/>
      <c r="F49" s="367"/>
    </row>
    <row r="50" spans="1:6" s="1" customFormat="1" ht="17.25" customHeight="1" thickBot="1" x14ac:dyDescent="0.25">
      <c r="A50" s="23" t="s">
        <v>183</v>
      </c>
      <c r="B50" s="575" t="s">
        <v>273</v>
      </c>
      <c r="C50" s="434"/>
      <c r="D50" s="434"/>
      <c r="E50" s="434"/>
      <c r="F50" s="434"/>
    </row>
    <row r="51" spans="1:6" s="1" customFormat="1" ht="12" customHeight="1" thickBot="1" x14ac:dyDescent="0.25">
      <c r="A51" s="23" t="s">
        <v>1134</v>
      </c>
      <c r="B51" s="27" t="s">
        <v>184</v>
      </c>
      <c r="C51" s="435">
        <f>+C6+C11+C20+C21+C30+C43+C46+C50</f>
        <v>226609</v>
      </c>
      <c r="D51" s="435">
        <f>+D6+D11+D20+D21+D30+D43+D46+D50</f>
        <v>244503</v>
      </c>
      <c r="E51" s="435">
        <f>+E6+E11+E20+E21+E30+E43+E46+E50</f>
        <v>217700</v>
      </c>
      <c r="F51" s="435">
        <f>+F6+F11+F20+F21+F30+F43+F46+F50</f>
        <v>217700</v>
      </c>
    </row>
    <row r="52" spans="1:6" s="1" customFormat="1" ht="12" customHeight="1" thickBot="1" x14ac:dyDescent="0.25">
      <c r="A52" s="406" t="s">
        <v>1135</v>
      </c>
      <c r="B52" s="401" t="s">
        <v>276</v>
      </c>
      <c r="C52" s="436">
        <f>+C53+C59</f>
        <v>12500</v>
      </c>
      <c r="D52" s="436">
        <f>+D53+D59</f>
        <v>52597</v>
      </c>
      <c r="E52" s="436">
        <f>+E53+E59</f>
        <v>52597</v>
      </c>
      <c r="F52" s="436">
        <f>+F53+F59</f>
        <v>52597</v>
      </c>
    </row>
    <row r="53" spans="1:6" s="1" customFormat="1" ht="12" customHeight="1" x14ac:dyDescent="0.2">
      <c r="A53" s="576" t="s">
        <v>114</v>
      </c>
      <c r="B53" s="573" t="s">
        <v>277</v>
      </c>
      <c r="C53" s="437">
        <f>+C54+C55+C56+C57+C58</f>
        <v>12500</v>
      </c>
      <c r="D53" s="437">
        <f>+D54+D55+D56+D57+D58</f>
        <v>52597</v>
      </c>
      <c r="E53" s="437">
        <f>+E54+E55+E56+E57+E58</f>
        <v>52597</v>
      </c>
      <c r="F53" s="437">
        <f>+F54+F55+F56+F57+F58</f>
        <v>52597</v>
      </c>
    </row>
    <row r="54" spans="1:6" s="1" customFormat="1" ht="12" customHeight="1" x14ac:dyDescent="0.2">
      <c r="A54" s="407" t="s">
        <v>292</v>
      </c>
      <c r="B54" s="402" t="s">
        <v>278</v>
      </c>
      <c r="C54" s="433">
        <v>12500</v>
      </c>
      <c r="D54" s="433">
        <v>52597</v>
      </c>
      <c r="E54" s="433">
        <v>52597</v>
      </c>
      <c r="F54" s="433">
        <v>52597</v>
      </c>
    </row>
    <row r="55" spans="1:6" s="1" customFormat="1" ht="12" customHeight="1" x14ac:dyDescent="0.2">
      <c r="A55" s="407" t="s">
        <v>293</v>
      </c>
      <c r="B55" s="402" t="s">
        <v>279</v>
      </c>
      <c r="C55" s="433"/>
      <c r="D55" s="433"/>
      <c r="E55" s="433"/>
      <c r="F55" s="433"/>
    </row>
    <row r="56" spans="1:6" s="1" customFormat="1" ht="12" customHeight="1" x14ac:dyDescent="0.2">
      <c r="A56" s="407" t="s">
        <v>294</v>
      </c>
      <c r="B56" s="402" t="s">
        <v>280</v>
      </c>
      <c r="C56" s="433"/>
      <c r="D56" s="433"/>
      <c r="E56" s="433"/>
      <c r="F56" s="433"/>
    </row>
    <row r="57" spans="1:6" s="1" customFormat="1" ht="12" customHeight="1" x14ac:dyDescent="0.2">
      <c r="A57" s="407" t="s">
        <v>295</v>
      </c>
      <c r="B57" s="402" t="s">
        <v>281</v>
      </c>
      <c r="C57" s="433"/>
      <c r="D57" s="433"/>
      <c r="E57" s="433"/>
      <c r="F57" s="433"/>
    </row>
    <row r="58" spans="1:6" s="1" customFormat="1" ht="12" customHeight="1" x14ac:dyDescent="0.2">
      <c r="A58" s="407" t="s">
        <v>296</v>
      </c>
      <c r="B58" s="402" t="s">
        <v>282</v>
      </c>
      <c r="C58" s="433"/>
      <c r="D58" s="433"/>
      <c r="E58" s="433"/>
      <c r="F58" s="433"/>
    </row>
    <row r="59" spans="1:6" s="1" customFormat="1" ht="12" customHeight="1" x14ac:dyDescent="0.2">
      <c r="A59" s="408" t="s">
        <v>115</v>
      </c>
      <c r="B59" s="403" t="s">
        <v>283</v>
      </c>
      <c r="C59" s="438">
        <f>+C60+C61+C62+C63+C64</f>
        <v>0</v>
      </c>
      <c r="D59" s="438">
        <f>+D60+D61+D62+D63+D64</f>
        <v>0</v>
      </c>
      <c r="E59" s="438">
        <f>+E60+E61+E62+E63+E64</f>
        <v>0</v>
      </c>
      <c r="F59" s="438">
        <f>+F60+F61+F62+F63+F64</f>
        <v>0</v>
      </c>
    </row>
    <row r="60" spans="1:6" s="1" customFormat="1" ht="12" customHeight="1" x14ac:dyDescent="0.2">
      <c r="A60" s="407" t="s">
        <v>297</v>
      </c>
      <c r="B60" s="402" t="s">
        <v>284</v>
      </c>
      <c r="C60" s="433"/>
      <c r="D60" s="433"/>
      <c r="E60" s="433"/>
      <c r="F60" s="433"/>
    </row>
    <row r="61" spans="1:6" s="1" customFormat="1" ht="12" customHeight="1" x14ac:dyDescent="0.2">
      <c r="A61" s="407" t="s">
        <v>298</v>
      </c>
      <c r="B61" s="402" t="s">
        <v>285</v>
      </c>
      <c r="C61" s="433"/>
      <c r="D61" s="433"/>
      <c r="E61" s="433"/>
      <c r="F61" s="433"/>
    </row>
    <row r="62" spans="1:6" s="1" customFormat="1" ht="12" customHeight="1" x14ac:dyDescent="0.2">
      <c r="A62" s="407" t="s">
        <v>299</v>
      </c>
      <c r="B62" s="402" t="s">
        <v>286</v>
      </c>
      <c r="C62" s="433"/>
      <c r="D62" s="433"/>
      <c r="E62" s="433"/>
      <c r="F62" s="433"/>
    </row>
    <row r="63" spans="1:6" s="1" customFormat="1" ht="12" customHeight="1" x14ac:dyDescent="0.2">
      <c r="A63" s="407" t="s">
        <v>300</v>
      </c>
      <c r="B63" s="402" t="s">
        <v>287</v>
      </c>
      <c r="C63" s="433"/>
      <c r="D63" s="433"/>
      <c r="E63" s="433"/>
      <c r="F63" s="433"/>
    </row>
    <row r="64" spans="1:6" s="1" customFormat="1" ht="12" customHeight="1" thickBot="1" x14ac:dyDescent="0.25">
      <c r="A64" s="409" t="s">
        <v>301</v>
      </c>
      <c r="B64" s="410" t="s">
        <v>288</v>
      </c>
      <c r="C64" s="439"/>
      <c r="D64" s="439"/>
      <c r="E64" s="439"/>
      <c r="F64" s="439"/>
    </row>
    <row r="65" spans="1:10" s="1" customFormat="1" ht="12" customHeight="1" thickBot="1" x14ac:dyDescent="0.25">
      <c r="A65" s="411" t="s">
        <v>1136</v>
      </c>
      <c r="B65" s="577" t="s">
        <v>289</v>
      </c>
      <c r="C65" s="436">
        <f>+C51+C52</f>
        <v>239109</v>
      </c>
      <c r="D65" s="436">
        <f>+D51+D52</f>
        <v>297100</v>
      </c>
      <c r="E65" s="436">
        <f>+E51+E52</f>
        <v>270297</v>
      </c>
      <c r="F65" s="436">
        <f>+F51+F52</f>
        <v>270297</v>
      </c>
    </row>
    <row r="66" spans="1:10" s="1" customFormat="1" ht="13.5" customHeight="1" thickBot="1" x14ac:dyDescent="0.25">
      <c r="A66" s="412" t="s">
        <v>1137</v>
      </c>
      <c r="B66" s="578" t="s">
        <v>290</v>
      </c>
      <c r="C66" s="446"/>
      <c r="D66" s="446"/>
      <c r="E66" s="446"/>
      <c r="F66" s="446"/>
    </row>
    <row r="67" spans="1:10" s="1" customFormat="1" ht="12" customHeight="1" thickBot="1" x14ac:dyDescent="0.25">
      <c r="A67" s="411" t="s">
        <v>1138</v>
      </c>
      <c r="B67" s="577" t="s">
        <v>291</v>
      </c>
      <c r="C67" s="447">
        <f>+C65+C66</f>
        <v>239109</v>
      </c>
      <c r="D67" s="447">
        <f>+D65+D66</f>
        <v>297100</v>
      </c>
      <c r="E67" s="447">
        <f>+E65+E66</f>
        <v>270297</v>
      </c>
      <c r="F67" s="447">
        <f>+F65+F66</f>
        <v>270297</v>
      </c>
    </row>
    <row r="68" spans="1:10" s="1" customFormat="1" ht="12.95" customHeight="1" x14ac:dyDescent="0.2">
      <c r="A68" s="6"/>
      <c r="B68" s="7"/>
      <c r="C68" s="440"/>
      <c r="D68" s="440"/>
      <c r="E68" s="440"/>
      <c r="F68" s="440"/>
    </row>
    <row r="69" spans="1:10" ht="16.5" customHeight="1" x14ac:dyDescent="0.25">
      <c r="A69" s="1210" t="s">
        <v>1154</v>
      </c>
      <c r="B69" s="1210"/>
      <c r="C69" s="1210"/>
      <c r="D69" s="48"/>
      <c r="E69" s="48"/>
      <c r="F69" s="48"/>
    </row>
    <row r="70" spans="1:10" s="452" customFormat="1" ht="16.5" customHeight="1" thickBot="1" x14ac:dyDescent="0.3">
      <c r="A70" s="1213" t="s">
        <v>122</v>
      </c>
      <c r="B70" s="1213"/>
      <c r="C70" s="183"/>
      <c r="D70" s="445"/>
      <c r="E70" s="445"/>
      <c r="F70" s="445" t="s">
        <v>324</v>
      </c>
    </row>
    <row r="71" spans="1:10" ht="38.1" customHeight="1" thickBot="1" x14ac:dyDescent="0.3">
      <c r="A71" s="28" t="s">
        <v>1123</v>
      </c>
      <c r="B71" s="29" t="s">
        <v>1155</v>
      </c>
      <c r="C71" s="49" t="s">
        <v>302</v>
      </c>
      <c r="D71" s="49" t="s">
        <v>776</v>
      </c>
      <c r="E71" s="49" t="s">
        <v>1172</v>
      </c>
      <c r="F71" s="49" t="s">
        <v>1171</v>
      </c>
    </row>
    <row r="72" spans="1:10" s="50" customFormat="1" ht="12" customHeight="1" thickBot="1" x14ac:dyDescent="0.25">
      <c r="A72" s="42">
        <v>1</v>
      </c>
      <c r="B72" s="43">
        <v>2</v>
      </c>
      <c r="C72" s="423">
        <v>3</v>
      </c>
      <c r="D72" s="423">
        <v>3</v>
      </c>
      <c r="E72" s="423">
        <v>3</v>
      </c>
      <c r="F72" s="423">
        <v>3</v>
      </c>
    </row>
    <row r="73" spans="1:10" ht="12" customHeight="1" thickBot="1" x14ac:dyDescent="0.3">
      <c r="A73" s="25" t="s">
        <v>1125</v>
      </c>
      <c r="B73" s="36" t="s">
        <v>185</v>
      </c>
      <c r="C73" s="424">
        <f>+C74+C75+C76+C77+C78</f>
        <v>207986</v>
      </c>
      <c r="D73" s="424">
        <f>+D74+D75+D76+D77+D78</f>
        <v>245914</v>
      </c>
      <c r="E73" s="424">
        <f>+E74+E75+E76+E77+E78</f>
        <v>228250</v>
      </c>
      <c r="F73" s="424">
        <f>+F74+F75+F76+F77+F78</f>
        <v>228250</v>
      </c>
    </row>
    <row r="74" spans="1:10" ht="12" customHeight="1" x14ac:dyDescent="0.25">
      <c r="A74" s="20" t="s">
        <v>60</v>
      </c>
      <c r="B74" s="12" t="s">
        <v>1156</v>
      </c>
      <c r="C74" s="426">
        <f>98830-15109</f>
        <v>83721</v>
      </c>
      <c r="D74" s="426">
        <f>'9. sz. mell'!E65+'10. sz. mell.'!E37+'11. sz. mell.'!E36+'12. sz. mell.'!E36-'1.3.sz.mell._önk'!D74-'1.4.sz.mell._állig'!D74</f>
        <v>93894</v>
      </c>
      <c r="E74" s="426">
        <f>104312-15109</f>
        <v>89203</v>
      </c>
      <c r="F74" s="426">
        <f>104312-15109</f>
        <v>89203</v>
      </c>
    </row>
    <row r="75" spans="1:10" ht="12" customHeight="1" x14ac:dyDescent="0.25">
      <c r="A75" s="16" t="s">
        <v>61</v>
      </c>
      <c r="B75" s="9" t="s">
        <v>186</v>
      </c>
      <c r="C75" s="427">
        <f>26573-'1.4.sz.mell._állig'!C75</f>
        <v>22494</v>
      </c>
      <c r="D75" s="427">
        <f>'9. sz. mell'!E66+'10. sz. mell.'!E38+'11. sz. mell.'!E37+'12. sz. mell.'!E37-'1.4.sz.mell._állig'!D75</f>
        <v>24752</v>
      </c>
      <c r="E75" s="427">
        <f>27197-'1.4.sz.mell._állig'!E75</f>
        <v>23118</v>
      </c>
      <c r="F75" s="427">
        <f>27197-'1.4.sz.mell._állig'!F75</f>
        <v>23118</v>
      </c>
    </row>
    <row r="76" spans="1:10" ht="12" customHeight="1" x14ac:dyDescent="0.25">
      <c r="A76" s="16" t="s">
        <v>62</v>
      </c>
      <c r="B76" s="9" t="s">
        <v>103</v>
      </c>
      <c r="C76" s="432">
        <f>96843-19487+19427+2-958</f>
        <v>95827</v>
      </c>
      <c r="D76" s="432">
        <f>'9. sz. mell'!E67+'10. sz. mell.'!E39+'11. sz. mell.'!E38+'12. sz. mell.'!E38-'1.3.sz.mell._önk'!D76</f>
        <v>112680</v>
      </c>
      <c r="E76" s="432">
        <f>103101-958+2668</f>
        <v>104811</v>
      </c>
      <c r="F76" s="432">
        <f>103101-958+2668</f>
        <v>104811</v>
      </c>
    </row>
    <row r="77" spans="1:10" ht="12" customHeight="1" x14ac:dyDescent="0.25">
      <c r="A77" s="16" t="s">
        <v>63</v>
      </c>
      <c r="B77" s="13" t="s">
        <v>187</v>
      </c>
      <c r="C77" s="432">
        <f>15393-'1.4.sz.mell._állig'!C77</f>
        <v>1850</v>
      </c>
      <c r="D77" s="432">
        <f>'9. sz. mell'!E68+'10. sz. mell.'!E40-'1.4.sz.mell._állig'!D77</f>
        <v>3980</v>
      </c>
      <c r="E77" s="432">
        <f>15507-'1.4.sz.mell._állig'!E77</f>
        <v>1964</v>
      </c>
      <c r="F77" s="432">
        <f>15507-'1.4.sz.mell._állig'!F77</f>
        <v>1964</v>
      </c>
    </row>
    <row r="78" spans="1:10" ht="12" customHeight="1" x14ac:dyDescent="0.25">
      <c r="A78" s="16" t="s">
        <v>74</v>
      </c>
      <c r="B78" s="22" t="s">
        <v>188</v>
      </c>
      <c r="C78" s="432">
        <f>4034+60</f>
        <v>4094</v>
      </c>
      <c r="D78" s="432">
        <f>SUM(D79:D85)</f>
        <v>10608</v>
      </c>
      <c r="E78" s="432">
        <f>SUM(E79:E85)</f>
        <v>9154</v>
      </c>
      <c r="F78" s="432">
        <f>SUM(F79:F85)</f>
        <v>9154</v>
      </c>
      <c r="J78" s="1152"/>
    </row>
    <row r="79" spans="1:10" ht="12" customHeight="1" x14ac:dyDescent="0.25">
      <c r="A79" s="16" t="s">
        <v>64</v>
      </c>
      <c r="B79" s="9" t="s">
        <v>210</v>
      </c>
      <c r="C79" s="432"/>
      <c r="D79" s="432"/>
      <c r="E79" s="432"/>
      <c r="F79" s="432"/>
    </row>
    <row r="80" spans="1:10" ht="12" customHeight="1" x14ac:dyDescent="0.25">
      <c r="A80" s="16" t="s">
        <v>65</v>
      </c>
      <c r="B80" s="187" t="s">
        <v>211</v>
      </c>
      <c r="C80" s="432"/>
      <c r="D80" s="432"/>
      <c r="E80" s="432"/>
      <c r="F80" s="432"/>
    </row>
    <row r="81" spans="1:6" ht="12" customHeight="1" x14ac:dyDescent="0.25">
      <c r="A81" s="16" t="s">
        <v>75</v>
      </c>
      <c r="B81" s="187" t="s">
        <v>303</v>
      </c>
      <c r="C81" s="432"/>
      <c r="D81" s="432"/>
      <c r="E81" s="432"/>
      <c r="F81" s="432"/>
    </row>
    <row r="82" spans="1:6" ht="12" customHeight="1" x14ac:dyDescent="0.25">
      <c r="A82" s="16" t="s">
        <v>76</v>
      </c>
      <c r="B82" s="188" t="s">
        <v>212</v>
      </c>
      <c r="C82" s="432">
        <v>4034</v>
      </c>
      <c r="D82" s="432">
        <v>6303</v>
      </c>
      <c r="E82" s="432">
        <f>7293+101</f>
        <v>7394</v>
      </c>
      <c r="F82" s="432">
        <f>7293+101</f>
        <v>7394</v>
      </c>
    </row>
    <row r="83" spans="1:6" ht="12" customHeight="1" x14ac:dyDescent="0.25">
      <c r="A83" s="15" t="s">
        <v>77</v>
      </c>
      <c r="B83" s="189" t="s">
        <v>213</v>
      </c>
      <c r="C83" s="432"/>
      <c r="D83" s="432">
        <v>2545</v>
      </c>
      <c r="E83" s="432"/>
      <c r="F83" s="432"/>
    </row>
    <row r="84" spans="1:6" ht="12" customHeight="1" x14ac:dyDescent="0.25">
      <c r="A84" s="16" t="s">
        <v>78</v>
      </c>
      <c r="B84" s="189" t="s">
        <v>214</v>
      </c>
      <c r="C84" s="432">
        <v>60</v>
      </c>
      <c r="D84" s="432">
        <f>'9. sz. mell'!E76+'10. sz. mell.'!E41+'11. sz. mell.'!E40+'12. sz. mell.'!E40</f>
        <v>260</v>
      </c>
      <c r="E84" s="432">
        <f>238+10+10+2</f>
        <v>260</v>
      </c>
      <c r="F84" s="432">
        <f>238+10+10+2</f>
        <v>260</v>
      </c>
    </row>
    <row r="85" spans="1:6" ht="12" customHeight="1" thickBot="1" x14ac:dyDescent="0.3">
      <c r="A85" s="21" t="s">
        <v>80</v>
      </c>
      <c r="B85" s="190" t="s">
        <v>215</v>
      </c>
      <c r="C85" s="441"/>
      <c r="D85" s="441">
        <v>1500</v>
      </c>
      <c r="E85" s="441">
        <v>1500</v>
      </c>
      <c r="F85" s="441">
        <v>1500</v>
      </c>
    </row>
    <row r="86" spans="1:6" ht="12" customHeight="1" thickBot="1" x14ac:dyDescent="0.3">
      <c r="A86" s="23" t="s">
        <v>1126</v>
      </c>
      <c r="B86" s="35" t="s">
        <v>334</v>
      </c>
      <c r="C86" s="425">
        <f>+C87+C88+C89</f>
        <v>27104.55</v>
      </c>
      <c r="D86" s="425">
        <f>+D87+D88+D89</f>
        <v>41331</v>
      </c>
      <c r="E86" s="425">
        <f>+E87+E88+E89</f>
        <v>41320</v>
      </c>
      <c r="F86" s="425">
        <f>+F87+F88+F89</f>
        <v>41320</v>
      </c>
    </row>
    <row r="87" spans="1:6" ht="12" customHeight="1" x14ac:dyDescent="0.25">
      <c r="A87" s="18" t="s">
        <v>66</v>
      </c>
      <c r="B87" s="9" t="s">
        <v>304</v>
      </c>
      <c r="C87" s="431">
        <f>(12500+100+500+300+365)*1.27</f>
        <v>17481.55</v>
      </c>
      <c r="D87" s="431">
        <v>20933</v>
      </c>
      <c r="E87" s="431">
        <v>20933</v>
      </c>
      <c r="F87" s="431">
        <v>20933</v>
      </c>
    </row>
    <row r="88" spans="1:6" ht="12" customHeight="1" x14ac:dyDescent="0.25">
      <c r="A88" s="18" t="s">
        <v>67</v>
      </c>
      <c r="B88" s="14" t="s">
        <v>190</v>
      </c>
      <c r="C88" s="427">
        <f>(27105-17482)</f>
        <v>9623</v>
      </c>
      <c r="D88" s="427">
        <v>20387</v>
      </c>
      <c r="E88" s="427">
        <v>20387</v>
      </c>
      <c r="F88" s="427">
        <v>20387</v>
      </c>
    </row>
    <row r="89" spans="1:6" ht="12" customHeight="1" x14ac:dyDescent="0.25">
      <c r="A89" s="18" t="s">
        <v>68</v>
      </c>
      <c r="B89" s="402" t="s">
        <v>335</v>
      </c>
      <c r="C89" s="361"/>
      <c r="D89" s="361">
        <v>11</v>
      </c>
      <c r="E89" s="361"/>
      <c r="F89" s="361"/>
    </row>
    <row r="90" spans="1:6" ht="12" customHeight="1" x14ac:dyDescent="0.25">
      <c r="A90" s="18" t="s">
        <v>69</v>
      </c>
      <c r="B90" s="402" t="s">
        <v>407</v>
      </c>
      <c r="C90" s="361"/>
      <c r="D90" s="361"/>
      <c r="E90" s="361"/>
      <c r="F90" s="361"/>
    </row>
    <row r="91" spans="1:6" ht="12" customHeight="1" x14ac:dyDescent="0.25">
      <c r="A91" s="18" t="s">
        <v>70</v>
      </c>
      <c r="B91" s="402" t="s">
        <v>336</v>
      </c>
      <c r="C91" s="361"/>
      <c r="D91" s="361"/>
      <c r="E91" s="361"/>
      <c r="F91" s="361"/>
    </row>
    <row r="92" spans="1:6" x14ac:dyDescent="0.25">
      <c r="A92" s="18" t="s">
        <v>79</v>
      </c>
      <c r="B92" s="402" t="s">
        <v>337</v>
      </c>
      <c r="C92" s="361"/>
      <c r="D92" s="361">
        <v>11</v>
      </c>
      <c r="E92" s="361"/>
      <c r="F92" s="361"/>
    </row>
    <row r="93" spans="1:6" ht="12" customHeight="1" x14ac:dyDescent="0.25">
      <c r="A93" s="18" t="s">
        <v>81</v>
      </c>
      <c r="B93" s="579" t="s">
        <v>308</v>
      </c>
      <c r="C93" s="361"/>
      <c r="D93" s="361"/>
      <c r="E93" s="361"/>
      <c r="F93" s="361"/>
    </row>
    <row r="94" spans="1:6" ht="12" customHeight="1" x14ac:dyDescent="0.25">
      <c r="A94" s="18" t="s">
        <v>191</v>
      </c>
      <c r="B94" s="579" t="s">
        <v>309</v>
      </c>
      <c r="C94" s="361"/>
      <c r="D94" s="361"/>
      <c r="E94" s="361"/>
      <c r="F94" s="361"/>
    </row>
    <row r="95" spans="1:6" ht="12" customHeight="1" x14ac:dyDescent="0.25">
      <c r="A95" s="18" t="s">
        <v>192</v>
      </c>
      <c r="B95" s="579" t="s">
        <v>307</v>
      </c>
      <c r="C95" s="361"/>
      <c r="D95" s="361"/>
      <c r="E95" s="361"/>
      <c r="F95" s="361"/>
    </row>
    <row r="96" spans="1:6" ht="24" customHeight="1" thickBot="1" x14ac:dyDescent="0.3">
      <c r="A96" s="15" t="s">
        <v>193</v>
      </c>
      <c r="B96" s="580" t="s">
        <v>306</v>
      </c>
      <c r="C96" s="364"/>
      <c r="D96" s="364"/>
      <c r="E96" s="364"/>
      <c r="F96" s="364"/>
    </row>
    <row r="97" spans="1:6" ht="12" customHeight="1" thickBot="1" x14ac:dyDescent="0.3">
      <c r="A97" s="23" t="s">
        <v>1127</v>
      </c>
      <c r="B97" s="167" t="s">
        <v>338</v>
      </c>
      <c r="C97" s="425">
        <f>+C98+C99</f>
        <v>4019</v>
      </c>
      <c r="D97" s="425">
        <f>+D98+D99</f>
        <v>9854</v>
      </c>
      <c r="E97" s="425">
        <f>+E98+E99</f>
        <v>727</v>
      </c>
      <c r="F97" s="425">
        <f>+F98+F99</f>
        <v>727</v>
      </c>
    </row>
    <row r="98" spans="1:6" ht="12" customHeight="1" x14ac:dyDescent="0.25">
      <c r="A98" s="18" t="s">
        <v>40</v>
      </c>
      <c r="B98" s="11" t="s">
        <v>3</v>
      </c>
      <c r="C98" s="431">
        <v>1351</v>
      </c>
      <c r="D98" s="431">
        <f>'9. sz. mell'!E90</f>
        <v>3179</v>
      </c>
      <c r="E98" s="431">
        <f>828-101</f>
        <v>727</v>
      </c>
      <c r="F98" s="431">
        <f>828-101</f>
        <v>727</v>
      </c>
    </row>
    <row r="99" spans="1:6" ht="12" customHeight="1" thickBot="1" x14ac:dyDescent="0.3">
      <c r="A99" s="19" t="s">
        <v>41</v>
      </c>
      <c r="B99" s="14" t="s">
        <v>4</v>
      </c>
      <c r="C99" s="432">
        <f>4019-1351</f>
        <v>2668</v>
      </c>
      <c r="D99" s="431">
        <f>'9. sz. mell'!E91</f>
        <v>6675</v>
      </c>
      <c r="E99" s="432">
        <v>0</v>
      </c>
      <c r="F99" s="432">
        <v>0</v>
      </c>
    </row>
    <row r="100" spans="1:6" s="400" customFormat="1" ht="12" customHeight="1" thickBot="1" x14ac:dyDescent="0.25">
      <c r="A100" s="406" t="s">
        <v>1128</v>
      </c>
      <c r="B100" s="401" t="s">
        <v>310</v>
      </c>
      <c r="C100" s="591"/>
      <c r="D100" s="591"/>
      <c r="E100" s="591"/>
      <c r="F100" s="591"/>
    </row>
    <row r="101" spans="1:6" ht="12" customHeight="1" thickBot="1" x14ac:dyDescent="0.3">
      <c r="A101" s="398" t="s">
        <v>1129</v>
      </c>
      <c r="B101" s="399" t="s">
        <v>127</v>
      </c>
      <c r="C101" s="424">
        <f>+C73+C86+C97+C100</f>
        <v>239109.55</v>
      </c>
      <c r="D101" s="424">
        <f>+D73+D86+D97+D100</f>
        <v>297099</v>
      </c>
      <c r="E101" s="424">
        <f>+E73+E86+E97+E100</f>
        <v>270297</v>
      </c>
      <c r="F101" s="424">
        <f>+F73+F86+F97+F100</f>
        <v>270297</v>
      </c>
    </row>
    <row r="102" spans="1:6" ht="12" customHeight="1" thickBot="1" x14ac:dyDescent="0.3">
      <c r="A102" s="406" t="s">
        <v>1130</v>
      </c>
      <c r="B102" s="401" t="s">
        <v>408</v>
      </c>
      <c r="C102" s="425">
        <f>+C103+C111</f>
        <v>0</v>
      </c>
      <c r="D102" s="425">
        <f>+D103+D111</f>
        <v>0</v>
      </c>
      <c r="E102" s="425">
        <f>+E103+E111</f>
        <v>0</v>
      </c>
      <c r="F102" s="425">
        <f>+F103+F111</f>
        <v>0</v>
      </c>
    </row>
    <row r="103" spans="1:6" ht="12" customHeight="1" thickBot="1" x14ac:dyDescent="0.3">
      <c r="A103" s="422" t="s">
        <v>47</v>
      </c>
      <c r="B103" s="581" t="s">
        <v>415</v>
      </c>
      <c r="C103" s="603">
        <f>+C104+C105+C106+C107+C108+C109+C110</f>
        <v>0</v>
      </c>
      <c r="D103" s="603">
        <f>+D104+D105+D106+D107+D108+D109+D110</f>
        <v>0</v>
      </c>
      <c r="E103" s="603">
        <f>+E104+E105+E106+E107+E108+E109+E110</f>
        <v>0</v>
      </c>
      <c r="F103" s="603">
        <f>+F104+F105+F106+F107+F108+F109+F110</f>
        <v>0</v>
      </c>
    </row>
    <row r="104" spans="1:6" ht="12" customHeight="1" x14ac:dyDescent="0.25">
      <c r="A104" s="414" t="s">
        <v>50</v>
      </c>
      <c r="B104" s="415" t="s">
        <v>311</v>
      </c>
      <c r="C104" s="448"/>
      <c r="D104" s="448"/>
      <c r="E104" s="448"/>
      <c r="F104" s="448"/>
    </row>
    <row r="105" spans="1:6" ht="12" customHeight="1" x14ac:dyDescent="0.25">
      <c r="A105" s="407" t="s">
        <v>51</v>
      </c>
      <c r="B105" s="402" t="s">
        <v>312</v>
      </c>
      <c r="C105" s="449"/>
      <c r="D105" s="449"/>
      <c r="E105" s="449"/>
      <c r="F105" s="449"/>
    </row>
    <row r="106" spans="1:6" ht="12" customHeight="1" x14ac:dyDescent="0.25">
      <c r="A106" s="407" t="s">
        <v>52</v>
      </c>
      <c r="B106" s="402" t="s">
        <v>313</v>
      </c>
      <c r="C106" s="449"/>
      <c r="D106" s="449"/>
      <c r="E106" s="449"/>
      <c r="F106" s="449"/>
    </row>
    <row r="107" spans="1:6" ht="12" customHeight="1" x14ac:dyDescent="0.25">
      <c r="A107" s="407" t="s">
        <v>53</v>
      </c>
      <c r="B107" s="402" t="s">
        <v>314</v>
      </c>
      <c r="C107" s="449"/>
      <c r="D107" s="449"/>
      <c r="E107" s="449"/>
      <c r="F107" s="449"/>
    </row>
    <row r="108" spans="1:6" ht="12" customHeight="1" x14ac:dyDescent="0.25">
      <c r="A108" s="407" t="s">
        <v>176</v>
      </c>
      <c r="B108" s="402" t="s">
        <v>315</v>
      </c>
      <c r="C108" s="449"/>
      <c r="D108" s="449"/>
      <c r="E108" s="449"/>
      <c r="F108" s="449"/>
    </row>
    <row r="109" spans="1:6" ht="12" customHeight="1" x14ac:dyDescent="0.25">
      <c r="A109" s="407" t="s">
        <v>194</v>
      </c>
      <c r="B109" s="402" t="s">
        <v>316</v>
      </c>
      <c r="C109" s="449"/>
      <c r="D109" s="449"/>
      <c r="E109" s="449"/>
      <c r="F109" s="449"/>
    </row>
    <row r="110" spans="1:6" ht="12" customHeight="1" thickBot="1" x14ac:dyDescent="0.3">
      <c r="A110" s="416" t="s">
        <v>195</v>
      </c>
      <c r="B110" s="417" t="s">
        <v>317</v>
      </c>
      <c r="C110" s="450"/>
      <c r="D110" s="450"/>
      <c r="E110" s="450"/>
      <c r="F110" s="450"/>
    </row>
    <row r="111" spans="1:6" ht="12" customHeight="1" thickBot="1" x14ac:dyDescent="0.3">
      <c r="A111" s="422" t="s">
        <v>48</v>
      </c>
      <c r="B111" s="581" t="s">
        <v>416</v>
      </c>
      <c r="C111" s="603">
        <f>+C112+C113+C114+C115+C116+C117+C118+C119</f>
        <v>0</v>
      </c>
      <c r="D111" s="603">
        <f>+D112+D113+D114+D115+D116+D117+D118+D119</f>
        <v>0</v>
      </c>
      <c r="E111" s="603">
        <f>+E112+E113+E114+E115+E116+E117+E118+E119</f>
        <v>0</v>
      </c>
      <c r="F111" s="603">
        <f>+F112+F113+F114+F115+F116+F117+F118+F119</f>
        <v>0</v>
      </c>
    </row>
    <row r="112" spans="1:6" ht="12" customHeight="1" x14ac:dyDescent="0.25">
      <c r="A112" s="414" t="s">
        <v>56</v>
      </c>
      <c r="B112" s="415" t="s">
        <v>311</v>
      </c>
      <c r="C112" s="448"/>
      <c r="D112" s="448"/>
      <c r="E112" s="448"/>
      <c r="F112" s="448"/>
    </row>
    <row r="113" spans="1:9" ht="12" customHeight="1" x14ac:dyDescent="0.25">
      <c r="A113" s="407" t="s">
        <v>57</v>
      </c>
      <c r="B113" s="402" t="s">
        <v>318</v>
      </c>
      <c r="C113" s="449"/>
      <c r="D113" s="449"/>
      <c r="E113" s="449"/>
      <c r="F113" s="449"/>
    </row>
    <row r="114" spans="1:9" ht="12" customHeight="1" x14ac:dyDescent="0.25">
      <c r="A114" s="407" t="s">
        <v>58</v>
      </c>
      <c r="B114" s="402" t="s">
        <v>313</v>
      </c>
      <c r="C114" s="449"/>
      <c r="D114" s="449"/>
      <c r="E114" s="449"/>
      <c r="F114" s="449"/>
    </row>
    <row r="115" spans="1:9" ht="12" customHeight="1" x14ac:dyDescent="0.25">
      <c r="A115" s="407" t="s">
        <v>59</v>
      </c>
      <c r="B115" s="402" t="s">
        <v>314</v>
      </c>
      <c r="C115" s="449"/>
      <c r="D115" s="449"/>
      <c r="E115" s="449"/>
      <c r="F115" s="449"/>
    </row>
    <row r="116" spans="1:9" ht="12" customHeight="1" x14ac:dyDescent="0.25">
      <c r="A116" s="407" t="s">
        <v>177</v>
      </c>
      <c r="B116" s="402" t="s">
        <v>315</v>
      </c>
      <c r="C116" s="449"/>
      <c r="D116" s="449"/>
      <c r="E116" s="449"/>
      <c r="F116" s="449"/>
    </row>
    <row r="117" spans="1:9" ht="12" customHeight="1" x14ac:dyDescent="0.25">
      <c r="A117" s="407" t="s">
        <v>196</v>
      </c>
      <c r="B117" s="402" t="s">
        <v>319</v>
      </c>
      <c r="C117" s="449"/>
      <c r="D117" s="449"/>
      <c r="E117" s="449"/>
      <c r="F117" s="449"/>
    </row>
    <row r="118" spans="1:9" ht="12" customHeight="1" x14ac:dyDescent="0.25">
      <c r="A118" s="407" t="s">
        <v>197</v>
      </c>
      <c r="B118" s="402" t="s">
        <v>317</v>
      </c>
      <c r="C118" s="449"/>
      <c r="D118" s="449"/>
      <c r="E118" s="449"/>
      <c r="F118" s="449"/>
    </row>
    <row r="119" spans="1:9" ht="12" customHeight="1" thickBot="1" x14ac:dyDescent="0.3">
      <c r="A119" s="416" t="s">
        <v>198</v>
      </c>
      <c r="B119" s="417" t="s">
        <v>411</v>
      </c>
      <c r="C119" s="450"/>
      <c r="D119" s="450"/>
      <c r="E119" s="450"/>
      <c r="F119" s="450"/>
    </row>
    <row r="120" spans="1:9" ht="12" customHeight="1" thickBot="1" x14ac:dyDescent="0.3">
      <c r="A120" s="406" t="s">
        <v>1131</v>
      </c>
      <c r="B120" s="577" t="s">
        <v>320</v>
      </c>
      <c r="C120" s="442">
        <f>+C101+C102</f>
        <v>239109.55</v>
      </c>
      <c r="D120" s="442">
        <f>+D101+D102</f>
        <v>297099</v>
      </c>
      <c r="E120" s="442">
        <f>+E101+E102</f>
        <v>270297</v>
      </c>
      <c r="F120" s="442">
        <f>+F101+F102</f>
        <v>270297</v>
      </c>
    </row>
    <row r="121" spans="1:9" ht="15" customHeight="1" thickBot="1" x14ac:dyDescent="0.3">
      <c r="A121" s="406" t="s">
        <v>1132</v>
      </c>
      <c r="B121" s="577" t="s">
        <v>321</v>
      </c>
      <c r="C121" s="443"/>
      <c r="D121" s="443"/>
      <c r="E121" s="443"/>
      <c r="F121" s="443"/>
      <c r="G121" s="168"/>
      <c r="H121" s="168"/>
      <c r="I121" s="168"/>
    </row>
    <row r="122" spans="1:9" s="1" customFormat="1" ht="12.95" customHeight="1" thickBot="1" x14ac:dyDescent="0.25">
      <c r="A122" s="418" t="s">
        <v>1133</v>
      </c>
      <c r="B122" s="578" t="s">
        <v>322</v>
      </c>
      <c r="C122" s="436">
        <f>+C120+C121</f>
        <v>239109.55</v>
      </c>
      <c r="D122" s="436">
        <f>+D120+D121</f>
        <v>297099</v>
      </c>
      <c r="E122" s="436">
        <f>+E120+E121</f>
        <v>270297</v>
      </c>
      <c r="F122" s="436">
        <f>+F120+F121</f>
        <v>270297</v>
      </c>
    </row>
    <row r="123" spans="1:9" ht="7.5" customHeight="1" x14ac:dyDescent="0.25">
      <c r="A123" s="582"/>
      <c r="B123" s="582"/>
      <c r="C123" s="583"/>
      <c r="D123" s="583"/>
      <c r="E123" s="583"/>
      <c r="F123" s="583"/>
    </row>
    <row r="124" spans="1:9" x14ac:dyDescent="0.25">
      <c r="A124" s="1214" t="s">
        <v>130</v>
      </c>
      <c r="B124" s="1214"/>
      <c r="C124" s="1214"/>
      <c r="D124" s="48"/>
      <c r="E124" s="48"/>
      <c r="F124" s="48"/>
    </row>
    <row r="125" spans="1:9" ht="15" customHeight="1" thickBot="1" x14ac:dyDescent="0.3">
      <c r="A125" s="1212" t="s">
        <v>123</v>
      </c>
      <c r="B125" s="1212"/>
      <c r="C125" s="445"/>
      <c r="D125" s="445"/>
      <c r="E125" s="445"/>
      <c r="F125" s="445" t="s">
        <v>324</v>
      </c>
    </row>
    <row r="126" spans="1:9" ht="13.5" customHeight="1" thickBot="1" x14ac:dyDescent="0.3">
      <c r="A126" s="23">
        <v>1</v>
      </c>
      <c r="B126" s="35" t="s">
        <v>205</v>
      </c>
      <c r="C126" s="444">
        <f>+C51-C101</f>
        <v>-12500.549999999988</v>
      </c>
      <c r="D126" s="444">
        <f>+D51-D101</f>
        <v>-52596</v>
      </c>
      <c r="E126" s="444">
        <f>+E51-E101</f>
        <v>-52597</v>
      </c>
      <c r="F126" s="444">
        <f>+F51-F101</f>
        <v>-52597</v>
      </c>
    </row>
    <row r="127" spans="1:9" ht="7.5" customHeight="1" x14ac:dyDescent="0.25">
      <c r="A127" s="582"/>
      <c r="B127" s="582"/>
      <c r="C127" s="583"/>
      <c r="D127" s="583"/>
      <c r="E127" s="583"/>
      <c r="F127" s="583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59055118110236227" right="0.59055118110236227" top="1.4566929133858268" bottom="0.86614173228346458" header="0.78740157480314965" footer="0.59055118110236227"/>
  <pageSetup paperSize="9" scale="77" fitToHeight="2" orientation="portrait" r:id="rId1"/>
  <headerFooter alignWithMargins="0">
    <oddHeader>&amp;C&amp;"Times New Roman CE,Félkövér"&amp;12
Csobánka Község Önkormányzat 2013. ÉVI KÖLTSÉGVETÉSKÖTELEZŐ FELADATAINAK MÉRLEGE &amp;R&amp;"Times New Roman CE,Félkövér dőlt"&amp;11 &amp;"Times New Roman CE,Félkövér"1.2. melléklet az 5/2014. (III.6.) önkormányzati rendelethez</oddHeader>
  </headerFooter>
  <rowBreaks count="1" manualBreakCount="1">
    <brk id="6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127"/>
  <sheetViews>
    <sheetView view="pageLayout" zoomScaleNormal="120" zoomScaleSheetLayoutView="100" workbookViewId="0">
      <selection activeCell="C11" sqref="C11"/>
    </sheetView>
  </sheetViews>
  <sheetFormatPr defaultColWidth="9.33203125" defaultRowHeight="15.75" x14ac:dyDescent="0.25"/>
  <cols>
    <col min="1" max="1" width="9" style="589" customWidth="1"/>
    <col min="2" max="2" width="91.6640625" style="589" customWidth="1"/>
    <col min="3" max="4" width="14.83203125" style="590" customWidth="1"/>
    <col min="5" max="6" width="14.83203125" style="590" hidden="1" customWidth="1"/>
    <col min="7" max="16384" width="9.33203125" style="48"/>
  </cols>
  <sheetData>
    <row r="1" spans="1:6" ht="15.95" customHeight="1" x14ac:dyDescent="0.25">
      <c r="A1" s="1210" t="s">
        <v>1122</v>
      </c>
      <c r="B1" s="1210"/>
      <c r="C1" s="1210"/>
      <c r="D1" s="48"/>
      <c r="E1" s="48"/>
      <c r="F1" s="48"/>
    </row>
    <row r="2" spans="1:6" ht="15.95" customHeight="1" thickBot="1" x14ac:dyDescent="0.3">
      <c r="A2" s="1212" t="s">
        <v>121</v>
      </c>
      <c r="B2" s="1212"/>
      <c r="C2" s="445"/>
      <c r="D2" s="445" t="s">
        <v>324</v>
      </c>
      <c r="E2" s="445"/>
      <c r="F2" s="445" t="s">
        <v>324</v>
      </c>
    </row>
    <row r="3" spans="1:6" ht="38.1" customHeight="1" thickBot="1" x14ac:dyDescent="0.3">
      <c r="A3" s="28" t="s">
        <v>19</v>
      </c>
      <c r="B3" s="29" t="s">
        <v>1124</v>
      </c>
      <c r="C3" s="49" t="s">
        <v>302</v>
      </c>
      <c r="D3" s="49" t="s">
        <v>776</v>
      </c>
      <c r="E3" s="49" t="s">
        <v>1172</v>
      </c>
      <c r="F3" s="49" t="s">
        <v>1171</v>
      </c>
    </row>
    <row r="4" spans="1:6" s="50" customFormat="1" ht="12" customHeight="1" thickBot="1" x14ac:dyDescent="0.25">
      <c r="A4" s="42">
        <v>1</v>
      </c>
      <c r="B4" s="43">
        <v>2</v>
      </c>
      <c r="C4" s="44">
        <v>3</v>
      </c>
      <c r="D4" s="44">
        <v>3</v>
      </c>
      <c r="E4" s="44">
        <v>3</v>
      </c>
      <c r="F4" s="44">
        <v>3</v>
      </c>
    </row>
    <row r="5" spans="1:6" s="1" customFormat="1" ht="12" customHeight="1" thickBot="1" x14ac:dyDescent="0.25">
      <c r="A5" s="25" t="s">
        <v>1125</v>
      </c>
      <c r="B5" s="24" t="s">
        <v>147</v>
      </c>
      <c r="C5" s="424">
        <f>+C6+C11+C20</f>
        <v>958</v>
      </c>
      <c r="D5" s="424">
        <f>+D6+D11+D20</f>
        <v>958</v>
      </c>
      <c r="E5" s="424">
        <f>+E6+E11+E20</f>
        <v>958</v>
      </c>
      <c r="F5" s="424">
        <f>+F6+F11+F20</f>
        <v>958</v>
      </c>
    </row>
    <row r="6" spans="1:6" s="1" customFormat="1" ht="12" customHeight="1" thickBot="1" x14ac:dyDescent="0.25">
      <c r="A6" s="23" t="s">
        <v>1126</v>
      </c>
      <c r="B6" s="401" t="s">
        <v>401</v>
      </c>
      <c r="C6" s="360">
        <f>+C7+C8+C9+C10</f>
        <v>958</v>
      </c>
      <c r="D6" s="360">
        <f>+D7+D8+D9+D10</f>
        <v>958</v>
      </c>
      <c r="E6" s="360">
        <f>+E7+E8+E9+E10</f>
        <v>958</v>
      </c>
      <c r="F6" s="360">
        <f>+F7+F8+F9+F10</f>
        <v>958</v>
      </c>
    </row>
    <row r="7" spans="1:6" s="1" customFormat="1" ht="12" customHeight="1" x14ac:dyDescent="0.2">
      <c r="A7" s="16" t="s">
        <v>66</v>
      </c>
      <c r="B7" s="571" t="s">
        <v>1169</v>
      </c>
      <c r="C7" s="361">
        <v>958</v>
      </c>
      <c r="D7" s="361">
        <v>958</v>
      </c>
      <c r="E7" s="361">
        <v>958</v>
      </c>
      <c r="F7" s="361">
        <v>958</v>
      </c>
    </row>
    <row r="8" spans="1:6" s="1" customFormat="1" ht="12" customHeight="1" x14ac:dyDescent="0.2">
      <c r="A8" s="16" t="s">
        <v>67</v>
      </c>
      <c r="B8" s="415" t="s">
        <v>35</v>
      </c>
      <c r="C8" s="361"/>
      <c r="D8" s="361"/>
      <c r="E8" s="361"/>
      <c r="F8" s="361"/>
    </row>
    <row r="9" spans="1:6" s="1" customFormat="1" ht="12" customHeight="1" x14ac:dyDescent="0.2">
      <c r="A9" s="16" t="s">
        <v>68</v>
      </c>
      <c r="B9" s="415" t="s">
        <v>148</v>
      </c>
      <c r="C9" s="361"/>
      <c r="D9" s="361"/>
      <c r="E9" s="361"/>
      <c r="F9" s="361"/>
    </row>
    <row r="10" spans="1:6" s="1" customFormat="1" ht="12" customHeight="1" thickBot="1" x14ac:dyDescent="0.25">
      <c r="A10" s="16" t="s">
        <v>69</v>
      </c>
      <c r="B10" s="572" t="s">
        <v>149</v>
      </c>
      <c r="C10" s="361"/>
      <c r="D10" s="361"/>
      <c r="E10" s="361"/>
      <c r="F10" s="361"/>
    </row>
    <row r="11" spans="1:6" s="1" customFormat="1" ht="12" customHeight="1" thickBot="1" x14ac:dyDescent="0.25">
      <c r="A11" s="23" t="s">
        <v>1127</v>
      </c>
      <c r="B11" s="24" t="s">
        <v>150</v>
      </c>
      <c r="C11" s="425">
        <f>+C12+C13+C14+C15+C16+C17+C18+C19</f>
        <v>0</v>
      </c>
      <c r="D11" s="425">
        <f>+D12+D13+D14+D15+D16+D17+D18+D19</f>
        <v>0</v>
      </c>
      <c r="E11" s="425">
        <f>+E12+E13+E14+E15+E16+E17+E18+E19</f>
        <v>0</v>
      </c>
      <c r="F11" s="425">
        <f>+F12+F13+F14+F15+F16+F17+F18+F19</f>
        <v>0</v>
      </c>
    </row>
    <row r="12" spans="1:6" s="1" customFormat="1" ht="12" customHeight="1" x14ac:dyDescent="0.2">
      <c r="A12" s="20" t="s">
        <v>40</v>
      </c>
      <c r="B12" s="12" t="s">
        <v>155</v>
      </c>
      <c r="C12" s="426"/>
      <c r="D12" s="426"/>
      <c r="E12" s="426"/>
      <c r="F12" s="426"/>
    </row>
    <row r="13" spans="1:6" s="1" customFormat="1" ht="12" customHeight="1" x14ac:dyDescent="0.2">
      <c r="A13" s="16" t="s">
        <v>41</v>
      </c>
      <c r="B13" s="9" t="s">
        <v>156</v>
      </c>
      <c r="C13" s="427"/>
      <c r="D13" s="427"/>
      <c r="E13" s="427"/>
      <c r="F13" s="427"/>
    </row>
    <row r="14" spans="1:6" s="1" customFormat="1" ht="12" customHeight="1" x14ac:dyDescent="0.2">
      <c r="A14" s="16" t="s">
        <v>42</v>
      </c>
      <c r="B14" s="9" t="s">
        <v>157</v>
      </c>
      <c r="C14" s="427"/>
      <c r="D14" s="427"/>
      <c r="E14" s="427"/>
      <c r="F14" s="427"/>
    </row>
    <row r="15" spans="1:6" s="1" customFormat="1" ht="12" customHeight="1" x14ac:dyDescent="0.2">
      <c r="A15" s="16" t="s">
        <v>43</v>
      </c>
      <c r="B15" s="9" t="s">
        <v>158</v>
      </c>
      <c r="C15" s="427"/>
      <c r="D15" s="427"/>
      <c r="E15" s="427"/>
      <c r="F15" s="427"/>
    </row>
    <row r="16" spans="1:6" s="1" customFormat="1" ht="12" customHeight="1" x14ac:dyDescent="0.2">
      <c r="A16" s="15" t="s">
        <v>151</v>
      </c>
      <c r="B16" s="8" t="s">
        <v>159</v>
      </c>
      <c r="C16" s="428"/>
      <c r="D16" s="428"/>
      <c r="E16" s="428"/>
      <c r="F16" s="428"/>
    </row>
    <row r="17" spans="1:6" s="1" customFormat="1" ht="12" customHeight="1" x14ac:dyDescent="0.2">
      <c r="A17" s="16" t="s">
        <v>152</v>
      </c>
      <c r="B17" s="9" t="s">
        <v>263</v>
      </c>
      <c r="C17" s="427"/>
      <c r="D17" s="427"/>
      <c r="E17" s="427"/>
      <c r="F17" s="427"/>
    </row>
    <row r="18" spans="1:6" s="1" customFormat="1" ht="12" customHeight="1" x14ac:dyDescent="0.2">
      <c r="A18" s="16" t="s">
        <v>153</v>
      </c>
      <c r="B18" s="9" t="s">
        <v>161</v>
      </c>
      <c r="C18" s="427"/>
      <c r="D18" s="427"/>
      <c r="E18" s="427"/>
      <c r="F18" s="427"/>
    </row>
    <row r="19" spans="1:6" s="1" customFormat="1" ht="12" customHeight="1" thickBot="1" x14ac:dyDescent="0.25">
      <c r="A19" s="17" t="s">
        <v>154</v>
      </c>
      <c r="B19" s="10" t="s">
        <v>162</v>
      </c>
      <c r="C19" s="429"/>
      <c r="D19" s="429"/>
      <c r="E19" s="429"/>
      <c r="F19" s="429"/>
    </row>
    <row r="20" spans="1:6" s="1" customFormat="1" ht="12" customHeight="1" thickBot="1" x14ac:dyDescent="0.25">
      <c r="A20" s="23" t="s">
        <v>163</v>
      </c>
      <c r="B20" s="24" t="s">
        <v>264</v>
      </c>
      <c r="C20" s="430"/>
      <c r="D20" s="430"/>
      <c r="E20" s="430"/>
      <c r="F20" s="430"/>
    </row>
    <row r="21" spans="1:6" s="1" customFormat="1" ht="12" customHeight="1" thickBot="1" x14ac:dyDescent="0.25">
      <c r="A21" s="23" t="s">
        <v>1129</v>
      </c>
      <c r="B21" s="24" t="s">
        <v>165</v>
      </c>
      <c r="C21" s="425">
        <f>+C22+C23+C24+C25+C26+C27+C28+C29</f>
        <v>0</v>
      </c>
      <c r="D21" s="425">
        <f>+D22+D23+D24+D25+D26+D27+D28+D29</f>
        <v>0</v>
      </c>
      <c r="E21" s="425">
        <f>+E22+E23+E24+E25+E26+E27+E28+E29</f>
        <v>0</v>
      </c>
      <c r="F21" s="425">
        <f>+F22+F23+F24+F25+F26+F27+F28+F29</f>
        <v>0</v>
      </c>
    </row>
    <row r="22" spans="1:6" s="1" customFormat="1" ht="12" customHeight="1" x14ac:dyDescent="0.2">
      <c r="A22" s="18" t="s">
        <v>44</v>
      </c>
      <c r="B22" s="11" t="s">
        <v>1053</v>
      </c>
      <c r="C22" s="431"/>
      <c r="D22" s="431"/>
      <c r="E22" s="431"/>
      <c r="F22" s="431"/>
    </row>
    <row r="23" spans="1:6" s="1" customFormat="1" ht="12" customHeight="1" x14ac:dyDescent="0.2">
      <c r="A23" s="16" t="s">
        <v>45</v>
      </c>
      <c r="B23" s="9" t="s">
        <v>171</v>
      </c>
      <c r="C23" s="427"/>
      <c r="D23" s="427"/>
      <c r="E23" s="427"/>
      <c r="F23" s="427"/>
    </row>
    <row r="24" spans="1:6" s="1" customFormat="1" ht="12" customHeight="1" x14ac:dyDescent="0.2">
      <c r="A24" s="16" t="s">
        <v>46</v>
      </c>
      <c r="B24" s="9" t="s">
        <v>49</v>
      </c>
      <c r="C24" s="427"/>
      <c r="D24" s="427"/>
      <c r="E24" s="427"/>
      <c r="F24" s="427"/>
    </row>
    <row r="25" spans="1:6" s="1" customFormat="1" ht="12" customHeight="1" x14ac:dyDescent="0.2">
      <c r="A25" s="19" t="s">
        <v>166</v>
      </c>
      <c r="B25" s="9" t="s">
        <v>172</v>
      </c>
      <c r="C25" s="432"/>
      <c r="D25" s="432"/>
      <c r="E25" s="432"/>
      <c r="F25" s="432"/>
    </row>
    <row r="26" spans="1:6" s="1" customFormat="1" ht="12" customHeight="1" x14ac:dyDescent="0.2">
      <c r="A26" s="19" t="s">
        <v>167</v>
      </c>
      <c r="B26" s="9" t="s">
        <v>173</v>
      </c>
      <c r="C26" s="432"/>
      <c r="D26" s="432"/>
      <c r="E26" s="432"/>
      <c r="F26" s="432"/>
    </row>
    <row r="27" spans="1:6" s="1" customFormat="1" ht="12" customHeight="1" x14ac:dyDescent="0.2">
      <c r="A27" s="16" t="s">
        <v>168</v>
      </c>
      <c r="B27" s="9" t="s">
        <v>174</v>
      </c>
      <c r="C27" s="427"/>
      <c r="D27" s="427"/>
      <c r="E27" s="427"/>
      <c r="F27" s="427"/>
    </row>
    <row r="28" spans="1:6" s="1" customFormat="1" ht="12" customHeight="1" x14ac:dyDescent="0.2">
      <c r="A28" s="16" t="s">
        <v>169</v>
      </c>
      <c r="B28" s="9" t="s">
        <v>265</v>
      </c>
      <c r="C28" s="433"/>
      <c r="D28" s="433"/>
      <c r="E28" s="433"/>
      <c r="F28" s="433"/>
    </row>
    <row r="29" spans="1:6" s="1" customFormat="1" ht="12" customHeight="1" thickBot="1" x14ac:dyDescent="0.25">
      <c r="A29" s="16" t="s">
        <v>170</v>
      </c>
      <c r="B29" s="14" t="s">
        <v>175</v>
      </c>
      <c r="C29" s="433"/>
      <c r="D29" s="433"/>
      <c r="E29" s="433"/>
      <c r="F29" s="433"/>
    </row>
    <row r="30" spans="1:6" s="1" customFormat="1" ht="12" customHeight="1" thickBot="1" x14ac:dyDescent="0.25">
      <c r="A30" s="394" t="s">
        <v>1130</v>
      </c>
      <c r="B30" s="24" t="s">
        <v>402</v>
      </c>
      <c r="C30" s="360">
        <f>+C31+C37</f>
        <v>0</v>
      </c>
      <c r="D30" s="360">
        <f>+D31+D37</f>
        <v>0</v>
      </c>
      <c r="E30" s="360">
        <f>+E31+E37</f>
        <v>0</v>
      </c>
      <c r="F30" s="360">
        <f>+F31+F37</f>
        <v>0</v>
      </c>
    </row>
    <row r="31" spans="1:6" s="1" customFormat="1" ht="12" customHeight="1" x14ac:dyDescent="0.2">
      <c r="A31" s="395" t="s">
        <v>47</v>
      </c>
      <c r="B31" s="573" t="s">
        <v>403</v>
      </c>
      <c r="C31" s="392">
        <f>+C32+C33+C34+C35+C36</f>
        <v>0</v>
      </c>
      <c r="D31" s="392">
        <f>+D32+D33+D34+D35+D36</f>
        <v>0</v>
      </c>
      <c r="E31" s="392">
        <f>+E32+E33+E34+E35+E36</f>
        <v>0</v>
      </c>
      <c r="F31" s="392">
        <f>+F32+F33+F34+F35+F36</f>
        <v>0</v>
      </c>
    </row>
    <row r="32" spans="1:6" s="1" customFormat="1" ht="12" customHeight="1" x14ac:dyDescent="0.2">
      <c r="A32" s="396" t="s">
        <v>50</v>
      </c>
      <c r="B32" s="402" t="s">
        <v>266</v>
      </c>
      <c r="C32" s="365"/>
      <c r="D32" s="365"/>
      <c r="E32" s="365"/>
      <c r="F32" s="365"/>
    </row>
    <row r="33" spans="1:6" s="1" customFormat="1" ht="12" customHeight="1" x14ac:dyDescent="0.2">
      <c r="A33" s="396" t="s">
        <v>51</v>
      </c>
      <c r="B33" s="402" t="s">
        <v>267</v>
      </c>
      <c r="C33" s="365"/>
      <c r="D33" s="365"/>
      <c r="E33" s="365"/>
      <c r="F33" s="365"/>
    </row>
    <row r="34" spans="1:6" s="1" customFormat="1" ht="12" customHeight="1" x14ac:dyDescent="0.2">
      <c r="A34" s="396" t="s">
        <v>52</v>
      </c>
      <c r="B34" s="402" t="s">
        <v>268</v>
      </c>
      <c r="C34" s="365"/>
      <c r="D34" s="365"/>
      <c r="E34" s="365"/>
      <c r="F34" s="365"/>
    </row>
    <row r="35" spans="1:6" s="1" customFormat="1" ht="12" customHeight="1" x14ac:dyDescent="0.2">
      <c r="A35" s="396" t="s">
        <v>53</v>
      </c>
      <c r="B35" s="402" t="s">
        <v>269</v>
      </c>
      <c r="C35" s="365"/>
      <c r="D35" s="365"/>
      <c r="E35" s="365"/>
      <c r="F35" s="365"/>
    </row>
    <row r="36" spans="1:6" s="1" customFormat="1" ht="12" customHeight="1" x14ac:dyDescent="0.2">
      <c r="A36" s="396" t="s">
        <v>176</v>
      </c>
      <c r="B36" s="402" t="s">
        <v>404</v>
      </c>
      <c r="C36" s="365"/>
      <c r="D36" s="365"/>
      <c r="E36" s="365"/>
      <c r="F36" s="365"/>
    </row>
    <row r="37" spans="1:6" s="1" customFormat="1" ht="12" customHeight="1" x14ac:dyDescent="0.2">
      <c r="A37" s="396" t="s">
        <v>48</v>
      </c>
      <c r="B37" s="403" t="s">
        <v>405</v>
      </c>
      <c r="C37" s="391">
        <f>+C38+C39+C40+C41+C42</f>
        <v>0</v>
      </c>
      <c r="D37" s="391">
        <f>+D38+D39+D40+D41+D42</f>
        <v>0</v>
      </c>
      <c r="E37" s="391">
        <f>+E38+E39+E40+E41+E42</f>
        <v>0</v>
      </c>
      <c r="F37" s="391">
        <f>+F38+F39+F40+F41+F42</f>
        <v>0</v>
      </c>
    </row>
    <row r="38" spans="1:6" s="1" customFormat="1" ht="12" customHeight="1" x14ac:dyDescent="0.2">
      <c r="A38" s="396" t="s">
        <v>56</v>
      </c>
      <c r="B38" s="402" t="s">
        <v>266</v>
      </c>
      <c r="C38" s="365"/>
      <c r="D38" s="365"/>
      <c r="E38" s="365"/>
      <c r="F38" s="365"/>
    </row>
    <row r="39" spans="1:6" s="1" customFormat="1" ht="12" customHeight="1" x14ac:dyDescent="0.2">
      <c r="A39" s="396" t="s">
        <v>57</v>
      </c>
      <c r="B39" s="402" t="s">
        <v>267</v>
      </c>
      <c r="C39" s="365"/>
      <c r="D39" s="365"/>
      <c r="E39" s="365"/>
      <c r="F39" s="365"/>
    </row>
    <row r="40" spans="1:6" s="1" customFormat="1" ht="12" customHeight="1" x14ac:dyDescent="0.2">
      <c r="A40" s="396" t="s">
        <v>58</v>
      </c>
      <c r="B40" s="402" t="s">
        <v>268</v>
      </c>
      <c r="C40" s="365"/>
      <c r="D40" s="365"/>
      <c r="E40" s="365"/>
      <c r="F40" s="365"/>
    </row>
    <row r="41" spans="1:6" s="1" customFormat="1" ht="12" customHeight="1" x14ac:dyDescent="0.2">
      <c r="A41" s="396" t="s">
        <v>59</v>
      </c>
      <c r="B41" s="404" t="s">
        <v>269</v>
      </c>
      <c r="C41" s="365"/>
      <c r="D41" s="365"/>
      <c r="E41" s="365"/>
      <c r="F41" s="365"/>
    </row>
    <row r="42" spans="1:6" s="1" customFormat="1" ht="12" customHeight="1" thickBot="1" x14ac:dyDescent="0.25">
      <c r="A42" s="397" t="s">
        <v>177</v>
      </c>
      <c r="B42" s="405" t="s">
        <v>406</v>
      </c>
      <c r="C42" s="366"/>
      <c r="D42" s="366"/>
      <c r="E42" s="366"/>
      <c r="F42" s="366"/>
    </row>
    <row r="43" spans="1:6" s="1" customFormat="1" ht="12" customHeight="1" thickBot="1" x14ac:dyDescent="0.25">
      <c r="A43" s="23" t="s">
        <v>178</v>
      </c>
      <c r="B43" s="574" t="s">
        <v>270</v>
      </c>
      <c r="C43" s="360">
        <f>+C44+C45</f>
        <v>0</v>
      </c>
      <c r="D43" s="360">
        <f>+D44+D45</f>
        <v>0</v>
      </c>
      <c r="E43" s="360">
        <f>+E44+E45</f>
        <v>0</v>
      </c>
      <c r="F43" s="360">
        <f>+F44+F45</f>
        <v>0</v>
      </c>
    </row>
    <row r="44" spans="1:6" s="1" customFormat="1" ht="12" customHeight="1" x14ac:dyDescent="0.2">
      <c r="A44" s="18" t="s">
        <v>54</v>
      </c>
      <c r="B44" s="415" t="s">
        <v>271</v>
      </c>
      <c r="C44" s="363"/>
      <c r="D44" s="363"/>
      <c r="E44" s="363"/>
      <c r="F44" s="363"/>
    </row>
    <row r="45" spans="1:6" s="1" customFormat="1" ht="12" customHeight="1" thickBot="1" x14ac:dyDescent="0.25">
      <c r="A45" s="15" t="s">
        <v>55</v>
      </c>
      <c r="B45" s="410" t="s">
        <v>275</v>
      </c>
      <c r="C45" s="362"/>
      <c r="D45" s="362"/>
      <c r="E45" s="362"/>
      <c r="F45" s="362"/>
    </row>
    <row r="46" spans="1:6" s="1" customFormat="1" ht="12" customHeight="1" thickBot="1" x14ac:dyDescent="0.25">
      <c r="A46" s="23" t="s">
        <v>1132</v>
      </c>
      <c r="B46" s="574" t="s">
        <v>274</v>
      </c>
      <c r="C46" s="360">
        <f>+C47+C48+C49</f>
        <v>0</v>
      </c>
      <c r="D46" s="360">
        <f>+D47+D48+D49</f>
        <v>0</v>
      </c>
      <c r="E46" s="360">
        <f>+E47+E48+E49</f>
        <v>0</v>
      </c>
      <c r="F46" s="360">
        <f>+F47+F48+F49</f>
        <v>0</v>
      </c>
    </row>
    <row r="47" spans="1:6" s="1" customFormat="1" ht="12" customHeight="1" x14ac:dyDescent="0.2">
      <c r="A47" s="18" t="s">
        <v>181</v>
      </c>
      <c r="B47" s="415" t="s">
        <v>179</v>
      </c>
      <c r="C47" s="393"/>
      <c r="D47" s="393"/>
      <c r="E47" s="393"/>
      <c r="F47" s="393"/>
    </row>
    <row r="48" spans="1:6" s="1" customFormat="1" ht="12" customHeight="1" x14ac:dyDescent="0.2">
      <c r="A48" s="16" t="s">
        <v>182</v>
      </c>
      <c r="B48" s="402" t="s">
        <v>180</v>
      </c>
      <c r="C48" s="433"/>
      <c r="D48" s="433"/>
      <c r="E48" s="433"/>
      <c r="F48" s="433"/>
    </row>
    <row r="49" spans="1:6" s="1" customFormat="1" ht="12" customHeight="1" thickBot="1" x14ac:dyDescent="0.25">
      <c r="A49" s="15" t="s">
        <v>333</v>
      </c>
      <c r="B49" s="410" t="s">
        <v>272</v>
      </c>
      <c r="C49" s="367"/>
      <c r="D49" s="367"/>
      <c r="E49" s="367"/>
      <c r="F49" s="367"/>
    </row>
    <row r="50" spans="1:6" s="1" customFormat="1" ht="17.25" customHeight="1" thickBot="1" x14ac:dyDescent="0.25">
      <c r="A50" s="23" t="s">
        <v>183</v>
      </c>
      <c r="B50" s="575" t="s">
        <v>273</v>
      </c>
      <c r="C50" s="434"/>
      <c r="D50" s="434"/>
      <c r="E50" s="434"/>
      <c r="F50" s="434"/>
    </row>
    <row r="51" spans="1:6" s="1" customFormat="1" ht="12" customHeight="1" thickBot="1" x14ac:dyDescent="0.25">
      <c r="A51" s="23" t="s">
        <v>1134</v>
      </c>
      <c r="B51" s="27" t="s">
        <v>184</v>
      </c>
      <c r="C51" s="435">
        <f>+C6+C11+C20+C21+C30+C43+C46+C50</f>
        <v>958</v>
      </c>
      <c r="D51" s="435">
        <f>+D6+D11+D20+D21+D30+D43+D46+D50</f>
        <v>958</v>
      </c>
      <c r="E51" s="435">
        <f>+E6+E11+E20+E21+E30+E43+E46+E50</f>
        <v>958</v>
      </c>
      <c r="F51" s="435">
        <f>+F6+F11+F20+F21+F30+F43+F46+F50</f>
        <v>958</v>
      </c>
    </row>
    <row r="52" spans="1:6" s="1" customFormat="1" ht="12" customHeight="1" thickBot="1" x14ac:dyDescent="0.25">
      <c r="A52" s="406" t="s">
        <v>1135</v>
      </c>
      <c r="B52" s="401" t="s">
        <v>276</v>
      </c>
      <c r="C52" s="436">
        <f>+C53+C59</f>
        <v>0</v>
      </c>
      <c r="D52" s="436">
        <f>+D53+D59</f>
        <v>0</v>
      </c>
      <c r="E52" s="436">
        <f>+E53+E59</f>
        <v>0</v>
      </c>
      <c r="F52" s="436">
        <f>+F53+F59</f>
        <v>0</v>
      </c>
    </row>
    <row r="53" spans="1:6" s="1" customFormat="1" ht="12" customHeight="1" x14ac:dyDescent="0.2">
      <c r="A53" s="576" t="s">
        <v>114</v>
      </c>
      <c r="B53" s="573" t="s">
        <v>277</v>
      </c>
      <c r="C53" s="437">
        <f>+C54+C55+C56+C57+C58</f>
        <v>0</v>
      </c>
      <c r="D53" s="437">
        <f>+D54+D55+D56+D57+D58</f>
        <v>0</v>
      </c>
      <c r="E53" s="437">
        <f>+E54+E55+E56+E57+E58</f>
        <v>0</v>
      </c>
      <c r="F53" s="437">
        <f>+F54+F55+F56+F57+F58</f>
        <v>0</v>
      </c>
    </row>
    <row r="54" spans="1:6" s="1" customFormat="1" ht="12" customHeight="1" x14ac:dyDescent="0.2">
      <c r="A54" s="407" t="s">
        <v>292</v>
      </c>
      <c r="B54" s="402" t="s">
        <v>278</v>
      </c>
      <c r="C54" s="433"/>
      <c r="D54" s="433"/>
      <c r="E54" s="433"/>
      <c r="F54" s="433"/>
    </row>
    <row r="55" spans="1:6" s="1" customFormat="1" ht="12" customHeight="1" x14ac:dyDescent="0.2">
      <c r="A55" s="407" t="s">
        <v>293</v>
      </c>
      <c r="B55" s="402" t="s">
        <v>279</v>
      </c>
      <c r="C55" s="433"/>
      <c r="D55" s="433"/>
      <c r="E55" s="433"/>
      <c r="F55" s="433"/>
    </row>
    <row r="56" spans="1:6" s="1" customFormat="1" ht="12" customHeight="1" x14ac:dyDescent="0.2">
      <c r="A56" s="407" t="s">
        <v>294</v>
      </c>
      <c r="B56" s="402" t="s">
        <v>280</v>
      </c>
      <c r="C56" s="433"/>
      <c r="D56" s="433"/>
      <c r="E56" s="433"/>
      <c r="F56" s="433"/>
    </row>
    <row r="57" spans="1:6" s="1" customFormat="1" ht="12" customHeight="1" x14ac:dyDescent="0.2">
      <c r="A57" s="407" t="s">
        <v>295</v>
      </c>
      <c r="B57" s="402" t="s">
        <v>281</v>
      </c>
      <c r="C57" s="433"/>
      <c r="D57" s="433"/>
      <c r="E57" s="433"/>
      <c r="F57" s="433"/>
    </row>
    <row r="58" spans="1:6" s="1" customFormat="1" ht="12" customHeight="1" x14ac:dyDescent="0.2">
      <c r="A58" s="407" t="s">
        <v>296</v>
      </c>
      <c r="B58" s="402" t="s">
        <v>282</v>
      </c>
      <c r="C58" s="433"/>
      <c r="D58" s="433"/>
      <c r="E58" s="433"/>
      <c r="F58" s="433"/>
    </row>
    <row r="59" spans="1:6" s="1" customFormat="1" ht="12" customHeight="1" x14ac:dyDescent="0.2">
      <c r="A59" s="408" t="s">
        <v>115</v>
      </c>
      <c r="B59" s="403" t="s">
        <v>283</v>
      </c>
      <c r="C59" s="438">
        <f>+C60+C61+C62+C63+C64</f>
        <v>0</v>
      </c>
      <c r="D59" s="438">
        <f>+D60+D61+D62+D63+D64</f>
        <v>0</v>
      </c>
      <c r="E59" s="438">
        <f>+E60+E61+E62+E63+E64</f>
        <v>0</v>
      </c>
      <c r="F59" s="438">
        <f>+F60+F61+F62+F63+F64</f>
        <v>0</v>
      </c>
    </row>
    <row r="60" spans="1:6" s="1" customFormat="1" ht="12" customHeight="1" x14ac:dyDescent="0.2">
      <c r="A60" s="407" t="s">
        <v>297</v>
      </c>
      <c r="B60" s="402" t="s">
        <v>284</v>
      </c>
      <c r="C60" s="433"/>
      <c r="D60" s="433"/>
      <c r="E60" s="433"/>
      <c r="F60" s="433"/>
    </row>
    <row r="61" spans="1:6" s="1" customFormat="1" ht="12" customHeight="1" x14ac:dyDescent="0.2">
      <c r="A61" s="407" t="s">
        <v>298</v>
      </c>
      <c r="B61" s="402" t="s">
        <v>285</v>
      </c>
      <c r="C61" s="433"/>
      <c r="D61" s="433"/>
      <c r="E61" s="433"/>
      <c r="F61" s="433"/>
    </row>
    <row r="62" spans="1:6" s="1" customFormat="1" ht="12" customHeight="1" x14ac:dyDescent="0.2">
      <c r="A62" s="407" t="s">
        <v>299</v>
      </c>
      <c r="B62" s="402" t="s">
        <v>286</v>
      </c>
      <c r="C62" s="433"/>
      <c r="D62" s="433"/>
      <c r="E62" s="433"/>
      <c r="F62" s="433"/>
    </row>
    <row r="63" spans="1:6" s="1" customFormat="1" ht="12" customHeight="1" x14ac:dyDescent="0.2">
      <c r="A63" s="407" t="s">
        <v>300</v>
      </c>
      <c r="B63" s="402" t="s">
        <v>287</v>
      </c>
      <c r="C63" s="433"/>
      <c r="D63" s="433"/>
      <c r="E63" s="433"/>
      <c r="F63" s="433"/>
    </row>
    <row r="64" spans="1:6" s="1" customFormat="1" ht="12" customHeight="1" thickBot="1" x14ac:dyDescent="0.25">
      <c r="A64" s="409" t="s">
        <v>301</v>
      </c>
      <c r="B64" s="410" t="s">
        <v>288</v>
      </c>
      <c r="C64" s="439"/>
      <c r="D64" s="439"/>
      <c r="E64" s="439"/>
      <c r="F64" s="439"/>
    </row>
    <row r="65" spans="1:6" s="1" customFormat="1" ht="12" customHeight="1" thickBot="1" x14ac:dyDescent="0.25">
      <c r="A65" s="411" t="s">
        <v>1136</v>
      </c>
      <c r="B65" s="577" t="s">
        <v>289</v>
      </c>
      <c r="C65" s="436">
        <f>+C51+C52</f>
        <v>958</v>
      </c>
      <c r="D65" s="436">
        <f>+D51+D52</f>
        <v>958</v>
      </c>
      <c r="E65" s="436">
        <f>+E51+E52</f>
        <v>958</v>
      </c>
      <c r="F65" s="436">
        <f>+F51+F52</f>
        <v>958</v>
      </c>
    </row>
    <row r="66" spans="1:6" s="1" customFormat="1" ht="13.5" customHeight="1" thickBot="1" x14ac:dyDescent="0.25">
      <c r="A66" s="412" t="s">
        <v>1137</v>
      </c>
      <c r="B66" s="578" t="s">
        <v>290</v>
      </c>
      <c r="C66" s="446"/>
      <c r="D66" s="446"/>
      <c r="E66" s="446"/>
      <c r="F66" s="446"/>
    </row>
    <row r="67" spans="1:6" s="1" customFormat="1" ht="12" customHeight="1" thickBot="1" x14ac:dyDescent="0.25">
      <c r="A67" s="411" t="s">
        <v>1138</v>
      </c>
      <c r="B67" s="577" t="s">
        <v>291</v>
      </c>
      <c r="C67" s="447">
        <f>+C65+C66</f>
        <v>958</v>
      </c>
      <c r="D67" s="447">
        <f>+D65+D66</f>
        <v>958</v>
      </c>
      <c r="E67" s="447">
        <f>+E65+E66</f>
        <v>958</v>
      </c>
      <c r="F67" s="447">
        <f>+F65+F66</f>
        <v>958</v>
      </c>
    </row>
    <row r="68" spans="1:6" s="1" customFormat="1" ht="12.95" customHeight="1" x14ac:dyDescent="0.2">
      <c r="A68" s="6"/>
      <c r="B68" s="7"/>
      <c r="C68" s="440"/>
      <c r="D68" s="440"/>
      <c r="E68" s="440"/>
      <c r="F68" s="440"/>
    </row>
    <row r="69" spans="1:6" ht="16.5" customHeight="1" x14ac:dyDescent="0.25">
      <c r="A69" s="1210" t="s">
        <v>1154</v>
      </c>
      <c r="B69" s="1210"/>
      <c r="C69" s="1210"/>
      <c r="D69" s="48"/>
      <c r="E69" s="48"/>
      <c r="F69" s="48"/>
    </row>
    <row r="70" spans="1:6" s="452" customFormat="1" ht="16.5" customHeight="1" thickBot="1" x14ac:dyDescent="0.3">
      <c r="A70" s="1213" t="s">
        <v>122</v>
      </c>
      <c r="B70" s="1213"/>
      <c r="C70" s="183"/>
      <c r="D70" s="445"/>
      <c r="E70" s="445"/>
      <c r="F70" s="445" t="s">
        <v>324</v>
      </c>
    </row>
    <row r="71" spans="1:6" ht="38.1" customHeight="1" thickBot="1" x14ac:dyDescent="0.3">
      <c r="A71" s="28" t="s">
        <v>1123</v>
      </c>
      <c r="B71" s="29" t="s">
        <v>1155</v>
      </c>
      <c r="C71" s="49" t="s">
        <v>302</v>
      </c>
      <c r="D71" s="49" t="s">
        <v>776</v>
      </c>
      <c r="E71" s="49" t="s">
        <v>1172</v>
      </c>
      <c r="F71" s="49" t="s">
        <v>1171</v>
      </c>
    </row>
    <row r="72" spans="1:6" s="50" customFormat="1" ht="12" customHeight="1" thickBot="1" x14ac:dyDescent="0.25">
      <c r="A72" s="42">
        <v>1</v>
      </c>
      <c r="B72" s="43">
        <v>2</v>
      </c>
      <c r="C72" s="423">
        <v>3</v>
      </c>
      <c r="D72" s="423">
        <v>3</v>
      </c>
      <c r="E72" s="423">
        <v>3</v>
      </c>
      <c r="F72" s="423">
        <v>3</v>
      </c>
    </row>
    <row r="73" spans="1:6" ht="12" customHeight="1" thickBot="1" x14ac:dyDescent="0.3">
      <c r="A73" s="25" t="s">
        <v>1125</v>
      </c>
      <c r="B73" s="36" t="s">
        <v>185</v>
      </c>
      <c r="C73" s="424">
        <f>+C74+C75+C76+C77+C78</f>
        <v>958</v>
      </c>
      <c r="D73" s="424">
        <f>+D74+D75+D76+D77+D78</f>
        <v>958</v>
      </c>
      <c r="E73" s="424">
        <f>+E74+E75+E76+E77+E78</f>
        <v>958</v>
      </c>
      <c r="F73" s="424">
        <f>+F74+F75+F76+F77+F78</f>
        <v>958</v>
      </c>
    </row>
    <row r="74" spans="1:6" ht="12" customHeight="1" x14ac:dyDescent="0.25">
      <c r="A74" s="20" t="s">
        <v>60</v>
      </c>
      <c r="B74" s="12" t="s">
        <v>1156</v>
      </c>
      <c r="C74" s="426"/>
      <c r="D74" s="426"/>
      <c r="E74" s="426"/>
      <c r="F74" s="426"/>
    </row>
    <row r="75" spans="1:6" ht="12" customHeight="1" x14ac:dyDescent="0.25">
      <c r="A75" s="16" t="s">
        <v>61</v>
      </c>
      <c r="B75" s="9" t="s">
        <v>186</v>
      </c>
      <c r="C75" s="427"/>
      <c r="D75" s="427"/>
      <c r="E75" s="427"/>
      <c r="F75" s="427"/>
    </row>
    <row r="76" spans="1:6" ht="12" customHeight="1" x14ac:dyDescent="0.25">
      <c r="A76" s="16" t="s">
        <v>62</v>
      </c>
      <c r="B76" s="9" t="s">
        <v>103</v>
      </c>
      <c r="C76" s="432">
        <v>958</v>
      </c>
      <c r="D76" s="432">
        <v>958</v>
      </c>
      <c r="E76" s="432">
        <v>958</v>
      </c>
      <c r="F76" s="432">
        <v>958</v>
      </c>
    </row>
    <row r="77" spans="1:6" ht="12" customHeight="1" x14ac:dyDescent="0.25">
      <c r="A77" s="16" t="s">
        <v>63</v>
      </c>
      <c r="B77" s="13" t="s">
        <v>187</v>
      </c>
      <c r="C77" s="432"/>
      <c r="D77" s="432"/>
      <c r="E77" s="432"/>
      <c r="F77" s="432"/>
    </row>
    <row r="78" spans="1:6" ht="12" customHeight="1" x14ac:dyDescent="0.25">
      <c r="A78" s="16" t="s">
        <v>74</v>
      </c>
      <c r="B78" s="22" t="s">
        <v>188</v>
      </c>
      <c r="C78" s="432"/>
      <c r="D78" s="432"/>
      <c r="E78" s="432"/>
      <c r="F78" s="432"/>
    </row>
    <row r="79" spans="1:6" ht="12" customHeight="1" x14ac:dyDescent="0.25">
      <c r="A79" s="16" t="s">
        <v>64</v>
      </c>
      <c r="B79" s="9" t="s">
        <v>210</v>
      </c>
      <c r="C79" s="432"/>
      <c r="D79" s="432"/>
      <c r="E79" s="432"/>
      <c r="F79" s="432"/>
    </row>
    <row r="80" spans="1:6" ht="12" customHeight="1" x14ac:dyDescent="0.25">
      <c r="A80" s="16" t="s">
        <v>65</v>
      </c>
      <c r="B80" s="187" t="s">
        <v>211</v>
      </c>
      <c r="C80" s="432"/>
      <c r="D80" s="432"/>
      <c r="E80" s="432"/>
      <c r="F80" s="432"/>
    </row>
    <row r="81" spans="1:6" ht="12" customHeight="1" x14ac:dyDescent="0.25">
      <c r="A81" s="16" t="s">
        <v>75</v>
      </c>
      <c r="B81" s="187" t="s">
        <v>303</v>
      </c>
      <c r="C81" s="432"/>
      <c r="D81" s="432"/>
      <c r="E81" s="432"/>
      <c r="F81" s="432"/>
    </row>
    <row r="82" spans="1:6" ht="12" customHeight="1" x14ac:dyDescent="0.25">
      <c r="A82" s="16" t="s">
        <v>76</v>
      </c>
      <c r="B82" s="188" t="s">
        <v>212</v>
      </c>
      <c r="C82" s="432"/>
      <c r="D82" s="432"/>
      <c r="E82" s="432"/>
      <c r="F82" s="432"/>
    </row>
    <row r="83" spans="1:6" ht="12" customHeight="1" x14ac:dyDescent="0.25">
      <c r="A83" s="15" t="s">
        <v>77</v>
      </c>
      <c r="B83" s="189" t="s">
        <v>213</v>
      </c>
      <c r="C83" s="432"/>
      <c r="D83" s="432"/>
      <c r="E83" s="432"/>
      <c r="F83" s="432"/>
    </row>
    <row r="84" spans="1:6" ht="12" customHeight="1" x14ac:dyDescent="0.25">
      <c r="A84" s="16" t="s">
        <v>78</v>
      </c>
      <c r="B84" s="189" t="s">
        <v>214</v>
      </c>
      <c r="C84" s="432"/>
      <c r="D84" s="432"/>
      <c r="E84" s="432"/>
      <c r="F84" s="432"/>
    </row>
    <row r="85" spans="1:6" ht="12" customHeight="1" thickBot="1" x14ac:dyDescent="0.3">
      <c r="A85" s="21" t="s">
        <v>80</v>
      </c>
      <c r="B85" s="190" t="s">
        <v>215</v>
      </c>
      <c r="C85" s="441"/>
      <c r="D85" s="441"/>
      <c r="E85" s="441"/>
      <c r="F85" s="441"/>
    </row>
    <row r="86" spans="1:6" ht="12" customHeight="1" thickBot="1" x14ac:dyDescent="0.3">
      <c r="A86" s="23" t="s">
        <v>1126</v>
      </c>
      <c r="B86" s="35" t="s">
        <v>334</v>
      </c>
      <c r="C86" s="425">
        <f>+C87+C88+C89</f>
        <v>0</v>
      </c>
      <c r="D86" s="425">
        <f>+D87+D88+D89</f>
        <v>0</v>
      </c>
      <c r="E86" s="425">
        <f>+E87+E88+E89</f>
        <v>0</v>
      </c>
      <c r="F86" s="425">
        <f>+F87+F88+F89</f>
        <v>0</v>
      </c>
    </row>
    <row r="87" spans="1:6" ht="12" customHeight="1" x14ac:dyDescent="0.25">
      <c r="A87" s="18" t="s">
        <v>66</v>
      </c>
      <c r="B87" s="9" t="s">
        <v>304</v>
      </c>
      <c r="C87" s="431"/>
      <c r="D87" s="431"/>
      <c r="E87" s="431"/>
      <c r="F87" s="431"/>
    </row>
    <row r="88" spans="1:6" ht="12" customHeight="1" x14ac:dyDescent="0.25">
      <c r="A88" s="18" t="s">
        <v>67</v>
      </c>
      <c r="B88" s="14" t="s">
        <v>190</v>
      </c>
      <c r="C88" s="427"/>
      <c r="D88" s="427"/>
      <c r="E88" s="427"/>
      <c r="F88" s="427"/>
    </row>
    <row r="89" spans="1:6" ht="12" customHeight="1" x14ac:dyDescent="0.25">
      <c r="A89" s="18" t="s">
        <v>68</v>
      </c>
      <c r="B89" s="402" t="s">
        <v>335</v>
      </c>
      <c r="C89" s="361"/>
      <c r="D89" s="361"/>
      <c r="E89" s="361"/>
      <c r="F89" s="361"/>
    </row>
    <row r="90" spans="1:6" ht="12" customHeight="1" x14ac:dyDescent="0.25">
      <c r="A90" s="18" t="s">
        <v>69</v>
      </c>
      <c r="B90" s="402" t="s">
        <v>407</v>
      </c>
      <c r="C90" s="361"/>
      <c r="D90" s="361"/>
      <c r="E90" s="361"/>
      <c r="F90" s="361"/>
    </row>
    <row r="91" spans="1:6" ht="12" customHeight="1" x14ac:dyDescent="0.25">
      <c r="A91" s="18" t="s">
        <v>70</v>
      </c>
      <c r="B91" s="402" t="s">
        <v>336</v>
      </c>
      <c r="C91" s="361"/>
      <c r="D91" s="361"/>
      <c r="E91" s="361"/>
      <c r="F91" s="361"/>
    </row>
    <row r="92" spans="1:6" x14ac:dyDescent="0.25">
      <c r="A92" s="18" t="s">
        <v>79</v>
      </c>
      <c r="B92" s="402" t="s">
        <v>337</v>
      </c>
      <c r="C92" s="361"/>
      <c r="D92" s="361"/>
      <c r="E92" s="361"/>
      <c r="F92" s="361"/>
    </row>
    <row r="93" spans="1:6" ht="12" customHeight="1" x14ac:dyDescent="0.25">
      <c r="A93" s="18" t="s">
        <v>81</v>
      </c>
      <c r="B93" s="579" t="s">
        <v>308</v>
      </c>
      <c r="C93" s="361"/>
      <c r="D93" s="361"/>
      <c r="E93" s="361"/>
      <c r="F93" s="361"/>
    </row>
    <row r="94" spans="1:6" ht="12" customHeight="1" x14ac:dyDescent="0.25">
      <c r="A94" s="18" t="s">
        <v>191</v>
      </c>
      <c r="B94" s="579" t="s">
        <v>309</v>
      </c>
      <c r="C94" s="361"/>
      <c r="D94" s="361"/>
      <c r="E94" s="361"/>
      <c r="F94" s="361"/>
    </row>
    <row r="95" spans="1:6" ht="12" customHeight="1" x14ac:dyDescent="0.25">
      <c r="A95" s="18" t="s">
        <v>192</v>
      </c>
      <c r="B95" s="579" t="s">
        <v>307</v>
      </c>
      <c r="C95" s="361"/>
      <c r="D95" s="361"/>
      <c r="E95" s="361"/>
      <c r="F95" s="361"/>
    </row>
    <row r="96" spans="1:6" ht="24" customHeight="1" thickBot="1" x14ac:dyDescent="0.3">
      <c r="A96" s="15" t="s">
        <v>193</v>
      </c>
      <c r="B96" s="580" t="s">
        <v>306</v>
      </c>
      <c r="C96" s="364"/>
      <c r="D96" s="364"/>
      <c r="E96" s="364"/>
      <c r="F96" s="364"/>
    </row>
    <row r="97" spans="1:6" ht="12" customHeight="1" thickBot="1" x14ac:dyDescent="0.3">
      <c r="A97" s="23" t="s">
        <v>1127</v>
      </c>
      <c r="B97" s="167" t="s">
        <v>338</v>
      </c>
      <c r="C97" s="425">
        <f>+C98+C99</f>
        <v>0</v>
      </c>
      <c r="D97" s="425">
        <f>+D98+D99</f>
        <v>0</v>
      </c>
      <c r="E97" s="425">
        <f>+E98+E99</f>
        <v>0</v>
      </c>
      <c r="F97" s="425">
        <f>+F98+F99</f>
        <v>0</v>
      </c>
    </row>
    <row r="98" spans="1:6" ht="12" customHeight="1" x14ac:dyDescent="0.25">
      <c r="A98" s="18" t="s">
        <v>40</v>
      </c>
      <c r="B98" s="11" t="s">
        <v>3</v>
      </c>
      <c r="C98" s="431"/>
      <c r="D98" s="431"/>
      <c r="E98" s="431"/>
      <c r="F98" s="431"/>
    </row>
    <row r="99" spans="1:6" ht="12" customHeight="1" thickBot="1" x14ac:dyDescent="0.3">
      <c r="A99" s="19" t="s">
        <v>41</v>
      </c>
      <c r="B99" s="14" t="s">
        <v>4</v>
      </c>
      <c r="C99" s="432"/>
      <c r="D99" s="432"/>
      <c r="E99" s="432"/>
      <c r="F99" s="432"/>
    </row>
    <row r="100" spans="1:6" s="400" customFormat="1" ht="12" customHeight="1" thickBot="1" x14ac:dyDescent="0.25">
      <c r="A100" s="406" t="s">
        <v>1128</v>
      </c>
      <c r="B100" s="401" t="s">
        <v>310</v>
      </c>
      <c r="C100" s="591"/>
      <c r="D100" s="591"/>
      <c r="E100" s="591"/>
      <c r="F100" s="591"/>
    </row>
    <row r="101" spans="1:6" ht="12" customHeight="1" thickBot="1" x14ac:dyDescent="0.3">
      <c r="A101" s="398" t="s">
        <v>1129</v>
      </c>
      <c r="B101" s="399" t="s">
        <v>127</v>
      </c>
      <c r="C101" s="424">
        <f>+C73+C86+C97+C100</f>
        <v>958</v>
      </c>
      <c r="D101" s="424">
        <f>+D73+D86+D97+D100</f>
        <v>958</v>
      </c>
      <c r="E101" s="424">
        <f>+E73+E86+E97+E100</f>
        <v>958</v>
      </c>
      <c r="F101" s="424">
        <f>+F73+F86+F97+F100</f>
        <v>958</v>
      </c>
    </row>
    <row r="102" spans="1:6" ht="12" customHeight="1" thickBot="1" x14ac:dyDescent="0.3">
      <c r="A102" s="406" t="s">
        <v>1130</v>
      </c>
      <c r="B102" s="401" t="s">
        <v>408</v>
      </c>
      <c r="C102" s="425">
        <f>+C103+C111</f>
        <v>0</v>
      </c>
      <c r="D102" s="425">
        <f>+D103+D111</f>
        <v>0</v>
      </c>
      <c r="E102" s="425">
        <f>+E103+E111</f>
        <v>0</v>
      </c>
      <c r="F102" s="425">
        <f>+F103+F111</f>
        <v>0</v>
      </c>
    </row>
    <row r="103" spans="1:6" ht="12" customHeight="1" thickBot="1" x14ac:dyDescent="0.3">
      <c r="A103" s="413" t="s">
        <v>47</v>
      </c>
      <c r="B103" s="581" t="s">
        <v>415</v>
      </c>
      <c r="C103" s="425">
        <f>+C104+C105+C106+C107+C108+C109+C110</f>
        <v>0</v>
      </c>
      <c r="D103" s="425">
        <f>+D104+D105+D106+D107+D108+D109+D110</f>
        <v>0</v>
      </c>
      <c r="E103" s="425">
        <f>+E104+E105+E106+E107+E108+E109+E110</f>
        <v>0</v>
      </c>
      <c r="F103" s="425">
        <f>+F104+F105+F106+F107+F108+F109+F110</f>
        <v>0</v>
      </c>
    </row>
    <row r="104" spans="1:6" ht="12" customHeight="1" x14ac:dyDescent="0.25">
      <c r="A104" s="414" t="s">
        <v>50</v>
      </c>
      <c r="B104" s="415" t="s">
        <v>311</v>
      </c>
      <c r="C104" s="448"/>
      <c r="D104" s="448"/>
      <c r="E104" s="448"/>
      <c r="F104" s="448"/>
    </row>
    <row r="105" spans="1:6" ht="12" customHeight="1" x14ac:dyDescent="0.25">
      <c r="A105" s="407" t="s">
        <v>51</v>
      </c>
      <c r="B105" s="402" t="s">
        <v>312</v>
      </c>
      <c r="C105" s="449"/>
      <c r="D105" s="449"/>
      <c r="E105" s="449"/>
      <c r="F105" s="449"/>
    </row>
    <row r="106" spans="1:6" ht="12" customHeight="1" x14ac:dyDescent="0.25">
      <c r="A106" s="407" t="s">
        <v>52</v>
      </c>
      <c r="B106" s="402" t="s">
        <v>313</v>
      </c>
      <c r="C106" s="449"/>
      <c r="D106" s="449"/>
      <c r="E106" s="449"/>
      <c r="F106" s="449"/>
    </row>
    <row r="107" spans="1:6" ht="12" customHeight="1" x14ac:dyDescent="0.25">
      <c r="A107" s="407" t="s">
        <v>53</v>
      </c>
      <c r="B107" s="402" t="s">
        <v>314</v>
      </c>
      <c r="C107" s="449"/>
      <c r="D107" s="449"/>
      <c r="E107" s="449"/>
      <c r="F107" s="449"/>
    </row>
    <row r="108" spans="1:6" ht="12" customHeight="1" x14ac:dyDescent="0.25">
      <c r="A108" s="407" t="s">
        <v>176</v>
      </c>
      <c r="B108" s="402" t="s">
        <v>315</v>
      </c>
      <c r="C108" s="449"/>
      <c r="D108" s="449"/>
      <c r="E108" s="449"/>
      <c r="F108" s="449"/>
    </row>
    <row r="109" spans="1:6" ht="12" customHeight="1" x14ac:dyDescent="0.25">
      <c r="A109" s="407" t="s">
        <v>194</v>
      </c>
      <c r="B109" s="402" t="s">
        <v>316</v>
      </c>
      <c r="C109" s="449"/>
      <c r="D109" s="449"/>
      <c r="E109" s="449"/>
      <c r="F109" s="449"/>
    </row>
    <row r="110" spans="1:6" ht="12" customHeight="1" thickBot="1" x14ac:dyDescent="0.3">
      <c r="A110" s="416" t="s">
        <v>195</v>
      </c>
      <c r="B110" s="417" t="s">
        <v>317</v>
      </c>
      <c r="C110" s="450"/>
      <c r="D110" s="450"/>
      <c r="E110" s="450"/>
      <c r="F110" s="450"/>
    </row>
    <row r="111" spans="1:6" ht="12" customHeight="1" thickBot="1" x14ac:dyDescent="0.3">
      <c r="A111" s="413" t="s">
        <v>48</v>
      </c>
      <c r="B111" s="581" t="s">
        <v>416</v>
      </c>
      <c r="C111" s="425">
        <f>+C112+C113+C114+C115+C116+C117+C118+C119</f>
        <v>0</v>
      </c>
      <c r="D111" s="425">
        <f>+D112+D113+D114+D115+D116+D117+D118+D119</f>
        <v>0</v>
      </c>
      <c r="E111" s="425">
        <f>+E112+E113+E114+E115+E116+E117+E118+E119</f>
        <v>0</v>
      </c>
      <c r="F111" s="425">
        <f>+F112+F113+F114+F115+F116+F117+F118+F119</f>
        <v>0</v>
      </c>
    </row>
    <row r="112" spans="1:6" ht="12" customHeight="1" x14ac:dyDescent="0.25">
      <c r="A112" s="414" t="s">
        <v>56</v>
      </c>
      <c r="B112" s="415" t="s">
        <v>311</v>
      </c>
      <c r="C112" s="448"/>
      <c r="D112" s="448"/>
      <c r="E112" s="448"/>
      <c r="F112" s="448"/>
    </row>
    <row r="113" spans="1:9" ht="12" customHeight="1" x14ac:dyDescent="0.25">
      <c r="A113" s="407" t="s">
        <v>57</v>
      </c>
      <c r="B113" s="402" t="s">
        <v>318</v>
      </c>
      <c r="C113" s="449"/>
      <c r="D113" s="449"/>
      <c r="E113" s="449"/>
      <c r="F113" s="449"/>
    </row>
    <row r="114" spans="1:9" ht="12" customHeight="1" x14ac:dyDescent="0.25">
      <c r="A114" s="407" t="s">
        <v>58</v>
      </c>
      <c r="B114" s="402" t="s">
        <v>313</v>
      </c>
      <c r="C114" s="449"/>
      <c r="D114" s="449"/>
      <c r="E114" s="449"/>
      <c r="F114" s="449"/>
    </row>
    <row r="115" spans="1:9" ht="12" customHeight="1" x14ac:dyDescent="0.25">
      <c r="A115" s="407" t="s">
        <v>59</v>
      </c>
      <c r="B115" s="402" t="s">
        <v>314</v>
      </c>
      <c r="C115" s="449"/>
      <c r="D115" s="449"/>
      <c r="E115" s="449"/>
      <c r="F115" s="449"/>
    </row>
    <row r="116" spans="1:9" ht="12" customHeight="1" x14ac:dyDescent="0.25">
      <c r="A116" s="407" t="s">
        <v>177</v>
      </c>
      <c r="B116" s="402" t="s">
        <v>315</v>
      </c>
      <c r="C116" s="449"/>
      <c r="D116" s="449"/>
      <c r="E116" s="449"/>
      <c r="F116" s="449"/>
    </row>
    <row r="117" spans="1:9" ht="12" customHeight="1" x14ac:dyDescent="0.25">
      <c r="A117" s="407" t="s">
        <v>196</v>
      </c>
      <c r="B117" s="402" t="s">
        <v>319</v>
      </c>
      <c r="C117" s="449"/>
      <c r="D117" s="449"/>
      <c r="E117" s="449"/>
      <c r="F117" s="449"/>
    </row>
    <row r="118" spans="1:9" ht="12" customHeight="1" x14ac:dyDescent="0.25">
      <c r="A118" s="407" t="s">
        <v>197</v>
      </c>
      <c r="B118" s="402" t="s">
        <v>317</v>
      </c>
      <c r="C118" s="449"/>
      <c r="D118" s="449"/>
      <c r="E118" s="449"/>
      <c r="F118" s="449"/>
    </row>
    <row r="119" spans="1:9" ht="12" customHeight="1" thickBot="1" x14ac:dyDescent="0.3">
      <c r="A119" s="416" t="s">
        <v>198</v>
      </c>
      <c r="B119" s="417" t="s">
        <v>411</v>
      </c>
      <c r="C119" s="450"/>
      <c r="D119" s="450"/>
      <c r="E119" s="450"/>
      <c r="F119" s="450"/>
    </row>
    <row r="120" spans="1:9" ht="12" customHeight="1" thickBot="1" x14ac:dyDescent="0.3">
      <c r="A120" s="406" t="s">
        <v>1131</v>
      </c>
      <c r="B120" s="577" t="s">
        <v>320</v>
      </c>
      <c r="C120" s="442">
        <f>+C101+C102</f>
        <v>958</v>
      </c>
      <c r="D120" s="442">
        <f>+D101+D102</f>
        <v>958</v>
      </c>
      <c r="E120" s="442">
        <f>+E101+E102</f>
        <v>958</v>
      </c>
      <c r="F120" s="442">
        <f>+F101+F102</f>
        <v>958</v>
      </c>
    </row>
    <row r="121" spans="1:9" ht="15" customHeight="1" thickBot="1" x14ac:dyDescent="0.3">
      <c r="A121" s="406" t="s">
        <v>1132</v>
      </c>
      <c r="B121" s="577" t="s">
        <v>321</v>
      </c>
      <c r="C121" s="443"/>
      <c r="D121" s="443"/>
      <c r="E121" s="443"/>
      <c r="F121" s="443"/>
      <c r="G121" s="168"/>
      <c r="H121" s="168"/>
      <c r="I121" s="168"/>
    </row>
    <row r="122" spans="1:9" s="1" customFormat="1" ht="12.95" customHeight="1" thickBot="1" x14ac:dyDescent="0.25">
      <c r="A122" s="418" t="s">
        <v>1133</v>
      </c>
      <c r="B122" s="578" t="s">
        <v>322</v>
      </c>
      <c r="C122" s="436">
        <f>+C120+C121</f>
        <v>958</v>
      </c>
      <c r="D122" s="436">
        <f>+D120+D121</f>
        <v>958</v>
      </c>
      <c r="E122" s="436">
        <f>+E120+E121</f>
        <v>958</v>
      </c>
      <c r="F122" s="436">
        <f>+F120+F121</f>
        <v>958</v>
      </c>
    </row>
    <row r="123" spans="1:9" ht="7.5" customHeight="1" x14ac:dyDescent="0.25">
      <c r="A123" s="582"/>
      <c r="B123" s="582"/>
      <c r="C123" s="583"/>
      <c r="D123" s="583"/>
      <c r="E123" s="583"/>
      <c r="F123" s="583"/>
    </row>
    <row r="124" spans="1:9" x14ac:dyDescent="0.25">
      <c r="A124" s="1214" t="s">
        <v>130</v>
      </c>
      <c r="B124" s="1214"/>
      <c r="C124" s="1214"/>
      <c r="D124" s="48"/>
      <c r="E124" s="48"/>
      <c r="F124" s="48"/>
    </row>
    <row r="125" spans="1:9" ht="15" customHeight="1" thickBot="1" x14ac:dyDescent="0.3">
      <c r="A125" s="1212" t="s">
        <v>123</v>
      </c>
      <c r="B125" s="1212"/>
      <c r="C125" s="445"/>
      <c r="D125" s="445"/>
      <c r="E125" s="445"/>
      <c r="F125" s="445" t="s">
        <v>324</v>
      </c>
    </row>
    <row r="126" spans="1:9" ht="13.5" customHeight="1" thickBot="1" x14ac:dyDescent="0.3">
      <c r="A126" s="23">
        <v>1</v>
      </c>
      <c r="B126" s="35" t="s">
        <v>205</v>
      </c>
      <c r="C126" s="444">
        <f>+C51-C101</f>
        <v>0</v>
      </c>
      <c r="D126" s="425">
        <f>+D51-D101</f>
        <v>0</v>
      </c>
      <c r="E126" s="425">
        <f>+E51-E101</f>
        <v>0</v>
      </c>
      <c r="F126" s="425">
        <f>+F51-F101</f>
        <v>0</v>
      </c>
    </row>
    <row r="127" spans="1:9" ht="7.5" customHeight="1" x14ac:dyDescent="0.25">
      <c r="A127" s="582"/>
      <c r="B127" s="582"/>
      <c r="C127" s="583"/>
      <c r="D127" s="583"/>
      <c r="E127" s="583"/>
      <c r="F127" s="583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9370078740157483" footer="0.59055118110236227"/>
  <pageSetup paperSize="9" scale="73" fitToHeight="2" orientation="portrait" r:id="rId1"/>
  <headerFooter alignWithMargins="0">
    <oddHeader>&amp;C&amp;"Times New Roman CE,Félkövér"&amp;12
Csobánka Község Önkormányzat 
2013. ÉVI KÖLTSÉGVETÉSÖNKÉNT VÁLLALT FELADATAINAK MÉRLEGE&amp;R&amp;"Times New Roman CE,Félkövér"&amp;11 1.3. melléklet az 5/2014. (III.6.) önkormányzati rendelethez</oddHeader>
  </headerFooter>
  <rowBreaks count="1" manualBreakCount="1">
    <brk id="6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127"/>
  <sheetViews>
    <sheetView view="pageLayout" zoomScaleNormal="120" zoomScaleSheetLayoutView="130" workbookViewId="0">
      <selection activeCell="D77" sqref="D77"/>
    </sheetView>
  </sheetViews>
  <sheetFormatPr defaultColWidth="9.33203125" defaultRowHeight="15.75" x14ac:dyDescent="0.25"/>
  <cols>
    <col min="1" max="1" width="9" style="589" customWidth="1"/>
    <col min="2" max="2" width="91.6640625" style="589" customWidth="1"/>
    <col min="3" max="4" width="14.83203125" style="590" customWidth="1"/>
    <col min="5" max="6" width="14.83203125" style="590" hidden="1" customWidth="1"/>
    <col min="7" max="16384" width="9.33203125" style="48"/>
  </cols>
  <sheetData>
    <row r="1" spans="1:6" ht="15.95" customHeight="1" x14ac:dyDescent="0.25">
      <c r="A1" s="1210" t="s">
        <v>1122</v>
      </c>
      <c r="B1" s="1210"/>
      <c r="C1" s="1210"/>
      <c r="D1" s="48"/>
      <c r="E1" s="48"/>
      <c r="F1" s="48"/>
    </row>
    <row r="2" spans="1:6" ht="15.95" customHeight="1" thickBot="1" x14ac:dyDescent="0.3">
      <c r="A2" s="1212" t="s">
        <v>121</v>
      </c>
      <c r="B2" s="1212"/>
      <c r="C2" s="445"/>
      <c r="D2" s="445" t="s">
        <v>324</v>
      </c>
      <c r="E2" s="445"/>
      <c r="F2" s="445" t="s">
        <v>324</v>
      </c>
    </row>
    <row r="3" spans="1:6" ht="38.1" customHeight="1" thickBot="1" x14ac:dyDescent="0.3">
      <c r="A3" s="28" t="s">
        <v>19</v>
      </c>
      <c r="B3" s="29" t="s">
        <v>1124</v>
      </c>
      <c r="C3" s="49" t="s">
        <v>302</v>
      </c>
      <c r="D3" s="49" t="s">
        <v>776</v>
      </c>
      <c r="E3" s="49" t="s">
        <v>1172</v>
      </c>
      <c r="F3" s="49" t="s">
        <v>1171</v>
      </c>
    </row>
    <row r="4" spans="1:6" s="50" customFormat="1" ht="12" customHeight="1" thickBot="1" x14ac:dyDescent="0.25">
      <c r="A4" s="42">
        <v>1</v>
      </c>
      <c r="B4" s="43">
        <v>2</v>
      </c>
      <c r="C4" s="44">
        <v>3</v>
      </c>
      <c r="D4" s="44">
        <v>3</v>
      </c>
      <c r="E4" s="44">
        <v>3</v>
      </c>
      <c r="F4" s="44">
        <v>3</v>
      </c>
    </row>
    <row r="5" spans="1:6" s="1" customFormat="1" ht="12" customHeight="1" thickBot="1" x14ac:dyDescent="0.25">
      <c r="A5" s="25" t="s">
        <v>1125</v>
      </c>
      <c r="B5" s="24" t="s">
        <v>147</v>
      </c>
      <c r="C5" s="424">
        <f>+C6+C11+C20</f>
        <v>0</v>
      </c>
      <c r="D5" s="424">
        <f>+D6+D11+D20</f>
        <v>0</v>
      </c>
      <c r="E5" s="424">
        <f>+E6+E11+E20</f>
        <v>0</v>
      </c>
      <c r="F5" s="424">
        <f>+F6+F11+F20</f>
        <v>0</v>
      </c>
    </row>
    <row r="6" spans="1:6" s="1" customFormat="1" ht="12" customHeight="1" thickBot="1" x14ac:dyDescent="0.25">
      <c r="A6" s="23" t="s">
        <v>1126</v>
      </c>
      <c r="B6" s="401" t="s">
        <v>401</v>
      </c>
      <c r="C6" s="360">
        <f>+C7+C8+C9+C10</f>
        <v>0</v>
      </c>
      <c r="D6" s="360">
        <f>+D7+D8+D9+D10</f>
        <v>0</v>
      </c>
      <c r="E6" s="360">
        <f>+E7+E8+E9+E10</f>
        <v>0</v>
      </c>
      <c r="F6" s="360">
        <f>+F7+F8+F9+F10</f>
        <v>0</v>
      </c>
    </row>
    <row r="7" spans="1:6" s="1" customFormat="1" ht="12" customHeight="1" x14ac:dyDescent="0.2">
      <c r="A7" s="16" t="s">
        <v>66</v>
      </c>
      <c r="B7" s="571" t="s">
        <v>1169</v>
      </c>
      <c r="C7" s="361"/>
      <c r="D7" s="361"/>
      <c r="E7" s="361"/>
      <c r="F7" s="361"/>
    </row>
    <row r="8" spans="1:6" s="1" customFormat="1" ht="12" customHeight="1" x14ac:dyDescent="0.2">
      <c r="A8" s="16" t="s">
        <v>67</v>
      </c>
      <c r="B8" s="415" t="s">
        <v>35</v>
      </c>
      <c r="C8" s="361"/>
      <c r="D8" s="361"/>
      <c r="E8" s="361"/>
      <c r="F8" s="361"/>
    </row>
    <row r="9" spans="1:6" s="1" customFormat="1" ht="12" customHeight="1" x14ac:dyDescent="0.2">
      <c r="A9" s="16" t="s">
        <v>68</v>
      </c>
      <c r="B9" s="415" t="s">
        <v>148</v>
      </c>
      <c r="C9" s="361"/>
      <c r="D9" s="361"/>
      <c r="E9" s="361"/>
      <c r="F9" s="361"/>
    </row>
    <row r="10" spans="1:6" s="1" customFormat="1" ht="12" customHeight="1" thickBot="1" x14ac:dyDescent="0.25">
      <c r="A10" s="16" t="s">
        <v>69</v>
      </c>
      <c r="B10" s="572" t="s">
        <v>149</v>
      </c>
      <c r="C10" s="361"/>
      <c r="D10" s="361"/>
      <c r="E10" s="361"/>
      <c r="F10" s="361"/>
    </row>
    <row r="11" spans="1:6" s="1" customFormat="1" ht="12" customHeight="1" thickBot="1" x14ac:dyDescent="0.25">
      <c r="A11" s="23" t="s">
        <v>1127</v>
      </c>
      <c r="B11" s="24" t="s">
        <v>150</v>
      </c>
      <c r="C11" s="425">
        <f>+C12+C13+C14+C15+C16+C17+C18+C19</f>
        <v>0</v>
      </c>
      <c r="D11" s="425">
        <f>+D12+D13+D14+D15+D16+D17+D18+D19</f>
        <v>0</v>
      </c>
      <c r="E11" s="425">
        <f>+E12+E13+E14+E15+E16+E17+E18+E19</f>
        <v>0</v>
      </c>
      <c r="F11" s="425">
        <f>+F12+F13+F14+F15+F16+F17+F18+F19</f>
        <v>0</v>
      </c>
    </row>
    <row r="12" spans="1:6" s="1" customFormat="1" ht="12" customHeight="1" x14ac:dyDescent="0.2">
      <c r="A12" s="20" t="s">
        <v>40</v>
      </c>
      <c r="B12" s="12" t="s">
        <v>155</v>
      </c>
      <c r="C12" s="426"/>
      <c r="D12" s="426"/>
      <c r="E12" s="426"/>
      <c r="F12" s="426"/>
    </row>
    <row r="13" spans="1:6" s="1" customFormat="1" ht="12" customHeight="1" x14ac:dyDescent="0.2">
      <c r="A13" s="16" t="s">
        <v>41</v>
      </c>
      <c r="B13" s="9" t="s">
        <v>156</v>
      </c>
      <c r="C13" s="427"/>
      <c r="D13" s="427"/>
      <c r="E13" s="427"/>
      <c r="F13" s="427"/>
    </row>
    <row r="14" spans="1:6" s="1" customFormat="1" ht="12" customHeight="1" x14ac:dyDescent="0.2">
      <c r="A14" s="16" t="s">
        <v>42</v>
      </c>
      <c r="B14" s="9" t="s">
        <v>157</v>
      </c>
      <c r="C14" s="427"/>
      <c r="D14" s="427"/>
      <c r="E14" s="427"/>
      <c r="F14" s="427"/>
    </row>
    <row r="15" spans="1:6" s="1" customFormat="1" ht="12" customHeight="1" x14ac:dyDescent="0.2">
      <c r="A15" s="16" t="s">
        <v>43</v>
      </c>
      <c r="B15" s="9" t="s">
        <v>158</v>
      </c>
      <c r="C15" s="427"/>
      <c r="D15" s="427"/>
      <c r="E15" s="427"/>
      <c r="F15" s="427"/>
    </row>
    <row r="16" spans="1:6" s="1" customFormat="1" ht="12" customHeight="1" x14ac:dyDescent="0.2">
      <c r="A16" s="15" t="s">
        <v>151</v>
      </c>
      <c r="B16" s="8" t="s">
        <v>159</v>
      </c>
      <c r="C16" s="428"/>
      <c r="D16" s="428"/>
      <c r="E16" s="428"/>
      <c r="F16" s="428"/>
    </row>
    <row r="17" spans="1:6" s="1" customFormat="1" ht="12" customHeight="1" x14ac:dyDescent="0.2">
      <c r="A17" s="16" t="s">
        <v>152</v>
      </c>
      <c r="B17" s="9" t="s">
        <v>263</v>
      </c>
      <c r="C17" s="427"/>
      <c r="D17" s="427"/>
      <c r="E17" s="427"/>
      <c r="F17" s="427"/>
    </row>
    <row r="18" spans="1:6" s="1" customFormat="1" ht="12" customHeight="1" x14ac:dyDescent="0.2">
      <c r="A18" s="16" t="s">
        <v>153</v>
      </c>
      <c r="B18" s="9" t="s">
        <v>161</v>
      </c>
      <c r="C18" s="427"/>
      <c r="D18" s="427"/>
      <c r="E18" s="427"/>
      <c r="F18" s="427"/>
    </row>
    <row r="19" spans="1:6" s="1" customFormat="1" ht="12" customHeight="1" thickBot="1" x14ac:dyDescent="0.25">
      <c r="A19" s="17" t="s">
        <v>154</v>
      </c>
      <c r="B19" s="10" t="s">
        <v>162</v>
      </c>
      <c r="C19" s="429"/>
      <c r="D19" s="429"/>
      <c r="E19" s="429"/>
      <c r="F19" s="429"/>
    </row>
    <row r="20" spans="1:6" s="1" customFormat="1" ht="12" customHeight="1" thickBot="1" x14ac:dyDescent="0.25">
      <c r="A20" s="23" t="s">
        <v>163</v>
      </c>
      <c r="B20" s="24" t="s">
        <v>264</v>
      </c>
      <c r="C20" s="430"/>
      <c r="D20" s="430"/>
      <c r="E20" s="430"/>
      <c r="F20" s="430"/>
    </row>
    <row r="21" spans="1:6" s="1" customFormat="1" ht="12" customHeight="1" thickBot="1" x14ac:dyDescent="0.25">
      <c r="A21" s="23" t="s">
        <v>1129</v>
      </c>
      <c r="B21" s="24" t="s">
        <v>165</v>
      </c>
      <c r="C21" s="425">
        <f>+C22+C23+C24+C25+C26+C27+C28+C29</f>
        <v>32730.6</v>
      </c>
      <c r="D21" s="425">
        <f>+D22+D23+D24+D25+D26+D27+D28+D29</f>
        <v>32730.6</v>
      </c>
      <c r="E21" s="425">
        <f>+E22+E23+E24+E25+E26+E27+E28+E29</f>
        <v>32730.6</v>
      </c>
      <c r="F21" s="425">
        <f>+F22+F23+F24+F25+F26+F27+F28+F29</f>
        <v>32730.6</v>
      </c>
    </row>
    <row r="22" spans="1:6" s="1" customFormat="1" ht="12" customHeight="1" x14ac:dyDescent="0.2">
      <c r="A22" s="18" t="s">
        <v>44</v>
      </c>
      <c r="B22" s="11" t="s">
        <v>1053</v>
      </c>
      <c r="C22" s="431">
        <f>16651+(38014*0.4)+874</f>
        <v>32730.6</v>
      </c>
      <c r="D22" s="431">
        <f>16651+(38014*0.4)+874</f>
        <v>32730.6</v>
      </c>
      <c r="E22" s="431">
        <f>16651+(38014*0.4)+874</f>
        <v>32730.6</v>
      </c>
      <c r="F22" s="431">
        <f>16651+(38014*0.4)+874</f>
        <v>32730.6</v>
      </c>
    </row>
    <row r="23" spans="1:6" s="1" customFormat="1" ht="12" customHeight="1" x14ac:dyDescent="0.2">
      <c r="A23" s="16" t="s">
        <v>45</v>
      </c>
      <c r="B23" s="9" t="s">
        <v>171</v>
      </c>
      <c r="C23" s="427"/>
      <c r="D23" s="427"/>
      <c r="E23" s="427"/>
      <c r="F23" s="427"/>
    </row>
    <row r="24" spans="1:6" s="1" customFormat="1" ht="12" customHeight="1" x14ac:dyDescent="0.2">
      <c r="A24" s="16" t="s">
        <v>46</v>
      </c>
      <c r="B24" s="9" t="s">
        <v>49</v>
      </c>
      <c r="C24" s="427"/>
      <c r="D24" s="427"/>
      <c r="E24" s="427"/>
      <c r="F24" s="427"/>
    </row>
    <row r="25" spans="1:6" s="1" customFormat="1" ht="12" customHeight="1" x14ac:dyDescent="0.2">
      <c r="A25" s="19" t="s">
        <v>166</v>
      </c>
      <c r="B25" s="9" t="s">
        <v>172</v>
      </c>
      <c r="C25" s="432"/>
      <c r="D25" s="432"/>
      <c r="E25" s="432"/>
      <c r="F25" s="432"/>
    </row>
    <row r="26" spans="1:6" s="1" customFormat="1" ht="12" customHeight="1" x14ac:dyDescent="0.2">
      <c r="A26" s="19" t="s">
        <v>167</v>
      </c>
      <c r="B26" s="9" t="s">
        <v>173</v>
      </c>
      <c r="C26" s="432"/>
      <c r="D26" s="432"/>
      <c r="E26" s="432"/>
      <c r="F26" s="432"/>
    </row>
    <row r="27" spans="1:6" s="1" customFormat="1" ht="12" customHeight="1" x14ac:dyDescent="0.2">
      <c r="A27" s="16" t="s">
        <v>168</v>
      </c>
      <c r="B27" s="9" t="s">
        <v>174</v>
      </c>
      <c r="C27" s="427"/>
      <c r="D27" s="427"/>
      <c r="E27" s="427"/>
      <c r="F27" s="427"/>
    </row>
    <row r="28" spans="1:6" s="1" customFormat="1" ht="12" customHeight="1" x14ac:dyDescent="0.2">
      <c r="A28" s="16" t="s">
        <v>169</v>
      </c>
      <c r="B28" s="9" t="s">
        <v>265</v>
      </c>
      <c r="C28" s="433"/>
      <c r="D28" s="433"/>
      <c r="E28" s="433"/>
      <c r="F28" s="433"/>
    </row>
    <row r="29" spans="1:6" s="1" customFormat="1" ht="12" customHeight="1" thickBot="1" x14ac:dyDescent="0.25">
      <c r="A29" s="16" t="s">
        <v>170</v>
      </c>
      <c r="B29" s="14" t="s">
        <v>175</v>
      </c>
      <c r="C29" s="433"/>
      <c r="D29" s="433"/>
      <c r="E29" s="433"/>
      <c r="F29" s="433"/>
    </row>
    <row r="30" spans="1:6" s="1" customFormat="1" ht="12" customHeight="1" thickBot="1" x14ac:dyDescent="0.25">
      <c r="A30" s="394" t="s">
        <v>1130</v>
      </c>
      <c r="B30" s="24" t="s">
        <v>402</v>
      </c>
      <c r="C30" s="360">
        <f>+C31+C37</f>
        <v>0</v>
      </c>
      <c r="D30" s="360">
        <f>+D31+D37</f>
        <v>0</v>
      </c>
      <c r="E30" s="360">
        <f>+E31+E37</f>
        <v>0</v>
      </c>
      <c r="F30" s="360">
        <f>+F31+F37</f>
        <v>0</v>
      </c>
    </row>
    <row r="31" spans="1:6" s="1" customFormat="1" ht="12" customHeight="1" x14ac:dyDescent="0.2">
      <c r="A31" s="395" t="s">
        <v>47</v>
      </c>
      <c r="B31" s="573" t="s">
        <v>403</v>
      </c>
      <c r="C31" s="392">
        <f>+C32+C33+C34+C35+C36</f>
        <v>0</v>
      </c>
      <c r="D31" s="392">
        <f>+D32+D33+D34+D35+D36</f>
        <v>0</v>
      </c>
      <c r="E31" s="392">
        <f>+E32+E33+E34+E35+E36</f>
        <v>0</v>
      </c>
      <c r="F31" s="392">
        <f>+F32+F33+F34+F35+F36</f>
        <v>0</v>
      </c>
    </row>
    <row r="32" spans="1:6" s="1" customFormat="1" ht="12" customHeight="1" x14ac:dyDescent="0.2">
      <c r="A32" s="396" t="s">
        <v>50</v>
      </c>
      <c r="B32" s="402" t="s">
        <v>266</v>
      </c>
      <c r="C32" s="365"/>
      <c r="D32" s="365"/>
      <c r="E32" s="365"/>
      <c r="F32" s="365"/>
    </row>
    <row r="33" spans="1:6" s="1" customFormat="1" ht="12" customHeight="1" x14ac:dyDescent="0.2">
      <c r="A33" s="396" t="s">
        <v>51</v>
      </c>
      <c r="B33" s="402" t="s">
        <v>267</v>
      </c>
      <c r="C33" s="365"/>
      <c r="D33" s="365"/>
      <c r="E33" s="365"/>
      <c r="F33" s="365"/>
    </row>
    <row r="34" spans="1:6" s="1" customFormat="1" ht="12" customHeight="1" x14ac:dyDescent="0.2">
      <c r="A34" s="396" t="s">
        <v>52</v>
      </c>
      <c r="B34" s="402" t="s">
        <v>268</v>
      </c>
      <c r="C34" s="365"/>
      <c r="D34" s="365"/>
      <c r="E34" s="365"/>
      <c r="F34" s="365"/>
    </row>
    <row r="35" spans="1:6" s="1" customFormat="1" ht="12" customHeight="1" x14ac:dyDescent="0.2">
      <c r="A35" s="396" t="s">
        <v>53</v>
      </c>
      <c r="B35" s="402" t="s">
        <v>269</v>
      </c>
      <c r="C35" s="365"/>
      <c r="D35" s="365"/>
      <c r="E35" s="365"/>
      <c r="F35" s="365"/>
    </row>
    <row r="36" spans="1:6" s="1" customFormat="1" ht="12" customHeight="1" x14ac:dyDescent="0.2">
      <c r="A36" s="396" t="s">
        <v>176</v>
      </c>
      <c r="B36" s="402" t="s">
        <v>404</v>
      </c>
      <c r="C36" s="365"/>
      <c r="D36" s="365"/>
      <c r="E36" s="365"/>
      <c r="F36" s="365"/>
    </row>
    <row r="37" spans="1:6" s="1" customFormat="1" ht="12" customHeight="1" x14ac:dyDescent="0.2">
      <c r="A37" s="396" t="s">
        <v>48</v>
      </c>
      <c r="B37" s="403" t="s">
        <v>405</v>
      </c>
      <c r="C37" s="391">
        <f>+C38+C39+C40+C41+C42</f>
        <v>0</v>
      </c>
      <c r="D37" s="391">
        <f>+D38+D39+D40+D41+D42</f>
        <v>0</v>
      </c>
      <c r="E37" s="391">
        <f>+E38+E39+E40+E41+E42</f>
        <v>0</v>
      </c>
      <c r="F37" s="391">
        <f>+F38+F39+F40+F41+F42</f>
        <v>0</v>
      </c>
    </row>
    <row r="38" spans="1:6" s="1" customFormat="1" ht="12" customHeight="1" x14ac:dyDescent="0.2">
      <c r="A38" s="396" t="s">
        <v>56</v>
      </c>
      <c r="B38" s="402" t="s">
        <v>266</v>
      </c>
      <c r="C38" s="365"/>
      <c r="D38" s="365"/>
      <c r="E38" s="365"/>
      <c r="F38" s="365"/>
    </row>
    <row r="39" spans="1:6" s="1" customFormat="1" ht="12" customHeight="1" x14ac:dyDescent="0.2">
      <c r="A39" s="396" t="s">
        <v>57</v>
      </c>
      <c r="B39" s="402" t="s">
        <v>267</v>
      </c>
      <c r="C39" s="365"/>
      <c r="D39" s="365"/>
      <c r="E39" s="365"/>
      <c r="F39" s="365"/>
    </row>
    <row r="40" spans="1:6" s="1" customFormat="1" ht="12" customHeight="1" x14ac:dyDescent="0.2">
      <c r="A40" s="396" t="s">
        <v>58</v>
      </c>
      <c r="B40" s="402" t="s">
        <v>268</v>
      </c>
      <c r="C40" s="365"/>
      <c r="D40" s="365"/>
      <c r="E40" s="365"/>
      <c r="F40" s="365"/>
    </row>
    <row r="41" spans="1:6" s="1" customFormat="1" ht="12" customHeight="1" x14ac:dyDescent="0.2">
      <c r="A41" s="396" t="s">
        <v>59</v>
      </c>
      <c r="B41" s="404" t="s">
        <v>269</v>
      </c>
      <c r="C41" s="365"/>
      <c r="D41" s="365"/>
      <c r="E41" s="365"/>
      <c r="F41" s="365"/>
    </row>
    <row r="42" spans="1:6" s="1" customFormat="1" ht="12" customHeight="1" thickBot="1" x14ac:dyDescent="0.25">
      <c r="A42" s="397" t="s">
        <v>177</v>
      </c>
      <c r="B42" s="405" t="s">
        <v>406</v>
      </c>
      <c r="C42" s="366"/>
      <c r="D42" s="366"/>
      <c r="E42" s="366"/>
      <c r="F42" s="366"/>
    </row>
    <row r="43" spans="1:6" s="1" customFormat="1" ht="12" customHeight="1" thickBot="1" x14ac:dyDescent="0.25">
      <c r="A43" s="23" t="s">
        <v>178</v>
      </c>
      <c r="B43" s="574" t="s">
        <v>270</v>
      </c>
      <c r="C43" s="360">
        <f>+C44+C45</f>
        <v>0</v>
      </c>
      <c r="D43" s="360">
        <f>+D44+D45</f>
        <v>0</v>
      </c>
      <c r="E43" s="360">
        <f>+E44+E45</f>
        <v>0</v>
      </c>
      <c r="F43" s="360">
        <f>+F44+F45</f>
        <v>0</v>
      </c>
    </row>
    <row r="44" spans="1:6" s="1" customFormat="1" ht="12" customHeight="1" x14ac:dyDescent="0.2">
      <c r="A44" s="18" t="s">
        <v>54</v>
      </c>
      <c r="B44" s="415" t="s">
        <v>271</v>
      </c>
      <c r="C44" s="363"/>
      <c r="D44" s="363"/>
      <c r="E44" s="363"/>
      <c r="F44" s="363"/>
    </row>
    <row r="45" spans="1:6" s="1" customFormat="1" ht="12" customHeight="1" thickBot="1" x14ac:dyDescent="0.25">
      <c r="A45" s="15" t="s">
        <v>55</v>
      </c>
      <c r="B45" s="410" t="s">
        <v>275</v>
      </c>
      <c r="C45" s="362"/>
      <c r="D45" s="362"/>
      <c r="E45" s="362"/>
      <c r="F45" s="362"/>
    </row>
    <row r="46" spans="1:6" s="1" customFormat="1" ht="12" customHeight="1" thickBot="1" x14ac:dyDescent="0.25">
      <c r="A46" s="23" t="s">
        <v>1132</v>
      </c>
      <c r="B46" s="574" t="s">
        <v>274</v>
      </c>
      <c r="C46" s="360">
        <f>+C47+C48+C49</f>
        <v>0</v>
      </c>
      <c r="D46" s="360">
        <f>+D47+D48+D49</f>
        <v>0</v>
      </c>
      <c r="E46" s="360">
        <f>+E47+E48+E49</f>
        <v>0</v>
      </c>
      <c r="F46" s="360">
        <f>+F47+F48+F49</f>
        <v>0</v>
      </c>
    </row>
    <row r="47" spans="1:6" s="1" customFormat="1" ht="12" customHeight="1" x14ac:dyDescent="0.2">
      <c r="A47" s="18" t="s">
        <v>181</v>
      </c>
      <c r="B47" s="415" t="s">
        <v>179</v>
      </c>
      <c r="C47" s="393"/>
      <c r="D47" s="393"/>
      <c r="E47" s="393"/>
      <c r="F47" s="393"/>
    </row>
    <row r="48" spans="1:6" s="1" customFormat="1" ht="12" customHeight="1" x14ac:dyDescent="0.2">
      <c r="A48" s="16" t="s">
        <v>182</v>
      </c>
      <c r="B48" s="402" t="s">
        <v>180</v>
      </c>
      <c r="C48" s="433"/>
      <c r="D48" s="433"/>
      <c r="E48" s="433"/>
      <c r="F48" s="433"/>
    </row>
    <row r="49" spans="1:6" s="1" customFormat="1" ht="12" customHeight="1" thickBot="1" x14ac:dyDescent="0.25">
      <c r="A49" s="15" t="s">
        <v>333</v>
      </c>
      <c r="B49" s="410" t="s">
        <v>272</v>
      </c>
      <c r="C49" s="367"/>
      <c r="D49" s="367"/>
      <c r="E49" s="367"/>
      <c r="F49" s="367"/>
    </row>
    <row r="50" spans="1:6" s="1" customFormat="1" ht="17.25" customHeight="1" thickBot="1" x14ac:dyDescent="0.25">
      <c r="A50" s="23" t="s">
        <v>183</v>
      </c>
      <c r="B50" s="575" t="s">
        <v>273</v>
      </c>
      <c r="C50" s="434"/>
      <c r="D50" s="434"/>
      <c r="E50" s="434"/>
      <c r="F50" s="434"/>
    </row>
    <row r="51" spans="1:6" s="1" customFormat="1" ht="12" customHeight="1" thickBot="1" x14ac:dyDescent="0.25">
      <c r="A51" s="23" t="s">
        <v>1134</v>
      </c>
      <c r="B51" s="27" t="s">
        <v>184</v>
      </c>
      <c r="C51" s="435">
        <f>+C6+C11+C20+C21+C30+C43+C46+C50</f>
        <v>32730.6</v>
      </c>
      <c r="D51" s="435">
        <f>+D6+D11+D20+D21+D30+D43+D46+D50</f>
        <v>32730.6</v>
      </c>
      <c r="E51" s="435">
        <f>+E6+E11+E20+E21+E30+E43+E46+E50</f>
        <v>32730.6</v>
      </c>
      <c r="F51" s="435">
        <f>+F6+F11+F20+F21+F30+F43+F46+F50</f>
        <v>32730.6</v>
      </c>
    </row>
    <row r="52" spans="1:6" s="1" customFormat="1" ht="12" customHeight="1" thickBot="1" x14ac:dyDescent="0.25">
      <c r="A52" s="406" t="s">
        <v>1135</v>
      </c>
      <c r="B52" s="401" t="s">
        <v>276</v>
      </c>
      <c r="C52" s="436">
        <f>+C53+C59</f>
        <v>0</v>
      </c>
      <c r="D52" s="436">
        <f>+D53+D59</f>
        <v>0</v>
      </c>
      <c r="E52" s="436">
        <f>+E53+E59</f>
        <v>0</v>
      </c>
      <c r="F52" s="436">
        <f>+F53+F59</f>
        <v>0</v>
      </c>
    </row>
    <row r="53" spans="1:6" s="1" customFormat="1" ht="12" customHeight="1" x14ac:dyDescent="0.2">
      <c r="A53" s="576" t="s">
        <v>114</v>
      </c>
      <c r="B53" s="573" t="s">
        <v>277</v>
      </c>
      <c r="C53" s="437">
        <f>+C54+C55+C56+C57+C58</f>
        <v>0</v>
      </c>
      <c r="D53" s="437">
        <f>+D54+D55+D56+D57+D58</f>
        <v>0</v>
      </c>
      <c r="E53" s="437">
        <f>+E54+E55+E56+E57+E58</f>
        <v>0</v>
      </c>
      <c r="F53" s="437">
        <f>+F54+F55+F56+F57+F58</f>
        <v>0</v>
      </c>
    </row>
    <row r="54" spans="1:6" s="1" customFormat="1" ht="12" customHeight="1" x14ac:dyDescent="0.2">
      <c r="A54" s="407" t="s">
        <v>292</v>
      </c>
      <c r="B54" s="402" t="s">
        <v>278</v>
      </c>
      <c r="C54" s="433"/>
      <c r="D54" s="433"/>
      <c r="E54" s="433"/>
      <c r="F54" s="433"/>
    </row>
    <row r="55" spans="1:6" s="1" customFormat="1" ht="12" customHeight="1" x14ac:dyDescent="0.2">
      <c r="A55" s="407" t="s">
        <v>293</v>
      </c>
      <c r="B55" s="402" t="s">
        <v>279</v>
      </c>
      <c r="C55" s="433"/>
      <c r="D55" s="433"/>
      <c r="E55" s="433"/>
      <c r="F55" s="433"/>
    </row>
    <row r="56" spans="1:6" s="1" customFormat="1" ht="12" customHeight="1" x14ac:dyDescent="0.2">
      <c r="A56" s="407" t="s">
        <v>294</v>
      </c>
      <c r="B56" s="402" t="s">
        <v>280</v>
      </c>
      <c r="C56" s="433"/>
      <c r="D56" s="433"/>
      <c r="E56" s="433"/>
      <c r="F56" s="433"/>
    </row>
    <row r="57" spans="1:6" s="1" customFormat="1" ht="12" customHeight="1" x14ac:dyDescent="0.2">
      <c r="A57" s="407" t="s">
        <v>295</v>
      </c>
      <c r="B57" s="402" t="s">
        <v>281</v>
      </c>
      <c r="C57" s="433"/>
      <c r="D57" s="433"/>
      <c r="E57" s="433"/>
      <c r="F57" s="433"/>
    </row>
    <row r="58" spans="1:6" s="1" customFormat="1" ht="12" customHeight="1" x14ac:dyDescent="0.2">
      <c r="A58" s="407" t="s">
        <v>296</v>
      </c>
      <c r="B58" s="402" t="s">
        <v>282</v>
      </c>
      <c r="C58" s="433"/>
      <c r="D58" s="433"/>
      <c r="E58" s="433"/>
      <c r="F58" s="433"/>
    </row>
    <row r="59" spans="1:6" s="1" customFormat="1" ht="12" customHeight="1" x14ac:dyDescent="0.2">
      <c r="A59" s="408" t="s">
        <v>115</v>
      </c>
      <c r="B59" s="403" t="s">
        <v>283</v>
      </c>
      <c r="C59" s="438">
        <f>+C60+C61+C62+C63+C64</f>
        <v>0</v>
      </c>
      <c r="D59" s="438">
        <f>+D60+D61+D62+D63+D64</f>
        <v>0</v>
      </c>
      <c r="E59" s="438">
        <f>+E60+E61+E62+E63+E64</f>
        <v>0</v>
      </c>
      <c r="F59" s="438">
        <f>+F60+F61+F62+F63+F64</f>
        <v>0</v>
      </c>
    </row>
    <row r="60" spans="1:6" s="1" customFormat="1" ht="12" customHeight="1" x14ac:dyDescent="0.2">
      <c r="A60" s="407" t="s">
        <v>297</v>
      </c>
      <c r="B60" s="402" t="s">
        <v>284</v>
      </c>
      <c r="C60" s="433"/>
      <c r="D60" s="433"/>
      <c r="E60" s="433"/>
      <c r="F60" s="433"/>
    </row>
    <row r="61" spans="1:6" s="1" customFormat="1" ht="12" customHeight="1" x14ac:dyDescent="0.2">
      <c r="A61" s="407" t="s">
        <v>298</v>
      </c>
      <c r="B61" s="402" t="s">
        <v>285</v>
      </c>
      <c r="C61" s="433"/>
      <c r="D61" s="433"/>
      <c r="E61" s="433"/>
      <c r="F61" s="433"/>
    </row>
    <row r="62" spans="1:6" s="1" customFormat="1" ht="12" customHeight="1" x14ac:dyDescent="0.2">
      <c r="A62" s="407" t="s">
        <v>299</v>
      </c>
      <c r="B62" s="402" t="s">
        <v>286</v>
      </c>
      <c r="C62" s="433"/>
      <c r="D62" s="433"/>
      <c r="E62" s="433"/>
      <c r="F62" s="433"/>
    </row>
    <row r="63" spans="1:6" s="1" customFormat="1" ht="12" customHeight="1" x14ac:dyDescent="0.2">
      <c r="A63" s="407" t="s">
        <v>300</v>
      </c>
      <c r="B63" s="402" t="s">
        <v>287</v>
      </c>
      <c r="C63" s="433"/>
      <c r="D63" s="433"/>
      <c r="E63" s="433"/>
      <c r="F63" s="433"/>
    </row>
    <row r="64" spans="1:6" s="1" customFormat="1" ht="12" customHeight="1" thickBot="1" x14ac:dyDescent="0.25">
      <c r="A64" s="409" t="s">
        <v>301</v>
      </c>
      <c r="B64" s="410" t="s">
        <v>288</v>
      </c>
      <c r="C64" s="439"/>
      <c r="D64" s="439"/>
      <c r="E64" s="439"/>
      <c r="F64" s="439"/>
    </row>
    <row r="65" spans="1:6" s="1" customFormat="1" ht="12" customHeight="1" thickBot="1" x14ac:dyDescent="0.25">
      <c r="A65" s="411" t="s">
        <v>1136</v>
      </c>
      <c r="B65" s="577" t="s">
        <v>289</v>
      </c>
      <c r="C65" s="436">
        <f>+C51+C52</f>
        <v>32730.6</v>
      </c>
      <c r="D65" s="436">
        <f>+D51+D52</f>
        <v>32730.6</v>
      </c>
      <c r="E65" s="436">
        <f>+E51+E52</f>
        <v>32730.6</v>
      </c>
      <c r="F65" s="436">
        <f>+F51+F52</f>
        <v>32730.6</v>
      </c>
    </row>
    <row r="66" spans="1:6" s="1" customFormat="1" ht="13.5" customHeight="1" thickBot="1" x14ac:dyDescent="0.25">
      <c r="A66" s="412" t="s">
        <v>1137</v>
      </c>
      <c r="B66" s="578" t="s">
        <v>290</v>
      </c>
      <c r="C66" s="446"/>
      <c r="D66" s="446"/>
      <c r="E66" s="446"/>
      <c r="F66" s="446"/>
    </row>
    <row r="67" spans="1:6" s="1" customFormat="1" ht="12" customHeight="1" thickBot="1" x14ac:dyDescent="0.25">
      <c r="A67" s="411" t="s">
        <v>1138</v>
      </c>
      <c r="B67" s="577" t="s">
        <v>291</v>
      </c>
      <c r="C67" s="447">
        <f>+C65+C66</f>
        <v>32730.6</v>
      </c>
      <c r="D67" s="447">
        <f>+D65+D66</f>
        <v>32730.6</v>
      </c>
      <c r="E67" s="447">
        <f>+E65+E66</f>
        <v>32730.6</v>
      </c>
      <c r="F67" s="447">
        <f>+F65+F66</f>
        <v>32730.6</v>
      </c>
    </row>
    <row r="68" spans="1:6" s="1" customFormat="1" ht="12.95" customHeight="1" x14ac:dyDescent="0.2">
      <c r="A68" s="6"/>
      <c r="B68" s="7"/>
      <c r="C68" s="440"/>
      <c r="D68" s="440"/>
      <c r="E68" s="440"/>
      <c r="F68" s="440"/>
    </row>
    <row r="69" spans="1:6" ht="16.5" customHeight="1" x14ac:dyDescent="0.25">
      <c r="A69" s="1210" t="s">
        <v>1154</v>
      </c>
      <c r="B69" s="1210"/>
      <c r="C69" s="1210"/>
      <c r="D69" s="48"/>
      <c r="E69" s="48"/>
      <c r="F69" s="48"/>
    </row>
    <row r="70" spans="1:6" s="452" customFormat="1" ht="16.5" customHeight="1" thickBot="1" x14ac:dyDescent="0.3">
      <c r="A70" s="1213" t="s">
        <v>122</v>
      </c>
      <c r="B70" s="1213"/>
      <c r="C70" s="183"/>
      <c r="D70" s="445" t="s">
        <v>324</v>
      </c>
      <c r="E70" s="445"/>
      <c r="F70" s="445" t="s">
        <v>324</v>
      </c>
    </row>
    <row r="71" spans="1:6" ht="38.1" customHeight="1" thickBot="1" x14ac:dyDescent="0.3">
      <c r="A71" s="28" t="s">
        <v>1123</v>
      </c>
      <c r="B71" s="29" t="s">
        <v>1155</v>
      </c>
      <c r="C71" s="49" t="s">
        <v>302</v>
      </c>
      <c r="D71" s="49" t="s">
        <v>776</v>
      </c>
      <c r="E71" s="49" t="s">
        <v>1172</v>
      </c>
      <c r="F71" s="49" t="s">
        <v>1171</v>
      </c>
    </row>
    <row r="72" spans="1:6" s="50" customFormat="1" ht="12" customHeight="1" thickBot="1" x14ac:dyDescent="0.25">
      <c r="A72" s="42">
        <v>1</v>
      </c>
      <c r="B72" s="43">
        <v>2</v>
      </c>
      <c r="C72" s="423">
        <v>3</v>
      </c>
      <c r="D72" s="423">
        <v>3</v>
      </c>
      <c r="E72" s="423">
        <v>3</v>
      </c>
      <c r="F72" s="423">
        <v>3</v>
      </c>
    </row>
    <row r="73" spans="1:6" ht="12" customHeight="1" thickBot="1" x14ac:dyDescent="0.3">
      <c r="A73" s="25" t="s">
        <v>1125</v>
      </c>
      <c r="B73" s="36" t="s">
        <v>185</v>
      </c>
      <c r="C73" s="424">
        <f>+C74+C75+C76+C77+C78</f>
        <v>32731</v>
      </c>
      <c r="D73" s="424">
        <f>+D74+D75+D76+D77+D78</f>
        <v>32731</v>
      </c>
      <c r="E73" s="424">
        <f>+E74+E75+E76+E77+E78</f>
        <v>32731</v>
      </c>
      <c r="F73" s="424">
        <f>+F74+F75+F76+F77+F78</f>
        <v>32731</v>
      </c>
    </row>
    <row r="74" spans="1:6" ht="12" customHeight="1" x14ac:dyDescent="0.25">
      <c r="A74" s="20" t="s">
        <v>60</v>
      </c>
      <c r="B74" s="12" t="s">
        <v>1156</v>
      </c>
      <c r="C74" s="426">
        <v>15109</v>
      </c>
      <c r="D74" s="426">
        <v>15109</v>
      </c>
      <c r="E74" s="426">
        <v>15109</v>
      </c>
      <c r="F74" s="426">
        <v>15109</v>
      </c>
    </row>
    <row r="75" spans="1:6" ht="12" customHeight="1" x14ac:dyDescent="0.25">
      <c r="A75" s="16" t="s">
        <v>61</v>
      </c>
      <c r="B75" s="9" t="s">
        <v>186</v>
      </c>
      <c r="C75" s="427">
        <v>4079</v>
      </c>
      <c r="D75" s="427">
        <v>4079</v>
      </c>
      <c r="E75" s="427">
        <v>4079</v>
      </c>
      <c r="F75" s="427">
        <v>4079</v>
      </c>
    </row>
    <row r="76" spans="1:6" ht="12" customHeight="1" x14ac:dyDescent="0.25">
      <c r="A76" s="16" t="s">
        <v>62</v>
      </c>
      <c r="B76" s="9" t="s">
        <v>103</v>
      </c>
      <c r="C76" s="432"/>
      <c r="D76" s="432"/>
      <c r="E76" s="432"/>
      <c r="F76" s="432"/>
    </row>
    <row r="77" spans="1:6" ht="12" customHeight="1" x14ac:dyDescent="0.25">
      <c r="A77" s="16" t="s">
        <v>63</v>
      </c>
      <c r="B77" s="13" t="s">
        <v>187</v>
      </c>
      <c r="C77" s="432">
        <v>13543</v>
      </c>
      <c r="D77" s="432">
        <v>13543</v>
      </c>
      <c r="E77" s="432">
        <v>13543</v>
      </c>
      <c r="F77" s="432">
        <v>13543</v>
      </c>
    </row>
    <row r="78" spans="1:6" ht="12" customHeight="1" x14ac:dyDescent="0.25">
      <c r="A78" s="16" t="s">
        <v>74</v>
      </c>
      <c r="B78" s="22" t="s">
        <v>188</v>
      </c>
      <c r="C78" s="432"/>
      <c r="D78" s="432"/>
      <c r="E78" s="432"/>
      <c r="F78" s="432"/>
    </row>
    <row r="79" spans="1:6" ht="12" customHeight="1" x14ac:dyDescent="0.25">
      <c r="A79" s="16" t="s">
        <v>64</v>
      </c>
      <c r="B79" s="9" t="s">
        <v>210</v>
      </c>
      <c r="C79" s="432"/>
      <c r="D79" s="432"/>
      <c r="E79" s="432"/>
      <c r="F79" s="432"/>
    </row>
    <row r="80" spans="1:6" ht="12" customHeight="1" x14ac:dyDescent="0.25">
      <c r="A80" s="16" t="s">
        <v>65</v>
      </c>
      <c r="B80" s="187" t="s">
        <v>211</v>
      </c>
      <c r="C80" s="432"/>
      <c r="D80" s="432"/>
      <c r="E80" s="432"/>
      <c r="F80" s="432"/>
    </row>
    <row r="81" spans="1:6" ht="12" customHeight="1" x14ac:dyDescent="0.25">
      <c r="A81" s="16" t="s">
        <v>75</v>
      </c>
      <c r="B81" s="187" t="s">
        <v>303</v>
      </c>
      <c r="C81" s="432"/>
      <c r="D81" s="432"/>
      <c r="E81" s="432"/>
      <c r="F81" s="432"/>
    </row>
    <row r="82" spans="1:6" ht="12" customHeight="1" x14ac:dyDescent="0.25">
      <c r="A82" s="16" t="s">
        <v>76</v>
      </c>
      <c r="B82" s="188" t="s">
        <v>212</v>
      </c>
      <c r="C82" s="432"/>
      <c r="D82" s="432"/>
      <c r="E82" s="432"/>
      <c r="F82" s="432"/>
    </row>
    <row r="83" spans="1:6" ht="12" customHeight="1" x14ac:dyDescent="0.25">
      <c r="A83" s="15" t="s">
        <v>77</v>
      </c>
      <c r="B83" s="189" t="s">
        <v>213</v>
      </c>
      <c r="C83" s="432"/>
      <c r="D83" s="432"/>
      <c r="E83" s="432"/>
      <c r="F83" s="432"/>
    </row>
    <row r="84" spans="1:6" ht="12" customHeight="1" x14ac:dyDescent="0.25">
      <c r="A84" s="16" t="s">
        <v>78</v>
      </c>
      <c r="B84" s="189" t="s">
        <v>214</v>
      </c>
      <c r="C84" s="432"/>
      <c r="D84" s="432"/>
      <c r="E84" s="432"/>
      <c r="F84" s="432"/>
    </row>
    <row r="85" spans="1:6" ht="12" customHeight="1" thickBot="1" x14ac:dyDescent="0.3">
      <c r="A85" s="21" t="s">
        <v>80</v>
      </c>
      <c r="B85" s="190" t="s">
        <v>215</v>
      </c>
      <c r="C85" s="441"/>
      <c r="D85" s="441"/>
      <c r="E85" s="441"/>
      <c r="F85" s="441"/>
    </row>
    <row r="86" spans="1:6" ht="12" customHeight="1" thickBot="1" x14ac:dyDescent="0.3">
      <c r="A86" s="23" t="s">
        <v>1126</v>
      </c>
      <c r="B86" s="35" t="s">
        <v>334</v>
      </c>
      <c r="C86" s="425">
        <f>+C87+C88+C89</f>
        <v>0</v>
      </c>
      <c r="D86" s="425">
        <f>+D87+D88+D89</f>
        <v>0</v>
      </c>
      <c r="E86" s="425">
        <f>+E87+E88+E89</f>
        <v>0</v>
      </c>
      <c r="F86" s="425">
        <f>+F87+F88+F89</f>
        <v>0</v>
      </c>
    </row>
    <row r="87" spans="1:6" ht="12" customHeight="1" x14ac:dyDescent="0.25">
      <c r="A87" s="18" t="s">
        <v>66</v>
      </c>
      <c r="B87" s="9" t="s">
        <v>304</v>
      </c>
      <c r="C87" s="431"/>
      <c r="D87" s="431"/>
      <c r="E87" s="431"/>
      <c r="F87" s="431"/>
    </row>
    <row r="88" spans="1:6" ht="12" customHeight="1" x14ac:dyDescent="0.25">
      <c r="A88" s="18" t="s">
        <v>67</v>
      </c>
      <c r="B88" s="14" t="s">
        <v>190</v>
      </c>
      <c r="C88" s="427"/>
      <c r="D88" s="427"/>
      <c r="E88" s="427"/>
      <c r="F88" s="427"/>
    </row>
    <row r="89" spans="1:6" ht="12" customHeight="1" x14ac:dyDescent="0.25">
      <c r="A89" s="18" t="s">
        <v>68</v>
      </c>
      <c r="B89" s="402" t="s">
        <v>335</v>
      </c>
      <c r="C89" s="361"/>
      <c r="D89" s="361"/>
      <c r="E89" s="361"/>
      <c r="F89" s="361"/>
    </row>
    <row r="90" spans="1:6" ht="12" customHeight="1" x14ac:dyDescent="0.25">
      <c r="A90" s="18" t="s">
        <v>69</v>
      </c>
      <c r="B90" s="402" t="s">
        <v>407</v>
      </c>
      <c r="C90" s="361"/>
      <c r="D90" s="361"/>
      <c r="E90" s="361"/>
      <c r="F90" s="361"/>
    </row>
    <row r="91" spans="1:6" ht="12" customHeight="1" x14ac:dyDescent="0.25">
      <c r="A91" s="18" t="s">
        <v>70</v>
      </c>
      <c r="B91" s="402" t="s">
        <v>336</v>
      </c>
      <c r="C91" s="361"/>
      <c r="D91" s="361"/>
      <c r="E91" s="361"/>
      <c r="F91" s="361"/>
    </row>
    <row r="92" spans="1:6" x14ac:dyDescent="0.25">
      <c r="A92" s="18" t="s">
        <v>79</v>
      </c>
      <c r="B92" s="402" t="s">
        <v>337</v>
      </c>
      <c r="C92" s="361"/>
      <c r="D92" s="361"/>
      <c r="E92" s="361"/>
      <c r="F92" s="361"/>
    </row>
    <row r="93" spans="1:6" ht="12" customHeight="1" x14ac:dyDescent="0.25">
      <c r="A93" s="18" t="s">
        <v>81</v>
      </c>
      <c r="B93" s="579" t="s">
        <v>308</v>
      </c>
      <c r="C93" s="361"/>
      <c r="D93" s="361"/>
      <c r="E93" s="361"/>
      <c r="F93" s="361"/>
    </row>
    <row r="94" spans="1:6" ht="12" customHeight="1" x14ac:dyDescent="0.25">
      <c r="A94" s="18" t="s">
        <v>191</v>
      </c>
      <c r="B94" s="579" t="s">
        <v>309</v>
      </c>
      <c r="C94" s="361"/>
      <c r="D94" s="361"/>
      <c r="E94" s="361"/>
      <c r="F94" s="361"/>
    </row>
    <row r="95" spans="1:6" ht="12" customHeight="1" x14ac:dyDescent="0.25">
      <c r="A95" s="18" t="s">
        <v>192</v>
      </c>
      <c r="B95" s="579" t="s">
        <v>307</v>
      </c>
      <c r="C95" s="361"/>
      <c r="D95" s="361"/>
      <c r="E95" s="361"/>
      <c r="F95" s="361"/>
    </row>
    <row r="96" spans="1:6" ht="24" customHeight="1" thickBot="1" x14ac:dyDescent="0.3">
      <c r="A96" s="15" t="s">
        <v>193</v>
      </c>
      <c r="B96" s="580" t="s">
        <v>306</v>
      </c>
      <c r="C96" s="364"/>
      <c r="D96" s="364"/>
      <c r="E96" s="364"/>
      <c r="F96" s="364"/>
    </row>
    <row r="97" spans="1:6" ht="12" customHeight="1" thickBot="1" x14ac:dyDescent="0.3">
      <c r="A97" s="23" t="s">
        <v>1127</v>
      </c>
      <c r="B97" s="167" t="s">
        <v>338</v>
      </c>
      <c r="C97" s="425">
        <f>+C98+C99</f>
        <v>0</v>
      </c>
      <c r="D97" s="425">
        <f>+D98+D99</f>
        <v>0</v>
      </c>
      <c r="E97" s="425">
        <f>+E98+E99</f>
        <v>0</v>
      </c>
      <c r="F97" s="425">
        <f>+F98+F99</f>
        <v>0</v>
      </c>
    </row>
    <row r="98" spans="1:6" ht="12" customHeight="1" x14ac:dyDescent="0.25">
      <c r="A98" s="18" t="s">
        <v>40</v>
      </c>
      <c r="B98" s="11" t="s">
        <v>3</v>
      </c>
      <c r="C98" s="431"/>
      <c r="D98" s="431"/>
      <c r="E98" s="431"/>
      <c r="F98" s="431"/>
    </row>
    <row r="99" spans="1:6" ht="12" customHeight="1" thickBot="1" x14ac:dyDescent="0.3">
      <c r="A99" s="19" t="s">
        <v>41</v>
      </c>
      <c r="B99" s="14" t="s">
        <v>4</v>
      </c>
      <c r="C99" s="432"/>
      <c r="D99" s="432"/>
      <c r="E99" s="432"/>
      <c r="F99" s="432"/>
    </row>
    <row r="100" spans="1:6" s="400" customFormat="1" ht="12" customHeight="1" thickBot="1" x14ac:dyDescent="0.25">
      <c r="A100" s="406" t="s">
        <v>1128</v>
      </c>
      <c r="B100" s="401" t="s">
        <v>310</v>
      </c>
      <c r="C100" s="591"/>
      <c r="D100" s="591"/>
      <c r="E100" s="591"/>
      <c r="F100" s="591"/>
    </row>
    <row r="101" spans="1:6" ht="12" customHeight="1" thickBot="1" x14ac:dyDescent="0.3">
      <c r="A101" s="398" t="s">
        <v>1129</v>
      </c>
      <c r="B101" s="399" t="s">
        <v>127</v>
      </c>
      <c r="C101" s="424">
        <f>+C73+C86+C97+C100</f>
        <v>32731</v>
      </c>
      <c r="D101" s="424">
        <f>+D73+D86+D97+D100</f>
        <v>32731</v>
      </c>
      <c r="E101" s="424">
        <f>+E73+E86+E97+E100</f>
        <v>32731</v>
      </c>
      <c r="F101" s="424">
        <f>+F73+F86+F97+F100</f>
        <v>32731</v>
      </c>
    </row>
    <row r="102" spans="1:6" ht="12" customHeight="1" thickBot="1" x14ac:dyDescent="0.3">
      <c r="A102" s="406" t="s">
        <v>1130</v>
      </c>
      <c r="B102" s="401" t="s">
        <v>408</v>
      </c>
      <c r="C102" s="425">
        <f>+C103+C111</f>
        <v>0</v>
      </c>
      <c r="D102" s="425">
        <f>+D103+D111</f>
        <v>0</v>
      </c>
      <c r="E102" s="425">
        <f>+E103+E111</f>
        <v>0</v>
      </c>
      <c r="F102" s="425">
        <f>+F103+F111</f>
        <v>0</v>
      </c>
    </row>
    <row r="103" spans="1:6" ht="12" customHeight="1" thickBot="1" x14ac:dyDescent="0.3">
      <c r="A103" s="413" t="s">
        <v>47</v>
      </c>
      <c r="B103" s="581" t="s">
        <v>415</v>
      </c>
      <c r="C103" s="425">
        <f>+C104+C105+C106+C107+C108+C109+C110</f>
        <v>0</v>
      </c>
      <c r="D103" s="425">
        <f>+D104+D105+D106+D107+D108+D109+D110</f>
        <v>0</v>
      </c>
      <c r="E103" s="425">
        <f>+E104+E105+E106+E107+E108+E109+E110</f>
        <v>0</v>
      </c>
      <c r="F103" s="425">
        <f>+F104+F105+F106+F107+F108+F109+F110</f>
        <v>0</v>
      </c>
    </row>
    <row r="104" spans="1:6" ht="12" customHeight="1" x14ac:dyDescent="0.25">
      <c r="A104" s="414" t="s">
        <v>50</v>
      </c>
      <c r="B104" s="415" t="s">
        <v>311</v>
      </c>
      <c r="C104" s="448"/>
      <c r="D104" s="448"/>
      <c r="E104" s="448"/>
      <c r="F104" s="448"/>
    </row>
    <row r="105" spans="1:6" ht="12" customHeight="1" x14ac:dyDescent="0.25">
      <c r="A105" s="407" t="s">
        <v>51</v>
      </c>
      <c r="B105" s="402" t="s">
        <v>312</v>
      </c>
      <c r="C105" s="449"/>
      <c r="D105" s="449"/>
      <c r="E105" s="449"/>
      <c r="F105" s="449"/>
    </row>
    <row r="106" spans="1:6" ht="12" customHeight="1" x14ac:dyDescent="0.25">
      <c r="A106" s="407" t="s">
        <v>52</v>
      </c>
      <c r="B106" s="402" t="s">
        <v>313</v>
      </c>
      <c r="C106" s="449"/>
      <c r="D106" s="449"/>
      <c r="E106" s="449"/>
      <c r="F106" s="449"/>
    </row>
    <row r="107" spans="1:6" ht="12" customHeight="1" x14ac:dyDescent="0.25">
      <c r="A107" s="407" t="s">
        <v>53</v>
      </c>
      <c r="B107" s="402" t="s">
        <v>314</v>
      </c>
      <c r="C107" s="449"/>
      <c r="D107" s="449"/>
      <c r="E107" s="449"/>
      <c r="F107" s="449"/>
    </row>
    <row r="108" spans="1:6" ht="12" customHeight="1" x14ac:dyDescent="0.25">
      <c r="A108" s="407" t="s">
        <v>176</v>
      </c>
      <c r="B108" s="402" t="s">
        <v>315</v>
      </c>
      <c r="C108" s="449"/>
      <c r="D108" s="449"/>
      <c r="E108" s="449"/>
      <c r="F108" s="449"/>
    </row>
    <row r="109" spans="1:6" ht="12" customHeight="1" x14ac:dyDescent="0.25">
      <c r="A109" s="407" t="s">
        <v>194</v>
      </c>
      <c r="B109" s="402" t="s">
        <v>316</v>
      </c>
      <c r="C109" s="449"/>
      <c r="D109" s="449"/>
      <c r="E109" s="449"/>
      <c r="F109" s="449"/>
    </row>
    <row r="110" spans="1:6" ht="12" customHeight="1" thickBot="1" x14ac:dyDescent="0.3">
      <c r="A110" s="416" t="s">
        <v>195</v>
      </c>
      <c r="B110" s="417" t="s">
        <v>317</v>
      </c>
      <c r="C110" s="450"/>
      <c r="D110" s="450"/>
      <c r="E110" s="450"/>
      <c r="F110" s="450"/>
    </row>
    <row r="111" spans="1:6" ht="12" customHeight="1" thickBot="1" x14ac:dyDescent="0.3">
      <c r="A111" s="413" t="s">
        <v>48</v>
      </c>
      <c r="B111" s="581" t="s">
        <v>416</v>
      </c>
      <c r="C111" s="425">
        <f>+C112+C113+C114+C115+C116+C117+C118+C119</f>
        <v>0</v>
      </c>
      <c r="D111" s="425">
        <f>+D112+D113+D114+D115+D116+D117+D118+D119</f>
        <v>0</v>
      </c>
      <c r="E111" s="425">
        <f>+E112+E113+E114+E115+E116+E117+E118+E119</f>
        <v>0</v>
      </c>
      <c r="F111" s="425">
        <f>+F112+F113+F114+F115+F116+F117+F118+F119</f>
        <v>0</v>
      </c>
    </row>
    <row r="112" spans="1:6" ht="12" customHeight="1" x14ac:dyDescent="0.25">
      <c r="A112" s="414" t="s">
        <v>56</v>
      </c>
      <c r="B112" s="415" t="s">
        <v>311</v>
      </c>
      <c r="C112" s="448"/>
      <c r="D112" s="448"/>
      <c r="E112" s="448"/>
      <c r="F112" s="448"/>
    </row>
    <row r="113" spans="1:9" ht="12" customHeight="1" x14ac:dyDescent="0.25">
      <c r="A113" s="407" t="s">
        <v>57</v>
      </c>
      <c r="B113" s="402" t="s">
        <v>318</v>
      </c>
      <c r="C113" s="449"/>
      <c r="D113" s="449"/>
      <c r="E113" s="449"/>
      <c r="F113" s="449"/>
    </row>
    <row r="114" spans="1:9" ht="12" customHeight="1" x14ac:dyDescent="0.25">
      <c r="A114" s="407" t="s">
        <v>58</v>
      </c>
      <c r="B114" s="402" t="s">
        <v>313</v>
      </c>
      <c r="C114" s="449"/>
      <c r="D114" s="449"/>
      <c r="E114" s="449"/>
      <c r="F114" s="449"/>
    </row>
    <row r="115" spans="1:9" ht="12" customHeight="1" x14ac:dyDescent="0.25">
      <c r="A115" s="407" t="s">
        <v>59</v>
      </c>
      <c r="B115" s="402" t="s">
        <v>314</v>
      </c>
      <c r="C115" s="449"/>
      <c r="D115" s="449"/>
      <c r="E115" s="449"/>
      <c r="F115" s="449"/>
    </row>
    <row r="116" spans="1:9" ht="12" customHeight="1" x14ac:dyDescent="0.25">
      <c r="A116" s="407" t="s">
        <v>177</v>
      </c>
      <c r="B116" s="402" t="s">
        <v>315</v>
      </c>
      <c r="C116" s="449"/>
      <c r="D116" s="449"/>
      <c r="E116" s="449"/>
      <c r="F116" s="449"/>
    </row>
    <row r="117" spans="1:9" ht="12" customHeight="1" x14ac:dyDescent="0.25">
      <c r="A117" s="407" t="s">
        <v>196</v>
      </c>
      <c r="B117" s="402" t="s">
        <v>319</v>
      </c>
      <c r="C117" s="449"/>
      <c r="D117" s="449"/>
      <c r="E117" s="449"/>
      <c r="F117" s="449"/>
    </row>
    <row r="118" spans="1:9" ht="12" customHeight="1" x14ac:dyDescent="0.25">
      <c r="A118" s="407" t="s">
        <v>197</v>
      </c>
      <c r="B118" s="402" t="s">
        <v>317</v>
      </c>
      <c r="C118" s="449"/>
      <c r="D118" s="449"/>
      <c r="E118" s="449"/>
      <c r="F118" s="449"/>
    </row>
    <row r="119" spans="1:9" ht="12" customHeight="1" thickBot="1" x14ac:dyDescent="0.3">
      <c r="A119" s="416" t="s">
        <v>198</v>
      </c>
      <c r="B119" s="417" t="s">
        <v>411</v>
      </c>
      <c r="C119" s="450"/>
      <c r="D119" s="450"/>
      <c r="E119" s="450"/>
      <c r="F119" s="450"/>
    </row>
    <row r="120" spans="1:9" ht="12" customHeight="1" thickBot="1" x14ac:dyDescent="0.3">
      <c r="A120" s="406" t="s">
        <v>1131</v>
      </c>
      <c r="B120" s="577" t="s">
        <v>320</v>
      </c>
      <c r="C120" s="442">
        <f>+C101+C102</f>
        <v>32731</v>
      </c>
      <c r="D120" s="442">
        <f>+D101+D102</f>
        <v>32731</v>
      </c>
      <c r="E120" s="442">
        <f>+E101+E102</f>
        <v>32731</v>
      </c>
      <c r="F120" s="442">
        <f>+F101+F102</f>
        <v>32731</v>
      </c>
    </row>
    <row r="121" spans="1:9" ht="15" customHeight="1" thickBot="1" x14ac:dyDescent="0.3">
      <c r="A121" s="406" t="s">
        <v>1132</v>
      </c>
      <c r="B121" s="577" t="s">
        <v>321</v>
      </c>
      <c r="C121" s="443"/>
      <c r="D121" s="443"/>
      <c r="E121" s="443"/>
      <c r="F121" s="443"/>
      <c r="G121" s="168"/>
      <c r="H121" s="168"/>
      <c r="I121" s="168"/>
    </row>
    <row r="122" spans="1:9" s="1" customFormat="1" ht="12.95" customHeight="1" thickBot="1" x14ac:dyDescent="0.25">
      <c r="A122" s="418" t="s">
        <v>1133</v>
      </c>
      <c r="B122" s="578" t="s">
        <v>322</v>
      </c>
      <c r="C122" s="436">
        <f>+C120+C121</f>
        <v>32731</v>
      </c>
      <c r="D122" s="436">
        <f>+D120+D121</f>
        <v>32731</v>
      </c>
      <c r="E122" s="436">
        <f>+E120+E121</f>
        <v>32731</v>
      </c>
      <c r="F122" s="436">
        <f>+F120+F121</f>
        <v>32731</v>
      </c>
    </row>
    <row r="123" spans="1:9" ht="7.5" customHeight="1" x14ac:dyDescent="0.25">
      <c r="A123" s="582"/>
      <c r="B123" s="582"/>
      <c r="C123" s="583"/>
      <c r="D123" s="583"/>
      <c r="E123" s="583"/>
      <c r="F123" s="583"/>
    </row>
    <row r="124" spans="1:9" x14ac:dyDescent="0.25">
      <c r="A124" s="1214" t="s">
        <v>130</v>
      </c>
      <c r="B124" s="1214"/>
      <c r="C124" s="1214"/>
      <c r="D124" s="48"/>
      <c r="E124" s="48"/>
      <c r="F124" s="48"/>
    </row>
    <row r="125" spans="1:9" ht="15" customHeight="1" thickBot="1" x14ac:dyDescent="0.3">
      <c r="A125" s="1212" t="s">
        <v>123</v>
      </c>
      <c r="B125" s="1212"/>
      <c r="C125" s="445"/>
      <c r="D125" s="445" t="s">
        <v>324</v>
      </c>
      <c r="E125" s="445" t="s">
        <v>324</v>
      </c>
      <c r="F125" s="445" t="s">
        <v>324</v>
      </c>
    </row>
    <row r="126" spans="1:9" ht="13.5" customHeight="1" thickBot="1" x14ac:dyDescent="0.3">
      <c r="A126" s="23">
        <v>1</v>
      </c>
      <c r="B126" s="35" t="s">
        <v>205</v>
      </c>
      <c r="C126" s="444">
        <f>+C51-C101</f>
        <v>-0.40000000000145519</v>
      </c>
      <c r="D126" s="425">
        <f>+D51-D101</f>
        <v>-0.40000000000145519</v>
      </c>
      <c r="E126" s="425">
        <f>+E51-E101</f>
        <v>-0.40000000000145519</v>
      </c>
      <c r="F126" s="425">
        <f>+F51-F101</f>
        <v>-0.40000000000145519</v>
      </c>
    </row>
    <row r="127" spans="1:9" ht="7.5" customHeight="1" x14ac:dyDescent="0.25">
      <c r="A127" s="582"/>
      <c r="B127" s="582"/>
      <c r="C127" s="583"/>
      <c r="D127" s="583"/>
      <c r="E127" s="583"/>
      <c r="F127" s="583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73" fitToHeight="2" orientation="portrait" r:id="rId1"/>
  <headerFooter alignWithMargins="0">
    <oddHeader>&amp;C&amp;"Times New Roman CE,Félkövér"&amp;12
Csobánka Község Önkormányzat 2013. ÉVI KÖLTSÉGVETÉSÁLLAMI FELADATOK MÉRLEGE&amp;R&amp;"Times New Roman CE,Félkövér dőlt"&amp;11 &amp;"Times New Roman CE,Félkövér"1.4. melléklet az 5/2014. (III.6.) önkormányzati rendelethez</oddHeader>
  </headerFooter>
  <rowBreaks count="1" manualBreakCount="1">
    <brk id="6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32"/>
  <sheetViews>
    <sheetView view="pageLayout" topLeftCell="C1" zoomScaleNormal="100" zoomScaleSheetLayoutView="100" workbookViewId="0">
      <selection activeCell="I12" sqref="I12"/>
    </sheetView>
  </sheetViews>
  <sheetFormatPr defaultColWidth="9.33203125" defaultRowHeight="12.75" x14ac:dyDescent="0.2"/>
  <cols>
    <col min="1" max="1" width="6.83203125" style="66" customWidth="1"/>
    <col min="2" max="2" width="55.1640625" style="252" customWidth="1"/>
    <col min="3" max="3" width="16.33203125" style="66" customWidth="1"/>
    <col min="4" max="4" width="14.5" style="66" customWidth="1"/>
    <col min="5" max="6" width="14.5" style="66" hidden="1" customWidth="1"/>
    <col min="7" max="7" width="55.1640625" style="66" customWidth="1"/>
    <col min="8" max="9" width="16.33203125" style="66" customWidth="1"/>
    <col min="10" max="11" width="16.33203125" style="66" hidden="1" customWidth="1"/>
    <col min="12" max="12" width="4.83203125" style="66" customWidth="1"/>
    <col min="13" max="16384" width="9.33203125" style="66"/>
  </cols>
  <sheetData>
    <row r="1" spans="1:12" ht="39.75" customHeight="1" x14ac:dyDescent="0.2">
      <c r="B1" s="464" t="s">
        <v>131</v>
      </c>
      <c r="C1" s="465"/>
      <c r="D1" s="465"/>
      <c r="E1" s="465"/>
      <c r="F1" s="465"/>
      <c r="G1" s="465"/>
      <c r="H1" s="465"/>
      <c r="I1" s="465"/>
      <c r="J1" s="465"/>
      <c r="K1" s="465"/>
      <c r="L1" s="1217" t="s">
        <v>1224</v>
      </c>
    </row>
    <row r="2" spans="1:12" ht="14.25" thickBot="1" x14ac:dyDescent="0.25">
      <c r="H2" s="466"/>
      <c r="I2" s="466" t="s">
        <v>11</v>
      </c>
      <c r="J2" s="466"/>
      <c r="K2" s="466" t="s">
        <v>11</v>
      </c>
      <c r="L2" s="1217"/>
    </row>
    <row r="3" spans="1:12" ht="18" customHeight="1" thickBot="1" x14ac:dyDescent="0.25">
      <c r="A3" s="1215" t="s">
        <v>19</v>
      </c>
      <c r="B3" s="467" t="s">
        <v>1167</v>
      </c>
      <c r="C3" s="468"/>
      <c r="D3" s="468"/>
      <c r="E3" s="965"/>
      <c r="F3" s="965"/>
      <c r="G3" s="467" t="s">
        <v>1</v>
      </c>
      <c r="H3" s="469"/>
      <c r="I3" s="469"/>
      <c r="J3" s="469"/>
      <c r="K3" s="469"/>
      <c r="L3" s="1217"/>
    </row>
    <row r="4" spans="1:12" s="470" customFormat="1" ht="35.25" customHeight="1" thickBot="1" x14ac:dyDescent="0.25">
      <c r="A4" s="1216"/>
      <c r="B4" s="253" t="s">
        <v>12</v>
      </c>
      <c r="C4" s="254" t="s">
        <v>302</v>
      </c>
      <c r="D4" s="254" t="s">
        <v>775</v>
      </c>
      <c r="E4" s="254" t="s">
        <v>1173</v>
      </c>
      <c r="F4" s="254" t="s">
        <v>1171</v>
      </c>
      <c r="G4" s="253" t="s">
        <v>12</v>
      </c>
      <c r="H4" s="62" t="s">
        <v>302</v>
      </c>
      <c r="I4" s="62" t="s">
        <v>775</v>
      </c>
      <c r="J4" s="254" t="s">
        <v>1173</v>
      </c>
      <c r="K4" s="254" t="s">
        <v>1171</v>
      </c>
      <c r="L4" s="1217"/>
    </row>
    <row r="5" spans="1:12" s="475" customFormat="1" ht="12" customHeight="1" thickBot="1" x14ac:dyDescent="0.25">
      <c r="A5" s="471">
        <v>1</v>
      </c>
      <c r="B5" s="472">
        <v>2</v>
      </c>
      <c r="C5" s="473" t="s">
        <v>1127</v>
      </c>
      <c r="D5" s="473" t="s">
        <v>1127</v>
      </c>
      <c r="E5" s="967"/>
      <c r="F5" s="967"/>
      <c r="G5" s="472" t="s">
        <v>1128</v>
      </c>
      <c r="H5" s="474" t="s">
        <v>1129</v>
      </c>
      <c r="I5" s="474" t="s">
        <v>1129</v>
      </c>
      <c r="J5" s="474" t="s">
        <v>1129</v>
      </c>
      <c r="K5" s="474" t="s">
        <v>1129</v>
      </c>
      <c r="L5" s="1217"/>
    </row>
    <row r="6" spans="1:12" ht="12.95" customHeight="1" x14ac:dyDescent="0.2">
      <c r="A6" s="476" t="s">
        <v>1125</v>
      </c>
      <c r="B6" s="477" t="s">
        <v>164</v>
      </c>
      <c r="C6" s="453">
        <f>'1.1.sz.mell.'!C6</f>
        <v>104345</v>
      </c>
      <c r="D6" s="453">
        <f>'1.1.sz.mell.'!D6</f>
        <v>93719</v>
      </c>
      <c r="E6" s="968"/>
      <c r="F6" s="968"/>
      <c r="G6" s="477" t="s">
        <v>13</v>
      </c>
      <c r="H6" s="459">
        <f>'1.1.sz.mell.'!C74</f>
        <v>98830</v>
      </c>
      <c r="I6" s="459">
        <f>'1.1.sz.mell.'!D74</f>
        <v>109003</v>
      </c>
      <c r="J6" s="459">
        <f>'1.1.sz.mell.'!E74</f>
        <v>104312</v>
      </c>
      <c r="K6" s="459">
        <f>'1.1.sz.mell.'!F74</f>
        <v>104312</v>
      </c>
      <c r="L6" s="1217"/>
    </row>
    <row r="7" spans="1:12" ht="12.95" customHeight="1" x14ac:dyDescent="0.2">
      <c r="A7" s="478" t="s">
        <v>1126</v>
      </c>
      <c r="B7" s="479" t="s">
        <v>1168</v>
      </c>
      <c r="C7" s="454">
        <f>'1.1.sz.mell.'!C11</f>
        <v>13987</v>
      </c>
      <c r="D7" s="454">
        <f>'1.1.sz.mell.'!D11</f>
        <v>14388</v>
      </c>
      <c r="E7" s="969"/>
      <c r="F7" s="969"/>
      <c r="G7" s="479" t="s">
        <v>186</v>
      </c>
      <c r="H7" s="460">
        <f>'1.1.sz.mell.'!C75</f>
        <v>26573</v>
      </c>
      <c r="I7" s="460">
        <f>'1.1.sz.mell.'!D75</f>
        <v>28831</v>
      </c>
      <c r="J7" s="460">
        <f>'1.1.sz.mell.'!E75</f>
        <v>27197</v>
      </c>
      <c r="K7" s="460">
        <f>'1.1.sz.mell.'!F75</f>
        <v>27197</v>
      </c>
      <c r="L7" s="1217"/>
    </row>
    <row r="8" spans="1:12" ht="12.95" customHeight="1" x14ac:dyDescent="0.2">
      <c r="A8" s="478" t="s">
        <v>1127</v>
      </c>
      <c r="B8" s="479" t="s">
        <v>0</v>
      </c>
      <c r="C8" s="454">
        <f>'1.1.sz.mell.'!C20</f>
        <v>9999</v>
      </c>
      <c r="D8" s="454">
        <f>'1.1.sz.mell.'!D20</f>
        <v>9477</v>
      </c>
      <c r="E8" s="969"/>
      <c r="F8" s="969"/>
      <c r="G8" s="479" t="s">
        <v>353</v>
      </c>
      <c r="H8" s="460">
        <f>'1.1.sz.mell.'!C76</f>
        <v>96785</v>
      </c>
      <c r="I8" s="460">
        <f>'1.1.sz.mell.'!D76</f>
        <v>113638</v>
      </c>
      <c r="J8" s="460">
        <f>'1.1.sz.mell.'!E76</f>
        <v>105769</v>
      </c>
      <c r="K8" s="460">
        <f>'1.1.sz.mell.'!F76</f>
        <v>105769</v>
      </c>
      <c r="L8" s="1217"/>
    </row>
    <row r="9" spans="1:12" ht="12.95" customHeight="1" x14ac:dyDescent="0.2">
      <c r="A9" s="478" t="s">
        <v>1128</v>
      </c>
      <c r="B9" s="480" t="s">
        <v>340</v>
      </c>
      <c r="C9" s="454">
        <f>'1.1.sz.mell.'!C21</f>
        <v>118552.6</v>
      </c>
      <c r="D9" s="454">
        <f>'1.1.sz.mell.'!D21</f>
        <v>136962.6</v>
      </c>
      <c r="E9" s="969"/>
      <c r="F9" s="969"/>
      <c r="G9" s="479" t="s">
        <v>187</v>
      </c>
      <c r="H9" s="460">
        <f>'1.1.sz.mell.'!C77</f>
        <v>15393</v>
      </c>
      <c r="I9" s="460">
        <f>'1.1.sz.mell.'!D77</f>
        <v>17523</v>
      </c>
      <c r="J9" s="460">
        <f>'1.1.sz.mell.'!E77</f>
        <v>15507</v>
      </c>
      <c r="K9" s="460">
        <f>'1.1.sz.mell.'!F77</f>
        <v>15507</v>
      </c>
      <c r="L9" s="1217"/>
    </row>
    <row r="10" spans="1:12" ht="12.95" customHeight="1" x14ac:dyDescent="0.2">
      <c r="A10" s="478" t="s">
        <v>1129</v>
      </c>
      <c r="B10" s="479" t="s">
        <v>341</v>
      </c>
      <c r="C10" s="454">
        <f>'1.1.sz.mell.'!C31</f>
        <v>11561</v>
      </c>
      <c r="D10" s="454">
        <f>'1.1.sz.mell.'!D31</f>
        <v>14717</v>
      </c>
      <c r="E10" s="969"/>
      <c r="F10" s="969"/>
      <c r="G10" s="479" t="s">
        <v>188</v>
      </c>
      <c r="H10" s="460">
        <f>'1.1.sz.mell.'!C78</f>
        <v>4094</v>
      </c>
      <c r="I10" s="460">
        <f>'1.1.sz.mell.'!D78</f>
        <v>10608</v>
      </c>
      <c r="J10" s="460">
        <f>'1.1.sz.mell.'!E78</f>
        <v>9154</v>
      </c>
      <c r="K10" s="460">
        <f>'1.1.sz.mell.'!F78</f>
        <v>9154</v>
      </c>
      <c r="L10" s="1217"/>
    </row>
    <row r="11" spans="1:12" ht="12.95" customHeight="1" x14ac:dyDescent="0.2">
      <c r="A11" s="478" t="s">
        <v>1130</v>
      </c>
      <c r="B11" s="479" t="s">
        <v>374</v>
      </c>
      <c r="C11" s="455"/>
      <c r="D11" s="455"/>
      <c r="E11" s="970"/>
      <c r="F11" s="970"/>
      <c r="G11" s="479" t="s">
        <v>1157</v>
      </c>
      <c r="H11" s="460">
        <f>'1.1.sz.mell.'!C97</f>
        <v>4019</v>
      </c>
      <c r="I11" s="460">
        <f>'1.1.sz.mell.'!D98</f>
        <v>3179</v>
      </c>
      <c r="J11" s="460">
        <f>'1.1.sz.mell.'!E97</f>
        <v>727</v>
      </c>
      <c r="K11" s="460">
        <f>'1.1.sz.mell.'!F97</f>
        <v>727</v>
      </c>
      <c r="L11" s="1217"/>
    </row>
    <row r="12" spans="1:12" ht="12.95" customHeight="1" x14ac:dyDescent="0.2">
      <c r="A12" s="478" t="s">
        <v>1131</v>
      </c>
      <c r="B12" s="479" t="s">
        <v>342</v>
      </c>
      <c r="C12" s="454"/>
      <c r="D12" s="454"/>
      <c r="E12" s="969"/>
      <c r="F12" s="969"/>
      <c r="G12" s="479" t="s">
        <v>1119</v>
      </c>
      <c r="H12" s="460"/>
      <c r="I12" s="460"/>
      <c r="J12" s="460"/>
      <c r="K12" s="460"/>
      <c r="L12" s="1217"/>
    </row>
    <row r="13" spans="1:12" ht="12.95" customHeight="1" x14ac:dyDescent="0.2">
      <c r="A13" s="478" t="s">
        <v>1132</v>
      </c>
      <c r="B13" s="479" t="s">
        <v>343</v>
      </c>
      <c r="C13" s="454"/>
      <c r="D13" s="454"/>
      <c r="E13" s="969"/>
      <c r="F13" s="969"/>
      <c r="G13" s="56"/>
      <c r="H13" s="460"/>
      <c r="I13" s="460"/>
      <c r="J13" s="460"/>
      <c r="K13" s="460"/>
      <c r="L13" s="1217"/>
    </row>
    <row r="14" spans="1:12" ht="12.95" customHeight="1" x14ac:dyDescent="0.2">
      <c r="A14" s="478" t="s">
        <v>1133</v>
      </c>
      <c r="B14" s="485" t="s">
        <v>344</v>
      </c>
      <c r="C14" s="455"/>
      <c r="D14" s="455"/>
      <c r="E14" s="970"/>
      <c r="F14" s="970"/>
      <c r="G14" s="56"/>
      <c r="H14" s="460"/>
      <c r="I14" s="460"/>
      <c r="J14" s="460"/>
      <c r="K14" s="460"/>
      <c r="L14" s="1217"/>
    </row>
    <row r="15" spans="1:12" ht="12.95" customHeight="1" x14ac:dyDescent="0.2">
      <c r="A15" s="478" t="s">
        <v>1134</v>
      </c>
      <c r="B15" s="711" t="s">
        <v>653</v>
      </c>
      <c r="C15" s="454">
        <v>-12751</v>
      </c>
      <c r="D15" s="454">
        <f>-12751-11</f>
        <v>-12762</v>
      </c>
      <c r="E15" s="969"/>
      <c r="F15" s="969"/>
      <c r="G15" s="56"/>
      <c r="H15" s="460"/>
      <c r="I15" s="460"/>
      <c r="J15" s="460"/>
      <c r="K15" s="460"/>
      <c r="L15" s="1217"/>
    </row>
    <row r="16" spans="1:12" ht="12.95" customHeight="1" x14ac:dyDescent="0.2">
      <c r="A16" s="478" t="s">
        <v>1135</v>
      </c>
      <c r="B16" s="56"/>
      <c r="C16" s="454"/>
      <c r="D16" s="454"/>
      <c r="E16" s="969"/>
      <c r="F16" s="969"/>
      <c r="G16" s="56"/>
      <c r="H16" s="460"/>
      <c r="I16" s="460"/>
      <c r="J16" s="460"/>
      <c r="K16" s="460"/>
      <c r="L16" s="1217"/>
    </row>
    <row r="17" spans="1:12" ht="12.95" customHeight="1" thickBot="1" x14ac:dyDescent="0.25">
      <c r="A17" s="478" t="s">
        <v>1136</v>
      </c>
      <c r="B17" s="69"/>
      <c r="C17" s="456"/>
      <c r="D17" s="456"/>
      <c r="E17" s="971"/>
      <c r="F17" s="971"/>
      <c r="G17" s="56"/>
      <c r="H17" s="461"/>
      <c r="I17" s="461"/>
      <c r="J17" s="461"/>
      <c r="K17" s="461"/>
      <c r="L17" s="1217"/>
    </row>
    <row r="18" spans="1:12" ht="15.95" customHeight="1" thickBot="1" x14ac:dyDescent="0.25">
      <c r="A18" s="481" t="s">
        <v>1137</v>
      </c>
      <c r="B18" s="169" t="s">
        <v>367</v>
      </c>
      <c r="C18" s="457">
        <f>+C6+C7+C8+C9+C10+C12+C13+C14+C15+C16+C17</f>
        <v>245693.6</v>
      </c>
      <c r="D18" s="457">
        <f>+D6+D7+D8+D9+D10+D12+D13+D14+D15+D16+D17</f>
        <v>256501.59999999998</v>
      </c>
      <c r="E18" s="972"/>
      <c r="F18" s="972"/>
      <c r="G18" s="169" t="s">
        <v>366</v>
      </c>
      <c r="H18" s="462">
        <f>SUM(H6:H17)</f>
        <v>245694</v>
      </c>
      <c r="I18" s="462">
        <f>SUM(I6:I17)</f>
        <v>282782</v>
      </c>
      <c r="J18" s="462">
        <f>SUM(J6:J17)</f>
        <v>262666</v>
      </c>
      <c r="K18" s="462">
        <f>SUM(K6:K17)</f>
        <v>262666</v>
      </c>
      <c r="L18" s="1217"/>
    </row>
    <row r="19" spans="1:12" ht="12.95" customHeight="1" x14ac:dyDescent="0.2">
      <c r="A19" s="482" t="s">
        <v>1138</v>
      </c>
      <c r="B19" s="483" t="s">
        <v>345</v>
      </c>
      <c r="C19" s="484">
        <f>+C20+C21+C22+C23</f>
        <v>0</v>
      </c>
      <c r="D19" s="484">
        <f>+D20+D21+D22+D23</f>
        <v>26281</v>
      </c>
      <c r="E19" s="973"/>
      <c r="F19" s="973"/>
      <c r="G19" s="485" t="s">
        <v>199</v>
      </c>
      <c r="H19" s="463"/>
      <c r="I19" s="463"/>
      <c r="J19" s="463"/>
      <c r="K19" s="463"/>
      <c r="L19" s="1217"/>
    </row>
    <row r="20" spans="1:12" ht="12.95" customHeight="1" x14ac:dyDescent="0.2">
      <c r="A20" s="486" t="s">
        <v>1139</v>
      </c>
      <c r="B20" s="485" t="s">
        <v>278</v>
      </c>
      <c r="C20" s="116"/>
      <c r="D20" s="116">
        <f>40097-13816</f>
        <v>26281</v>
      </c>
      <c r="E20" s="176"/>
      <c r="F20" s="176"/>
      <c r="G20" s="485" t="s">
        <v>200</v>
      </c>
      <c r="H20" s="117"/>
      <c r="I20" s="117"/>
      <c r="J20" s="117"/>
      <c r="K20" s="117"/>
      <c r="L20" s="1217"/>
    </row>
    <row r="21" spans="1:12" ht="12.95" customHeight="1" x14ac:dyDescent="0.2">
      <c r="A21" s="486" t="s">
        <v>1140</v>
      </c>
      <c r="B21" s="485" t="s">
        <v>279</v>
      </c>
      <c r="C21" s="116"/>
      <c r="D21" s="116"/>
      <c r="E21" s="176"/>
      <c r="F21" s="176"/>
      <c r="G21" s="485" t="s">
        <v>128</v>
      </c>
      <c r="H21" s="117"/>
      <c r="I21" s="117"/>
      <c r="J21" s="117"/>
      <c r="K21" s="117"/>
      <c r="L21" s="1217"/>
    </row>
    <row r="22" spans="1:12" ht="12.95" customHeight="1" x14ac:dyDescent="0.2">
      <c r="A22" s="486" t="s">
        <v>1141</v>
      </c>
      <c r="B22" s="485" t="s">
        <v>346</v>
      </c>
      <c r="C22" s="116"/>
      <c r="D22" s="116"/>
      <c r="E22" s="176"/>
      <c r="F22" s="176"/>
      <c r="G22" s="485" t="s">
        <v>129</v>
      </c>
      <c r="H22" s="117"/>
      <c r="I22" s="117"/>
      <c r="J22" s="117"/>
      <c r="K22" s="117"/>
      <c r="L22" s="1217"/>
    </row>
    <row r="23" spans="1:12" ht="12.95" customHeight="1" x14ac:dyDescent="0.2">
      <c r="A23" s="486" t="s">
        <v>1142</v>
      </c>
      <c r="B23" s="485" t="s">
        <v>347</v>
      </c>
      <c r="C23" s="116"/>
      <c r="D23" s="116"/>
      <c r="E23" s="974"/>
      <c r="F23" s="974"/>
      <c r="G23" s="483" t="s">
        <v>354</v>
      </c>
      <c r="H23" s="117"/>
      <c r="I23" s="117"/>
      <c r="J23" s="117"/>
      <c r="K23" s="117"/>
      <c r="L23" s="1217"/>
    </row>
    <row r="24" spans="1:12" ht="12.95" customHeight="1" x14ac:dyDescent="0.2">
      <c r="A24" s="486" t="s">
        <v>1143</v>
      </c>
      <c r="B24" s="485" t="s">
        <v>348</v>
      </c>
      <c r="C24" s="487">
        <f>+C25+C26</f>
        <v>0</v>
      </c>
      <c r="D24" s="487">
        <f>+D25+D26</f>
        <v>0</v>
      </c>
      <c r="E24" s="975"/>
      <c r="F24" s="975"/>
      <c r="G24" s="485" t="s">
        <v>201</v>
      </c>
      <c r="H24" s="117"/>
      <c r="I24" s="117"/>
      <c r="J24" s="117"/>
      <c r="K24" s="117"/>
      <c r="L24" s="1217"/>
    </row>
    <row r="25" spans="1:12" ht="12.95" customHeight="1" x14ac:dyDescent="0.2">
      <c r="A25" s="482" t="s">
        <v>1144</v>
      </c>
      <c r="B25" s="483" t="s">
        <v>349</v>
      </c>
      <c r="C25" s="458"/>
      <c r="D25" s="458"/>
      <c r="E25" s="974"/>
      <c r="F25" s="974"/>
      <c r="G25" s="477" t="s">
        <v>202</v>
      </c>
      <c r="H25" s="463"/>
      <c r="I25" s="463"/>
      <c r="J25" s="463"/>
      <c r="K25" s="463"/>
      <c r="L25" s="1217"/>
    </row>
    <row r="26" spans="1:12" ht="12.95" customHeight="1" thickBot="1" x14ac:dyDescent="0.25">
      <c r="A26" s="486" t="s">
        <v>1145</v>
      </c>
      <c r="B26" s="485" t="s">
        <v>288</v>
      </c>
      <c r="C26" s="116"/>
      <c r="D26" s="116"/>
      <c r="E26" s="176"/>
      <c r="F26" s="176"/>
      <c r="G26" s="56"/>
      <c r="H26" s="117"/>
      <c r="I26" s="117"/>
      <c r="J26" s="117"/>
      <c r="K26" s="117"/>
      <c r="L26" s="1217"/>
    </row>
    <row r="27" spans="1:12" ht="15.95" customHeight="1" thickBot="1" x14ac:dyDescent="0.25">
      <c r="A27" s="481" t="s">
        <v>1146</v>
      </c>
      <c r="B27" s="169" t="s">
        <v>364</v>
      </c>
      <c r="C27" s="457">
        <f>+C19+C24</f>
        <v>0</v>
      </c>
      <c r="D27" s="457">
        <f>+D19+D24</f>
        <v>26281</v>
      </c>
      <c r="E27" s="972"/>
      <c r="F27" s="972"/>
      <c r="G27" s="169" t="s">
        <v>365</v>
      </c>
      <c r="H27" s="462">
        <f>SUM(H19:H26)</f>
        <v>0</v>
      </c>
      <c r="I27" s="462">
        <f>SUM(I19:I26)</f>
        <v>0</v>
      </c>
      <c r="J27" s="462">
        <f>SUM(J19:J26)</f>
        <v>0</v>
      </c>
      <c r="K27" s="462">
        <f>SUM(K19:K26)</f>
        <v>0</v>
      </c>
      <c r="L27" s="1217"/>
    </row>
    <row r="28" spans="1:12" ht="18" customHeight="1" thickBot="1" x14ac:dyDescent="0.25">
      <c r="A28" s="481" t="s">
        <v>1147</v>
      </c>
      <c r="B28" s="488" t="s">
        <v>352</v>
      </c>
      <c r="C28" s="457">
        <f>+C18+C27</f>
        <v>245693.6</v>
      </c>
      <c r="D28" s="457">
        <f>+D18+D27</f>
        <v>282782.59999999998</v>
      </c>
      <c r="E28" s="972"/>
      <c r="F28" s="972"/>
      <c r="G28" s="488" t="s">
        <v>355</v>
      </c>
      <c r="H28" s="462">
        <f>+H18+H27</f>
        <v>245694</v>
      </c>
      <c r="I28" s="462">
        <f>+I18+I27</f>
        <v>282782</v>
      </c>
      <c r="J28" s="462">
        <f>+J18+J27</f>
        <v>262666</v>
      </c>
      <c r="K28" s="462">
        <f>+K18+K27</f>
        <v>262666</v>
      </c>
      <c r="L28" s="1217"/>
    </row>
    <row r="29" spans="1:12" ht="18" customHeight="1" thickBot="1" x14ac:dyDescent="0.25">
      <c r="A29" s="481" t="s">
        <v>1148</v>
      </c>
      <c r="B29" s="169" t="s">
        <v>350</v>
      </c>
      <c r="C29" s="492"/>
      <c r="D29" s="492"/>
      <c r="E29" s="976"/>
      <c r="F29" s="976"/>
      <c r="G29" s="169" t="s">
        <v>356</v>
      </c>
      <c r="H29" s="491"/>
      <c r="I29" s="491"/>
      <c r="J29" s="491"/>
      <c r="K29" s="491"/>
      <c r="L29" s="1217"/>
    </row>
    <row r="30" spans="1:12" ht="13.5" thickBot="1" x14ac:dyDescent="0.25">
      <c r="A30" s="481" t="s">
        <v>1149</v>
      </c>
      <c r="B30" s="489" t="s">
        <v>351</v>
      </c>
      <c r="C30" s="490">
        <f>+C28+C29</f>
        <v>245693.6</v>
      </c>
      <c r="D30" s="490">
        <f>+D28+D29</f>
        <v>282782.59999999998</v>
      </c>
      <c r="E30" s="977"/>
      <c r="F30" s="977"/>
      <c r="G30" s="489" t="s">
        <v>357</v>
      </c>
      <c r="H30" s="490">
        <f>+H28+H29</f>
        <v>245694</v>
      </c>
      <c r="I30" s="490">
        <f>+I28+I29</f>
        <v>282782</v>
      </c>
      <c r="J30" s="490">
        <f>+J28+J29</f>
        <v>262666</v>
      </c>
      <c r="K30" s="490">
        <f>+K28+K29</f>
        <v>262666</v>
      </c>
      <c r="L30" s="1217"/>
    </row>
    <row r="31" spans="1:12" ht="13.5" thickBot="1" x14ac:dyDescent="0.25">
      <c r="A31" s="481" t="s">
        <v>1150</v>
      </c>
      <c r="B31" s="489" t="s">
        <v>144</v>
      </c>
      <c r="C31" s="490">
        <f>IF(C18-H18&lt;0,H18-C18,"-")</f>
        <v>0.39999999999417923</v>
      </c>
      <c r="D31" s="490" t="str">
        <f>IF(D18-L18&lt;0,L18-D18,"-")</f>
        <v>-</v>
      </c>
      <c r="E31" s="977"/>
      <c r="F31" s="977"/>
      <c r="G31" s="489" t="s">
        <v>145</v>
      </c>
      <c r="H31" s="490" t="str">
        <f>IF(C18-H18&gt;0,C18-H18,"-")</f>
        <v>-</v>
      </c>
      <c r="I31" s="490" t="str">
        <f>IF(D18-I18&gt;0,D18-I18,"-")</f>
        <v>-</v>
      </c>
      <c r="J31" s="490" t="str">
        <f>IF(E18-J18&gt;0,E18-J18,"-")</f>
        <v>-</v>
      </c>
      <c r="K31" s="490" t="str">
        <f>IF(F18-K18&gt;0,F18-K18,"-")</f>
        <v>-</v>
      </c>
      <c r="L31" s="1217"/>
    </row>
    <row r="32" spans="1:12" ht="13.5" thickBot="1" x14ac:dyDescent="0.25">
      <c r="A32" s="481" t="s">
        <v>1151</v>
      </c>
      <c r="B32" s="489" t="s">
        <v>358</v>
      </c>
      <c r="C32" s="490">
        <f>IF(C18+C19-H28&lt;0,H28-(C18+C19),"-")</f>
        <v>0.39999999999417923</v>
      </c>
      <c r="D32" s="490" t="str">
        <f>IF(D18+D19-L28&lt;0,L28-(D18+D19),"-")</f>
        <v>-</v>
      </c>
      <c r="E32" s="977"/>
      <c r="F32" s="977"/>
      <c r="G32" s="489" t="s">
        <v>359</v>
      </c>
      <c r="H32" s="490" t="str">
        <f>IF(C18+C19-H28&gt;0,C18+C19-H28,"-")</f>
        <v>-</v>
      </c>
      <c r="I32" s="490">
        <f>IF(D18+D19-I28&gt;0,D18+D19-I28,"-")</f>
        <v>0.59999999997671694</v>
      </c>
      <c r="J32" s="490" t="str">
        <f>IF(E18+E19-J28&gt;0,E18+E19-J28,"-")</f>
        <v>-</v>
      </c>
      <c r="K32" s="490" t="str">
        <f>IF(F18+F19-K28&gt;0,F18+F19-K28,"-")</f>
        <v>-</v>
      </c>
      <c r="L32" s="1217"/>
    </row>
  </sheetData>
  <mergeCells count="2">
    <mergeCell ref="A3:A4"/>
    <mergeCell ref="L1:L32"/>
  </mergeCells>
  <phoneticPr fontId="0" type="noConversion"/>
  <printOptions horizontalCentered="1"/>
  <pageMargins left="0.39370078740157483" right="0.47244094488188981" top="0.9055118110236221" bottom="0.51181102362204722" header="0.6692913385826772" footer="0.27559055118110237"/>
  <pageSetup paperSize="9" scale="83" orientation="landscape" verticalDpi="300" r:id="rId1"/>
  <headerFooter alignWithMargins="0">
    <oddHeader>&amp;R&amp;"Times New Roman CE,Félkövér"&amp;11 2.1. melléklet az 5/2014. (III.6.)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39"/>
  <sheetViews>
    <sheetView view="pageLayout" topLeftCell="D1" zoomScaleNormal="100" zoomScaleSheetLayoutView="115" workbookViewId="0">
      <selection activeCell="H1" sqref="H1:I1"/>
    </sheetView>
  </sheetViews>
  <sheetFormatPr defaultColWidth="9.33203125" defaultRowHeight="12.75" x14ac:dyDescent="0.2"/>
  <cols>
    <col min="1" max="1" width="6.83203125" style="66" customWidth="1"/>
    <col min="2" max="2" width="55.1640625" style="252" customWidth="1"/>
    <col min="3" max="4" width="16.33203125" style="66" customWidth="1"/>
    <col min="5" max="6" width="16.33203125" style="66" hidden="1" customWidth="1"/>
    <col min="7" max="7" width="55.1640625" style="66" customWidth="1"/>
    <col min="8" max="9" width="16.33203125" style="66" customWidth="1"/>
    <col min="10" max="11" width="16.33203125" style="66" hidden="1" customWidth="1"/>
    <col min="12" max="12" width="4.83203125" style="66" customWidth="1"/>
    <col min="13" max="16384" width="9.33203125" style="66"/>
  </cols>
  <sheetData>
    <row r="1" spans="1:12" ht="31.5" x14ac:dyDescent="0.2">
      <c r="B1" s="464" t="s">
        <v>132</v>
      </c>
      <c r="C1" s="465"/>
      <c r="D1" s="465"/>
      <c r="E1" s="465"/>
      <c r="F1" s="465"/>
      <c r="G1" s="465"/>
      <c r="H1" s="1401"/>
      <c r="I1" s="1402"/>
      <c r="J1" s="465"/>
      <c r="K1" s="465"/>
      <c r="L1" s="1217" t="s">
        <v>1225</v>
      </c>
    </row>
    <row r="2" spans="1:12" ht="14.25" thickBot="1" x14ac:dyDescent="0.25">
      <c r="H2" s="466"/>
      <c r="I2" s="466" t="s">
        <v>11</v>
      </c>
      <c r="J2" s="466"/>
      <c r="K2" s="466" t="s">
        <v>11</v>
      </c>
      <c r="L2" s="1217"/>
    </row>
    <row r="3" spans="1:12" ht="13.5" thickBot="1" x14ac:dyDescent="0.25">
      <c r="A3" s="1218" t="s">
        <v>19</v>
      </c>
      <c r="B3" s="467" t="s">
        <v>1167</v>
      </c>
      <c r="C3" s="468"/>
      <c r="D3" s="468"/>
      <c r="E3" s="965"/>
      <c r="F3" s="965"/>
      <c r="G3" s="467" t="s">
        <v>1</v>
      </c>
      <c r="H3" s="469"/>
      <c r="I3" s="469"/>
      <c r="J3" s="469"/>
      <c r="K3" s="469"/>
      <c r="L3" s="1217"/>
    </row>
    <row r="4" spans="1:12" s="470" customFormat="1" ht="24.75" thickBot="1" x14ac:dyDescent="0.25">
      <c r="A4" s="1219"/>
      <c r="B4" s="253" t="s">
        <v>12</v>
      </c>
      <c r="C4" s="254" t="s">
        <v>302</v>
      </c>
      <c r="D4" s="254" t="s">
        <v>775</v>
      </c>
      <c r="E4" s="254" t="s">
        <v>1174</v>
      </c>
      <c r="F4" s="966" t="s">
        <v>1171</v>
      </c>
      <c r="G4" s="253" t="s">
        <v>12</v>
      </c>
      <c r="H4" s="982" t="s">
        <v>302</v>
      </c>
      <c r="I4" s="254" t="s">
        <v>775</v>
      </c>
      <c r="J4" s="254" t="s">
        <v>1174</v>
      </c>
      <c r="K4" s="62" t="s">
        <v>1171</v>
      </c>
      <c r="L4" s="1217"/>
    </row>
    <row r="5" spans="1:12" s="470" customFormat="1" ht="13.5" thickBot="1" x14ac:dyDescent="0.25">
      <c r="A5" s="471">
        <v>1</v>
      </c>
      <c r="B5" s="472">
        <v>2</v>
      </c>
      <c r="C5" s="473">
        <v>3</v>
      </c>
      <c r="D5" s="473">
        <v>3</v>
      </c>
      <c r="E5" s="967"/>
      <c r="F5" s="967"/>
      <c r="G5" s="472">
        <v>4</v>
      </c>
      <c r="H5" s="983">
        <v>5</v>
      </c>
      <c r="I5" s="473">
        <v>5</v>
      </c>
      <c r="J5" s="473">
        <v>5</v>
      </c>
      <c r="K5" s="985">
        <v>5</v>
      </c>
      <c r="L5" s="1217"/>
    </row>
    <row r="6" spans="1:12" ht="12.95" customHeight="1" x14ac:dyDescent="0.2">
      <c r="A6" s="476" t="s">
        <v>1125</v>
      </c>
      <c r="B6" s="477" t="s">
        <v>394</v>
      </c>
      <c r="C6" s="453"/>
      <c r="D6" s="453"/>
      <c r="E6" s="968"/>
      <c r="F6" s="968"/>
      <c r="G6" s="477" t="s">
        <v>304</v>
      </c>
      <c r="H6" s="984">
        <f>'1.1.sz.mell.'!C87</f>
        <v>17481.55</v>
      </c>
      <c r="I6" s="453">
        <f>'1.1.sz.mell.'!D87</f>
        <v>20933</v>
      </c>
      <c r="J6" s="453">
        <f>'1.1.sz.mell.'!E87</f>
        <v>20933</v>
      </c>
      <c r="K6" s="536">
        <f>'1.1.sz.mell.'!F87</f>
        <v>20933</v>
      </c>
      <c r="L6" s="1217"/>
    </row>
    <row r="7" spans="1:12" ht="22.5" customHeight="1" x14ac:dyDescent="0.2">
      <c r="A7" s="478" t="s">
        <v>1126</v>
      </c>
      <c r="B7" s="479" t="s">
        <v>368</v>
      </c>
      <c r="C7" s="454">
        <f>'1.1.sz.mell.'!C48</f>
        <v>400</v>
      </c>
      <c r="D7" s="454">
        <f>'1.1.sz.mell.'!D48</f>
        <v>7075</v>
      </c>
      <c r="E7" s="969"/>
      <c r="F7" s="969"/>
      <c r="G7" s="479" t="s">
        <v>190</v>
      </c>
      <c r="H7" s="455">
        <f>'1.1.sz.mell.'!C88</f>
        <v>9623</v>
      </c>
      <c r="I7" s="454">
        <f>'1.1.sz.mell.'!D88</f>
        <v>20387</v>
      </c>
      <c r="J7" s="454">
        <f>'1.1.sz.mell.'!E88</f>
        <v>20387</v>
      </c>
      <c r="K7" s="538">
        <f>'1.1.sz.mell.'!F88</f>
        <v>20387</v>
      </c>
      <c r="L7" s="1217"/>
    </row>
    <row r="8" spans="1:12" ht="12.95" customHeight="1" x14ac:dyDescent="0.2">
      <c r="A8" s="478" t="s">
        <v>1127</v>
      </c>
      <c r="B8" s="479" t="s">
        <v>126</v>
      </c>
      <c r="C8" s="454"/>
      <c r="D8" s="454"/>
      <c r="E8" s="969"/>
      <c r="F8" s="969"/>
      <c r="G8" s="479" t="s">
        <v>335</v>
      </c>
      <c r="H8" s="455"/>
      <c r="I8" s="454"/>
      <c r="J8" s="454"/>
      <c r="K8" s="538"/>
      <c r="L8" s="1217"/>
    </row>
    <row r="9" spans="1:12" ht="12.95" customHeight="1" x14ac:dyDescent="0.2">
      <c r="A9" s="478" t="s">
        <v>1128</v>
      </c>
      <c r="B9" s="479" t="s">
        <v>173</v>
      </c>
      <c r="C9" s="454"/>
      <c r="D9" s="454"/>
      <c r="E9" s="969"/>
      <c r="F9" s="969"/>
      <c r="G9" s="479" t="s">
        <v>375</v>
      </c>
      <c r="H9" s="455"/>
      <c r="I9" s="454"/>
      <c r="J9" s="454"/>
      <c r="K9" s="538"/>
      <c r="L9" s="1217"/>
    </row>
    <row r="10" spans="1:12" ht="12.75" customHeight="1" x14ac:dyDescent="0.2">
      <c r="A10" s="478" t="s">
        <v>1129</v>
      </c>
      <c r="B10" s="479" t="s">
        <v>265</v>
      </c>
      <c r="C10" s="454"/>
      <c r="D10" s="454"/>
      <c r="E10" s="969"/>
      <c r="F10" s="969"/>
      <c r="G10" s="479" t="s">
        <v>376</v>
      </c>
      <c r="H10" s="455"/>
      <c r="I10" s="454"/>
      <c r="J10" s="454"/>
      <c r="K10" s="538"/>
      <c r="L10" s="1217"/>
    </row>
    <row r="11" spans="1:12" ht="12.95" customHeight="1" x14ac:dyDescent="0.2">
      <c r="A11" s="478" t="s">
        <v>1130</v>
      </c>
      <c r="B11" s="479" t="s">
        <v>369</v>
      </c>
      <c r="C11" s="455"/>
      <c r="D11" s="455"/>
      <c r="E11" s="454"/>
      <c r="F11" s="970"/>
      <c r="G11" s="494" t="s">
        <v>377</v>
      </c>
      <c r="H11" s="455"/>
      <c r="I11" s="454"/>
      <c r="J11" s="454"/>
      <c r="K11" s="538"/>
      <c r="L11" s="1217"/>
    </row>
    <row r="12" spans="1:12" ht="12.95" customHeight="1" x14ac:dyDescent="0.2">
      <c r="A12" s="478" t="s">
        <v>1131</v>
      </c>
      <c r="B12" s="479" t="s">
        <v>370</v>
      </c>
      <c r="C12" s="454"/>
      <c r="D12" s="454"/>
      <c r="E12" s="968"/>
      <c r="F12" s="969"/>
      <c r="G12" s="494" t="s">
        <v>308</v>
      </c>
      <c r="H12" s="455"/>
      <c r="I12" s="454"/>
      <c r="J12" s="454"/>
      <c r="K12" s="538"/>
      <c r="L12" s="1217"/>
    </row>
    <row r="13" spans="1:12" ht="12.95" customHeight="1" x14ac:dyDescent="0.2">
      <c r="A13" s="478" t="s">
        <v>1132</v>
      </c>
      <c r="B13" s="479" t="s">
        <v>373</v>
      </c>
      <c r="C13" s="454">
        <f>'1.1.sz.mell.'!C37</f>
        <v>1453</v>
      </c>
      <c r="D13" s="454">
        <f>'1.1.sz.mell.'!D37</f>
        <v>1453</v>
      </c>
      <c r="E13" s="969"/>
      <c r="F13" s="969"/>
      <c r="G13" s="495" t="s">
        <v>309</v>
      </c>
      <c r="H13" s="455"/>
      <c r="I13" s="454"/>
      <c r="J13" s="454"/>
      <c r="K13" s="538"/>
      <c r="L13" s="1217"/>
    </row>
    <row r="14" spans="1:12" ht="12.95" customHeight="1" x14ac:dyDescent="0.2">
      <c r="A14" s="478" t="s">
        <v>1133</v>
      </c>
      <c r="B14" s="496" t="s">
        <v>392</v>
      </c>
      <c r="C14" s="455">
        <f>1453</f>
        <v>1453</v>
      </c>
      <c r="D14" s="455">
        <v>1453</v>
      </c>
      <c r="E14" s="454"/>
      <c r="F14" s="970"/>
      <c r="G14" s="494" t="s">
        <v>378</v>
      </c>
      <c r="H14" s="455"/>
      <c r="I14" s="454"/>
      <c r="J14" s="454"/>
      <c r="K14" s="538"/>
      <c r="L14" s="1217"/>
    </row>
    <row r="15" spans="1:12" ht="22.5" customHeight="1" x14ac:dyDescent="0.2">
      <c r="A15" s="478" t="s">
        <v>1134</v>
      </c>
      <c r="B15" s="479" t="s">
        <v>371</v>
      </c>
      <c r="C15" s="455"/>
      <c r="D15" s="455">
        <v>400</v>
      </c>
      <c r="E15" s="454"/>
      <c r="F15" s="970"/>
      <c r="G15" s="494" t="s">
        <v>379</v>
      </c>
      <c r="H15" s="455"/>
      <c r="I15" s="454"/>
      <c r="J15" s="454"/>
      <c r="K15" s="538"/>
      <c r="L15" s="1217"/>
    </row>
    <row r="16" spans="1:12" ht="12.95" customHeight="1" x14ac:dyDescent="0.2">
      <c r="A16" s="478" t="s">
        <v>1135</v>
      </c>
      <c r="B16" s="479" t="s">
        <v>372</v>
      </c>
      <c r="C16" s="455"/>
      <c r="D16" s="455"/>
      <c r="E16" s="454"/>
      <c r="F16" s="970"/>
      <c r="G16" s="479" t="s">
        <v>1157</v>
      </c>
      <c r="H16" s="455"/>
      <c r="I16" s="454">
        <f>'1.1.sz.mell.'!D99</f>
        <v>6675</v>
      </c>
      <c r="J16" s="454"/>
      <c r="K16" s="538"/>
      <c r="L16" s="1217"/>
    </row>
    <row r="17" spans="1:12" ht="12.95" customHeight="1" thickBot="1" x14ac:dyDescent="0.25">
      <c r="A17" s="604" t="s">
        <v>1136</v>
      </c>
      <c r="B17" s="605" t="s">
        <v>1044</v>
      </c>
      <c r="C17" s="606">
        <v>12751</v>
      </c>
      <c r="D17" s="606">
        <f>12751+11</f>
        <v>12762</v>
      </c>
      <c r="E17" s="980"/>
      <c r="F17" s="978"/>
      <c r="G17" s="605" t="s">
        <v>1119</v>
      </c>
      <c r="H17" s="606"/>
      <c r="I17" s="988"/>
      <c r="J17" s="988"/>
      <c r="K17" s="986"/>
      <c r="L17" s="1217"/>
    </row>
    <row r="18" spans="1:12" ht="15.95" customHeight="1" thickBot="1" x14ac:dyDescent="0.25">
      <c r="A18" s="481" t="s">
        <v>1137</v>
      </c>
      <c r="B18" s="169" t="s">
        <v>116</v>
      </c>
      <c r="C18" s="457">
        <f>+C6+C7+C8+C9+C10+C11+C12+C13+C15+C16+C17</f>
        <v>14604</v>
      </c>
      <c r="D18" s="457">
        <f>+D6+D7+D8+D9+D10+D11+D12+D13+D15+D16+D17</f>
        <v>21690</v>
      </c>
      <c r="E18" s="972"/>
      <c r="F18" s="972"/>
      <c r="G18" s="169" t="s">
        <v>117</v>
      </c>
      <c r="H18" s="905">
        <f>+H6+H7+H8+H16+H17</f>
        <v>27104.55</v>
      </c>
      <c r="I18" s="457">
        <f>+I6+I7+I8+I16+I17</f>
        <v>47995</v>
      </c>
      <c r="J18" s="457">
        <f>+J6+J7+J8+J16+J17</f>
        <v>41320</v>
      </c>
      <c r="K18" s="531">
        <f>+K6+K7+K8+K16+K17</f>
        <v>41320</v>
      </c>
      <c r="L18" s="1217"/>
    </row>
    <row r="19" spans="1:12" ht="12.95" customHeight="1" x14ac:dyDescent="0.2">
      <c r="A19" s="497" t="s">
        <v>1138</v>
      </c>
      <c r="B19" s="498" t="s">
        <v>391</v>
      </c>
      <c r="C19" s="505">
        <f>+C20+C21+C22+C23+C24</f>
        <v>12500</v>
      </c>
      <c r="D19" s="505">
        <f>+D20+D21+D22+D23+D24</f>
        <v>26316</v>
      </c>
      <c r="E19" s="979"/>
      <c r="F19" s="979"/>
      <c r="G19" s="485" t="s">
        <v>199</v>
      </c>
      <c r="H19" s="910"/>
      <c r="I19" s="989">
        <v>11</v>
      </c>
      <c r="J19" s="989"/>
      <c r="K19" s="987"/>
      <c r="L19" s="1217"/>
    </row>
    <row r="20" spans="1:12" ht="12.95" customHeight="1" x14ac:dyDescent="0.2">
      <c r="A20" s="478" t="s">
        <v>1139</v>
      </c>
      <c r="B20" s="499" t="s">
        <v>380</v>
      </c>
      <c r="C20" s="116">
        <v>12500</v>
      </c>
      <c r="D20" s="116">
        <f>12500+13816</f>
        <v>26316</v>
      </c>
      <c r="E20" s="176"/>
      <c r="F20" s="176"/>
      <c r="G20" s="485" t="s">
        <v>203</v>
      </c>
      <c r="H20" s="911"/>
      <c r="I20" s="116"/>
      <c r="J20" s="116"/>
      <c r="K20" s="537"/>
      <c r="L20" s="1217"/>
    </row>
    <row r="21" spans="1:12" ht="12.95" customHeight="1" x14ac:dyDescent="0.2">
      <c r="A21" s="497" t="s">
        <v>1140</v>
      </c>
      <c r="B21" s="499" t="s">
        <v>381</v>
      </c>
      <c r="C21" s="116"/>
      <c r="D21" s="116"/>
      <c r="E21" s="176"/>
      <c r="F21" s="176"/>
      <c r="G21" s="485" t="s">
        <v>128</v>
      </c>
      <c r="H21" s="911"/>
      <c r="I21" s="116"/>
      <c r="J21" s="116"/>
      <c r="K21" s="537"/>
      <c r="L21" s="1217"/>
    </row>
    <row r="22" spans="1:12" ht="12.95" customHeight="1" x14ac:dyDescent="0.2">
      <c r="A22" s="478" t="s">
        <v>1141</v>
      </c>
      <c r="B22" s="499" t="s">
        <v>382</v>
      </c>
      <c r="C22" s="116"/>
      <c r="D22" s="116"/>
      <c r="E22" s="176"/>
      <c r="F22" s="176"/>
      <c r="G22" s="485" t="s">
        <v>129</v>
      </c>
      <c r="H22" s="911"/>
      <c r="I22" s="116"/>
      <c r="J22" s="116"/>
      <c r="K22" s="537"/>
      <c r="L22" s="1217"/>
    </row>
    <row r="23" spans="1:12" ht="12.95" customHeight="1" x14ac:dyDescent="0.2">
      <c r="A23" s="497" t="s">
        <v>1142</v>
      </c>
      <c r="B23" s="499" t="s">
        <v>383</v>
      </c>
      <c r="C23" s="116"/>
      <c r="D23" s="116"/>
      <c r="E23" s="974"/>
      <c r="F23" s="974"/>
      <c r="G23" s="483" t="s">
        <v>354</v>
      </c>
      <c r="H23" s="911"/>
      <c r="I23" s="116"/>
      <c r="J23" s="116"/>
      <c r="K23" s="537"/>
      <c r="L23" s="1217"/>
    </row>
    <row r="24" spans="1:12" ht="12.95" customHeight="1" x14ac:dyDescent="0.2">
      <c r="A24" s="478" t="s">
        <v>1143</v>
      </c>
      <c r="B24" s="500" t="s">
        <v>384</v>
      </c>
      <c r="C24" s="116"/>
      <c r="D24" s="116"/>
      <c r="E24" s="176"/>
      <c r="F24" s="176"/>
      <c r="G24" s="485" t="s">
        <v>204</v>
      </c>
      <c r="H24" s="911"/>
      <c r="I24" s="116"/>
      <c r="J24" s="116"/>
      <c r="K24" s="537"/>
      <c r="L24" s="1217"/>
    </row>
    <row r="25" spans="1:12" ht="12.95" customHeight="1" x14ac:dyDescent="0.2">
      <c r="A25" s="497" t="s">
        <v>1144</v>
      </c>
      <c r="B25" s="501" t="s">
        <v>385</v>
      </c>
      <c r="C25" s="487">
        <f>+C26+C27+C28+C29+C30</f>
        <v>0</v>
      </c>
      <c r="D25" s="487">
        <f>+D26+D27+D28+D29+D30</f>
        <v>0</v>
      </c>
      <c r="E25" s="979"/>
      <c r="F25" s="979"/>
      <c r="G25" s="502" t="s">
        <v>202</v>
      </c>
      <c r="H25" s="911"/>
      <c r="I25" s="116"/>
      <c r="J25" s="116"/>
      <c r="K25" s="537"/>
      <c r="L25" s="1217"/>
    </row>
    <row r="26" spans="1:12" ht="12.95" customHeight="1" x14ac:dyDescent="0.2">
      <c r="A26" s="478" t="s">
        <v>1145</v>
      </c>
      <c r="B26" s="500" t="s">
        <v>386</v>
      </c>
      <c r="C26" s="116"/>
      <c r="D26" s="116"/>
      <c r="E26" s="175"/>
      <c r="F26" s="175"/>
      <c r="G26" s="502" t="s">
        <v>393</v>
      </c>
      <c r="H26" s="911"/>
      <c r="I26" s="116"/>
      <c r="J26" s="116"/>
      <c r="K26" s="537"/>
      <c r="L26" s="1217"/>
    </row>
    <row r="27" spans="1:12" ht="12.95" customHeight="1" x14ac:dyDescent="0.2">
      <c r="A27" s="497" t="s">
        <v>1146</v>
      </c>
      <c r="B27" s="500" t="s">
        <v>387</v>
      </c>
      <c r="C27" s="116"/>
      <c r="D27" s="116"/>
      <c r="E27" s="175"/>
      <c r="F27" s="175"/>
      <c r="G27" s="493"/>
      <c r="H27" s="911"/>
      <c r="I27" s="116"/>
      <c r="J27" s="116"/>
      <c r="K27" s="537"/>
      <c r="L27" s="1217"/>
    </row>
    <row r="28" spans="1:12" ht="12.95" customHeight="1" x14ac:dyDescent="0.2">
      <c r="A28" s="478" t="s">
        <v>1147</v>
      </c>
      <c r="B28" s="499" t="s">
        <v>388</v>
      </c>
      <c r="C28" s="116"/>
      <c r="D28" s="116"/>
      <c r="E28" s="175"/>
      <c r="F28" s="175"/>
      <c r="G28" s="166"/>
      <c r="H28" s="911"/>
      <c r="I28" s="116"/>
      <c r="J28" s="116"/>
      <c r="K28" s="537"/>
      <c r="L28" s="1217"/>
    </row>
    <row r="29" spans="1:12" ht="12.95" customHeight="1" x14ac:dyDescent="0.2">
      <c r="A29" s="497" t="s">
        <v>1148</v>
      </c>
      <c r="B29" s="503" t="s">
        <v>389</v>
      </c>
      <c r="C29" s="116"/>
      <c r="D29" s="116"/>
      <c r="E29" s="176"/>
      <c r="F29" s="176"/>
      <c r="G29" s="56"/>
      <c r="H29" s="911"/>
      <c r="I29" s="116"/>
      <c r="J29" s="116"/>
      <c r="K29" s="537"/>
      <c r="L29" s="1217"/>
    </row>
    <row r="30" spans="1:12" ht="12.95" customHeight="1" thickBot="1" x14ac:dyDescent="0.25">
      <c r="A30" s="478" t="s">
        <v>1149</v>
      </c>
      <c r="B30" s="504" t="s">
        <v>390</v>
      </c>
      <c r="C30" s="116"/>
      <c r="D30" s="116"/>
      <c r="E30" s="175"/>
      <c r="F30" s="175"/>
      <c r="G30" s="166"/>
      <c r="H30" s="911"/>
      <c r="I30" s="116"/>
      <c r="J30" s="116"/>
      <c r="K30" s="537"/>
      <c r="L30" s="1217"/>
    </row>
    <row r="31" spans="1:12" ht="21.75" customHeight="1" thickBot="1" x14ac:dyDescent="0.25">
      <c r="A31" s="481" t="s">
        <v>1150</v>
      </c>
      <c r="B31" s="169" t="s">
        <v>489</v>
      </c>
      <c r="C31" s="457">
        <f>+C19+C25</f>
        <v>12500</v>
      </c>
      <c r="D31" s="457">
        <f>+D19+D25</f>
        <v>26316</v>
      </c>
      <c r="E31" s="972"/>
      <c r="F31" s="972"/>
      <c r="G31" s="169" t="s">
        <v>490</v>
      </c>
      <c r="H31" s="905">
        <f>SUM(H19:H30)</f>
        <v>0</v>
      </c>
      <c r="I31" s="457">
        <f>SUM(I19:I30)</f>
        <v>11</v>
      </c>
      <c r="J31" s="457">
        <f>SUM(J19:J30)</f>
        <v>0</v>
      </c>
      <c r="K31" s="531">
        <f>SUM(K19:K30)</f>
        <v>0</v>
      </c>
      <c r="L31" s="1217"/>
    </row>
    <row r="32" spans="1:12" ht="18" customHeight="1" thickBot="1" x14ac:dyDescent="0.25">
      <c r="A32" s="481" t="s">
        <v>1151</v>
      </c>
      <c r="B32" s="488" t="s">
        <v>487</v>
      </c>
      <c r="C32" s="457">
        <f>+C18+C31</f>
        <v>27104</v>
      </c>
      <c r="D32" s="457">
        <f>+D18+D31</f>
        <v>48006</v>
      </c>
      <c r="E32" s="972"/>
      <c r="F32" s="972"/>
      <c r="G32" s="488" t="s">
        <v>491</v>
      </c>
      <c r="H32" s="905">
        <f>+H18+H31</f>
        <v>27104.55</v>
      </c>
      <c r="I32" s="457">
        <f>+I18+I31</f>
        <v>48006</v>
      </c>
      <c r="J32" s="457">
        <f>+J18+J31</f>
        <v>41320</v>
      </c>
      <c r="K32" s="531">
        <f>+K18+K31</f>
        <v>41320</v>
      </c>
      <c r="L32" s="1217"/>
    </row>
    <row r="33" spans="1:12" ht="18" customHeight="1" thickBot="1" x14ac:dyDescent="0.25">
      <c r="A33" s="481" t="s">
        <v>1152</v>
      </c>
      <c r="B33" s="169" t="s">
        <v>350</v>
      </c>
      <c r="C33" s="492"/>
      <c r="D33" s="492"/>
      <c r="E33" s="976"/>
      <c r="F33" s="976"/>
      <c r="G33" s="169" t="s">
        <v>356</v>
      </c>
      <c r="H33" s="906"/>
      <c r="I33" s="492"/>
      <c r="J33" s="492"/>
      <c r="K33" s="529"/>
      <c r="L33" s="1217"/>
    </row>
    <row r="34" spans="1:12" ht="13.5" thickBot="1" x14ac:dyDescent="0.25">
      <c r="A34" s="481" t="s">
        <v>1153</v>
      </c>
      <c r="B34" s="489" t="s">
        <v>488</v>
      </c>
      <c r="C34" s="977">
        <f>+C32+C33</f>
        <v>27104</v>
      </c>
      <c r="D34" s="990">
        <f>+D32+D33</f>
        <v>48006</v>
      </c>
      <c r="E34" s="977"/>
      <c r="F34" s="981"/>
      <c r="G34" s="489" t="s">
        <v>492</v>
      </c>
      <c r="H34" s="977">
        <f>+H32+H33</f>
        <v>27104.55</v>
      </c>
      <c r="I34" s="990">
        <f>+I32+I33</f>
        <v>48006</v>
      </c>
      <c r="J34" s="990">
        <f>+J32+J33</f>
        <v>41320</v>
      </c>
      <c r="K34" s="490">
        <f>+K32+K33</f>
        <v>41320</v>
      </c>
      <c r="L34" s="1217"/>
    </row>
    <row r="35" spans="1:12" ht="13.5" thickBot="1" x14ac:dyDescent="0.25">
      <c r="A35" s="481" t="s">
        <v>89</v>
      </c>
      <c r="B35" s="489" t="s">
        <v>144</v>
      </c>
      <c r="C35" s="977">
        <f>IF(C18-H18&lt;0,H18-C18,"-")</f>
        <v>12500.55</v>
      </c>
      <c r="D35" s="990" t="str">
        <f>IF(D18-L18&lt;0,L18-D18,"-")</f>
        <v>-</v>
      </c>
      <c r="E35" s="977"/>
      <c r="F35" s="981"/>
      <c r="G35" s="489" t="s">
        <v>145</v>
      </c>
      <c r="H35" s="977" t="str">
        <f>IF(C18-H18&gt;0,C18-H18,"-")</f>
        <v>-</v>
      </c>
      <c r="I35" s="990" t="str">
        <f>IF(D18-I18&gt;0,D18-I18,"-")</f>
        <v>-</v>
      </c>
      <c r="J35" s="990" t="str">
        <f>IF(E18-J18&gt;0,E18-J18,"-")</f>
        <v>-</v>
      </c>
      <c r="K35" s="490" t="str">
        <f>IF(F18-K18&gt;0,F18-K18,"-")</f>
        <v>-</v>
      </c>
      <c r="L35" s="1217"/>
    </row>
    <row r="36" spans="1:12" ht="13.5" thickBot="1" x14ac:dyDescent="0.25">
      <c r="A36" s="481" t="s">
        <v>90</v>
      </c>
      <c r="B36" s="489" t="s">
        <v>358</v>
      </c>
      <c r="C36" s="977">
        <f>IF(C18+C19-H32&lt;0,H32-(C18+C19),"-")</f>
        <v>0.5499999999992724</v>
      </c>
      <c r="D36" s="990" t="str">
        <f>IF(D18+D19-L32&lt;0,L32-(D18+D19),"-")</f>
        <v>-</v>
      </c>
      <c r="E36" s="977"/>
      <c r="F36" s="981"/>
      <c r="G36" s="489" t="s">
        <v>359</v>
      </c>
      <c r="H36" s="977" t="str">
        <f>IF(C18+C19-H32&gt;0,C18+C19-H32,"-")</f>
        <v>-</v>
      </c>
      <c r="I36" s="990" t="str">
        <f>IF(D18+D19-I32&gt;0,D18+D19-I32,"-")</f>
        <v>-</v>
      </c>
      <c r="J36" s="990" t="str">
        <f>IF(E18+E19-J32&gt;0,E18+E19-J32,"-")</f>
        <v>-</v>
      </c>
      <c r="K36" s="490" t="str">
        <f>IF(F18+F19-K32&gt;0,F18+F19-K32,"-")</f>
        <v>-</v>
      </c>
      <c r="L36" s="1217"/>
    </row>
    <row r="39" spans="1:12" x14ac:dyDescent="0.2">
      <c r="C39" s="66">
        <f>C34+'2.1.sz.mell  '!C30</f>
        <v>272797.59999999998</v>
      </c>
      <c r="D39" s="66">
        <f>D34+'2.1.sz.mell  '!D30</f>
        <v>330788.59999999998</v>
      </c>
      <c r="E39" s="66">
        <f>E34+'2.1.sz.mell  '!E30</f>
        <v>0</v>
      </c>
      <c r="F39" s="66">
        <f>F34+'2.1.sz.mell  '!F30</f>
        <v>0</v>
      </c>
      <c r="H39" s="66">
        <f>H34+'2.1.sz.mell  '!H30</f>
        <v>272798.55</v>
      </c>
      <c r="I39" s="66">
        <f>I34+'2.1.sz.mell  '!I30</f>
        <v>330788</v>
      </c>
      <c r="J39" s="66">
        <f>J34+'2.1.sz.mell  '!J30</f>
        <v>303986</v>
      </c>
      <c r="K39" s="66">
        <f>K34+'2.1.sz.mell  '!K30</f>
        <v>303986</v>
      </c>
    </row>
  </sheetData>
  <mergeCells count="3">
    <mergeCell ref="A3:A4"/>
    <mergeCell ref="L1:L36"/>
    <mergeCell ref="H1:I1"/>
  </mergeCells>
  <phoneticPr fontId="0" type="noConversion"/>
  <printOptions horizontalCentered="1"/>
  <pageMargins left="0.39370078740157483" right="0.78740157480314965" top="0.47244094488188981" bottom="0.78740157480314965" header="0.47244094488188981" footer="0.7874015748031496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23</vt:i4>
      </vt:variant>
    </vt:vector>
  </HeadingPairs>
  <TitlesOfParts>
    <vt:vector size="59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12. sz. mell.</vt:lpstr>
      <vt:lpstr>13.sz.mell</vt:lpstr>
      <vt:lpstr>1. sz tájékoztató t.</vt:lpstr>
      <vt:lpstr>2. sz tájékoztató t</vt:lpstr>
      <vt:lpstr>1a sz tájékoztató t.</vt:lpstr>
      <vt:lpstr>1b. sz tájékoztató t.</vt:lpstr>
      <vt:lpstr>2.sz tájékoztató t.</vt:lpstr>
      <vt:lpstr>3. sz tájékoztató t.</vt:lpstr>
      <vt:lpstr>4.sz tájékoztató t.</vt:lpstr>
      <vt:lpstr>13. sz. mell.</vt:lpstr>
      <vt:lpstr>5.sz tájékoztató t.</vt:lpstr>
      <vt:lpstr>6.sz tájékoztató t.</vt:lpstr>
      <vt:lpstr>'11. sz. mell.'!Nyomtatási_cím</vt:lpstr>
      <vt:lpstr>'12. sz. mell.'!Nyomtatási_cím</vt:lpstr>
      <vt:lpstr>'1a sz tájékoztató t.'!Nyomtatási_cím</vt:lpstr>
      <vt:lpstr>'1b. sz tájékoztató t.'!Nyomtatási_cím</vt:lpstr>
      <vt:lpstr>'9.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sz tájékoztató t.'!Nyomtatási_terület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'13. sz. mell.'!Nyomtatási_terület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'4.sz tájékoztató t.'!Nyomtatási_terület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2014-02-21T11:50:02Z</cp:lastPrinted>
  <dcterms:created xsi:type="dcterms:W3CDTF">1999-10-30T10:30:45Z</dcterms:created>
  <dcterms:modified xsi:type="dcterms:W3CDTF">2014-03-06T09:08:23Z</dcterms:modified>
</cp:coreProperties>
</file>