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5" tabRatio="895" firstSheet="2" activeTab="10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létszám" sheetId="7" r:id="rId7"/>
    <sheet name="8.felhki" sheetId="8" r:id="rId8"/>
    <sheet name="9.tart" sheetId="9" r:id="rId9"/>
    <sheet name="10.Stab.tv.saját bev." sheetId="10" r:id="rId10"/>
    <sheet name="11.EU-projektek" sheetId="11" r:id="rId11"/>
    <sheet name="12.normatívák" sheetId="12" r:id="rId12"/>
  </sheets>
  <definedNames>
    <definedName name="_xlnm.Print_Titles" localSheetId="0">'1. bevételek'!$5:$6</definedName>
    <definedName name="_xlnm.Print_Titles" localSheetId="10">'11.EU-projektek'!$8:$11</definedName>
    <definedName name="_xlnm.Print_Titles" localSheetId="11">'12.normatívák'!$5:$6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bevételek'!$A$1:$I$183</definedName>
    <definedName name="_xlnm.Print_Area" localSheetId="10">'11.EU-projektek'!$A$1:$J$72</definedName>
    <definedName name="_xlnm.Print_Area" localSheetId="11">'12.normatívák'!$A$1:$L$42</definedName>
    <definedName name="_xlnm.Print_Area" localSheetId="1">'2. kiadások'!$A$1:$I$155</definedName>
    <definedName name="_xlnm.Print_Area" localSheetId="3">'4.önkorm.szakf. '!$D$1:$X$52</definedName>
    <definedName name="_xlnm.Print_Area" localSheetId="4">'5. kiadások megbontása'!$A$1:$M$76</definedName>
    <definedName name="_xlnm.Print_Area" localSheetId="5">'6. források sz. bontás'!$A$1:$AC$64</definedName>
    <definedName name="_xlnm.Print_Area" localSheetId="6">'7.létszám'!$A$1:$M$75</definedName>
    <definedName name="_xlnm.Print_Area" localSheetId="7">'8.felhki'!$A$1:$D$48</definedName>
  </definedNames>
  <calcPr fullCalcOnLoad="1"/>
</workbook>
</file>

<file path=xl/sharedStrings.xml><?xml version="1.0" encoding="utf-8"?>
<sst xmlns="http://schemas.openxmlformats.org/spreadsheetml/2006/main" count="1866" uniqueCount="1230">
  <si>
    <t>Pedagógiai asszisztens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</si>
  <si>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</si>
  <si>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</si>
  <si>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</si>
  <si>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</si>
  <si>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</si>
  <si>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</si>
  <si>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</si>
  <si>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</si>
  <si>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</si>
  <si>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</si>
  <si>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</si>
  <si>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</si>
  <si>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</si>
  <si>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</si>
  <si>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</si>
  <si>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</si>
  <si>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</si>
  <si>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</si>
  <si>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</si>
  <si>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</si>
  <si>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</si>
  <si>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</si>
  <si>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</si>
  <si>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</si>
  <si>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</si>
  <si>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</si>
  <si>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</si>
  <si>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</si>
  <si>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</si>
  <si>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</si>
  <si>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</si>
  <si>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</si>
  <si>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</si>
  <si>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</si>
  <si>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</si>
  <si>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</si>
  <si>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</si>
  <si>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</si>
  <si>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</si>
  <si>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</si>
  <si>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</si>
  <si>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</si>
  <si>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</si>
  <si>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</si>
  <si>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</si>
  <si>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</si>
  <si>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</si>
  <si>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</si>
  <si>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</si>
  <si>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</si>
  <si>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</si>
  <si>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</si>
  <si>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</si>
  <si>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</si>
  <si>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</si>
  <si>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</si>
  <si>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</si>
  <si>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</si>
  <si>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</si>
  <si>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</si>
  <si>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</si>
  <si>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</si>
  <si>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</si>
  <si>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</si>
  <si>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</si>
  <si>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</si>
  <si>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</si>
  <si>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</si>
  <si>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</si>
  <si>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</si>
  <si>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</si>
  <si>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</si>
  <si>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</si>
  <si>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</si>
  <si>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</si>
  <si>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</si>
  <si>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</si>
  <si>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</si>
  <si>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</si>
  <si>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</si>
  <si>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</si>
  <si>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</si>
  <si>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</si>
  <si>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</si>
  <si>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</si>
  <si>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</si>
  <si>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</si>
  <si>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</si>
  <si>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</si>
  <si>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</si>
  <si>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</si>
  <si>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</si>
  <si>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</si>
  <si>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</si>
  <si>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</si>
  <si>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</si>
  <si>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</si>
  <si>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</si>
  <si>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</si>
  <si>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</si>
  <si>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</si>
  <si>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</si>
  <si>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</si>
  <si>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</si>
  <si>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</si>
  <si>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</si>
  <si>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</si>
  <si>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</si>
  <si>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</si>
  <si>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</si>
  <si>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</si>
  <si>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</si>
  <si>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</si>
  <si>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</si>
  <si>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</si>
  <si>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</si>
  <si>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</si>
  <si>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</si>
  <si>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</si>
  <si>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</si>
  <si>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</si>
  <si>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</si>
  <si>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</si>
  <si>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</si>
  <si>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</si>
  <si>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</si>
  <si>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</si>
  <si>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</si>
  <si>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</si>
  <si>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</si>
  <si>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</si>
  <si>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</si>
  <si>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</si>
  <si>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</si>
  <si>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</si>
  <si>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</si>
  <si>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</si>
  <si>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</si>
  <si>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</si>
  <si>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</si>
  <si>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</si>
  <si>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</si>
  <si>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</si>
  <si>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</si>
  <si>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Szennyvízcsatorna építése, fenntartása, üzemeltetése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</si>
  <si>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</si>
  <si>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</si>
  <si>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</si>
  <si>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</si>
  <si>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</si>
  <si>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</si>
  <si>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</si>
  <si>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</si>
  <si>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</si>
  <si>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ÁROP projekt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</si>
  <si>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</si>
  <si>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</si>
  <si>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</si>
  <si>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</si>
  <si>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</si>
  <si>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</si>
  <si>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</si>
  <si>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</si>
  <si>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</si>
  <si>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</si>
  <si>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</si>
  <si>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</si>
  <si>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</si>
  <si>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</si>
  <si>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</si>
  <si>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</si>
  <si>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</si>
  <si>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</si>
  <si>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</si>
  <si>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</si>
  <si>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</si>
  <si>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</si>
  <si>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</si>
  <si>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</si>
  <si>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</si>
  <si>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</si>
  <si>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</si>
  <si>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</si>
  <si>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</si>
  <si>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</si>
  <si>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</si>
  <si>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</si>
  <si>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</si>
  <si>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</si>
  <si>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</si>
  <si>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</si>
  <si>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Szoc. tv. 25.§bb, 45.§(1), 47.§(1), Szoc. tv. 48.§ (1)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</si>
  <si>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</si>
  <si>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</si>
  <si>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</si>
  <si>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</si>
  <si>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</si>
  <si>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</si>
  <si>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</si>
  <si>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</si>
  <si>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</si>
  <si>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Egyéb szoc. pénzbeli ellátások, támogatások (önkormányzati segély)</t>
  </si>
  <si>
    <t>Lakásfenntartással, lakhatással összefüggő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</si>
  <si>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</si>
  <si>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</si>
  <si>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</si>
  <si>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</si>
  <si>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</si>
  <si>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</si>
  <si>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</si>
  <si>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</si>
  <si>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Homokértékesítés bevétele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</si>
  <si>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</si>
  <si>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</si>
  <si>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</si>
  <si>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</si>
  <si>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</si>
  <si>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</si>
  <si>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</si>
  <si>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</si>
  <si>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</si>
  <si>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</si>
  <si>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</si>
  <si>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</si>
  <si>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</si>
  <si>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</si>
  <si>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</si>
  <si>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</si>
  <si>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</si>
  <si>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</si>
  <si>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</si>
  <si>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</si>
  <si>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</si>
  <si>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</si>
  <si>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</si>
  <si>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</si>
  <si>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Iparterület "Napenergia hasznosítása.." projekt EU támogatása</t>
  </si>
  <si>
    <t>Gyermekétkeztetés tám. - fin. szempontjából elismert dolgozók bértámogatása (óvoda)</t>
  </si>
  <si>
    <t>ÁROP szervezetfejl. projekt EU tám. műk.</t>
  </si>
  <si>
    <t>Kieg. RGYVK címén kifizetett összeg és kapcsolódó pótlék megtérítése</t>
  </si>
  <si>
    <t>Munkaügyi Kp. tám. -Egyéb közfoglalk.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</si>
  <si>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</si>
  <si>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</si>
  <si>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</si>
  <si>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</si>
  <si>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</si>
  <si>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</si>
  <si>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</si>
  <si>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</si>
  <si>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</si>
  <si>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</si>
  <si>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</si>
  <si>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</si>
  <si>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</si>
  <si>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</si>
  <si>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</si>
  <si>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</si>
  <si>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</si>
  <si>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</si>
  <si>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</si>
  <si>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</si>
  <si>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Jánoshalma Város Polgármesteri Hivatalának szervezetfejlesztése II. (ÁROP-1.A.5-2013-2013-0111)</t>
  </si>
  <si>
    <t>Imre Zoltán Műv. Kp. villamosenergia megtakarítását eredményező napelemes fejlesztés (KEOP-4.10.0/A/12-2013-0726)</t>
  </si>
  <si>
    <t>Helyi Önkorm. összesen</t>
  </si>
  <si>
    <t>Műk. célú tám. ÁH-on belülre</t>
  </si>
  <si>
    <t>Műk. célú kölcsön nyújtás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</si>
  <si>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</si>
  <si>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</si>
  <si>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</si>
  <si>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</si>
  <si>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</si>
  <si>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</si>
  <si>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</si>
  <si>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</si>
  <si>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</si>
  <si>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</si>
  <si>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Tárgyi eszköz beszerzések (szerelő kulcskészlet, híradó-akku, tömlők) - Tűzoltóság</t>
  </si>
  <si>
    <t>"Napenergia hasznosítása villamos energia előállítására a Jh.-i Iparterületen" c. projekt kiadásai</t>
  </si>
  <si>
    <t>353/2011. (XII. 30.) Korm. rendelet 2.§ (1) bek. szerinti saját bevétel összege az adósságot keletkeztető ügyletek (viziközmű-társulati hitel kapcsán vállalt készfizető kezesség)  futamidejének végéig</t>
  </si>
  <si>
    <t>Napenergia hasznosítása villamos energia előállítására a Jh-i Iparterületen (KEOP-4.10.0/C/12-2013-0048)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</si>
  <si>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</si>
  <si>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</si>
  <si>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</si>
  <si>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</si>
  <si>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</si>
  <si>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</si>
  <si>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</si>
  <si>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</si>
  <si>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</si>
  <si>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</si>
  <si>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</si>
  <si>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</si>
  <si>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</si>
  <si>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</si>
  <si>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</si>
  <si>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átmeneti segély (Szoctv. 45.§ 47.§ (1) C,)</t>
  </si>
  <si>
    <t>temetési segély (Szoctv. 46.§ 47.§ (1) d,)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</si>
  <si>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</si>
  <si>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</si>
  <si>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</si>
  <si>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</si>
  <si>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</si>
  <si>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</si>
  <si>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</si>
  <si>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</si>
  <si>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</si>
  <si>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</si>
  <si>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</si>
  <si>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</si>
  <si>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</si>
  <si>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</si>
  <si>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</si>
  <si>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</si>
  <si>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</si>
  <si>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</si>
  <si>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</si>
  <si>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</si>
  <si>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</si>
  <si>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</si>
  <si>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</si>
  <si>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</si>
  <si>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</si>
  <si>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</si>
  <si>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</si>
  <si>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</si>
  <si>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</si>
  <si>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</si>
  <si>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</si>
  <si>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</si>
  <si>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</si>
  <si>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</si>
  <si>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</si>
  <si>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</si>
  <si>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</si>
  <si>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</si>
  <si>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</si>
  <si>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</si>
  <si>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</si>
  <si>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</si>
  <si>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</si>
  <si>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</si>
  <si>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</si>
  <si>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</si>
  <si>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</si>
  <si>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</si>
  <si>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</si>
  <si>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</si>
  <si>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</si>
  <si>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</si>
  <si>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</si>
  <si>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</si>
  <si>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</si>
  <si>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</si>
  <si>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</si>
  <si>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</si>
  <si>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</si>
  <si>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</si>
  <si>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</si>
  <si>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</si>
  <si>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</si>
  <si>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</si>
  <si>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</si>
  <si>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</si>
  <si>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</si>
  <si>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</si>
  <si>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</si>
  <si>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</si>
  <si>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</si>
  <si>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</si>
  <si>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</si>
  <si>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</si>
  <si>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</si>
  <si>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</si>
  <si>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</si>
  <si>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</si>
  <si>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</si>
  <si>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</si>
  <si>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</si>
  <si>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</si>
  <si>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</si>
  <si>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</si>
  <si>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</si>
  <si>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</si>
  <si>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</si>
  <si>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</si>
  <si>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</si>
  <si>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</si>
  <si>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</si>
  <si>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</si>
  <si>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</si>
  <si>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</si>
  <si>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</si>
  <si>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</si>
  <si>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</si>
  <si>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</si>
  <si>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</si>
  <si>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</si>
  <si>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</si>
  <si>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</si>
  <si>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</si>
  <si>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</si>
  <si>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</si>
  <si>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</si>
  <si>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</si>
  <si>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</si>
  <si>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</si>
  <si>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</si>
  <si>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</si>
  <si>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</si>
  <si>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</si>
  <si>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</si>
  <si>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</si>
  <si>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</si>
  <si>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</si>
  <si>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</si>
  <si>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</si>
  <si>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</si>
  <si>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</si>
  <si>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</si>
  <si>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</si>
  <si>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</si>
  <si>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</si>
  <si>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</si>
  <si>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</si>
  <si>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</si>
  <si>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</si>
  <si>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</si>
  <si>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</si>
  <si>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</si>
  <si>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</si>
  <si>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</si>
  <si>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</si>
  <si>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</si>
  <si>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</si>
  <si>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</si>
  <si>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</si>
  <si>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</si>
  <si>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</si>
  <si>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</si>
  <si>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</si>
  <si>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</si>
  <si>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</si>
  <si>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</si>
  <si>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</si>
  <si>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</si>
  <si>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</si>
  <si>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</si>
  <si>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</si>
  <si>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</si>
  <si>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</si>
  <si>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</si>
  <si>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</si>
  <si>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</si>
  <si>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</si>
  <si>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</si>
  <si>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</si>
  <si>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</si>
  <si>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</si>
  <si>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</si>
  <si>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</si>
  <si>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</si>
  <si>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</si>
  <si>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</si>
  <si>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</si>
  <si>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</si>
  <si>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</si>
  <si>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</si>
  <si>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</si>
  <si>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</si>
  <si>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</si>
  <si>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</si>
  <si>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</si>
  <si>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</si>
  <si>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</si>
  <si>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</si>
  <si>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</si>
  <si>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</si>
  <si>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</si>
  <si>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</si>
  <si>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</si>
  <si>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</si>
  <si>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</si>
  <si>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</si>
  <si>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</si>
  <si>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</si>
  <si>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</si>
  <si>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</si>
  <si>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</si>
  <si>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</si>
  <si>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</si>
  <si>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</si>
  <si>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</si>
  <si>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</si>
  <si>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</si>
  <si>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Egyéb pénzügyi műveletek bevételei (pl. árfolyamnyereség)</t>
  </si>
  <si>
    <t>B410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</si>
  <si>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</si>
  <si>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</si>
  <si>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</si>
  <si>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</si>
  <si>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</si>
  <si>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</si>
  <si>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</si>
  <si>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</si>
  <si>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</si>
  <si>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</si>
  <si>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</si>
  <si>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</si>
  <si>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</si>
  <si>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</si>
  <si>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</si>
  <si>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</si>
  <si>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</si>
  <si>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</si>
  <si>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</si>
  <si>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</si>
  <si>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</si>
  <si>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</si>
  <si>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</si>
  <si>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</si>
  <si>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</si>
  <si>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</si>
  <si>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</si>
  <si>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</si>
  <si>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</si>
  <si>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 xml:space="preserve">  </t>
  </si>
  <si>
    <t>3.7. Általános forgalmi adó visszatérítése</t>
  </si>
  <si>
    <t>43</t>
  </si>
  <si>
    <t>Szennyvíz beruh. saját erő (Viziközmű társ. h.)</t>
  </si>
  <si>
    <t>Szennyvíz beruházás EU-s és hazai támogatás</t>
  </si>
  <si>
    <t>IPA Határon Átnyúló Projekt EU tám. műk.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</si>
  <si>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</si>
  <si>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</si>
  <si>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</si>
  <si>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</si>
  <si>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</si>
  <si>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</si>
  <si>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</si>
  <si>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</si>
  <si>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</si>
  <si>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</si>
  <si>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</si>
  <si>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</si>
  <si>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</si>
  <si>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</si>
  <si>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</si>
  <si>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</si>
  <si>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</si>
  <si>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</si>
  <si>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</si>
  <si>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</si>
  <si>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</si>
  <si>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</si>
  <si>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</si>
  <si>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</si>
  <si>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</si>
  <si>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</si>
  <si>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</si>
  <si>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</si>
  <si>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</si>
  <si>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</si>
  <si>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</si>
  <si>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</si>
  <si>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</si>
  <si>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</si>
  <si>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</si>
  <si>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</si>
  <si>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</si>
  <si>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</si>
  <si>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</si>
  <si>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</si>
  <si>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</si>
  <si>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</si>
  <si>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 xml:space="preserve">Támogatási szerződés szerinti bevételek, kiadások  (eFt)     </t>
  </si>
  <si>
    <t>évenkénti üteme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</si>
  <si>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</si>
  <si>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</si>
  <si>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</si>
  <si>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</si>
  <si>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</si>
  <si>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Dologi kiadások (elszámolható)</t>
  </si>
  <si>
    <t>Dologi kiadások (nem elszámolható)</t>
  </si>
  <si>
    <t>Szennyvíz-csatornázási és szennyvíztisztítási beruházás (KEOP-1.2.0/2F/09-2010-0029)</t>
  </si>
  <si>
    <t>EU-s forrás és hazai együtt</t>
  </si>
  <si>
    <t>Egyéb forrás (ÁFA visszatérülés)</t>
  </si>
  <si>
    <t>II. Felhalmozási kiadások</t>
  </si>
  <si>
    <t>C. Költségvetési hiány belső finanszírozására szolgáló pénzforgalom nélküli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</si>
  <si>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</si>
  <si>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</si>
  <si>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</si>
  <si>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</si>
  <si>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</si>
  <si>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</si>
  <si>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</si>
  <si>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</si>
  <si>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</si>
  <si>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</si>
  <si>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</si>
  <si>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</si>
  <si>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</si>
  <si>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</si>
  <si>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</si>
  <si>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</si>
  <si>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</si>
  <si>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</si>
  <si>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</si>
  <si>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</si>
  <si>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</si>
  <si>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</si>
  <si>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</si>
  <si>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</si>
  <si>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</si>
  <si>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</si>
  <si>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</si>
  <si>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</si>
  <si>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</si>
  <si>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</si>
  <si>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</si>
  <si>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</si>
  <si>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</si>
  <si>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</si>
  <si>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</si>
  <si>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</si>
  <si>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</si>
  <si>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</si>
  <si>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</si>
  <si>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</si>
  <si>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</si>
  <si>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</si>
  <si>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</si>
  <si>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</si>
  <si>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</si>
  <si>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</si>
  <si>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</si>
  <si>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</si>
  <si>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</si>
  <si>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</si>
  <si>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</si>
  <si>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</si>
  <si>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</si>
  <si>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</si>
  <si>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</si>
  <si>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</si>
  <si>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</si>
  <si>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</si>
  <si>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</si>
  <si>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</si>
  <si>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</si>
  <si>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</si>
  <si>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</si>
  <si>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</si>
  <si>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</si>
  <si>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</si>
  <si>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</si>
  <si>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</si>
  <si>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</si>
  <si>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</si>
  <si>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</si>
  <si>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</si>
  <si>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</si>
  <si>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</si>
  <si>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</si>
  <si>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</si>
  <si>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</si>
  <si>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</si>
  <si>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</si>
  <si>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</si>
  <si>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</si>
  <si>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</si>
  <si>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</si>
  <si>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</si>
  <si>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</si>
  <si>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</si>
  <si>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</si>
  <si>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</si>
  <si>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</si>
  <si>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</si>
  <si>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</si>
  <si>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</si>
  <si>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</si>
  <si>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</si>
  <si>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</si>
  <si>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</si>
  <si>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</si>
  <si>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</si>
  <si>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</si>
  <si>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</si>
  <si>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</si>
  <si>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</si>
  <si>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</si>
  <si>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</si>
  <si>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</si>
  <si>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</si>
  <si>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</si>
  <si>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</si>
  <si>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</si>
  <si>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</si>
  <si>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</si>
  <si>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</si>
  <si>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</si>
  <si>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</si>
  <si>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</si>
  <si>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</si>
  <si>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</si>
  <si>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</si>
  <si>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</si>
  <si>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</si>
  <si>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</si>
  <si>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</si>
  <si>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</si>
  <si>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</si>
  <si>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</si>
  <si>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</si>
  <si>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</si>
  <si>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</si>
  <si>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</si>
  <si>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</si>
  <si>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</si>
  <si>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</si>
  <si>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</si>
  <si>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</si>
  <si>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</si>
  <si>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</si>
  <si>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</si>
  <si>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</si>
  <si>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</si>
  <si>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</si>
  <si>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</si>
  <si>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</si>
  <si>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</si>
  <si>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</si>
  <si>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</si>
  <si>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</si>
  <si>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</si>
  <si>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</si>
  <si>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</si>
  <si>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</si>
  <si>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</si>
  <si>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</si>
  <si>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</si>
  <si>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</si>
  <si>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</si>
  <si>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2012. év</t>
  </si>
  <si>
    <t>2013. év</t>
  </si>
  <si>
    <t>Helyi önkormányzat</t>
  </si>
  <si>
    <t>2014. év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</si>
  <si>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</si>
  <si>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</si>
  <si>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</si>
  <si>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</si>
  <si>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</si>
  <si>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</si>
  <si>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</si>
  <si>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</si>
  <si>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</si>
  <si>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</si>
  <si>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</si>
  <si>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</si>
  <si>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</si>
  <si>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</si>
  <si>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</si>
  <si>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</si>
  <si>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</si>
  <si>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</si>
  <si>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</si>
  <si>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</si>
  <si>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</si>
  <si>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</si>
  <si>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</si>
  <si>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</si>
  <si>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</si>
  <si>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</si>
  <si>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</si>
  <si>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</si>
  <si>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</si>
  <si>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</si>
  <si>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</si>
  <si>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</si>
  <si>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</si>
  <si>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</si>
  <si>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</si>
  <si>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</si>
  <si>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</si>
  <si>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</si>
  <si>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</si>
  <si>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</si>
  <si>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</si>
  <si>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</si>
  <si>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</si>
  <si>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</si>
  <si>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</si>
  <si>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</si>
  <si>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</si>
  <si>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</si>
  <si>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</si>
  <si>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</si>
  <si>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>Gyermekjóléti szolgálat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</si>
  <si>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</si>
  <si>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</si>
  <si>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</si>
  <si>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</si>
  <si>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</si>
  <si>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</si>
  <si>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</si>
  <si>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</si>
  <si>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</si>
  <si>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</si>
  <si>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</si>
  <si>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</si>
  <si>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</si>
  <si>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</si>
  <si>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</si>
  <si>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</si>
  <si>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</si>
  <si>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</si>
  <si>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</si>
  <si>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</si>
  <si>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</si>
  <si>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</si>
  <si>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</si>
  <si>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</si>
  <si>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</si>
  <si>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</si>
  <si>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</si>
  <si>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</si>
  <si>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</si>
  <si>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</si>
  <si>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</si>
  <si>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</si>
  <si>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</si>
  <si>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</si>
  <si>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</si>
  <si>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</si>
  <si>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</si>
  <si>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</si>
  <si>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</si>
  <si>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</si>
  <si>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</si>
  <si>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</si>
  <si>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</si>
  <si>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</si>
  <si>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</si>
  <si>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</si>
  <si>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</si>
  <si>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</si>
  <si>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</si>
  <si>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</si>
  <si>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</si>
  <si>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</si>
  <si>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</si>
  <si>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</si>
  <si>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</si>
  <si>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</si>
  <si>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</si>
  <si>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</si>
  <si>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</si>
  <si>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</si>
  <si>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</si>
  <si>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</si>
  <si>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</si>
  <si>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</si>
  <si>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</si>
  <si>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</si>
  <si>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</si>
  <si>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</si>
  <si>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</si>
  <si>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</si>
  <si>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</si>
  <si>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</si>
  <si>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</si>
  <si>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</si>
  <si>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</si>
  <si>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</si>
  <si>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</si>
  <si>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</si>
  <si>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</si>
  <si>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</si>
  <si>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</si>
  <si>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</si>
  <si>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</si>
  <si>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</si>
  <si>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</si>
  <si>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</si>
  <si>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</si>
  <si>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Céltartalék - Védőnők 2014. évi OEP fin. maradv.</t>
  </si>
  <si>
    <t>Köztemetés kiadásának megtérítése</t>
  </si>
  <si>
    <t>Állami feladatok kiadása</t>
  </si>
  <si>
    <t>Tűzoltóság BM támogatása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</si>
  <si>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</si>
  <si>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</si>
  <si>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</si>
  <si>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</si>
  <si>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</si>
  <si>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</si>
  <si>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</si>
  <si>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</si>
  <si>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</si>
  <si>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</si>
  <si>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</si>
  <si>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</si>
  <si>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</si>
  <si>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</si>
  <si>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</si>
  <si>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</si>
  <si>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Gyermeklánc Óvoda és Egységes Óvoda-Bölcsőde</t>
  </si>
  <si>
    <t>Gyermeklánc Óvoda és Egységes Óvoda-Bölcsőde összesen:</t>
  </si>
  <si>
    <t>Jánoshalma Városi Önkormányzat 2015. évi költségvetésében tervezett központi költségvetési támogatások</t>
  </si>
  <si>
    <t>A 2014. évről áthúzódó bérkompenzáció támogatása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</si>
  <si>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</si>
  <si>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</si>
  <si>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</si>
  <si>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</si>
  <si>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</si>
  <si>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</si>
  <si>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</si>
  <si>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</si>
  <si>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</si>
  <si>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Óvodapedagógusok pótlólagos bér támogatása a 2015/2016. nevelési évre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</si>
  <si>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</si>
  <si>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</si>
  <si>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</si>
  <si>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</si>
  <si>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 xml:space="preserve">II.5 (1) </t>
  </si>
  <si>
    <t>Pedagógus II. kategória</t>
  </si>
  <si>
    <t xml:space="preserve">II.5 (2) 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</si>
  <si>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</si>
  <si>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</si>
  <si>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</si>
  <si>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</si>
  <si>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</si>
  <si>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</si>
  <si>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a Magyarország 2015. évi központi költségvetéséről szóló 2014. évi C. törvény 2. sz. mellékletének jogcímei szerint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</si>
  <si>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</si>
  <si>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</si>
  <si>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</si>
  <si>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</si>
  <si>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Jánoshalma Város Önkormányzat 2015. évi költségvetésének kiadási előirányzatai</t>
  </si>
  <si>
    <t>Jánoshalma Város Önkormányzat 2015. évi költségvetésének bevételi előirányzatai</t>
  </si>
  <si>
    <t>Jánoshalma Város Önkormányzat 2015. évi költségvetése működési és felhalmozási célú bontásban</t>
  </si>
  <si>
    <t>Jánoshalma Város Önkormányzatának és költségvetési szerveinek 2015. évi költségvetési kiadásai kötelező-, önként vállalt-, és állami (államigazgatási) feladatok szerinti bontásban</t>
  </si>
  <si>
    <t>Egységes Óvoda-Bölcsődei csoport</t>
  </si>
  <si>
    <t xml:space="preserve">Tárgyi eszköz beszerzések Diákélelmezési Konyha részére </t>
  </si>
  <si>
    <t xml:space="preserve">Céltartalék - viziközművek 2015. évi bérleti díj bevételéből (szerződés szerint viziközművek fejlesztésére fordítandó a szolgáltatóval történő egyeztetés alapján) </t>
  </si>
  <si>
    <t>2015. évi felhalmozási kiadások feladatonként, felújítási kiadások célonként</t>
  </si>
  <si>
    <t>Védőnők 2015. évi OEP-finanszírozásának maradványa</t>
  </si>
  <si>
    <t>Környezetvédelmi alap képzése a 2015. évre tervezett talajterhelési díj bevételből</t>
  </si>
  <si>
    <t>2015. költségvetésben tervezett, EU-forrásból finanszírozott  támogatással megvalósuló projektek kiadásai, a helyi önkormányzat ilyen projektekhez történő hozzájárulásai</t>
  </si>
  <si>
    <t xml:space="preserve">2015. évi költségvetésben tervezett bevételi előirányzatok (eFt)    </t>
  </si>
  <si>
    <t xml:space="preserve">2015. évi költségvetésben tervezett kiadási előirányzatok (eFt)    </t>
  </si>
  <si>
    <t>K1103</t>
  </si>
  <si>
    <t xml:space="preserve"> Céljuttatás, projektprémium</t>
  </si>
  <si>
    <t>közgyógyellátás</t>
  </si>
  <si>
    <t>Műk. c. visszatérítendő támogatások, kölcsönök nyújtása államháztartáson kívülre g, egyéb vállalkoz</t>
  </si>
  <si>
    <t>Létszámleép. kapcs. fiz. köt.</t>
  </si>
  <si>
    <t>3.4. Tulajdonosi bevételek</t>
  </si>
  <si>
    <t>Létszámleépítésekhez kapcsolódó fizetési kötelezettségek tartaléka</t>
  </si>
  <si>
    <t>041231</t>
  </si>
  <si>
    <t>041232</t>
  </si>
  <si>
    <t>041233</t>
  </si>
  <si>
    <t>082030</t>
  </si>
  <si>
    <t>082042</t>
  </si>
  <si>
    <t>Konyha</t>
  </si>
  <si>
    <t>Más szerv részére végzett pü-i, gazd-i, üzemeltetési, egyéb szolg. - Építményüzemeltetés</t>
  </si>
  <si>
    <t>Rövid időtartamú közfoglalkoztatás</t>
  </si>
  <si>
    <t>Hosszabb időtartamú közfoglalkoztatás</t>
  </si>
  <si>
    <t>Közutak, hidak, alagutak üzemeltetése, fenntartása</t>
  </si>
  <si>
    <t>045170</t>
  </si>
  <si>
    <t>Parkoló, garázs üzemeltetése, fenntartása</t>
  </si>
  <si>
    <t>013320</t>
  </si>
  <si>
    <t>Köztemető-fenntartás és - működtetés</t>
  </si>
  <si>
    <t>042130</t>
  </si>
  <si>
    <t>Zöldterület -kezelés</t>
  </si>
  <si>
    <t>Város-, községgazdálkodási egyéb szolgáltatások</t>
  </si>
  <si>
    <t>Üdülői szálláshely-szolgáltatás és étkeztetés</t>
  </si>
  <si>
    <t>Művészeti tevékenységek -IPA Határon Átnyúló Projekt FAB (M.o. - Szerbia)</t>
  </si>
  <si>
    <t>Könyvtári állomány gyarapítása, nyilvántartása</t>
  </si>
  <si>
    <t>Közművelődés- hagyományos közösségi kulturális értékek gondozása</t>
  </si>
  <si>
    <t>Óvodai nevelés, ellátás működtetési feladatai</t>
  </si>
  <si>
    <t>Időskorúak, demens betegek tartós bentlakásos ellátása</t>
  </si>
  <si>
    <t>Egyéb szociális pénzbeli ellátások, támogatások</t>
  </si>
  <si>
    <t>31. Pelikán Kft. feladatell. tám.</t>
  </si>
  <si>
    <t>Védőnők 2015.évi OEP tart.</t>
  </si>
  <si>
    <t>Eü Közp. kölcs. vfiz. -fejl. tartalék</t>
  </si>
  <si>
    <t>Köztemető-fenntartás és működtetés</t>
  </si>
  <si>
    <t>Művészeti tevékenységek - IPA Határon Átnyúló Projekt</t>
  </si>
  <si>
    <t xml:space="preserve">Egyéb szoc. természetbeni és pénzbeni ell. tám. </t>
  </si>
  <si>
    <t>44</t>
  </si>
  <si>
    <t>Nyitnikék Gyerekház</t>
  </si>
  <si>
    <t>Fejlesztési c. tartalék - Eü-i Közp. kölcsön visszafiz.</t>
  </si>
  <si>
    <t>Kieg. tám. óvodapedagógusok minősítéséből adódó többletkiadásokhoz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</si>
  <si>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</si>
  <si>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</si>
  <si>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</si>
  <si>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</si>
  <si>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Kölcsön visszatérülés- Eü-i Központ</t>
  </si>
  <si>
    <t>Napenergia h. Ipartelepen pr. EU Önerő Alap</t>
  </si>
  <si>
    <t>Nyitnikék Gyerekház fejezeti támogatása</t>
  </si>
  <si>
    <t>4.sz. háziorvosi körzet OEP- finanszírozás</t>
  </si>
  <si>
    <t>Rövid időtartamú közfoglalkoztatás támogatása</t>
  </si>
  <si>
    <t>Munkaügyi Kp. tám. -2014. évről áthúzódó START-munkaprogramok</t>
  </si>
  <si>
    <t>Munkaügyi Kp. tám. -hosszabb időtartamú közfoglalkoztatás</t>
  </si>
  <si>
    <t xml:space="preserve">IPA Határon Átnyúló Projekt EU tám. felh. </t>
  </si>
  <si>
    <t>Ingatlan értékesítés áfa-ja</t>
  </si>
  <si>
    <t>Terményértékesítés (búza, kukorica stb.)</t>
  </si>
  <si>
    <t>Nonprofit Kft. alapítása- 3 millió Ft törzstőke jegyzése</t>
  </si>
  <si>
    <t>Arany J. u. 13. sz. alatti ingatlanrész felújítása - bérleti díj beszámítást meghaladó kiadás</t>
  </si>
  <si>
    <t>Dózsa Gy. utcai parkoló kialakítása</t>
  </si>
  <si>
    <t>Téglagyár u-i zárt csapadékvíz rendszer felújítása</t>
  </si>
  <si>
    <t>Tárgyi eszköz beszerzések (oxigénpalack) - Háziorvosi ügyeleti ellátás részére</t>
  </si>
  <si>
    <t>Közművelődési érdekeltségnövelő támogatás - pályázati önerő átadása</t>
  </si>
  <si>
    <t>Gyermeklánc Óvoda és Egységes Óvoda- Bölcsőde</t>
  </si>
  <si>
    <t>Gyermeklánc Óvoda és Egységes Óvoda- Bölcsőde összesen:</t>
  </si>
  <si>
    <t>Tárgyi eszköz beszerzések (bojler, keringető szivattyú , mozgásérzékelő lámpák )</t>
  </si>
  <si>
    <t>Nyitnikék Gyerekház -MT hatálya alá tartozó dolgozók</t>
  </si>
  <si>
    <t>Gyerekház vezető</t>
  </si>
  <si>
    <t>pedagógus</t>
  </si>
  <si>
    <t>takarító</t>
  </si>
  <si>
    <t>Rehabilitációs közfoglalkoztatás</t>
  </si>
  <si>
    <t>településkarbantartó</t>
  </si>
  <si>
    <t>segédmunkás</t>
  </si>
  <si>
    <t>álláskereső közfoglalkoztatás</t>
  </si>
  <si>
    <t>Bér + járulék kiadások (elszámolható)</t>
  </si>
  <si>
    <t>Fizetendő ÁFA</t>
  </si>
  <si>
    <t>rendszeres szociális segély (Szoctv. 37.§(1) a-d pontok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</si>
  <si>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</si>
  <si>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</si>
  <si>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</si>
  <si>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</si>
  <si>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</si>
  <si>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</si>
  <si>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</si>
  <si>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</si>
  <si>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</si>
  <si>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 xml:space="preserve">Kamatbevételek </t>
  </si>
  <si>
    <t>befektetési jegyek kamatbevételi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</si>
  <si>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</si>
  <si>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</si>
  <si>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</si>
  <si>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</si>
  <si>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</si>
  <si>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</si>
  <si>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</si>
  <si>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</si>
  <si>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</si>
  <si>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</si>
  <si>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</si>
  <si>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</si>
  <si>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</si>
  <si>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</si>
  <si>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</si>
  <si>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</si>
  <si>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</si>
  <si>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</si>
  <si>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</si>
  <si>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</si>
  <si>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</si>
  <si>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</si>
  <si>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</si>
  <si>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</si>
  <si>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</si>
  <si>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</si>
  <si>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</si>
  <si>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</si>
  <si>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</si>
  <si>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</si>
  <si>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</si>
  <si>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</si>
  <si>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</si>
  <si>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</si>
  <si>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</si>
  <si>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</si>
  <si>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</si>
  <si>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</si>
  <si>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</si>
  <si>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</si>
  <si>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Start-munka program - Téli közfoglalkoztatás -2014. évről áthúzódó</t>
  </si>
  <si>
    <t xml:space="preserve">Start-munka program - Téli közfoglalkoztatás - 2014. évről áthúzódó </t>
  </si>
  <si>
    <t>22. Eü. ellátás</t>
  </si>
  <si>
    <t>Start-munka program - Téli közfoglalkoztatás -2015. évben induló</t>
  </si>
  <si>
    <t>3.1. Készletértékesítés ellenértéke</t>
  </si>
  <si>
    <t>Kölcsön visszatérülés- Közfoglalkoztatás Non-profit Kft</t>
  </si>
  <si>
    <t>Munkaügyi Kp. műk. c. tám. -2015. évben induló START-munkaprogramok</t>
  </si>
  <si>
    <t>Munkaügyi Kp. felh. c. tám. -2015. évben induló START-munkaprogramok</t>
  </si>
  <si>
    <t xml:space="preserve">Téli és egyéb értékteremtő közfoglalkoztatás </t>
  </si>
  <si>
    <t>START- munkaprogram - Téli közfoglalkoztatás - 2014. évről áthúzódó</t>
  </si>
  <si>
    <t>START- munkaprogram - Téli közfoglalkoztatás - 2015. évben induló</t>
  </si>
  <si>
    <t>Belvíz elvezetési startm.progr.</t>
  </si>
  <si>
    <t>Mezőgazdaság startm. progr.</t>
  </si>
  <si>
    <t>Bio- és megújuló energia felh.</t>
  </si>
  <si>
    <t>Belterületi közutak karbantart.</t>
  </si>
  <si>
    <t>Helyi sajátosságokra épülő közf.</t>
  </si>
  <si>
    <t xml:space="preserve">Főtérre 3 db új kamera beállítása, a rendszer sávszélesség növelése </t>
  </si>
  <si>
    <t>Ingatlan vásárlás</t>
  </si>
  <si>
    <t>Létszám-leépít. kapcs. fiz. köt. tart.</t>
  </si>
  <si>
    <t>2012. évi fejl. c. viziközmű elszámolásból Városgazda Kft-től</t>
  </si>
  <si>
    <t>47/2015.(II.26.) Kt. hat. Százszorszépföld Egyesülethez való csatlakozás - tagdíj</t>
  </si>
  <si>
    <t>Ellátottak juttatásai - kiegészítő támogatások (FHT, RSZS) rendezése</t>
  </si>
  <si>
    <t xml:space="preserve">Topolyai Kodály Z. MMK Cirkalom Néptáncegyüttesének utiköltsége (márc. 15-i rendezvény) </t>
  </si>
  <si>
    <t>2015-ben induló START - munkaprogram önerő visszavezetés</t>
  </si>
  <si>
    <t>Vízi- és szennyvízközművel kapcsolatos 2012. évi fejlesztési c. pénzeszköz elszámolásából Városgazda Kft. által visszautalt összeg</t>
  </si>
  <si>
    <r>
      <t xml:space="preserve">9 </t>
    </r>
    <r>
      <rPr>
        <sz val="10"/>
        <color indexed="12"/>
        <rFont val="Arial CE"/>
        <family val="0"/>
      </rPr>
      <t xml:space="preserve"> 9/2015(V.05.) önkormányzati rendelet 4. §, Hatályos 2015. május 6. </t>
    </r>
  </si>
  <si>
    <r>
      <t xml:space="preserve">1. melléklet a 2/2015.(II.16.) önkormányzati rendelethez </t>
    </r>
    <r>
      <rPr>
        <vertAlign val="superscript"/>
        <sz val="10"/>
        <color indexed="12"/>
        <rFont val="Times New Roman CE"/>
        <family val="0"/>
      </rPr>
      <t>9,10</t>
    </r>
    <r>
      <rPr>
        <sz val="10"/>
        <color indexed="12"/>
        <rFont val="Times New Roman CE"/>
        <family val="0"/>
      </rPr>
      <t xml:space="preserve"> </t>
    </r>
  </si>
  <si>
    <r>
      <rPr>
        <vertAlign val="superscript"/>
        <sz val="10"/>
        <color indexed="12"/>
        <rFont val="Arial"/>
        <family val="2"/>
      </rPr>
      <t>10</t>
    </r>
    <r>
      <rPr>
        <sz val="10"/>
        <color indexed="12"/>
        <rFont val="Arial"/>
        <family val="2"/>
      </rPr>
      <t xml:space="preserve"> Módosította, a 10/2015. (VII.07.) önkormányzati rendelet 4.§, Hatályos: 2015. július 8.</t>
    </r>
  </si>
  <si>
    <r>
      <rPr>
        <vertAlign val="superscript"/>
        <sz val="10"/>
        <color indexed="12"/>
        <rFont val="Arial CE"/>
        <family val="0"/>
      </rPr>
      <t>11</t>
    </r>
    <r>
      <rPr>
        <sz val="10"/>
        <color indexed="12"/>
        <rFont val="Arial CE"/>
        <family val="0"/>
      </rPr>
      <t xml:space="preserve"> 9/2015(V.05.) önkormányzati rendelet 4. §, Hatályos 2015. május 6. </t>
    </r>
  </si>
  <si>
    <r>
      <rPr>
        <vertAlign val="superscript"/>
        <sz val="10"/>
        <color indexed="12"/>
        <rFont val="Arial"/>
        <family val="2"/>
      </rPr>
      <t>12</t>
    </r>
    <r>
      <rPr>
        <sz val="10"/>
        <color indexed="12"/>
        <rFont val="Arial"/>
        <family val="2"/>
      </rPr>
      <t xml:space="preserve"> Módosította, a 10/2015. (VII.07.) önkormányzati rendelet 4.§, Hatályos: 2015. július 8.</t>
    </r>
  </si>
  <si>
    <r>
      <t>2. melléklet a 2/2015.(II.16.) önkormányzati rendelethez</t>
    </r>
    <r>
      <rPr>
        <sz val="10"/>
        <color indexed="12"/>
        <rFont val="Arial CE"/>
        <family val="0"/>
      </rPr>
      <t xml:space="preserve"> </t>
    </r>
    <r>
      <rPr>
        <vertAlign val="superscript"/>
        <sz val="10"/>
        <color indexed="12"/>
        <rFont val="Arial CE"/>
        <family val="0"/>
      </rPr>
      <t>11, 12</t>
    </r>
  </si>
  <si>
    <t>Maradványból képzett tartalék</t>
  </si>
  <si>
    <r>
      <rPr>
        <vertAlign val="superscript"/>
        <sz val="9"/>
        <color indexed="12"/>
        <rFont val="Arial"/>
        <family val="2"/>
      </rPr>
      <t>14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</si>
  <si>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 xml:space="preserve">3. melléklet a 2/2015.(II.16.) önkormányzati rendelethez </t>
    </r>
    <r>
      <rPr>
        <vertAlign val="superscript"/>
        <sz val="11"/>
        <color indexed="12"/>
        <rFont val="Times New Roman CE"/>
        <family val="0"/>
      </rPr>
      <t>13, 14</t>
    </r>
  </si>
  <si>
    <r>
      <rPr>
        <vertAlign val="superscript"/>
        <sz val="9"/>
        <color indexed="12"/>
        <rFont val="Arial"/>
        <family val="2"/>
      </rPr>
      <t>16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</si>
  <si>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>4. melléklet a 2/2015.(II.16.) önkormányzati rendelethez</t>
    </r>
    <r>
      <rPr>
        <vertAlign val="superscript"/>
        <sz val="11"/>
        <color indexed="12"/>
        <rFont val="Times New Roman CE"/>
        <family val="0"/>
      </rPr>
      <t>15, 16</t>
    </r>
  </si>
  <si>
    <t>Jánoshalma Városi Önkormányzat  2015. évi költségvetési kiadásai feladatonként</t>
  </si>
  <si>
    <t>Helyi önk. Előző évi elsz-ból sz. kiad.</t>
  </si>
  <si>
    <t>Maradványból képzett tart.</t>
  </si>
  <si>
    <t>Központi költségvetési befizetések</t>
  </si>
  <si>
    <t>Víztermelés, -kezelés, -ellátás</t>
  </si>
  <si>
    <t>Vállalkozási tevékenység - Növénytermesztés és kapcs. szolg.</t>
  </si>
  <si>
    <t>1.4. Elvonások és befizetések bevételei</t>
  </si>
  <si>
    <t>5.4. Helyi önk-k előző évi elszámolásából származó kiadások</t>
  </si>
  <si>
    <t>5.5. Egyéb elvonások, befizetések</t>
  </si>
  <si>
    <t>5.5. Tartalékok</t>
  </si>
  <si>
    <t>IV. Előző évek költségvetési maradványának (és váll. mar.) igénybevétele</t>
  </si>
  <si>
    <t>D. Finanszírozási bevételek</t>
  </si>
  <si>
    <t>V. Belföldi értékpapírok kiadásai</t>
  </si>
  <si>
    <t>VI. Hitel-, kölcsöntörlesztés államháztartáson kívülre</t>
  </si>
  <si>
    <t xml:space="preserve">VII. Államháztartáson belüli megelőlegezések </t>
  </si>
  <si>
    <t>VII. Államháztartáson belüli megelőlegezések visszafizetése</t>
  </si>
  <si>
    <r>
      <t xml:space="preserve">15  </t>
    </r>
    <r>
      <rPr>
        <sz val="9"/>
        <color indexed="12"/>
        <rFont val="Arial CE"/>
        <family val="0"/>
      </rPr>
      <t xml:space="preserve">9/2015(V.05.) önkormányzati rendelet 4. §, Hatályos 2015. május 6. </t>
    </r>
  </si>
  <si>
    <r>
      <rPr>
        <vertAlign val="superscript"/>
        <sz val="10"/>
        <color indexed="12"/>
        <rFont val="Arial CE"/>
        <family val="0"/>
      </rPr>
      <t>17</t>
    </r>
    <r>
      <rPr>
        <sz val="10"/>
        <color indexed="12"/>
        <rFont val="Arial CE"/>
        <family val="0"/>
      </rPr>
      <t xml:space="preserve"> 9/2015(V.05.) önkormányzati rendelet 4. §, Hatályos 2015. május 6. </t>
    </r>
  </si>
  <si>
    <r>
      <rPr>
        <vertAlign val="superscript"/>
        <sz val="9"/>
        <color indexed="12"/>
        <rFont val="Arial"/>
        <family val="2"/>
      </rPr>
      <t>18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</si>
  <si>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>5. melléklet a 2/2015.(II.16.) önkormányzati rendelethez</t>
    </r>
    <r>
      <rPr>
        <vertAlign val="superscript"/>
        <sz val="10"/>
        <color indexed="12"/>
        <rFont val="Times New Roman CE"/>
        <family val="0"/>
      </rPr>
      <t>17, 18</t>
    </r>
  </si>
  <si>
    <t>Áht. 2011. évi CXCV. tv. 53.§</t>
  </si>
  <si>
    <t>Mötv. 13.§(1) 11. 21.</t>
  </si>
  <si>
    <t>45</t>
  </si>
  <si>
    <t>Vállalkozási tev. - Növénytermesztés és kapcs. szolg.</t>
  </si>
  <si>
    <t>46</t>
  </si>
  <si>
    <t>Gyermeklánc Óvoda és Egységes Óvoda-Bölcsőde össz.:</t>
  </si>
  <si>
    <r>
      <rPr>
        <vertAlign val="superscript"/>
        <sz val="9"/>
        <color indexed="12"/>
        <rFont val="Arial"/>
        <family val="2"/>
      </rPr>
      <t>20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</si>
  <si>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rPr>
        <vertAlign val="superscript"/>
        <sz val="10"/>
        <color indexed="12"/>
        <rFont val="Arial CE"/>
        <family val="0"/>
      </rPr>
      <t>19</t>
    </r>
    <r>
      <rPr>
        <sz val="10"/>
        <color indexed="12"/>
        <rFont val="Arial CE"/>
        <family val="0"/>
      </rPr>
      <t xml:space="preserve"> 9/2015(V.05.) önkormányzati rendelet 4. §, Hatályos 2015. május 6.</t>
    </r>
  </si>
  <si>
    <t>Jánoshalma Város Önkormányzatának  és költségvetési szerveinek 2015. évi  bevételei és  kiadásai kötelező-, önként vállalt-, és állami (államigazgatási) feladatok szerinti bontásban</t>
  </si>
  <si>
    <t>Nyári gyermekétkeztetés támogatása</t>
  </si>
  <si>
    <t>2014. december havi bérkompenzáció</t>
  </si>
  <si>
    <t>2015. évi bérkompenzáció</t>
  </si>
  <si>
    <t>2015. évi könyvtári érdekeltségnövelő támogatás</t>
  </si>
  <si>
    <t>Villamos energia díj visszatérítés</t>
  </si>
  <si>
    <t xml:space="preserve"> ÁFA visszatérülés</t>
  </si>
  <si>
    <t>2014. évi szabad maradvány elvonása</t>
  </si>
  <si>
    <t>Műk. c. m. igénybevétel</t>
  </si>
  <si>
    <t>Felhalm.  c. m. igénybevétel</t>
  </si>
  <si>
    <t>Áfa visszatérítés</t>
  </si>
  <si>
    <r>
      <t>6. melléklet a 2/2015.(II.16.) önkormányzati rendelethez</t>
    </r>
    <r>
      <rPr>
        <vertAlign val="superscript"/>
        <sz val="11"/>
        <color indexed="12"/>
        <rFont val="Arial"/>
        <family val="2"/>
      </rPr>
      <t>19,20</t>
    </r>
  </si>
  <si>
    <r>
      <rPr>
        <vertAlign val="superscript"/>
        <sz val="10"/>
        <color indexed="12"/>
        <rFont val="Arial CE"/>
        <family val="0"/>
      </rPr>
      <t>21</t>
    </r>
    <r>
      <rPr>
        <sz val="10"/>
        <color indexed="12"/>
        <rFont val="Arial CE"/>
        <family val="0"/>
      </rPr>
      <t xml:space="preserve"> 9/2015(V.05.) önkormányzati rendelet 4. §, Hatályos 2015. május 6.</t>
    </r>
  </si>
  <si>
    <r>
      <t>7. melléklet a 2/2015. (II.16.) önkormányzati rendelethez</t>
    </r>
    <r>
      <rPr>
        <vertAlign val="superscript"/>
        <sz val="11"/>
        <color indexed="12"/>
        <rFont val="Times New Roman CE"/>
        <family val="0"/>
      </rPr>
      <t>2</t>
    </r>
    <r>
      <rPr>
        <vertAlign val="superscript"/>
        <sz val="11"/>
        <color indexed="12"/>
        <rFont val="Times New Roman CE"/>
        <family val="0"/>
      </rPr>
      <t>1</t>
    </r>
  </si>
  <si>
    <r>
      <t xml:space="preserve">8. melléklet a 2/2015.(II.16.) önkormányzati rendelethez </t>
    </r>
    <r>
      <rPr>
        <vertAlign val="superscript"/>
        <sz val="11"/>
        <color indexed="12"/>
        <rFont val="Times New Roman CE"/>
        <family val="0"/>
      </rPr>
      <t>22,23</t>
    </r>
  </si>
  <si>
    <r>
      <rPr>
        <vertAlign val="superscript"/>
        <sz val="11"/>
        <color indexed="12"/>
        <rFont val="Times New Roman CE"/>
        <family val="0"/>
      </rPr>
      <t>22</t>
    </r>
    <r>
      <rPr>
        <sz val="11"/>
        <color indexed="12"/>
        <rFont val="Times New Roman CE"/>
        <family val="1"/>
      </rPr>
      <t xml:space="preserve"> 9/2015(V.05.) önkormányzati rendelet 4. §, Hatályos 2015. május 6.</t>
    </r>
  </si>
  <si>
    <r>
      <rPr>
        <vertAlign val="superscript"/>
        <sz val="9"/>
        <color indexed="12"/>
        <rFont val="Arial"/>
        <family val="2"/>
      </rPr>
      <t>23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</si>
  <si>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t>Radnóti u-i óvodaépületben fűtésrendszer átalakítása - kazánház kialakítása</t>
  </si>
  <si>
    <t>Informatikai és egyéb tárgyi eszköz beszerzések (2 db laptop, ruhafogas, csecsemőmérleg 2 db, légzésfigyelő)  -  Család- és nővédelmi eü. gondozás részére</t>
  </si>
  <si>
    <t>Sportcsarnok napkollektoros rendszeréhez hőmennyiségmérő beszerzése</t>
  </si>
  <si>
    <t>Suzuki Vitara Allgrip Prémium 1,6 benzin típusú terepjáró személygépjármű beszerzése - pály. önerő</t>
  </si>
  <si>
    <t>Gyermekétkeztetés feltételeit javító fejlesztések Diákélelmezési Konyhán - pály. önerő</t>
  </si>
  <si>
    <t>Polgármesteri Hivatal elhelyezésének tervezési munkái</t>
  </si>
  <si>
    <t>Pénzügyi osztály Kölcsey u. 12. sz. alatti elhelyezésének kialakítása</t>
  </si>
  <si>
    <t>Imre Z. Műv. Központ - villamos energia megtakarítását eredményező napelemes fejlesztés</t>
  </si>
  <si>
    <t>Víziközmű fejlesztés - Batthyány u. 15. sz. előtti tűzcsap korszerűsítés</t>
  </si>
  <si>
    <t>Ivókutak beszerelése, kiépítése, szúnyoghálós ajtó, gázbojler csere</t>
  </si>
  <si>
    <t>Belterületi utak, járdák felújítása - pály. önerő</t>
  </si>
  <si>
    <t>Sportcsarnok küzdőtér parketta felújítás - pály. önerő</t>
  </si>
  <si>
    <t>Kémények felújítása - Petőfi utcai óvoda</t>
  </si>
  <si>
    <t>IPA Határon Átnyúló Projekt FAB (Magyarország- Szerbia) - EU támogatásból projektpartnereknek átutalandó összeg (felhalm. c. támogatás)</t>
  </si>
  <si>
    <t>Fejlesztési c. céltartalék - Jh.-i Kistérségi Egészségügyi Központ Kft tagi kölcsön visszafizetéséből</t>
  </si>
  <si>
    <t xml:space="preserve">Céltartalék képzése - viziközművek 2015. évi bérleti díj bevételéből (szerződés szerint viziközművek fejlesztésére fordítandó a szolgáltatóval történő egyeztetés alapján) </t>
  </si>
  <si>
    <r>
      <rPr>
        <vertAlign val="superscript"/>
        <sz val="9"/>
        <color indexed="12"/>
        <rFont val="Arial"/>
        <family val="2"/>
      </rPr>
      <t>24</t>
    </r>
    <r>
      <rPr>
        <sz val="9"/>
        <color indexed="12"/>
        <rFont val="Arial"/>
        <family val="2"/>
      </rPr>
      <t xml:space="preserve"> 9/2015(V.05.) önkormányzati rendelet 4. §, Hatályos 2015. május 6.</t>
    </r>
  </si>
  <si>
    <r>
      <rPr>
        <vertAlign val="superscript"/>
        <sz val="9"/>
        <color indexed="12"/>
        <rFont val="Arial"/>
        <family val="2"/>
      </rPr>
      <t>25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</si>
  <si>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>9. melléklet a 2/2015.(II.16.) önkormányzati rendelethez</t>
    </r>
    <r>
      <rPr>
        <sz val="11"/>
        <color indexed="12"/>
        <rFont val="Times New Roman CE"/>
        <family val="0"/>
      </rPr>
      <t xml:space="preserve"> </t>
    </r>
    <r>
      <rPr>
        <vertAlign val="superscript"/>
        <sz val="11"/>
        <color indexed="12"/>
        <rFont val="Times New Roman CE"/>
        <family val="0"/>
      </rPr>
      <t>24,25</t>
    </r>
  </si>
  <si>
    <t>73/2015. (IV.29) Kt. hat. Suzuki Vitara Allgrip Pr. 1,6 típusú terepjáró beszerz. - pály. önrész</t>
  </si>
  <si>
    <t>Védőnők 2014. évi OEP-finanszírozás maradványa</t>
  </si>
  <si>
    <t>Védőnők  OEP-finanszírozásának maradványa előző évekről</t>
  </si>
  <si>
    <t>Védőnők irodahelyiségének, tanácsadó helyiségének áramfogyasztása</t>
  </si>
  <si>
    <t>Környezetvédelmi alap (Előző évek maradványa)</t>
  </si>
  <si>
    <t>46/2015.(II.26.) Kt. hat. 2015. évi hosszabb időtartamú közfoglalkoztatás - önerő</t>
  </si>
  <si>
    <t>61/2015. (III.26) Kt. hat. Bács-Szakma Zrt. Önkormányzati tulajdonrész értékesítése</t>
  </si>
  <si>
    <t>72/2015. (IV.29) Kt. hat.Sportcsarnok napkollektoros rendszerhez hőmennyiségmérő beszerzése</t>
  </si>
  <si>
    <t>100/2015. (V.28) Kt. hat. Belterületi utak, járdák felújítása - pályázati önerő</t>
  </si>
  <si>
    <t>101/2015. (V.28) Kt. hat Sportcsarnok küzdőtér parketta felújítás - pályázati önerő</t>
  </si>
  <si>
    <t>104/2015. (V.28) Kt. hat. Jánoshalmi Napok költségkeret</t>
  </si>
  <si>
    <t>Önkormányzati intézmények elvont 2014. évi szabad költségvetési maradványának tartalékba helyezése</t>
  </si>
  <si>
    <t>Gyermeklánc Óvoda és Egységes Óvoda-Bölcsőde számára pótelőirányzat</t>
  </si>
  <si>
    <t>Villamos energia díj túlfizetés visszatérítése</t>
  </si>
  <si>
    <t>2014. évi költségvetési maradványból tartalék képzése</t>
  </si>
  <si>
    <t>85/2015. (IV.29) Kt. hat. Gyermekétkeztetés feltételeit javító fejlesztések pályázati önerő</t>
  </si>
  <si>
    <t>103/2015. (V.28) Kt. hat. Polgármesteri Hivatal elhelyezése</t>
  </si>
  <si>
    <t>2014. évi állami támogatások elszámolása alapján visszafizetendő különbözet</t>
  </si>
  <si>
    <t>2013. évi állami támogatások elszámolásának felülvizsgálatakor megállapított visszafizetési kötelezettség</t>
  </si>
  <si>
    <t xml:space="preserve">Maradványt terhelő kötelezettségek </t>
  </si>
  <si>
    <t>Imre Z. Műv. Közp. - napelemes fejlesztés tervezés, kivitelezés</t>
  </si>
  <si>
    <t>Céltartalék - viziközművek  bérleti díj bevétel maradványa előző évekről</t>
  </si>
  <si>
    <t xml:space="preserve">Céltartalék - Jánoshalmi Kistérségi Eü-i Központ Kft tagi kölcsön visszafizetés </t>
  </si>
  <si>
    <r>
      <rPr>
        <vertAlign val="superscript"/>
        <sz val="9"/>
        <color indexed="12"/>
        <rFont val="Arial"/>
        <family val="2"/>
      </rPr>
      <t>27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</si>
  <si>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rPr>
        <vertAlign val="superscript"/>
        <sz val="9"/>
        <color indexed="12"/>
        <rFont val="Arial"/>
        <family val="2"/>
      </rPr>
      <t>26</t>
    </r>
    <r>
      <rPr>
        <sz val="9"/>
        <color indexed="12"/>
        <rFont val="Arial"/>
        <family val="2"/>
      </rPr>
      <t xml:space="preserve"> 9/2015(V.05.) önkormányzati rendelet 4. §, Hatályos 2015. május 6.</t>
    </r>
  </si>
  <si>
    <r>
      <t xml:space="preserve">10. melléklet a 2/2015. (II.16.) önkormányzati rendelethez </t>
    </r>
    <r>
      <rPr>
        <vertAlign val="superscript"/>
        <sz val="9"/>
        <color indexed="30"/>
        <rFont val="Arial"/>
        <family val="2"/>
      </rPr>
      <t>26, 27</t>
    </r>
  </si>
  <si>
    <r>
      <t>11. melléklet a 2/2015. (II.16.) önkormányzati rendelethez</t>
    </r>
    <r>
      <rPr>
        <vertAlign val="superscript"/>
        <sz val="11"/>
        <color indexed="30"/>
        <rFont val="Arial"/>
        <family val="2"/>
      </rPr>
      <t>28</t>
    </r>
  </si>
  <si>
    <t>Saját erő -  elszámolható</t>
  </si>
  <si>
    <t>Saját erő  - nem elszámolható</t>
  </si>
  <si>
    <t xml:space="preserve">Saját erő </t>
  </si>
  <si>
    <r>
      <rPr>
        <vertAlign val="superscript"/>
        <sz val="9"/>
        <color indexed="12"/>
        <rFont val="Arial"/>
        <family val="2"/>
      </rPr>
      <t>28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</si>
  <si>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 xml:space="preserve">12. melléklet  a 2/2015. (II.16.) önkormányzati rendelethez </t>
    </r>
    <r>
      <rPr>
        <vertAlign val="superscript"/>
        <sz val="11"/>
        <color indexed="30"/>
        <rFont val="Arial"/>
        <family val="2"/>
      </rPr>
      <t>29, 30</t>
    </r>
  </si>
  <si>
    <t>2015. évi bérkompenzáció (becsült összeg)</t>
  </si>
  <si>
    <t>IV.1.i</t>
  </si>
  <si>
    <t>A települési önkormányzatok könyvtári célú érdekeltségnövelő támogatása</t>
  </si>
  <si>
    <t>Helyi önkormányzatok működési célú költségvetési támogatásai</t>
  </si>
  <si>
    <t>I.3.</t>
  </si>
  <si>
    <t>Gyermekszegénység elleni program keretében nyári étkeztetés biztosítása</t>
  </si>
  <si>
    <t>Helyi önkormányzatok felhalmozási célú költségvetési támogatásai</t>
  </si>
  <si>
    <t xml:space="preserve">II.3 </t>
  </si>
  <si>
    <t>Önkormányzatok európai uniós fejlesztési pályázatai saját forrás kiegészítésének támogatása</t>
  </si>
  <si>
    <t xml:space="preserve">II.4. </t>
  </si>
  <si>
    <t>Önkormányzati feladatellátást szolgáló fejlesztések</t>
  </si>
  <si>
    <t xml:space="preserve">II.4.ac) </t>
  </si>
  <si>
    <t>Belterületi utak, járdák, hidak felújítása</t>
  </si>
  <si>
    <t xml:space="preserve">II.4.ad) </t>
  </si>
  <si>
    <t>Óvodai, iskolai és utánpótlás sport infrastruktúra-fejlesztés, felújítás</t>
  </si>
  <si>
    <t>II.7</t>
  </si>
  <si>
    <t>Közművelődési érdekeltségnövelő támogatás, muzeális intézmények szakmai támogatása</t>
  </si>
  <si>
    <t>II.9</t>
  </si>
  <si>
    <t>A gyermekétkeztetés feltételeit javító fejlesztések támogatása</t>
  </si>
  <si>
    <t>3. melléklet jogcímei mindösszesen:</t>
  </si>
  <si>
    <r>
      <rPr>
        <vertAlign val="superscript"/>
        <sz val="10"/>
        <color indexed="12"/>
        <rFont val="Arial"/>
        <family val="2"/>
      </rPr>
      <t>29, 30</t>
    </r>
    <r>
      <rPr>
        <sz val="10"/>
        <color indexed="12"/>
        <rFont val="Arial"/>
        <family val="2"/>
      </rPr>
      <t xml:space="preserve"> 9/2015(V.05.) önkormányzati rendelet 4. §, Hatályos 2015. május 6.</t>
    </r>
  </si>
  <si>
    <r>
      <t>13</t>
    </r>
    <r>
      <rPr>
        <sz val="10"/>
        <color indexed="12"/>
        <rFont val="Arial CE"/>
        <family val="0"/>
      </rPr>
      <t xml:space="preserve"> 9/2015(V.05.) önkormányzati rendelet 4. §, Hatályos 2015. május 6. 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</si>
</sst>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6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b/>
      <i/>
      <sz val="9"/>
      <name val="Arial CE"/>
      <family val="0"/>
    </font>
    <font>
      <sz val="8"/>
      <color indexed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7"/>
      <name val="Arial CE"/>
      <family val="2"/>
    </font>
    <font>
      <b/>
      <sz val="14"/>
      <name val="Times New Roman"/>
      <family val="1"/>
    </font>
    <font>
      <b/>
      <i/>
      <sz val="9"/>
      <name val="Arial"/>
      <family val="2"/>
    </font>
    <font>
      <b/>
      <sz val="14"/>
      <name val="Times New Roman CE"/>
      <family val="0"/>
    </font>
    <font>
      <i/>
      <sz val="7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7"/>
      <name val="Arial CE"/>
      <family val="0"/>
    </font>
    <font>
      <b/>
      <sz val="12"/>
      <name val="Times New Roman CE"/>
      <family val="0"/>
    </font>
    <font>
      <sz val="12"/>
      <name val="Arial"/>
      <family val="2"/>
    </font>
    <font>
      <sz val="9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8"/>
      <color indexed="30"/>
      <name val="Arial CE"/>
      <family val="0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 CE"/>
      <family val="0"/>
    </font>
    <font>
      <sz val="11"/>
      <name val="Arial"/>
      <family val="2"/>
    </font>
    <font>
      <vertAlign val="superscript"/>
      <sz val="10"/>
      <color indexed="12"/>
      <name val="Arial CE"/>
      <family val="0"/>
    </font>
    <font>
      <vertAlign val="superscript"/>
      <sz val="11"/>
      <color indexed="12"/>
      <name val="Times New Roman CE"/>
      <family val="0"/>
    </font>
    <font>
      <sz val="11"/>
      <color indexed="12"/>
      <name val="Times New Roman CE"/>
      <family val="0"/>
    </font>
    <font>
      <sz val="10"/>
      <color indexed="12"/>
      <name val="Arial"/>
      <family val="2"/>
    </font>
    <font>
      <vertAlign val="superscript"/>
      <sz val="10"/>
      <color indexed="12"/>
      <name val="Times New Roman CE"/>
      <family val="0"/>
    </font>
    <font>
      <sz val="10"/>
      <color indexed="12"/>
      <name val="Times New Roman CE"/>
      <family val="0"/>
    </font>
    <font>
      <vertAlign val="superscript"/>
      <sz val="10"/>
      <color indexed="12"/>
      <name val="Arial"/>
      <family val="2"/>
    </font>
    <font>
      <sz val="9"/>
      <color indexed="12"/>
      <name val="Arial"/>
      <family val="2"/>
    </font>
    <font>
      <vertAlign val="superscript"/>
      <sz val="9"/>
      <color indexed="12"/>
      <name val="Arial"/>
      <family val="2"/>
    </font>
    <font>
      <sz val="9"/>
      <color indexed="12"/>
      <name val="Arial CE"/>
      <family val="0"/>
    </font>
    <font>
      <vertAlign val="superscript"/>
      <sz val="11"/>
      <color indexed="12"/>
      <name val="Arial"/>
      <family val="2"/>
    </font>
    <font>
      <b/>
      <sz val="13"/>
      <name val="Times New Roman"/>
      <family val="1"/>
    </font>
    <font>
      <vertAlign val="superscript"/>
      <sz val="9"/>
      <color indexed="30"/>
      <name val="Arial"/>
      <family val="2"/>
    </font>
    <font>
      <vertAlign val="superscript"/>
      <sz val="11"/>
      <color indexed="3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vertAlign val="superscript"/>
      <sz val="9"/>
      <color indexed="12"/>
      <name val="Arial CE"/>
      <family val="0"/>
    </font>
    <font>
      <b/>
      <sz val="8"/>
      <color indexed="9"/>
      <name val="Arial CE"/>
      <family val="2"/>
    </font>
    <font>
      <sz val="9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 CE"/>
      <family val="0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0000FF"/>
      <name val="Arial CE"/>
      <family val="0"/>
    </font>
    <font>
      <sz val="10"/>
      <color rgb="FF0000FF"/>
      <name val="Arial CE"/>
      <family val="0"/>
    </font>
    <font>
      <sz val="11"/>
      <color rgb="FFFF0000"/>
      <name val="Times New Roman"/>
      <family val="1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11"/>
      <color rgb="FF0000FF"/>
      <name val="Times New Roman CE"/>
      <family val="0"/>
    </font>
    <font>
      <vertAlign val="superscript"/>
      <sz val="9"/>
      <color rgb="FF0000FF"/>
      <name val="Arial CE"/>
      <family val="0"/>
    </font>
    <font>
      <b/>
      <sz val="8"/>
      <color theme="0"/>
      <name val="Arial CE"/>
      <family val="2"/>
    </font>
    <font>
      <sz val="9"/>
      <color theme="0"/>
      <name val="Arial CE"/>
      <family val="2"/>
    </font>
    <font>
      <b/>
      <sz val="9"/>
      <color theme="0"/>
      <name val="Arial CE"/>
      <family val="2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 CE"/>
      <family val="0"/>
    </font>
    <font>
      <sz val="12"/>
      <color theme="0"/>
      <name val="Arial"/>
      <family val="2"/>
    </font>
    <font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medium"/>
    </border>
    <border>
      <left style="thin"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14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7" fillId="25" borderId="1" applyNumberFormat="0" applyAlignment="0" applyProtection="0"/>
    <xf numFmtId="0" fontId="128" fillId="0" borderId="0" applyNumberFormat="0" applyFill="0" applyBorder="0" applyAlignment="0" applyProtection="0"/>
    <xf numFmtId="0" fontId="129" fillId="0" borderId="2" applyNumberFormat="0" applyFill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1" fillId="0" borderId="0" applyNumberFormat="0" applyFill="0" applyBorder="0" applyAlignment="0" applyProtection="0"/>
    <xf numFmtId="0" fontId="1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4" fillId="0" borderId="6" applyNumberFormat="0" applyFill="0" applyAlignment="0" applyProtection="0"/>
    <xf numFmtId="0" fontId="0" fillId="27" borderId="7" applyNumberFormat="0" applyFont="0" applyAlignment="0" applyProtection="0"/>
    <xf numFmtId="0" fontId="135" fillId="28" borderId="0" applyNumberFormat="0" applyBorder="0" applyAlignment="0" applyProtection="0"/>
    <xf numFmtId="0" fontId="136" fillId="29" borderId="8" applyNumberFormat="0" applyAlignment="0" applyProtection="0"/>
    <xf numFmtId="0" fontId="1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30" borderId="0" applyNumberFormat="0" applyBorder="0" applyAlignment="0" applyProtection="0"/>
    <xf numFmtId="0" fontId="140" fillId="31" borderId="0" applyNumberFormat="0" applyBorder="0" applyAlignment="0" applyProtection="0"/>
    <xf numFmtId="0" fontId="141" fillId="29" borderId="1" applyNumberFormat="0" applyAlignment="0" applyProtection="0"/>
    <xf numFmtId="9" fontId="0" fillId="0" borderId="0" applyFont="0" applyFill="0" applyBorder="0" applyAlignment="0" applyProtection="0"/>
  </cellStyleXfs>
  <cellXfs count="1307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28" xfId="61" applyFont="1" applyBorder="1" applyAlignment="1">
      <alignment horizontal="center"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25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9" fillId="0" borderId="25" xfId="61" applyNumberFormat="1" applyBorder="1" applyAlignment="1">
      <alignment vertical="center"/>
      <protection/>
    </xf>
    <xf numFmtId="3" fontId="19" fillId="0" borderId="28" xfId="61" applyNumberFormat="1" applyBorder="1">
      <alignment/>
      <protection/>
    </xf>
    <xf numFmtId="3" fontId="19" fillId="0" borderId="25" xfId="61" applyNumberFormat="1" applyBorder="1">
      <alignment/>
      <protection/>
    </xf>
    <xf numFmtId="3" fontId="19" fillId="0" borderId="13" xfId="61" applyNumberFormat="1" applyBorder="1">
      <alignment/>
      <protection/>
    </xf>
    <xf numFmtId="3" fontId="19" fillId="0" borderId="20" xfId="61" applyNumberFormat="1" applyBorder="1">
      <alignment/>
      <protection/>
    </xf>
    <xf numFmtId="3" fontId="19" fillId="0" borderId="0" xfId="61" applyNumberFormat="1">
      <alignment/>
      <protection/>
    </xf>
    <xf numFmtId="0" fontId="19" fillId="0" borderId="0" xfId="61">
      <alignment/>
      <protection/>
    </xf>
    <xf numFmtId="3" fontId="19" fillId="0" borderId="25" xfId="61" applyNumberFormat="1" applyFill="1" applyBorder="1">
      <alignment/>
      <protection/>
    </xf>
    <xf numFmtId="2" fontId="19" fillId="0" borderId="20" xfId="61" applyNumberFormat="1" applyBorder="1">
      <alignment/>
      <protection/>
    </xf>
    <xf numFmtId="2" fontId="19" fillId="0" borderId="28" xfId="61" applyNumberFormat="1" applyBorder="1">
      <alignment/>
      <protection/>
    </xf>
    <xf numFmtId="3" fontId="19" fillId="0" borderId="20" xfId="61" applyNumberFormat="1" applyFill="1" applyBorder="1">
      <alignment/>
      <protection/>
    </xf>
    <xf numFmtId="4" fontId="19" fillId="0" borderId="28" xfId="61" applyNumberFormat="1" applyFill="1" applyBorder="1">
      <alignment/>
      <protection/>
    </xf>
    <xf numFmtId="0" fontId="19" fillId="0" borderId="25" xfId="61" applyFont="1" applyBorder="1">
      <alignment/>
      <protection/>
    </xf>
    <xf numFmtId="0" fontId="2" fillId="0" borderId="0" xfId="61" applyFont="1">
      <alignment/>
      <protection/>
    </xf>
    <xf numFmtId="49" fontId="19" fillId="0" borderId="0" xfId="61" applyNumberFormat="1">
      <alignment/>
      <protection/>
    </xf>
    <xf numFmtId="0" fontId="34" fillId="0" borderId="0" xfId="0" applyFont="1" applyFill="1" applyAlignment="1">
      <alignment vertical="center"/>
    </xf>
    <xf numFmtId="0" fontId="22" fillId="0" borderId="0" xfId="57" applyFont="1">
      <alignment/>
      <protection/>
    </xf>
    <xf numFmtId="0" fontId="21" fillId="0" borderId="0" xfId="57" applyFont="1" applyAlignment="1">
      <alignment vertical="center"/>
      <protection/>
    </xf>
    <xf numFmtId="0" fontId="23" fillId="0" borderId="25" xfId="57" applyFont="1" applyBorder="1" applyAlignment="1">
      <alignment horizontal="center" vertical="center" wrapText="1"/>
      <protection/>
    </xf>
    <xf numFmtId="0" fontId="25" fillId="0" borderId="25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>
      <alignment/>
      <protection/>
    </xf>
    <xf numFmtId="0" fontId="24" fillId="0" borderId="25" xfId="57" applyFont="1" applyBorder="1">
      <alignment/>
      <protection/>
    </xf>
    <xf numFmtId="0" fontId="24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0" fontId="28" fillId="0" borderId="25" xfId="57" applyFont="1" applyBorder="1">
      <alignment/>
      <protection/>
    </xf>
    <xf numFmtId="0" fontId="30" fillId="0" borderId="0" xfId="57" applyFont="1">
      <alignment/>
      <protection/>
    </xf>
    <xf numFmtId="0" fontId="24" fillId="0" borderId="0" xfId="57" applyFont="1" applyBorder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8" fillId="0" borderId="25" xfId="57" applyFont="1" applyBorder="1" applyAlignment="1">
      <alignment horizontal="left" vertical="center" indent="2"/>
      <protection/>
    </xf>
    <xf numFmtId="16" fontId="28" fillId="0" borderId="25" xfId="57" applyNumberFormat="1" applyFont="1" applyBorder="1" applyAlignment="1">
      <alignment horizontal="left" vertical="center" indent="2"/>
      <protection/>
    </xf>
    <xf numFmtId="0" fontId="28" fillId="0" borderId="25" xfId="57" applyFont="1" applyBorder="1" applyAlignment="1">
      <alignment horizontal="left" indent="2"/>
      <protection/>
    </xf>
    <xf numFmtId="3" fontId="25" fillId="0" borderId="25" xfId="48" applyNumberFormat="1" applyFont="1" applyBorder="1" applyAlignment="1">
      <alignment horizontal="right"/>
    </xf>
    <xf numFmtId="3" fontId="24" fillId="0" borderId="25" xfId="48" applyNumberFormat="1" applyFont="1" applyBorder="1" applyAlignment="1">
      <alignment horizontal="right"/>
    </xf>
    <xf numFmtId="3" fontId="28" fillId="0" borderId="25" xfId="48" applyNumberFormat="1" applyFont="1" applyBorder="1" applyAlignment="1">
      <alignment horizontal="right"/>
    </xf>
    <xf numFmtId="0" fontId="35" fillId="0" borderId="25" xfId="57" applyFont="1" applyBorder="1" applyAlignment="1">
      <alignment horizontal="left" vertical="center" wrapText="1"/>
      <protection/>
    </xf>
    <xf numFmtId="0" fontId="35" fillId="0" borderId="0" xfId="57" applyFont="1" applyAlignment="1">
      <alignment horizontal="center" vertical="center" wrapText="1"/>
      <protection/>
    </xf>
    <xf numFmtId="3" fontId="35" fillId="0" borderId="25" xfId="48" applyNumberFormat="1" applyFont="1" applyBorder="1" applyAlignment="1">
      <alignment horizontal="right"/>
    </xf>
    <xf numFmtId="0" fontId="35" fillId="0" borderId="25" xfId="57" applyFont="1" applyBorder="1">
      <alignment/>
      <protection/>
    </xf>
    <xf numFmtId="0" fontId="36" fillId="0" borderId="0" xfId="57" applyFont="1">
      <alignment/>
      <protection/>
    </xf>
    <xf numFmtId="0" fontId="37" fillId="0" borderId="25" xfId="57" applyFont="1" applyBorder="1" applyAlignment="1">
      <alignment horizontal="right"/>
      <protection/>
    </xf>
    <xf numFmtId="0" fontId="38" fillId="0" borderId="0" xfId="57" applyFont="1">
      <alignment/>
      <protection/>
    </xf>
    <xf numFmtId="0" fontId="39" fillId="0" borderId="25" xfId="57" applyFont="1" applyBorder="1" applyAlignment="1">
      <alignment vertical="center"/>
      <protection/>
    </xf>
    <xf numFmtId="3" fontId="39" fillId="0" borderId="25" xfId="48" applyNumberFormat="1" applyFont="1" applyBorder="1" applyAlignment="1">
      <alignment horizontal="right"/>
    </xf>
    <xf numFmtId="0" fontId="39" fillId="0" borderId="25" xfId="57" applyFont="1" applyBorder="1">
      <alignment/>
      <protection/>
    </xf>
    <xf numFmtId="0" fontId="39" fillId="0" borderId="0" xfId="57" applyFont="1">
      <alignment/>
      <protection/>
    </xf>
    <xf numFmtId="0" fontId="39" fillId="0" borderId="25" xfId="57" applyFont="1" applyBorder="1" applyAlignment="1">
      <alignment vertical="center" wrapText="1"/>
      <protection/>
    </xf>
    <xf numFmtId="0" fontId="39" fillId="0" borderId="25" xfId="57" applyFont="1" applyBorder="1" applyAlignment="1">
      <alignment horizontal="left" vertical="center"/>
      <protection/>
    </xf>
    <xf numFmtId="0" fontId="40" fillId="0" borderId="0" xfId="57" applyFont="1">
      <alignment/>
      <protection/>
    </xf>
    <xf numFmtId="0" fontId="39" fillId="0" borderId="25" xfId="57" applyFont="1" applyBorder="1" applyAlignment="1">
      <alignment horizontal="left" vertical="center" wrapText="1"/>
      <protection/>
    </xf>
    <xf numFmtId="0" fontId="41" fillId="0" borderId="0" xfId="57" applyFont="1">
      <alignment/>
      <protection/>
    </xf>
    <xf numFmtId="0" fontId="25" fillId="0" borderId="25" xfId="57" applyFont="1" applyBorder="1" applyAlignment="1">
      <alignment horizontal="left" vertical="center" indent="1"/>
      <protection/>
    </xf>
    <xf numFmtId="0" fontId="25" fillId="0" borderId="25" xfId="57" applyFont="1" applyBorder="1" applyAlignment="1">
      <alignment horizontal="left" indent="1"/>
      <protection/>
    </xf>
    <xf numFmtId="3" fontId="42" fillId="0" borderId="25" xfId="57" applyNumberFormat="1" applyFont="1" applyBorder="1" applyAlignment="1">
      <alignment horizontal="right" vertical="center"/>
      <protection/>
    </xf>
    <xf numFmtId="0" fontId="35" fillId="0" borderId="25" xfId="57" applyFont="1" applyBorder="1" applyAlignment="1">
      <alignment vertical="top"/>
      <protection/>
    </xf>
    <xf numFmtId="3" fontId="42" fillId="0" borderId="25" xfId="48" applyNumberFormat="1" applyFont="1" applyBorder="1" applyAlignment="1">
      <alignment horizontal="right"/>
    </xf>
    <xf numFmtId="0" fontId="25" fillId="0" borderId="25" xfId="57" applyFont="1" applyBorder="1" applyAlignment="1">
      <alignment horizontal="left" vertical="top" indent="1"/>
      <protection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right" vertical="center"/>
    </xf>
    <xf numFmtId="3" fontId="22" fillId="0" borderId="25" xfId="0" applyNumberFormat="1" applyFont="1" applyBorder="1" applyAlignment="1">
      <alignment vertical="center"/>
    </xf>
    <xf numFmtId="3" fontId="23" fillId="0" borderId="25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6" fillId="0" borderId="25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horizontal="center"/>
      <protection/>
    </xf>
    <xf numFmtId="0" fontId="26" fillId="0" borderId="25" xfId="57" applyFont="1" applyBorder="1" applyAlignment="1">
      <alignment horizontal="center"/>
      <protection/>
    </xf>
    <xf numFmtId="0" fontId="12" fillId="0" borderId="29" xfId="0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" fontId="44" fillId="0" borderId="29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4" fillId="0" borderId="1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0" fillId="0" borderId="0" xfId="62" applyFont="1" applyAlignment="1">
      <alignment vertical="center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25" fillId="0" borderId="25" xfId="62" applyFont="1" applyBorder="1" applyAlignment="1">
      <alignment horizontal="center" vertical="center" wrapText="1"/>
      <protection/>
    </xf>
    <xf numFmtId="3" fontId="21" fillId="0" borderId="13" xfId="62" applyNumberFormat="1" applyFont="1" applyBorder="1" applyAlignment="1">
      <alignment horizontal="right" vertical="center" wrapText="1"/>
      <protection/>
    </xf>
    <xf numFmtId="3" fontId="20" fillId="0" borderId="25" xfId="62" applyNumberFormat="1" applyFont="1" applyBorder="1" applyAlignment="1">
      <alignment horizontal="right" vertical="center"/>
      <protection/>
    </xf>
    <xf numFmtId="0" fontId="26" fillId="0" borderId="28" xfId="62" applyFont="1" applyBorder="1" applyAlignment="1">
      <alignment horizontal="center" vertical="center"/>
      <protection/>
    </xf>
    <xf numFmtId="3" fontId="20" fillId="0" borderId="25" xfId="62" applyNumberFormat="1" applyFont="1" applyBorder="1" applyAlignment="1">
      <alignment horizontal="right" vertical="center" wrapText="1"/>
      <protection/>
    </xf>
    <xf numFmtId="0" fontId="26" fillId="0" borderId="0" xfId="62" applyFont="1" applyAlignment="1">
      <alignment horizontal="center" vertical="center"/>
      <protection/>
    </xf>
    <xf numFmtId="3" fontId="26" fillId="0" borderId="25" xfId="62" applyNumberFormat="1" applyFont="1" applyBorder="1" applyAlignment="1">
      <alignment horizontal="center" vertical="center" wrapText="1"/>
      <protection/>
    </xf>
    <xf numFmtId="0" fontId="26" fillId="0" borderId="25" xfId="62" applyFont="1" applyBorder="1" applyAlignment="1">
      <alignment horizontal="center" vertical="center"/>
      <protection/>
    </xf>
    <xf numFmtId="0" fontId="21" fillId="0" borderId="25" xfId="62" applyFont="1" applyBorder="1" applyAlignment="1">
      <alignment horizontal="center" vertical="center"/>
      <protection/>
    </xf>
    <xf numFmtId="3" fontId="26" fillId="0" borderId="13" xfId="62" applyNumberFormat="1" applyFont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3" fontId="44" fillId="0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3" fontId="46" fillId="0" borderId="33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0" fontId="27" fillId="0" borderId="25" xfId="0" applyFont="1" applyBorder="1" applyAlignment="1">
      <alignment horizontal="center"/>
    </xf>
    <xf numFmtId="0" fontId="27" fillId="32" borderId="25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32" fillId="0" borderId="25" xfId="0" applyFont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7" borderId="25" xfId="0" applyFont="1" applyFill="1" applyBorder="1" applyAlignment="1">
      <alignment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/>
    </xf>
    <xf numFmtId="49" fontId="27" fillId="0" borderId="25" xfId="61" applyNumberFormat="1" applyFont="1" applyBorder="1" applyAlignment="1">
      <alignment vertical="center"/>
      <protection/>
    </xf>
    <xf numFmtId="0" fontId="27" fillId="0" borderId="25" xfId="61" applyFont="1" applyBorder="1">
      <alignment/>
      <protection/>
    </xf>
    <xf numFmtId="0" fontId="27" fillId="0" borderId="17" xfId="61" applyFont="1" applyBorder="1" applyAlignment="1">
      <alignment wrapText="1"/>
      <protection/>
    </xf>
    <xf numFmtId="3" fontId="27" fillId="0" borderId="28" xfId="61" applyNumberFormat="1" applyFont="1" applyBorder="1">
      <alignment/>
      <protection/>
    </xf>
    <xf numFmtId="3" fontId="27" fillId="0" borderId="25" xfId="61" applyNumberFormat="1" applyFont="1" applyBorder="1">
      <alignment/>
      <protection/>
    </xf>
    <xf numFmtId="3" fontId="27" fillId="0" borderId="13" xfId="61" applyNumberFormat="1" applyFont="1" applyBorder="1">
      <alignment/>
      <protection/>
    </xf>
    <xf numFmtId="3" fontId="27" fillId="0" borderId="20" xfId="61" applyNumberFormat="1" applyFont="1" applyBorder="1">
      <alignment/>
      <protection/>
    </xf>
    <xf numFmtId="3" fontId="27" fillId="0" borderId="0" xfId="61" applyNumberFormat="1" applyFont="1">
      <alignment/>
      <protection/>
    </xf>
    <xf numFmtId="0" fontId="27" fillId="0" borderId="0" xfId="61" applyFont="1">
      <alignment/>
      <protection/>
    </xf>
    <xf numFmtId="0" fontId="27" fillId="0" borderId="17" xfId="61" applyFont="1" applyBorder="1">
      <alignment/>
      <protection/>
    </xf>
    <xf numFmtId="3" fontId="27" fillId="0" borderId="25" xfId="61" applyNumberFormat="1" applyFont="1" applyFill="1" applyBorder="1">
      <alignment/>
      <protection/>
    </xf>
    <xf numFmtId="3" fontId="27" fillId="0" borderId="0" xfId="61" applyNumberFormat="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49" fontId="27" fillId="0" borderId="25" xfId="61" applyNumberFormat="1" applyFont="1" applyBorder="1" applyAlignment="1">
      <alignment horizontal="center" vertical="center"/>
      <protection/>
    </xf>
    <xf numFmtId="3" fontId="19" fillId="0" borderId="0" xfId="61" applyNumberFormat="1" applyFont="1">
      <alignment/>
      <protection/>
    </xf>
    <xf numFmtId="3" fontId="27" fillId="0" borderId="28" xfId="61" applyNumberFormat="1" applyFont="1" applyFill="1" applyBorder="1">
      <alignment/>
      <protection/>
    </xf>
    <xf numFmtId="49" fontId="27" fillId="34" borderId="25" xfId="61" applyNumberFormat="1" applyFont="1" applyFill="1" applyBorder="1" applyAlignment="1">
      <alignment horizontal="center" vertical="center"/>
      <protection/>
    </xf>
    <xf numFmtId="0" fontId="27" fillId="34" borderId="25" xfId="61" applyFont="1" applyFill="1" applyBorder="1" applyAlignment="1">
      <alignment vertical="center"/>
      <protection/>
    </xf>
    <xf numFmtId="0" fontId="27" fillId="34" borderId="17" xfId="61" applyFont="1" applyFill="1" applyBorder="1" applyAlignment="1">
      <alignment vertical="center" wrapText="1"/>
      <protection/>
    </xf>
    <xf numFmtId="3" fontId="27" fillId="34" borderId="28" xfId="61" applyNumberFormat="1" applyFont="1" applyFill="1" applyBorder="1" applyAlignment="1">
      <alignment vertical="center"/>
      <protection/>
    </xf>
    <xf numFmtId="3" fontId="27" fillId="34" borderId="25" xfId="61" applyNumberFormat="1" applyFont="1" applyFill="1" applyBorder="1" applyAlignment="1">
      <alignment vertical="center"/>
      <protection/>
    </xf>
    <xf numFmtId="3" fontId="27" fillId="34" borderId="13" xfId="61" applyNumberFormat="1" applyFont="1" applyFill="1" applyBorder="1" applyAlignment="1">
      <alignment vertical="center"/>
      <protection/>
    </xf>
    <xf numFmtId="3" fontId="27" fillId="34" borderId="20" xfId="61" applyNumberFormat="1" applyFont="1" applyFill="1" applyBorder="1" applyAlignment="1">
      <alignment vertical="center"/>
      <protection/>
    </xf>
    <xf numFmtId="0" fontId="19" fillId="34" borderId="25" xfId="61" applyFill="1" applyBorder="1">
      <alignment/>
      <protection/>
    </xf>
    <xf numFmtId="3" fontId="19" fillId="34" borderId="28" xfId="61" applyNumberFormat="1" applyFill="1" applyBorder="1">
      <alignment/>
      <protection/>
    </xf>
    <xf numFmtId="3" fontId="19" fillId="34" borderId="25" xfId="61" applyNumberFormat="1" applyFill="1" applyBorder="1">
      <alignment/>
      <protection/>
    </xf>
    <xf numFmtId="3" fontId="27" fillId="34" borderId="13" xfId="61" applyNumberFormat="1" applyFont="1" applyFill="1" applyBorder="1">
      <alignment/>
      <protection/>
    </xf>
    <xf numFmtId="3" fontId="19" fillId="34" borderId="20" xfId="61" applyNumberFormat="1" applyFill="1" applyBorder="1">
      <alignment/>
      <protection/>
    </xf>
    <xf numFmtId="3" fontId="27" fillId="34" borderId="20" xfId="61" applyNumberFormat="1" applyFont="1" applyFill="1" applyBorder="1">
      <alignment/>
      <protection/>
    </xf>
    <xf numFmtId="0" fontId="27" fillId="34" borderId="25" xfId="61" applyFont="1" applyFill="1" applyBorder="1">
      <alignment/>
      <protection/>
    </xf>
    <xf numFmtId="3" fontId="27" fillId="34" borderId="28" xfId="61" applyNumberFormat="1" applyFont="1" applyFill="1" applyBorder="1">
      <alignment/>
      <protection/>
    </xf>
    <xf numFmtId="3" fontId="27" fillId="34" borderId="25" xfId="61" applyNumberFormat="1" applyFont="1" applyFill="1" applyBorder="1">
      <alignment/>
      <protection/>
    </xf>
    <xf numFmtId="4" fontId="27" fillId="34" borderId="28" xfId="61" applyNumberFormat="1" applyFont="1" applyFill="1" applyBorder="1">
      <alignment/>
      <protection/>
    </xf>
    <xf numFmtId="4" fontId="27" fillId="34" borderId="20" xfId="61" applyNumberFormat="1" applyFont="1" applyFill="1" applyBorder="1">
      <alignment/>
      <protection/>
    </xf>
    <xf numFmtId="49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0" fontId="0" fillId="0" borderId="0" xfId="60" applyAlignment="1">
      <alignment horizontal="left"/>
      <protection/>
    </xf>
    <xf numFmtId="0" fontId="0" fillId="0" borderId="0" xfId="60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horizontal="left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49" fontId="5" fillId="0" borderId="28" xfId="60" applyNumberFormat="1" applyFont="1" applyFill="1" applyBorder="1" applyAlignment="1">
      <alignment horizontal="center" vertical="center"/>
      <protection/>
    </xf>
    <xf numFmtId="3" fontId="3" fillId="0" borderId="29" xfId="60" applyNumberFormat="1" applyFont="1" applyFill="1" applyBorder="1" applyAlignment="1">
      <alignment vertical="center" wrapText="1"/>
      <protection/>
    </xf>
    <xf numFmtId="3" fontId="5" fillId="0" borderId="20" xfId="60" applyNumberFormat="1" applyFont="1" applyFill="1" applyBorder="1" applyAlignment="1">
      <alignment vertical="center"/>
      <protection/>
    </xf>
    <xf numFmtId="3" fontId="5" fillId="0" borderId="25" xfId="60" applyNumberFormat="1" applyFont="1" applyFill="1" applyBorder="1" applyAlignment="1">
      <alignment vertical="center"/>
      <protection/>
    </xf>
    <xf numFmtId="0" fontId="4" fillId="0" borderId="25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/>
      <protection/>
    </xf>
    <xf numFmtId="3" fontId="49" fillId="0" borderId="20" xfId="60" applyNumberFormat="1" applyFont="1" applyFill="1" applyBorder="1" applyAlignment="1">
      <alignment vertical="center"/>
      <protection/>
    </xf>
    <xf numFmtId="0" fontId="4" fillId="0" borderId="34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 wrapText="1"/>
      <protection/>
    </xf>
    <xf numFmtId="0" fontId="16" fillId="0" borderId="0" xfId="60" applyFont="1" applyFill="1" applyBorder="1" applyAlignment="1">
      <alignment vertical="center" wrapText="1"/>
      <protection/>
    </xf>
    <xf numFmtId="3" fontId="23" fillId="0" borderId="25" xfId="57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7" fillId="32" borderId="25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5" fillId="0" borderId="3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24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3" fontId="0" fillId="6" borderId="51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6" borderId="54" xfId="0" applyNumberFormat="1" applyFill="1" applyBorder="1" applyAlignment="1">
      <alignment/>
    </xf>
    <xf numFmtId="0" fontId="0" fillId="0" borderId="55" xfId="0" applyBorder="1" applyAlignment="1">
      <alignment/>
    </xf>
    <xf numFmtId="3" fontId="0" fillId="6" borderId="28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6" borderId="49" xfId="0" applyNumberFormat="1" applyFill="1" applyBorder="1" applyAlignment="1">
      <alignment/>
    </xf>
    <xf numFmtId="0" fontId="27" fillId="0" borderId="56" xfId="0" applyFont="1" applyBorder="1" applyAlignment="1">
      <alignment/>
    </xf>
    <xf numFmtId="3" fontId="27" fillId="6" borderId="57" xfId="0" applyNumberFormat="1" applyFont="1" applyFill="1" applyBorder="1" applyAlignment="1">
      <alignment/>
    </xf>
    <xf numFmtId="3" fontId="27" fillId="35" borderId="58" xfId="0" applyNumberFormat="1" applyFont="1" applyFill="1" applyBorder="1" applyAlignment="1">
      <alignment/>
    </xf>
    <xf numFmtId="3" fontId="27" fillId="35" borderId="59" xfId="0" applyNumberFormat="1" applyFont="1" applyFill="1" applyBorder="1" applyAlignment="1">
      <alignment/>
    </xf>
    <xf numFmtId="3" fontId="27" fillId="6" borderId="60" xfId="0" applyNumberFormat="1" applyFont="1" applyFill="1" applyBorder="1" applyAlignment="1">
      <alignment/>
    </xf>
    <xf numFmtId="3" fontId="27" fillId="6" borderId="56" xfId="0" applyNumberFormat="1" applyFont="1" applyFill="1" applyBorder="1" applyAlignment="1">
      <alignment/>
    </xf>
    <xf numFmtId="0" fontId="24" fillId="0" borderId="61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27" xfId="0" applyBorder="1" applyAlignment="1">
      <alignment horizontal="center"/>
    </xf>
    <xf numFmtId="3" fontId="0" fillId="6" borderId="47" xfId="0" applyNumberFormat="1" applyFill="1" applyBorder="1" applyAlignment="1">
      <alignment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center"/>
    </xf>
    <xf numFmtId="3" fontId="0" fillId="6" borderId="39" xfId="0" applyNumberFormat="1" applyFill="1" applyBorder="1" applyAlignment="1">
      <alignment/>
    </xf>
    <xf numFmtId="3" fontId="0" fillId="6" borderId="32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3" fontId="0" fillId="6" borderId="61" xfId="0" applyNumberFormat="1" applyFill="1" applyBorder="1" applyAlignment="1">
      <alignment/>
    </xf>
    <xf numFmtId="0" fontId="24" fillId="0" borderId="44" xfId="0" applyFont="1" applyBorder="1" applyAlignment="1">
      <alignment horizontal="center" vertical="center"/>
    </xf>
    <xf numFmtId="0" fontId="27" fillId="0" borderId="65" xfId="0" applyFont="1" applyBorder="1" applyAlignment="1">
      <alignment/>
    </xf>
    <xf numFmtId="3" fontId="27" fillId="6" borderId="65" xfId="0" applyNumberFormat="1" applyFont="1" applyFill="1" applyBorder="1" applyAlignment="1">
      <alignment/>
    </xf>
    <xf numFmtId="3" fontId="27" fillId="35" borderId="66" xfId="0" applyNumberFormat="1" applyFont="1" applyFill="1" applyBorder="1" applyAlignment="1">
      <alignment/>
    </xf>
    <xf numFmtId="3" fontId="27" fillId="6" borderId="67" xfId="0" applyNumberFormat="1" applyFont="1" applyFill="1" applyBorder="1" applyAlignment="1">
      <alignment/>
    </xf>
    <xf numFmtId="3" fontId="27" fillId="6" borderId="68" xfId="0" applyNumberFormat="1" applyFont="1" applyFill="1" applyBorder="1" applyAlignment="1">
      <alignment/>
    </xf>
    <xf numFmtId="0" fontId="24" fillId="0" borderId="39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24" fillId="0" borderId="49" xfId="0" applyFont="1" applyBorder="1" applyAlignment="1">
      <alignment horizontal="center" vertical="center"/>
    </xf>
    <xf numFmtId="3" fontId="19" fillId="6" borderId="63" xfId="0" applyNumberFormat="1" applyFont="1" applyFill="1" applyBorder="1" applyAlignment="1">
      <alignment/>
    </xf>
    <xf numFmtId="3" fontId="27" fillId="6" borderId="71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6" borderId="71" xfId="0" applyNumberFormat="1" applyFill="1" applyBorder="1" applyAlignment="1">
      <alignment/>
    </xf>
    <xf numFmtId="0" fontId="0" fillId="0" borderId="51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2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7" fillId="0" borderId="68" xfId="0" applyFont="1" applyBorder="1" applyAlignment="1">
      <alignment/>
    </xf>
    <xf numFmtId="0" fontId="24" fillId="0" borderId="39" xfId="0" applyFont="1" applyBorder="1" applyAlignment="1">
      <alignment horizontal="center"/>
    </xf>
    <xf numFmtId="0" fontId="27" fillId="0" borderId="40" xfId="0" applyFont="1" applyBorder="1" applyAlignment="1">
      <alignment/>
    </xf>
    <xf numFmtId="3" fontId="27" fillId="35" borderId="0" xfId="0" applyNumberFormat="1" applyFont="1" applyFill="1" applyBorder="1" applyAlignment="1">
      <alignment/>
    </xf>
    <xf numFmtId="0" fontId="0" fillId="0" borderId="73" xfId="0" applyBorder="1" applyAlignment="1">
      <alignment/>
    </xf>
    <xf numFmtId="0" fontId="5" fillId="0" borderId="25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58" fillId="0" borderId="25" xfId="0" applyFont="1" applyBorder="1" applyAlignment="1">
      <alignment/>
    </xf>
    <xf numFmtId="3" fontId="58" fillId="0" borderId="25" xfId="0" applyNumberFormat="1" applyFont="1" applyBorder="1" applyAlignment="1">
      <alignment/>
    </xf>
    <xf numFmtId="3" fontId="62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50" fillId="0" borderId="25" xfId="0" applyFont="1" applyBorder="1" applyAlignment="1">
      <alignment horizontal="left"/>
    </xf>
    <xf numFmtId="0" fontId="50" fillId="0" borderId="25" xfId="0" applyFont="1" applyBorder="1" applyAlignment="1">
      <alignment/>
    </xf>
    <xf numFmtId="3" fontId="50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3" fontId="63" fillId="0" borderId="25" xfId="0" applyNumberFormat="1" applyFont="1" applyBorder="1" applyAlignment="1">
      <alignment/>
    </xf>
    <xf numFmtId="0" fontId="50" fillId="0" borderId="25" xfId="0" applyFont="1" applyFill="1" applyBorder="1" applyAlignment="1">
      <alignment/>
    </xf>
    <xf numFmtId="0" fontId="50" fillId="0" borderId="25" xfId="0" applyFont="1" applyFill="1" applyBorder="1" applyAlignment="1">
      <alignment horizontal="left"/>
    </xf>
    <xf numFmtId="0" fontId="64" fillId="0" borderId="25" xfId="0" applyFont="1" applyBorder="1" applyAlignment="1">
      <alignment/>
    </xf>
    <xf numFmtId="0" fontId="50" fillId="0" borderId="25" xfId="0" applyFont="1" applyBorder="1" applyAlignment="1">
      <alignment horizontal="left" wrapText="1"/>
    </xf>
    <xf numFmtId="0" fontId="71" fillId="0" borderId="0" xfId="0" applyFont="1" applyAlignment="1">
      <alignment/>
    </xf>
    <xf numFmtId="3" fontId="16" fillId="0" borderId="25" xfId="0" applyNumberFormat="1" applyFont="1" applyBorder="1" applyAlignment="1">
      <alignment/>
    </xf>
    <xf numFmtId="0" fontId="65" fillId="0" borderId="0" xfId="0" applyFont="1" applyAlignment="1">
      <alignment/>
    </xf>
    <xf numFmtId="3" fontId="6" fillId="0" borderId="25" xfId="0" applyNumberFormat="1" applyFont="1" applyBorder="1" applyAlignment="1">
      <alignment/>
    </xf>
    <xf numFmtId="3" fontId="66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72" fillId="0" borderId="25" xfId="0" applyFont="1" applyBorder="1" applyAlignment="1">
      <alignment/>
    </xf>
    <xf numFmtId="3" fontId="72" fillId="0" borderId="25" xfId="0" applyNumberFormat="1" applyFont="1" applyBorder="1" applyAlignment="1">
      <alignment/>
    </xf>
    <xf numFmtId="0" fontId="73" fillId="0" borderId="0" xfId="0" applyFont="1" applyAlignment="1">
      <alignment/>
    </xf>
    <xf numFmtId="0" fontId="74" fillId="0" borderId="25" xfId="0" applyFont="1" applyBorder="1" applyAlignment="1">
      <alignment/>
    </xf>
    <xf numFmtId="3" fontId="44" fillId="0" borderId="25" xfId="0" applyNumberFormat="1" applyFont="1" applyFill="1" applyBorder="1" applyAlignment="1">
      <alignment vertical="center"/>
    </xf>
    <xf numFmtId="3" fontId="44" fillId="0" borderId="25" xfId="0" applyNumberFormat="1" applyFont="1" applyFill="1" applyBorder="1" applyAlignment="1">
      <alignment horizontal="right" vertical="center" wrapText="1"/>
    </xf>
    <xf numFmtId="49" fontId="5" fillId="0" borderId="28" xfId="60" applyNumberFormat="1" applyFont="1" applyFill="1" applyBorder="1" applyAlignment="1">
      <alignment horizontal="center" vertical="center"/>
      <protection/>
    </xf>
    <xf numFmtId="3" fontId="3" fillId="0" borderId="51" xfId="60" applyNumberFormat="1" applyFont="1" applyFill="1" applyBorder="1" applyAlignment="1">
      <alignment vertical="center" wrapText="1"/>
      <protection/>
    </xf>
    <xf numFmtId="3" fontId="3" fillId="0" borderId="53" xfId="60" applyNumberFormat="1" applyFont="1" applyFill="1" applyBorder="1" applyAlignment="1">
      <alignment vertical="center" wrapText="1"/>
      <protection/>
    </xf>
    <xf numFmtId="3" fontId="3" fillId="0" borderId="10" xfId="60" applyNumberFormat="1" applyFont="1" applyFill="1" applyBorder="1" applyAlignment="1">
      <alignment vertical="center" wrapText="1"/>
      <protection/>
    </xf>
    <xf numFmtId="3" fontId="3" fillId="0" borderId="28" xfId="60" applyNumberFormat="1" applyFont="1" applyFill="1" applyBorder="1" applyAlignment="1">
      <alignment vertical="center" wrapText="1"/>
      <protection/>
    </xf>
    <xf numFmtId="3" fontId="3" fillId="0" borderId="25" xfId="60" applyNumberFormat="1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 wrapText="1"/>
      <protection/>
    </xf>
    <xf numFmtId="3" fontId="3" fillId="0" borderId="28" xfId="60" applyNumberFormat="1" applyFont="1" applyFill="1" applyBorder="1" applyAlignment="1">
      <alignment vertical="center"/>
      <protection/>
    </xf>
    <xf numFmtId="3" fontId="3" fillId="0" borderId="25" xfId="60" applyNumberFormat="1" applyFont="1" applyFill="1" applyBorder="1" applyAlignment="1">
      <alignment vertical="center"/>
      <protection/>
    </xf>
    <xf numFmtId="3" fontId="58" fillId="0" borderId="28" xfId="60" applyNumberFormat="1" applyFont="1" applyFill="1" applyBorder="1" applyAlignment="1">
      <alignment vertical="center"/>
      <protection/>
    </xf>
    <xf numFmtId="3" fontId="58" fillId="0" borderId="25" xfId="60" applyNumberFormat="1" applyFont="1" applyFill="1" applyBorder="1" applyAlignment="1">
      <alignment vertical="center"/>
      <protection/>
    </xf>
    <xf numFmtId="3" fontId="48" fillId="0" borderId="25" xfId="60" applyNumberFormat="1" applyFont="1" applyFill="1" applyBorder="1" applyAlignment="1">
      <alignment vertical="center"/>
      <protection/>
    </xf>
    <xf numFmtId="3" fontId="50" fillId="0" borderId="25" xfId="60" applyNumberFormat="1" applyFont="1" applyFill="1" applyBorder="1" applyAlignment="1">
      <alignment vertical="center" wrapText="1"/>
      <protection/>
    </xf>
    <xf numFmtId="3" fontId="3" fillId="0" borderId="20" xfId="60" applyNumberFormat="1" applyFont="1" applyFill="1" applyBorder="1" applyAlignment="1">
      <alignment vertical="center" wrapText="1"/>
      <protection/>
    </xf>
    <xf numFmtId="3" fontId="3" fillId="0" borderId="20" xfId="60" applyNumberFormat="1" applyFont="1" applyFill="1" applyBorder="1" applyAlignment="1">
      <alignment vertical="center"/>
      <protection/>
    </xf>
    <xf numFmtId="3" fontId="58" fillId="0" borderId="20" xfId="60" applyNumberFormat="1" applyFont="1" applyFill="1" applyBorder="1" applyAlignment="1">
      <alignment vertical="center"/>
      <protection/>
    </xf>
    <xf numFmtId="3" fontId="48" fillId="0" borderId="20" xfId="60" applyNumberFormat="1" applyFont="1" applyFill="1" applyBorder="1" applyAlignment="1">
      <alignment vertical="center"/>
      <protection/>
    </xf>
    <xf numFmtId="3" fontId="50" fillId="0" borderId="20" xfId="60" applyNumberFormat="1" applyFont="1" applyFill="1" applyBorder="1" applyAlignment="1">
      <alignment vertical="center" wrapText="1"/>
      <protection/>
    </xf>
    <xf numFmtId="3" fontId="3" fillId="0" borderId="33" xfId="60" applyNumberFormat="1" applyFont="1" applyFill="1" applyBorder="1" applyAlignment="1">
      <alignment vertical="center" wrapText="1"/>
      <protection/>
    </xf>
    <xf numFmtId="3" fontId="3" fillId="0" borderId="74" xfId="60" applyNumberFormat="1" applyFont="1" applyFill="1" applyBorder="1" applyAlignment="1">
      <alignment vertical="center" wrapText="1"/>
      <protection/>
    </xf>
    <xf numFmtId="3" fontId="3" fillId="0" borderId="28" xfId="60" applyNumberFormat="1" applyFont="1" applyFill="1" applyBorder="1" applyAlignment="1">
      <alignment vertical="center" wrapText="1"/>
      <protection/>
    </xf>
    <xf numFmtId="3" fontId="3" fillId="0" borderId="25" xfId="60" applyNumberFormat="1" applyFont="1" applyFill="1" applyBorder="1" applyAlignment="1">
      <alignment vertical="center" wrapText="1"/>
      <protection/>
    </xf>
    <xf numFmtId="3" fontId="51" fillId="0" borderId="75" xfId="60" applyNumberFormat="1" applyFont="1" applyFill="1" applyBorder="1" applyAlignment="1">
      <alignment vertical="center"/>
      <protection/>
    </xf>
    <xf numFmtId="3" fontId="3" fillId="0" borderId="12" xfId="60" applyNumberFormat="1" applyFont="1" applyFill="1" applyBorder="1" applyAlignment="1">
      <alignment vertical="center" wrapText="1"/>
      <protection/>
    </xf>
    <xf numFmtId="0" fontId="4" fillId="0" borderId="33" xfId="60" applyFont="1" applyFill="1" applyBorder="1" applyAlignment="1">
      <alignment horizontal="center" vertical="center" wrapText="1"/>
      <protection/>
    </xf>
    <xf numFmtId="49" fontId="5" fillId="0" borderId="63" xfId="60" applyNumberFormat="1" applyFont="1" applyFill="1" applyBorder="1" applyAlignment="1">
      <alignment horizontal="center" vertical="center"/>
      <protection/>
    </xf>
    <xf numFmtId="3" fontId="3" fillId="0" borderId="63" xfId="60" applyNumberFormat="1" applyFont="1" applyFill="1" applyBorder="1" applyAlignment="1">
      <alignment vertical="center" wrapText="1"/>
      <protection/>
    </xf>
    <xf numFmtId="3" fontId="3" fillId="0" borderId="34" xfId="60" applyNumberFormat="1" applyFont="1" applyFill="1" applyBorder="1" applyAlignment="1">
      <alignment vertical="center" wrapText="1"/>
      <protection/>
    </xf>
    <xf numFmtId="3" fontId="3" fillId="0" borderId="76" xfId="60" applyNumberFormat="1" applyFont="1" applyFill="1" applyBorder="1" applyAlignment="1">
      <alignment vertical="center" wrapText="1"/>
      <protection/>
    </xf>
    <xf numFmtId="3" fontId="51" fillId="0" borderId="60" xfId="60" applyNumberFormat="1" applyFont="1" applyFill="1" applyBorder="1" applyAlignment="1">
      <alignment vertical="center"/>
      <protection/>
    </xf>
    <xf numFmtId="3" fontId="3" fillId="0" borderId="51" xfId="60" applyNumberFormat="1" applyFont="1" applyFill="1" applyBorder="1" applyAlignment="1">
      <alignment vertical="center"/>
      <protection/>
    </xf>
    <xf numFmtId="3" fontId="3" fillId="0" borderId="53" xfId="60" applyNumberFormat="1" applyFont="1" applyFill="1" applyBorder="1" applyAlignment="1">
      <alignment vertical="center"/>
      <protection/>
    </xf>
    <xf numFmtId="3" fontId="52" fillId="0" borderId="75" xfId="60" applyNumberFormat="1" applyFont="1" applyFill="1" applyBorder="1" applyAlignment="1">
      <alignment vertical="center"/>
      <protection/>
    </xf>
    <xf numFmtId="3" fontId="51" fillId="0" borderId="57" xfId="6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7" fillId="0" borderId="77" xfId="59" applyFont="1" applyBorder="1" applyAlignment="1">
      <alignment horizontal="center"/>
      <protection/>
    </xf>
    <xf numFmtId="0" fontId="27" fillId="0" borderId="24" xfId="59" applyFont="1" applyBorder="1">
      <alignment/>
      <protection/>
    </xf>
    <xf numFmtId="0" fontId="1" fillId="0" borderId="78" xfId="60" applyFont="1" applyFill="1" applyBorder="1" applyAlignment="1">
      <alignment horizontal="center" vertical="center" wrapText="1"/>
      <protection/>
    </xf>
    <xf numFmtId="0" fontId="27" fillId="0" borderId="79" xfId="59" applyFont="1" applyBorder="1" applyAlignment="1">
      <alignment horizontal="center"/>
      <protection/>
    </xf>
    <xf numFmtId="0" fontId="27" fillId="0" borderId="21" xfId="59" applyFont="1" applyBorder="1">
      <alignment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0" fontId="27" fillId="0" borderId="80" xfId="59" applyFont="1" applyBorder="1" applyAlignment="1">
      <alignment horizontal="center"/>
      <protection/>
    </xf>
    <xf numFmtId="0" fontId="27" fillId="0" borderId="58" xfId="59" applyFont="1" applyBorder="1">
      <alignment/>
      <protection/>
    </xf>
    <xf numFmtId="0" fontId="1" fillId="0" borderId="81" xfId="60" applyFont="1" applyFill="1" applyBorder="1" applyAlignment="1">
      <alignment horizontal="center" vertical="center" wrapText="1"/>
      <protection/>
    </xf>
    <xf numFmtId="0" fontId="32" fillId="0" borderId="82" xfId="59" applyFont="1" applyBorder="1">
      <alignment/>
      <protection/>
    </xf>
    <xf numFmtId="0" fontId="32" fillId="0" borderId="0" xfId="59" applyFont="1" applyBorder="1">
      <alignment/>
      <protection/>
    </xf>
    <xf numFmtId="0" fontId="32" fillId="0" borderId="83" xfId="59" applyFont="1" applyBorder="1">
      <alignment/>
      <protection/>
    </xf>
    <xf numFmtId="0" fontId="32" fillId="0" borderId="84" xfId="59" applyFont="1" applyBorder="1">
      <alignment/>
      <protection/>
    </xf>
    <xf numFmtId="0" fontId="32" fillId="0" borderId="85" xfId="59" applyFont="1" applyBorder="1">
      <alignment/>
      <protection/>
    </xf>
    <xf numFmtId="3" fontId="32" fillId="0" borderId="36" xfId="59" applyNumberFormat="1" applyFont="1" applyBorder="1">
      <alignment/>
      <protection/>
    </xf>
    <xf numFmtId="0" fontId="32" fillId="0" borderId="40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3" fontId="32" fillId="0" borderId="0" xfId="59" applyNumberFormat="1" applyFont="1" applyBorder="1">
      <alignment/>
      <protection/>
    </xf>
    <xf numFmtId="3" fontId="31" fillId="0" borderId="86" xfId="59" applyNumberFormat="1" applyFont="1" applyBorder="1" applyAlignment="1">
      <alignment horizontal="right" vertical="center"/>
      <protection/>
    </xf>
    <xf numFmtId="3" fontId="31" fillId="0" borderId="64" xfId="59" applyNumberFormat="1" applyFont="1" applyBorder="1" applyAlignment="1">
      <alignment horizontal="right" vertical="center"/>
      <protection/>
    </xf>
    <xf numFmtId="3" fontId="31" fillId="0" borderId="0" xfId="59" applyNumberFormat="1" applyFont="1" applyBorder="1" applyAlignment="1">
      <alignment horizontal="right" vertical="center"/>
      <protection/>
    </xf>
    <xf numFmtId="0" fontId="16" fillId="0" borderId="86" xfId="60" applyFont="1" applyFill="1" applyBorder="1" applyAlignment="1">
      <alignment horizontal="center" vertical="center" wrapText="1"/>
      <protection/>
    </xf>
    <xf numFmtId="0" fontId="16" fillId="0" borderId="64" xfId="60" applyFont="1" applyFill="1" applyBorder="1" applyAlignment="1">
      <alignment horizontal="center" vertical="center" wrapText="1"/>
      <protection/>
    </xf>
    <xf numFmtId="0" fontId="16" fillId="0" borderId="87" xfId="60" applyFont="1" applyFill="1" applyBorder="1" applyAlignment="1">
      <alignment horizontal="center" vertical="center" wrapText="1"/>
      <protection/>
    </xf>
    <xf numFmtId="3" fontId="31" fillId="0" borderId="82" xfId="59" applyNumberFormat="1" applyFont="1" applyBorder="1" applyAlignment="1">
      <alignment horizontal="right" vertical="center"/>
      <protection/>
    </xf>
    <xf numFmtId="3" fontId="32" fillId="0" borderId="88" xfId="59" applyNumberFormat="1" applyFont="1" applyBorder="1">
      <alignment/>
      <protection/>
    </xf>
    <xf numFmtId="0" fontId="32" fillId="0" borderId="64" xfId="59" applyFont="1" applyBorder="1">
      <alignment/>
      <protection/>
    </xf>
    <xf numFmtId="0" fontId="54" fillId="0" borderId="85" xfId="59" applyFont="1" applyBorder="1" applyAlignment="1">
      <alignment horizontal="right" vertical="center"/>
      <protection/>
    </xf>
    <xf numFmtId="0" fontId="55" fillId="0" borderId="82" xfId="59" applyFont="1" applyBorder="1" applyAlignment="1">
      <alignment horizontal="right"/>
      <protection/>
    </xf>
    <xf numFmtId="0" fontId="55" fillId="0" borderId="0" xfId="59" applyFont="1" applyBorder="1" applyAlignment="1">
      <alignment horizontal="right"/>
      <protection/>
    </xf>
    <xf numFmtId="0" fontId="55" fillId="0" borderId="84" xfId="59" applyFont="1" applyBorder="1" applyAlignment="1">
      <alignment horizontal="right"/>
      <protection/>
    </xf>
    <xf numFmtId="3" fontId="27" fillId="0" borderId="84" xfId="59" applyNumberFormat="1" applyFont="1" applyBorder="1" applyAlignment="1">
      <alignment horizontal="right"/>
      <protection/>
    </xf>
    <xf numFmtId="3" fontId="27" fillId="0" borderId="0" xfId="59" applyNumberFormat="1" applyFont="1" applyBorder="1">
      <alignment/>
      <protection/>
    </xf>
    <xf numFmtId="3" fontId="27" fillId="0" borderId="85" xfId="59" applyNumberFormat="1" applyFont="1" applyBorder="1">
      <alignment/>
      <protection/>
    </xf>
    <xf numFmtId="3" fontId="54" fillId="0" borderId="82" xfId="59" applyNumberFormat="1" applyFont="1" applyBorder="1" applyAlignment="1">
      <alignment horizontal="right" vertical="center"/>
      <protection/>
    </xf>
    <xf numFmtId="3" fontId="54" fillId="0" borderId="64" xfId="59" applyNumberFormat="1" applyFont="1" applyBorder="1" applyAlignment="1">
      <alignment horizontal="right" vertical="center"/>
      <protection/>
    </xf>
    <xf numFmtId="3" fontId="32" fillId="0" borderId="82" xfId="59" applyNumberFormat="1" applyFont="1" applyBorder="1">
      <alignment/>
      <protection/>
    </xf>
    <xf numFmtId="3" fontId="32" fillId="0" borderId="64" xfId="59" applyNumberFormat="1" applyFont="1" applyBorder="1">
      <alignment/>
      <protection/>
    </xf>
    <xf numFmtId="3" fontId="54" fillId="0" borderId="85" xfId="59" applyNumberFormat="1" applyFont="1" applyBorder="1" applyAlignment="1">
      <alignment horizontal="right" vertical="center"/>
      <protection/>
    </xf>
    <xf numFmtId="0" fontId="32" fillId="0" borderId="82" xfId="59" applyFont="1" applyBorder="1" applyAlignment="1">
      <alignment horizontal="right"/>
      <protection/>
    </xf>
    <xf numFmtId="0" fontId="32" fillId="0" borderId="0" xfId="59" applyFont="1" applyBorder="1" applyAlignment="1">
      <alignment horizontal="right"/>
      <protection/>
    </xf>
    <xf numFmtId="0" fontId="32" fillId="0" borderId="84" xfId="59" applyFont="1" applyBorder="1" applyAlignment="1">
      <alignment horizontal="right"/>
      <protection/>
    </xf>
    <xf numFmtId="0" fontId="32" fillId="0" borderId="82" xfId="59" applyFont="1" applyBorder="1" applyAlignment="1">
      <alignment horizontal="left"/>
      <protection/>
    </xf>
    <xf numFmtId="0" fontId="54" fillId="0" borderId="85" xfId="59" applyFont="1" applyBorder="1">
      <alignment/>
      <protection/>
    </xf>
    <xf numFmtId="3" fontId="54" fillId="0" borderId="82" xfId="59" applyNumberFormat="1" applyFont="1" applyBorder="1">
      <alignment/>
      <protection/>
    </xf>
    <xf numFmtId="3" fontId="54" fillId="0" borderId="64" xfId="59" applyNumberFormat="1" applyFont="1" applyBorder="1">
      <alignment/>
      <protection/>
    </xf>
    <xf numFmtId="3" fontId="54" fillId="0" borderId="88" xfId="59" applyNumberFormat="1" applyFont="1" applyBorder="1">
      <alignment/>
      <protection/>
    </xf>
    <xf numFmtId="3" fontId="54" fillId="0" borderId="85" xfId="59" applyNumberFormat="1" applyFont="1" applyBorder="1">
      <alignment/>
      <protection/>
    </xf>
    <xf numFmtId="0" fontId="19" fillId="0" borderId="82" xfId="59" applyBorder="1" applyAlignment="1">
      <alignment horizontal="right"/>
      <protection/>
    </xf>
    <xf numFmtId="0" fontId="19" fillId="0" borderId="0" xfId="59" applyBorder="1" applyAlignment="1">
      <alignment horizontal="right"/>
      <protection/>
    </xf>
    <xf numFmtId="0" fontId="19" fillId="0" borderId="84" xfId="59" applyBorder="1" applyAlignment="1">
      <alignment horizontal="right"/>
      <protection/>
    </xf>
    <xf numFmtId="0" fontId="19" fillId="0" borderId="0" xfId="59" applyBorder="1">
      <alignment/>
      <protection/>
    </xf>
    <xf numFmtId="0" fontId="19" fillId="0" borderId="85" xfId="59" applyBorder="1">
      <alignment/>
      <protection/>
    </xf>
    <xf numFmtId="3" fontId="32" fillId="0" borderId="0" xfId="59" applyNumberFormat="1" applyFont="1" applyFill="1" applyBorder="1">
      <alignment/>
      <protection/>
    </xf>
    <xf numFmtId="3" fontId="32" fillId="0" borderId="48" xfId="59" applyNumberFormat="1" applyFont="1" applyFill="1" applyBorder="1">
      <alignment/>
      <protection/>
    </xf>
    <xf numFmtId="0" fontId="19" fillId="0" borderId="0" xfId="59" applyFont="1" applyBorder="1">
      <alignment/>
      <protection/>
    </xf>
    <xf numFmtId="3" fontId="32" fillId="0" borderId="89" xfId="59" applyNumberFormat="1" applyFont="1" applyBorder="1">
      <alignment/>
      <protection/>
    </xf>
    <xf numFmtId="3" fontId="32" fillId="0" borderId="89" xfId="59" applyNumberFormat="1" applyFont="1" applyFill="1" applyBorder="1">
      <alignment/>
      <protection/>
    </xf>
    <xf numFmtId="0" fontId="19" fillId="0" borderId="82" xfId="59" applyBorder="1">
      <alignment/>
      <protection/>
    </xf>
    <xf numFmtId="0" fontId="32" fillId="0" borderId="0" xfId="59" applyFont="1" applyBorder="1" applyAlignment="1">
      <alignment horizontal="center"/>
      <protection/>
    </xf>
    <xf numFmtId="0" fontId="55" fillId="0" borderId="90" xfId="59" applyFont="1" applyBorder="1" applyAlignment="1">
      <alignment horizontal="right"/>
      <protection/>
    </xf>
    <xf numFmtId="3" fontId="27" fillId="0" borderId="91" xfId="59" applyNumberFormat="1" applyFont="1" applyBorder="1" applyAlignment="1">
      <alignment horizontal="right"/>
      <protection/>
    </xf>
    <xf numFmtId="3" fontId="27" fillId="0" borderId="38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3" fontId="31" fillId="0" borderId="46" xfId="59" applyNumberFormat="1" applyFont="1" applyBorder="1">
      <alignment/>
      <protection/>
    </xf>
    <xf numFmtId="3" fontId="19" fillId="0" borderId="38" xfId="59" applyNumberFormat="1" applyFont="1" applyBorder="1">
      <alignment/>
      <protection/>
    </xf>
    <xf numFmtId="0" fontId="32" fillId="0" borderId="90" xfId="59" applyFont="1" applyBorder="1" applyAlignment="1">
      <alignment horizontal="left"/>
      <protection/>
    </xf>
    <xf numFmtId="3" fontId="55" fillId="0" borderId="38" xfId="59" applyNumberFormat="1" applyFont="1" applyFill="1" applyBorder="1">
      <alignment/>
      <protection/>
    </xf>
    <xf numFmtId="3" fontId="31" fillId="0" borderId="90" xfId="59" applyNumberFormat="1" applyFont="1" applyBorder="1">
      <alignment/>
      <protection/>
    </xf>
    <xf numFmtId="3" fontId="54" fillId="0" borderId="93" xfId="59" applyNumberFormat="1" applyFont="1" applyBorder="1">
      <alignment/>
      <protection/>
    </xf>
    <xf numFmtId="3" fontId="54" fillId="0" borderId="91" xfId="59" applyNumberFormat="1" applyFont="1" applyBorder="1">
      <alignment/>
      <protection/>
    </xf>
    <xf numFmtId="3" fontId="54" fillId="0" borderId="94" xfId="59" applyNumberFormat="1" applyFont="1" applyBorder="1">
      <alignment/>
      <protection/>
    </xf>
    <xf numFmtId="3" fontId="54" fillId="0" borderId="92" xfId="59" applyNumberFormat="1" applyFont="1" applyBorder="1" applyAlignment="1">
      <alignment horizontal="right" vertical="center"/>
      <protection/>
    </xf>
    <xf numFmtId="0" fontId="19" fillId="0" borderId="40" xfId="59" applyBorder="1">
      <alignment/>
      <protection/>
    </xf>
    <xf numFmtId="0" fontId="19" fillId="0" borderId="84" xfId="59" applyBorder="1">
      <alignment/>
      <protection/>
    </xf>
    <xf numFmtId="0" fontId="19" fillId="0" borderId="64" xfId="59" applyBorder="1">
      <alignment/>
      <protection/>
    </xf>
    <xf numFmtId="3" fontId="32" fillId="0" borderId="48" xfId="59" applyNumberFormat="1" applyFont="1" applyBorder="1">
      <alignment/>
      <protection/>
    </xf>
    <xf numFmtId="0" fontId="19" fillId="0" borderId="95" xfId="59" applyBorder="1">
      <alignment/>
      <protection/>
    </xf>
    <xf numFmtId="0" fontId="19" fillId="0" borderId="96" xfId="59" applyBorder="1">
      <alignment/>
      <protection/>
    </xf>
    <xf numFmtId="0" fontId="19" fillId="0" borderId="97" xfId="59" applyBorder="1">
      <alignment/>
      <protection/>
    </xf>
    <xf numFmtId="3" fontId="54" fillId="0" borderId="98" xfId="59" applyNumberFormat="1" applyFont="1" applyBorder="1" applyAlignment="1">
      <alignment horizontal="right"/>
      <protection/>
    </xf>
    <xf numFmtId="3" fontId="54" fillId="0" borderId="64" xfId="59" applyNumberFormat="1" applyFont="1" applyBorder="1" applyAlignment="1">
      <alignment horizontal="right"/>
      <protection/>
    </xf>
    <xf numFmtId="3" fontId="27" fillId="0" borderId="64" xfId="59" applyNumberFormat="1" applyFont="1" applyBorder="1" applyAlignment="1">
      <alignment horizontal="right"/>
      <protection/>
    </xf>
    <xf numFmtId="3" fontId="54" fillId="0" borderId="82" xfId="59" applyNumberFormat="1" applyFont="1" applyBorder="1" applyAlignment="1">
      <alignment horizontal="right"/>
      <protection/>
    </xf>
    <xf numFmtId="0" fontId="55" fillId="0" borderId="99" xfId="59" applyFont="1" applyBorder="1" applyAlignment="1">
      <alignment horizontal="right"/>
      <protection/>
    </xf>
    <xf numFmtId="0" fontId="55" fillId="0" borderId="24" xfId="59" applyFont="1" applyBorder="1" applyAlignment="1">
      <alignment horizontal="right"/>
      <protection/>
    </xf>
    <xf numFmtId="0" fontId="55" fillId="0" borderId="75" xfId="59" applyFont="1" applyBorder="1" applyAlignment="1">
      <alignment horizontal="right"/>
      <protection/>
    </xf>
    <xf numFmtId="3" fontId="27" fillId="0" borderId="77" xfId="59" applyNumberFormat="1" applyFont="1" applyBorder="1" applyAlignment="1">
      <alignment horizontal="right"/>
      <protection/>
    </xf>
    <xf numFmtId="3" fontId="27" fillId="0" borderId="24" xfId="59" applyNumberFormat="1" applyFont="1" applyBorder="1">
      <alignment/>
      <protection/>
    </xf>
    <xf numFmtId="3" fontId="27" fillId="0" borderId="78" xfId="59" applyNumberFormat="1" applyFont="1" applyBorder="1">
      <alignment/>
      <protection/>
    </xf>
    <xf numFmtId="3" fontId="54" fillId="0" borderId="78" xfId="59" applyNumberFormat="1" applyFont="1" applyBorder="1" applyAlignment="1">
      <alignment horizontal="right" vertical="center"/>
      <protection/>
    </xf>
    <xf numFmtId="3" fontId="27" fillId="36" borderId="100" xfId="59" applyNumberFormat="1" applyFont="1" applyFill="1" applyBorder="1" applyAlignment="1">
      <alignment horizontal="right"/>
      <protection/>
    </xf>
    <xf numFmtId="3" fontId="27" fillId="36" borderId="37" xfId="59" applyNumberFormat="1" applyFont="1" applyFill="1" applyBorder="1">
      <alignment/>
      <protection/>
    </xf>
    <xf numFmtId="3" fontId="27" fillId="36" borderId="101" xfId="59" applyNumberFormat="1" applyFont="1" applyFill="1" applyBorder="1">
      <alignment/>
      <protection/>
    </xf>
    <xf numFmtId="0" fontId="19" fillId="36" borderId="37" xfId="59" applyFill="1" applyBorder="1">
      <alignment/>
      <protection/>
    </xf>
    <xf numFmtId="3" fontId="27" fillId="36" borderId="68" xfId="59" applyNumberFormat="1" applyFont="1" applyFill="1" applyBorder="1" applyAlignment="1">
      <alignment horizontal="right"/>
      <protection/>
    </xf>
    <xf numFmtId="0" fontId="19" fillId="36" borderId="102" xfId="59" applyFill="1" applyBorder="1">
      <alignment/>
      <protection/>
    </xf>
    <xf numFmtId="3" fontId="31" fillId="36" borderId="103" xfId="59" applyNumberFormat="1" applyFont="1" applyFill="1" applyBorder="1" applyAlignment="1">
      <alignment horizontal="right"/>
      <protection/>
    </xf>
    <xf numFmtId="0" fontId="19" fillId="36" borderId="65" xfId="59" applyFill="1" applyBorder="1">
      <alignment/>
      <protection/>
    </xf>
    <xf numFmtId="3" fontId="31" fillId="36" borderId="102" xfId="59" applyNumberFormat="1" applyFont="1" applyFill="1" applyBorder="1" applyAlignment="1">
      <alignment horizontal="right"/>
      <protection/>
    </xf>
    <xf numFmtId="3" fontId="54" fillId="36" borderId="104" xfId="59" applyNumberFormat="1" applyFont="1" applyFill="1" applyBorder="1" applyAlignment="1">
      <alignment horizontal="right"/>
      <protection/>
    </xf>
    <xf numFmtId="3" fontId="54" fillId="36" borderId="66" xfId="59" applyNumberFormat="1" applyFont="1" applyFill="1" applyBorder="1" applyAlignment="1">
      <alignment horizontal="right"/>
      <protection/>
    </xf>
    <xf numFmtId="3" fontId="54" fillId="36" borderId="105" xfId="59" applyNumberFormat="1" applyFont="1" applyFill="1" applyBorder="1">
      <alignment/>
      <protection/>
    </xf>
    <xf numFmtId="3" fontId="54" fillId="36" borderId="104" xfId="59" applyNumberFormat="1" applyFont="1" applyFill="1" applyBorder="1">
      <alignment/>
      <protection/>
    </xf>
    <xf numFmtId="3" fontId="54" fillId="36" borderId="66" xfId="59" applyNumberFormat="1" applyFont="1" applyFill="1" applyBorder="1">
      <alignment/>
      <protection/>
    </xf>
    <xf numFmtId="0" fontId="27" fillId="0" borderId="99" xfId="59" applyFont="1" applyBorder="1" applyAlignment="1">
      <alignment horizontal="center"/>
      <protection/>
    </xf>
    <xf numFmtId="0" fontId="27" fillId="0" borderId="106" xfId="59" applyFont="1" applyBorder="1">
      <alignment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27" fillId="0" borderId="24" xfId="59" applyFont="1" applyBorder="1" applyAlignment="1">
      <alignment horizontal="center"/>
      <protection/>
    </xf>
    <xf numFmtId="0" fontId="31" fillId="0" borderId="0" xfId="59" applyFont="1" applyBorder="1" applyAlignment="1">
      <alignment horizontal="right" vertical="center"/>
      <protection/>
    </xf>
    <xf numFmtId="0" fontId="31" fillId="0" borderId="107" xfId="59" applyFont="1" applyBorder="1" applyAlignment="1">
      <alignment horizontal="right" vertical="center"/>
      <protection/>
    </xf>
    <xf numFmtId="0" fontId="32" fillId="0" borderId="88" xfId="59" applyFont="1" applyBorder="1">
      <alignment/>
      <protection/>
    </xf>
    <xf numFmtId="0" fontId="19" fillId="0" borderId="64" xfId="59" applyBorder="1" applyAlignment="1">
      <alignment horizontal="right"/>
      <protection/>
    </xf>
    <xf numFmtId="3" fontId="54" fillId="0" borderId="0" xfId="59" applyNumberFormat="1" applyFont="1" applyBorder="1" applyAlignment="1">
      <alignment horizontal="right" vertical="center"/>
      <protection/>
    </xf>
    <xf numFmtId="3" fontId="19" fillId="0" borderId="64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85" xfId="59" applyNumberFormat="1" applyFont="1" applyBorder="1">
      <alignment/>
      <protection/>
    </xf>
    <xf numFmtId="3" fontId="19" fillId="0" borderId="78" xfId="59" applyNumberFormat="1" applyFont="1" applyBorder="1">
      <alignment/>
      <protection/>
    </xf>
    <xf numFmtId="3" fontId="32" fillId="0" borderId="24" xfId="59" applyNumberFormat="1" applyFont="1" applyBorder="1">
      <alignment/>
      <protection/>
    </xf>
    <xf numFmtId="3" fontId="32" fillId="0" borderId="77" xfId="59" applyNumberFormat="1" applyFont="1" applyBorder="1">
      <alignment/>
      <protection/>
    </xf>
    <xf numFmtId="3" fontId="32" fillId="0" borderId="108" xfId="59" applyNumberFormat="1" applyFont="1" applyBorder="1">
      <alignment/>
      <protection/>
    </xf>
    <xf numFmtId="3" fontId="32" fillId="0" borderId="79" xfId="59" applyNumberFormat="1" applyFont="1" applyBorder="1">
      <alignment/>
      <protection/>
    </xf>
    <xf numFmtId="0" fontId="19" fillId="0" borderId="80" xfId="59" applyBorder="1">
      <alignment/>
      <protection/>
    </xf>
    <xf numFmtId="3" fontId="27" fillId="0" borderId="58" xfId="59" applyNumberFormat="1" applyFont="1" applyBorder="1" applyAlignment="1">
      <alignment horizontal="right"/>
      <protection/>
    </xf>
    <xf numFmtId="3" fontId="27" fillId="0" borderId="109" xfId="59" applyNumberFormat="1" applyFont="1" applyBorder="1">
      <alignment/>
      <protection/>
    </xf>
    <xf numFmtId="3" fontId="27" fillId="0" borderId="81" xfId="59" applyNumberFormat="1" applyFont="1" applyBorder="1">
      <alignment/>
      <protection/>
    </xf>
    <xf numFmtId="3" fontId="32" fillId="35" borderId="110" xfId="59" applyNumberFormat="1" applyFont="1" applyFill="1" applyBorder="1" applyAlignment="1">
      <alignment/>
      <protection/>
    </xf>
    <xf numFmtId="3" fontId="31" fillId="0" borderId="56" xfId="59" applyNumberFormat="1" applyFont="1" applyBorder="1" applyAlignment="1">
      <alignment horizontal="right"/>
      <protection/>
    </xf>
    <xf numFmtId="0" fontId="19" fillId="0" borderId="57" xfId="59" applyBorder="1">
      <alignment/>
      <protection/>
    </xf>
    <xf numFmtId="0" fontId="19" fillId="0" borderId="109" xfId="59" applyBorder="1">
      <alignment/>
      <protection/>
    </xf>
    <xf numFmtId="3" fontId="19" fillId="0" borderId="110" xfId="59" applyNumberFormat="1" applyBorder="1">
      <alignment/>
      <protection/>
    </xf>
    <xf numFmtId="0" fontId="19" fillId="0" borderId="110" xfId="59" applyBorder="1">
      <alignment/>
      <protection/>
    </xf>
    <xf numFmtId="3" fontId="31" fillId="0" borderId="111" xfId="59" applyNumberFormat="1" applyFont="1" applyBorder="1" applyAlignment="1">
      <alignment horizontal="right"/>
      <protection/>
    </xf>
    <xf numFmtId="3" fontId="54" fillId="0" borderId="24" xfId="59" applyNumberFormat="1" applyFont="1" applyBorder="1" applyAlignment="1">
      <alignment horizontal="right"/>
      <protection/>
    </xf>
    <xf numFmtId="3" fontId="54" fillId="0" borderId="77" xfId="59" applyNumberFormat="1" applyFont="1" applyBorder="1" applyAlignment="1">
      <alignment horizontal="right"/>
      <protection/>
    </xf>
    <xf numFmtId="3" fontId="54" fillId="0" borderId="108" xfId="59" applyNumberFormat="1" applyFont="1" applyBorder="1">
      <alignment/>
      <protection/>
    </xf>
    <xf numFmtId="3" fontId="54" fillId="0" borderId="80" xfId="59" applyNumberFormat="1" applyFont="1" applyBorder="1">
      <alignment/>
      <protection/>
    </xf>
    <xf numFmtId="3" fontId="54" fillId="0" borderId="58" xfId="59" applyNumberFormat="1" applyFont="1" applyBorder="1">
      <alignment/>
      <protection/>
    </xf>
    <xf numFmtId="3" fontId="54" fillId="0" borderId="81" xfId="59" applyNumberFormat="1" applyFont="1" applyBorder="1" applyAlignment="1">
      <alignment horizontal="right" vertical="center"/>
      <protection/>
    </xf>
    <xf numFmtId="0" fontId="32" fillId="35" borderId="0" xfId="59" applyFont="1" applyFill="1" applyBorder="1" applyAlignment="1">
      <alignment/>
      <protection/>
    </xf>
    <xf numFmtId="3" fontId="31" fillId="0" borderId="39" xfId="59" applyNumberFormat="1" applyFont="1" applyBorder="1" applyAlignment="1">
      <alignment horizontal="right"/>
      <protection/>
    </xf>
    <xf numFmtId="3" fontId="19" fillId="0" borderId="0" xfId="59" applyNumberFormat="1" applyBorder="1">
      <alignment/>
      <protection/>
    </xf>
    <xf numFmtId="3" fontId="31" fillId="0" borderId="112" xfId="59" applyNumberFormat="1" applyFont="1" applyBorder="1" applyAlignment="1">
      <alignment horizontal="right"/>
      <protection/>
    </xf>
    <xf numFmtId="3" fontId="54" fillId="0" borderId="0" xfId="59" applyNumberFormat="1" applyFont="1" applyBorder="1" applyAlignment="1">
      <alignment horizontal="right"/>
      <protection/>
    </xf>
    <xf numFmtId="0" fontId="32" fillId="36" borderId="113" xfId="59" applyFont="1" applyFill="1" applyBorder="1" applyAlignment="1">
      <alignment horizontal="left"/>
      <protection/>
    </xf>
    <xf numFmtId="3" fontId="31" fillId="36" borderId="114" xfId="59" applyNumberFormat="1" applyFont="1" applyFill="1" applyBorder="1" applyAlignment="1">
      <alignment horizontal="right"/>
      <protection/>
    </xf>
    <xf numFmtId="3" fontId="54" fillId="36" borderId="37" xfId="59" applyNumberFormat="1" applyFont="1" applyFill="1" applyBorder="1" applyAlignment="1">
      <alignment horizontal="right"/>
      <protection/>
    </xf>
    <xf numFmtId="3" fontId="54" fillId="36" borderId="100" xfId="59" applyNumberFormat="1" applyFont="1" applyFill="1" applyBorder="1" applyAlignment="1">
      <alignment horizontal="right"/>
      <protection/>
    </xf>
    <xf numFmtId="3" fontId="54" fillId="36" borderId="115" xfId="59" applyNumberFormat="1" applyFont="1" applyFill="1" applyBorder="1">
      <alignment/>
      <protection/>
    </xf>
    <xf numFmtId="3" fontId="54" fillId="36" borderId="113" xfId="59" applyNumberFormat="1" applyFont="1" applyFill="1" applyBorder="1">
      <alignment/>
      <protection/>
    </xf>
    <xf numFmtId="3" fontId="54" fillId="36" borderId="100" xfId="59" applyNumberFormat="1" applyFont="1" applyFill="1" applyBorder="1">
      <alignment/>
      <protection/>
    </xf>
    <xf numFmtId="3" fontId="54" fillId="36" borderId="101" xfId="59" applyNumberFormat="1" applyFont="1" applyFill="1" applyBorder="1" applyAlignment="1">
      <alignment horizontal="right" vertical="center"/>
      <protection/>
    </xf>
    <xf numFmtId="0" fontId="19" fillId="0" borderId="113" xfId="59" applyBorder="1">
      <alignment/>
      <protection/>
    </xf>
    <xf numFmtId="0" fontId="19" fillId="0" borderId="37" xfId="59" applyBorder="1" applyAlignment="1">
      <alignment horizontal="right"/>
      <protection/>
    </xf>
    <xf numFmtId="0" fontId="19" fillId="0" borderId="100" xfId="59" applyBorder="1" applyAlignment="1">
      <alignment horizontal="right"/>
      <protection/>
    </xf>
    <xf numFmtId="0" fontId="19" fillId="0" borderId="37" xfId="59" applyBorder="1">
      <alignment/>
      <protection/>
    </xf>
    <xf numFmtId="0" fontId="19" fillId="0" borderId="101" xfId="59" applyBorder="1">
      <alignment/>
      <protection/>
    </xf>
    <xf numFmtId="0" fontId="19" fillId="0" borderId="37" xfId="59" applyBorder="1" applyAlignment="1">
      <alignment/>
      <protection/>
    </xf>
    <xf numFmtId="0" fontId="31" fillId="0" borderId="103" xfId="59" applyFont="1" applyBorder="1" applyAlignment="1">
      <alignment horizontal="right"/>
      <protection/>
    </xf>
    <xf numFmtId="0" fontId="19" fillId="0" borderId="102" xfId="59" applyBorder="1">
      <alignment/>
      <protection/>
    </xf>
    <xf numFmtId="3" fontId="31" fillId="0" borderId="114" xfId="59" applyNumberFormat="1" applyFont="1" applyBorder="1" applyAlignment="1">
      <alignment horizontal="right"/>
      <protection/>
    </xf>
    <xf numFmtId="0" fontId="31" fillId="0" borderId="37" xfId="59" applyFont="1" applyBorder="1" applyAlignment="1">
      <alignment horizontal="right"/>
      <protection/>
    </xf>
    <xf numFmtId="0" fontId="31" fillId="0" borderId="100" xfId="59" applyFont="1" applyBorder="1" applyAlignment="1">
      <alignment horizontal="right"/>
      <protection/>
    </xf>
    <xf numFmtId="0" fontId="19" fillId="0" borderId="115" xfId="59" applyBorder="1">
      <alignment/>
      <protection/>
    </xf>
    <xf numFmtId="0" fontId="19" fillId="0" borderId="100" xfId="59" applyBorder="1">
      <alignment/>
      <protection/>
    </xf>
    <xf numFmtId="0" fontId="54" fillId="0" borderId="92" xfId="59" applyFont="1" applyBorder="1" applyAlignment="1">
      <alignment horizontal="right" vertical="center"/>
      <protection/>
    </xf>
    <xf numFmtId="0" fontId="19" fillId="0" borderId="0" xfId="59">
      <alignment/>
      <protection/>
    </xf>
    <xf numFmtId="0" fontId="19" fillId="0" borderId="39" xfId="59" applyBorder="1">
      <alignment/>
      <protection/>
    </xf>
    <xf numFmtId="0" fontId="19" fillId="0" borderId="88" xfId="59" applyBorder="1">
      <alignment/>
      <protection/>
    </xf>
    <xf numFmtId="3" fontId="54" fillId="0" borderId="0" xfId="59" applyNumberFormat="1" applyFont="1" applyBorder="1">
      <alignment/>
      <protection/>
    </xf>
    <xf numFmtId="3" fontId="54" fillId="0" borderId="98" xfId="59" applyNumberFormat="1" applyFont="1" applyBorder="1">
      <alignment/>
      <protection/>
    </xf>
    <xf numFmtId="0" fontId="19" fillId="0" borderId="48" xfId="59" applyBorder="1">
      <alignment/>
      <protection/>
    </xf>
    <xf numFmtId="3" fontId="31" fillId="0" borderId="112" xfId="59" applyNumberFormat="1" applyFont="1" applyBorder="1" applyAlignment="1">
      <alignment vertical="center"/>
      <protection/>
    </xf>
    <xf numFmtId="3" fontId="31" fillId="0" borderId="78" xfId="59" applyNumberFormat="1" applyFont="1" applyBorder="1">
      <alignment/>
      <protection/>
    </xf>
    <xf numFmtId="3" fontId="31" fillId="0" borderId="116" xfId="59" applyNumberFormat="1" applyFont="1" applyBorder="1" applyAlignment="1">
      <alignment vertical="center"/>
      <protection/>
    </xf>
    <xf numFmtId="3" fontId="54" fillId="0" borderId="79" xfId="59" applyNumberFormat="1" applyFont="1" applyBorder="1" applyAlignment="1">
      <alignment horizontal="right" vertical="center"/>
      <protection/>
    </xf>
    <xf numFmtId="3" fontId="54" fillId="0" borderId="77" xfId="59" applyNumberFormat="1" applyFont="1" applyBorder="1" applyAlignment="1">
      <alignment horizontal="right" vertical="center"/>
      <protection/>
    </xf>
    <xf numFmtId="3" fontId="54" fillId="0" borderId="79" xfId="59" applyNumberFormat="1" applyFont="1" applyBorder="1">
      <alignment/>
      <protection/>
    </xf>
    <xf numFmtId="3" fontId="54" fillId="0" borderId="77" xfId="59" applyNumberFormat="1" applyFont="1" applyBorder="1">
      <alignment/>
      <protection/>
    </xf>
    <xf numFmtId="3" fontId="27" fillId="36" borderId="117" xfId="59" applyNumberFormat="1" applyFont="1" applyFill="1" applyBorder="1">
      <alignment/>
      <protection/>
    </xf>
    <xf numFmtId="0" fontId="32" fillId="36" borderId="0" xfId="59" applyFont="1" applyFill="1" applyBorder="1" applyAlignment="1">
      <alignment horizontal="left" wrapText="1"/>
      <protection/>
    </xf>
    <xf numFmtId="3" fontId="31" fillId="36" borderId="39" xfId="59" applyNumberFormat="1" applyFont="1" applyFill="1" applyBorder="1">
      <alignment/>
      <protection/>
    </xf>
    <xf numFmtId="3" fontId="31" fillId="36" borderId="102" xfId="59" applyNumberFormat="1" applyFont="1" applyFill="1" applyBorder="1">
      <alignment/>
      <protection/>
    </xf>
    <xf numFmtId="3" fontId="54" fillId="36" borderId="118" xfId="59" applyNumberFormat="1" applyFont="1" applyFill="1" applyBorder="1">
      <alignment/>
      <protection/>
    </xf>
    <xf numFmtId="3" fontId="54" fillId="36" borderId="91" xfId="59" applyNumberFormat="1" applyFont="1" applyFill="1" applyBorder="1">
      <alignment/>
      <protection/>
    </xf>
    <xf numFmtId="3" fontId="54" fillId="36" borderId="92" xfId="59" applyNumberFormat="1" applyFont="1" applyFill="1" applyBorder="1">
      <alignment/>
      <protection/>
    </xf>
    <xf numFmtId="3" fontId="54" fillId="36" borderId="119" xfId="59" applyNumberFormat="1" applyFont="1" applyFill="1" applyBorder="1">
      <alignment/>
      <protection/>
    </xf>
    <xf numFmtId="3" fontId="56" fillId="0" borderId="91" xfId="59" applyNumberFormat="1" applyFont="1" applyBorder="1" applyAlignment="1">
      <alignment horizontal="center"/>
      <protection/>
    </xf>
    <xf numFmtId="3" fontId="56" fillId="0" borderId="120" xfId="59" applyNumberFormat="1" applyFont="1" applyBorder="1" applyAlignment="1">
      <alignment horizontal="center"/>
      <protection/>
    </xf>
    <xf numFmtId="3" fontId="56" fillId="0" borderId="121" xfId="59" applyNumberFormat="1" applyFont="1" applyBorder="1">
      <alignment/>
      <protection/>
    </xf>
    <xf numFmtId="3" fontId="31" fillId="0" borderId="90" xfId="59" applyNumberFormat="1" applyFont="1" applyBorder="1" applyAlignment="1">
      <alignment horizontal="right" vertical="center"/>
      <protection/>
    </xf>
    <xf numFmtId="0" fontId="19" fillId="0" borderId="90" xfId="59" applyBorder="1">
      <alignment/>
      <protection/>
    </xf>
    <xf numFmtId="0" fontId="19" fillId="0" borderId="38" xfId="59" applyBorder="1">
      <alignment/>
      <protection/>
    </xf>
    <xf numFmtId="3" fontId="57" fillId="0" borderId="91" xfId="59" applyNumberFormat="1" applyFont="1" applyBorder="1">
      <alignment/>
      <protection/>
    </xf>
    <xf numFmtId="3" fontId="57" fillId="0" borderId="38" xfId="59" applyNumberFormat="1" applyFont="1" applyBorder="1">
      <alignment/>
      <protection/>
    </xf>
    <xf numFmtId="3" fontId="57" fillId="0" borderId="92" xfId="59" applyNumberFormat="1" applyFont="1" applyBorder="1">
      <alignment/>
      <protection/>
    </xf>
    <xf numFmtId="0" fontId="32" fillId="0" borderId="35" xfId="59" applyFont="1" applyBorder="1" applyAlignment="1">
      <alignment horizontal="left"/>
      <protection/>
    </xf>
    <xf numFmtId="0" fontId="32" fillId="0" borderId="35" xfId="59" applyFont="1" applyBorder="1">
      <alignment/>
      <protection/>
    </xf>
    <xf numFmtId="0" fontId="19" fillId="0" borderId="35" xfId="59" applyBorder="1">
      <alignment/>
      <protection/>
    </xf>
    <xf numFmtId="0" fontId="55" fillId="0" borderId="40" xfId="59" applyFont="1" applyBorder="1" applyAlignment="1">
      <alignment horizontal="right"/>
      <protection/>
    </xf>
    <xf numFmtId="3" fontId="27" fillId="36" borderId="66" xfId="59" applyNumberFormat="1" applyFont="1" applyFill="1" applyBorder="1">
      <alignment/>
      <protection/>
    </xf>
    <xf numFmtId="3" fontId="27" fillId="36" borderId="122" xfId="59" applyNumberFormat="1" applyFont="1" applyFill="1" applyBorder="1">
      <alignment/>
      <protection/>
    </xf>
    <xf numFmtId="3" fontId="75" fillId="0" borderId="0" xfId="59" applyNumberFormat="1" applyFont="1" applyBorder="1">
      <alignment/>
      <protection/>
    </xf>
    <xf numFmtId="0" fontId="75" fillId="0" borderId="0" xfId="59" applyFont="1" applyBorder="1" applyAlignment="1">
      <alignment horizontal="left"/>
      <protection/>
    </xf>
    <xf numFmtId="0" fontId="75" fillId="0" borderId="82" xfId="59" applyFont="1" applyBorder="1" applyAlignment="1">
      <alignment horizontal="left"/>
      <protection/>
    </xf>
    <xf numFmtId="0" fontId="75" fillId="0" borderId="36" xfId="59" applyFont="1" applyBorder="1">
      <alignment/>
      <protection/>
    </xf>
    <xf numFmtId="0" fontId="75" fillId="0" borderId="0" xfId="59" applyFont="1" applyBorder="1">
      <alignment/>
      <protection/>
    </xf>
    <xf numFmtId="0" fontId="76" fillId="0" borderId="82" xfId="59" applyFont="1" applyBorder="1">
      <alignment/>
      <protection/>
    </xf>
    <xf numFmtId="0" fontId="76" fillId="0" borderId="0" xfId="59" applyFont="1" applyBorder="1">
      <alignment/>
      <protection/>
    </xf>
    <xf numFmtId="3" fontId="75" fillId="0" borderId="48" xfId="59" applyNumberFormat="1" applyFont="1" applyBorder="1">
      <alignment/>
      <protection/>
    </xf>
    <xf numFmtId="0" fontId="75" fillId="0" borderId="86" xfId="59" applyFont="1" applyBorder="1" applyAlignment="1">
      <alignment horizontal="left"/>
      <protection/>
    </xf>
    <xf numFmtId="0" fontId="75" fillId="0" borderId="36" xfId="59" applyFont="1" applyBorder="1" applyAlignment="1">
      <alignment horizontal="left"/>
      <protection/>
    </xf>
    <xf numFmtId="3" fontId="75" fillId="0" borderId="89" xfId="59" applyNumberFormat="1" applyFont="1" applyFill="1" applyBorder="1">
      <alignment/>
      <protection/>
    </xf>
    <xf numFmtId="0" fontId="76" fillId="0" borderId="79" xfId="59" applyFont="1" applyBorder="1">
      <alignment/>
      <protection/>
    </xf>
    <xf numFmtId="0" fontId="76" fillId="0" borderId="24" xfId="59" applyFont="1" applyBorder="1">
      <alignment/>
      <protection/>
    </xf>
    <xf numFmtId="0" fontId="76" fillId="0" borderId="123" xfId="59" applyFont="1" applyBorder="1">
      <alignment/>
      <protection/>
    </xf>
    <xf numFmtId="3" fontId="75" fillId="0" borderId="48" xfId="59" applyNumberFormat="1" applyFont="1" applyFill="1" applyBorder="1">
      <alignment/>
      <protection/>
    </xf>
    <xf numFmtId="3" fontId="75" fillId="0" borderId="38" xfId="59" applyNumberFormat="1" applyFont="1" applyBorder="1">
      <alignment/>
      <protection/>
    </xf>
    <xf numFmtId="0" fontId="75" fillId="0" borderId="40" xfId="59" applyFont="1" applyBorder="1" applyAlignment="1">
      <alignment horizontal="left"/>
      <protection/>
    </xf>
    <xf numFmtId="3" fontId="75" fillId="0" borderId="123" xfId="59" applyNumberFormat="1" applyFont="1" applyFill="1" applyBorder="1">
      <alignment/>
      <protection/>
    </xf>
    <xf numFmtId="3" fontId="75" fillId="0" borderId="0" xfId="59" applyNumberFormat="1" applyFont="1" applyFill="1" applyBorder="1">
      <alignment/>
      <protection/>
    </xf>
    <xf numFmtId="3" fontId="75" fillId="0" borderId="0" xfId="59" applyNumberFormat="1" applyFont="1">
      <alignment/>
      <protection/>
    </xf>
    <xf numFmtId="0" fontId="0" fillId="0" borderId="40" xfId="0" applyBorder="1" applyAlignment="1">
      <alignment/>
    </xf>
    <xf numFmtId="3" fontId="32" fillId="0" borderId="0" xfId="59" applyNumberFormat="1" applyFont="1" applyBorder="1" applyAlignment="1">
      <alignment horizontal="right"/>
      <protection/>
    </xf>
    <xf numFmtId="3" fontId="32" fillId="0" borderId="0" xfId="59" applyNumberFormat="1" applyFont="1">
      <alignment/>
      <protection/>
    </xf>
    <xf numFmtId="0" fontId="32" fillId="0" borderId="48" xfId="59" applyFont="1" applyBorder="1">
      <alignment/>
      <protection/>
    </xf>
    <xf numFmtId="3" fontId="31" fillId="36" borderId="68" xfId="59" applyNumberFormat="1" applyFont="1" applyFill="1" applyBorder="1">
      <alignment/>
      <protection/>
    </xf>
    <xf numFmtId="0" fontId="19" fillId="36" borderId="124" xfId="59" applyFill="1" applyBorder="1">
      <alignment/>
      <protection/>
    </xf>
    <xf numFmtId="3" fontId="54" fillId="36" borderId="125" xfId="59" applyNumberFormat="1" applyFont="1" applyFill="1" applyBorder="1">
      <alignment/>
      <protection/>
    </xf>
    <xf numFmtId="0" fontId="19" fillId="0" borderId="126" xfId="59" applyBorder="1">
      <alignment/>
      <protection/>
    </xf>
    <xf numFmtId="0" fontId="11" fillId="0" borderId="0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/>
    </xf>
    <xf numFmtId="3" fontId="20" fillId="35" borderId="25" xfId="62" applyNumberFormat="1" applyFont="1" applyFill="1" applyBorder="1" applyAlignment="1">
      <alignment horizontal="right" vertical="center" wrapText="1"/>
      <protection/>
    </xf>
    <xf numFmtId="4" fontId="27" fillId="0" borderId="28" xfId="61" applyNumberFormat="1" applyFont="1" applyBorder="1">
      <alignment/>
      <protection/>
    </xf>
    <xf numFmtId="169" fontId="19" fillId="0" borderId="28" xfId="61" applyNumberFormat="1" applyBorder="1">
      <alignment/>
      <protection/>
    </xf>
    <xf numFmtId="169" fontId="27" fillId="0" borderId="28" xfId="61" applyNumberFormat="1" applyFont="1" applyBorder="1">
      <alignment/>
      <protection/>
    </xf>
    <xf numFmtId="169" fontId="19" fillId="0" borderId="20" xfId="61" applyNumberFormat="1" applyBorder="1">
      <alignment/>
      <protection/>
    </xf>
    <xf numFmtId="169" fontId="27" fillId="0" borderId="20" xfId="61" applyNumberFormat="1" applyFont="1" applyBorder="1">
      <alignment/>
      <protection/>
    </xf>
    <xf numFmtId="0" fontId="19" fillId="0" borderId="17" xfId="61" applyFont="1" applyBorder="1" applyAlignment="1">
      <alignment wrapText="1"/>
      <protection/>
    </xf>
    <xf numFmtId="4" fontId="19" fillId="0" borderId="28" xfId="61" applyNumberFormat="1" applyBorder="1">
      <alignment/>
      <protection/>
    </xf>
    <xf numFmtId="3" fontId="27" fillId="6" borderId="50" xfId="0" applyNumberFormat="1" applyFont="1" applyFill="1" applyBorder="1" applyAlignment="1">
      <alignment/>
    </xf>
    <xf numFmtId="3" fontId="27" fillId="6" borderId="127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24" borderId="25" xfId="0" applyFont="1" applyFill="1" applyBorder="1" applyAlignment="1">
      <alignment/>
    </xf>
    <xf numFmtId="0" fontId="27" fillId="0" borderId="28" xfId="0" applyFont="1" applyBorder="1" applyAlignment="1">
      <alignment horizontal="center"/>
    </xf>
    <xf numFmtId="0" fontId="27" fillId="32" borderId="28" xfId="0" applyFont="1" applyFill="1" applyBorder="1" applyAlignment="1">
      <alignment/>
    </xf>
    <xf numFmtId="0" fontId="19" fillId="33" borderId="28" xfId="0" applyFont="1" applyFill="1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8" xfId="0" applyFont="1" applyBorder="1" applyAlignment="1">
      <alignment/>
    </xf>
    <xf numFmtId="0" fontId="27" fillId="32" borderId="28" xfId="0" applyFont="1" applyFill="1" applyBorder="1" applyAlignment="1">
      <alignment vertical="center" wrapText="1"/>
    </xf>
    <xf numFmtId="49" fontId="32" fillId="0" borderId="28" xfId="0" applyNumberFormat="1" applyFont="1" applyBorder="1" applyAlignment="1">
      <alignment/>
    </xf>
    <xf numFmtId="49" fontId="32" fillId="0" borderId="28" xfId="0" applyNumberFormat="1" applyFont="1" applyBorder="1" applyAlignment="1">
      <alignment wrapText="1"/>
    </xf>
    <xf numFmtId="0" fontId="27" fillId="0" borderId="28" xfId="0" applyFont="1" applyFill="1" applyBorder="1" applyAlignment="1">
      <alignment/>
    </xf>
    <xf numFmtId="49" fontId="33" fillId="0" borderId="28" xfId="0" applyNumberFormat="1" applyFont="1" applyBorder="1" applyAlignment="1">
      <alignment/>
    </xf>
    <xf numFmtId="0" fontId="27" fillId="7" borderId="28" xfId="0" applyFont="1" applyFill="1" applyBorder="1" applyAlignment="1">
      <alignment wrapText="1"/>
    </xf>
    <xf numFmtId="0" fontId="19" fillId="0" borderId="28" xfId="0" applyFont="1" applyFill="1" applyBorder="1" applyAlignment="1">
      <alignment wrapText="1"/>
    </xf>
    <xf numFmtId="0" fontId="27" fillId="33" borderId="28" xfId="0" applyFont="1" applyFill="1" applyBorder="1" applyAlignment="1">
      <alignment wrapText="1"/>
    </xf>
    <xf numFmtId="0" fontId="27" fillId="33" borderId="25" xfId="0" applyFont="1" applyFill="1" applyBorder="1" applyAlignment="1">
      <alignment/>
    </xf>
    <xf numFmtId="0" fontId="55" fillId="0" borderId="0" xfId="0" applyFont="1" applyAlignment="1">
      <alignment/>
    </xf>
    <xf numFmtId="3" fontId="20" fillId="0" borderId="25" xfId="62" applyNumberFormat="1" applyFont="1" applyFill="1" applyBorder="1" applyAlignment="1">
      <alignment horizontal="right" vertical="center" wrapText="1"/>
      <protection/>
    </xf>
    <xf numFmtId="0" fontId="75" fillId="0" borderId="24" xfId="59" applyFont="1" applyBorder="1" applyAlignment="1">
      <alignment horizontal="left"/>
      <protection/>
    </xf>
    <xf numFmtId="0" fontId="75" fillId="0" borderId="79" xfId="59" applyFont="1" applyBorder="1" applyAlignment="1">
      <alignment horizontal="left"/>
      <protection/>
    </xf>
    <xf numFmtId="0" fontId="50" fillId="0" borderId="25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4" fillId="0" borderId="17" xfId="60" applyFont="1" applyFill="1" applyBorder="1" applyAlignment="1">
      <alignment vertical="center" wrapText="1"/>
      <protection/>
    </xf>
    <xf numFmtId="3" fontId="3" fillId="0" borderId="62" xfId="60" applyNumberFormat="1" applyFont="1" applyFill="1" applyBorder="1" applyAlignment="1">
      <alignment vertical="center" wrapText="1"/>
      <protection/>
    </xf>
    <xf numFmtId="3" fontId="3" fillId="0" borderId="27" xfId="60" applyNumberFormat="1" applyFont="1" applyFill="1" applyBorder="1" applyAlignment="1">
      <alignment vertical="center" wrapText="1"/>
      <protection/>
    </xf>
    <xf numFmtId="3" fontId="5" fillId="0" borderId="26" xfId="60" applyNumberFormat="1" applyFont="1" applyFill="1" applyBorder="1" applyAlignment="1">
      <alignment vertical="center"/>
      <protection/>
    </xf>
    <xf numFmtId="3" fontId="5" fillId="0" borderId="27" xfId="60" applyNumberFormat="1" applyFont="1" applyFill="1" applyBorder="1" applyAlignment="1">
      <alignment vertical="center"/>
      <protection/>
    </xf>
    <xf numFmtId="0" fontId="4" fillId="0" borderId="18" xfId="60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/>
      <protection/>
    </xf>
    <xf numFmtId="3" fontId="48" fillId="0" borderId="13" xfId="60" applyNumberFormat="1" applyFont="1" applyFill="1" applyBorder="1" applyAlignment="1">
      <alignment vertical="center"/>
      <protection/>
    </xf>
    <xf numFmtId="49" fontId="4" fillId="0" borderId="72" xfId="60" applyNumberFormat="1" applyFont="1" applyFill="1" applyBorder="1" applyAlignment="1">
      <alignment vertical="center"/>
      <protection/>
    </xf>
    <xf numFmtId="49" fontId="5" fillId="0" borderId="51" xfId="60" applyNumberFormat="1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vertical="center" wrapText="1"/>
      <protection/>
    </xf>
    <xf numFmtId="0" fontId="4" fillId="0" borderId="32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3" fontId="52" fillId="0" borderId="24" xfId="60" applyNumberFormat="1" applyFont="1" applyFill="1" applyBorder="1" applyAlignment="1">
      <alignment vertical="center"/>
      <protection/>
    </xf>
    <xf numFmtId="3" fontId="51" fillId="0" borderId="56" xfId="60" applyNumberFormat="1" applyFont="1" applyFill="1" applyBorder="1" applyAlignment="1">
      <alignment vertical="center"/>
      <protection/>
    </xf>
    <xf numFmtId="3" fontId="4" fillId="0" borderId="49" xfId="60" applyNumberFormat="1" applyFont="1" applyFill="1" applyBorder="1" applyAlignment="1">
      <alignment vertical="center"/>
      <protection/>
    </xf>
    <xf numFmtId="3" fontId="52" fillId="0" borderId="56" xfId="60" applyNumberFormat="1" applyFont="1" applyFill="1" applyBorder="1" applyAlignment="1">
      <alignment vertical="center"/>
      <protection/>
    </xf>
    <xf numFmtId="3" fontId="75" fillId="0" borderId="0" xfId="59" applyNumberFormat="1" applyFont="1" applyBorder="1" applyAlignment="1">
      <alignment/>
      <protection/>
    </xf>
    <xf numFmtId="3" fontId="75" fillId="0" borderId="48" xfId="59" applyNumberFormat="1" applyFont="1" applyBorder="1" applyAlignment="1">
      <alignment/>
      <protection/>
    </xf>
    <xf numFmtId="0" fontId="22" fillId="0" borderId="2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vertical="center" wrapText="1"/>
    </xf>
    <xf numFmtId="3" fontId="27" fillId="34" borderId="49" xfId="61" applyNumberFormat="1" applyFont="1" applyFill="1" applyBorder="1">
      <alignment/>
      <protection/>
    </xf>
    <xf numFmtId="0" fontId="43" fillId="0" borderId="47" xfId="61" applyFont="1" applyBorder="1" applyAlignment="1">
      <alignment horizontal="center" vertical="center" wrapText="1"/>
      <protection/>
    </xf>
    <xf numFmtId="3" fontId="27" fillId="34" borderId="49" xfId="61" applyNumberFormat="1" applyFont="1" applyFill="1" applyBorder="1" applyAlignment="1">
      <alignment vertical="center"/>
      <protection/>
    </xf>
    <xf numFmtId="3" fontId="27" fillId="0" borderId="49" xfId="61" applyNumberFormat="1" applyFont="1" applyBorder="1">
      <alignment/>
      <protection/>
    </xf>
    <xf numFmtId="3" fontId="19" fillId="0" borderId="49" xfId="61" applyNumberFormat="1" applyBorder="1">
      <alignment/>
      <protection/>
    </xf>
    <xf numFmtId="0" fontId="78" fillId="0" borderId="0" xfId="61" applyFont="1">
      <alignment/>
      <protection/>
    </xf>
    <xf numFmtId="0" fontId="11" fillId="0" borderId="0" xfId="0" applyFont="1" applyAlignment="1">
      <alignment horizontal="right" vertical="center"/>
    </xf>
    <xf numFmtId="3" fontId="0" fillId="0" borderId="21" xfId="0" applyNumberFormat="1" applyBorder="1" applyAlignment="1">
      <alignment/>
    </xf>
    <xf numFmtId="0" fontId="64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3" fontId="56" fillId="0" borderId="93" xfId="59" applyNumberFormat="1" applyFont="1" applyBorder="1">
      <alignment/>
      <protection/>
    </xf>
    <xf numFmtId="3" fontId="56" fillId="0" borderId="91" xfId="59" applyNumberFormat="1" applyFont="1" applyBorder="1">
      <alignment/>
      <protection/>
    </xf>
    <xf numFmtId="3" fontId="56" fillId="0" borderId="94" xfId="59" applyNumberFormat="1" applyFont="1" applyBorder="1">
      <alignment/>
      <protection/>
    </xf>
    <xf numFmtId="0" fontId="27" fillId="0" borderId="0" xfId="0" applyFont="1" applyBorder="1" applyAlignment="1">
      <alignment horizontal="center"/>
    </xf>
    <xf numFmtId="3" fontId="54" fillId="0" borderId="86" xfId="59" applyNumberFormat="1" applyFont="1" applyBorder="1" applyAlignment="1">
      <alignment horizontal="right" vertical="center"/>
      <protection/>
    </xf>
    <xf numFmtId="3" fontId="54" fillId="0" borderId="107" xfId="59" applyNumberFormat="1" applyFont="1" applyBorder="1" applyAlignment="1">
      <alignment horizontal="right" vertical="center"/>
      <protection/>
    </xf>
    <xf numFmtId="3" fontId="54" fillId="0" borderId="129" xfId="59" applyNumberFormat="1" applyFont="1" applyBorder="1">
      <alignment/>
      <protection/>
    </xf>
    <xf numFmtId="3" fontId="54" fillId="0" borderId="86" xfId="59" applyNumberFormat="1" applyFont="1" applyBorder="1">
      <alignment/>
      <protection/>
    </xf>
    <xf numFmtId="3" fontId="54" fillId="0" borderId="107" xfId="59" applyNumberFormat="1" applyFont="1" applyBorder="1">
      <alignment/>
      <protection/>
    </xf>
    <xf numFmtId="3" fontId="54" fillId="0" borderId="87" xfId="59" applyNumberFormat="1" applyFont="1" applyBorder="1" applyAlignment="1">
      <alignment horizontal="right" vertical="center"/>
      <protection/>
    </xf>
    <xf numFmtId="0" fontId="55" fillId="0" borderId="86" xfId="59" applyFont="1" applyBorder="1" applyAlignment="1">
      <alignment horizontal="right"/>
      <protection/>
    </xf>
    <xf numFmtId="0" fontId="0" fillId="0" borderId="36" xfId="0" applyBorder="1" applyAlignment="1">
      <alignment horizontal="right"/>
    </xf>
    <xf numFmtId="3" fontId="27" fillId="0" borderId="107" xfId="59" applyNumberFormat="1" applyFont="1" applyBorder="1" applyAlignment="1">
      <alignment horizontal="right"/>
      <protection/>
    </xf>
    <xf numFmtId="3" fontId="27" fillId="0" borderId="36" xfId="59" applyNumberFormat="1" applyFont="1" applyBorder="1">
      <alignment/>
      <protection/>
    </xf>
    <xf numFmtId="3" fontId="27" fillId="0" borderId="87" xfId="59" applyNumberFormat="1" applyFont="1" applyBorder="1">
      <alignment/>
      <protection/>
    </xf>
    <xf numFmtId="3" fontId="27" fillId="6" borderId="0" xfId="0" applyNumberFormat="1" applyFont="1" applyFill="1" applyBorder="1" applyAlignment="1">
      <alignment/>
    </xf>
    <xf numFmtId="3" fontId="27" fillId="6" borderId="48" xfId="0" applyNumberFormat="1" applyFont="1" applyFill="1" applyBorder="1" applyAlignment="1">
      <alignment/>
    </xf>
    <xf numFmtId="0" fontId="24" fillId="0" borderId="28" xfId="0" applyFont="1" applyBorder="1" applyAlignment="1">
      <alignment horizontal="center"/>
    </xf>
    <xf numFmtId="0" fontId="27" fillId="0" borderId="25" xfId="0" applyFont="1" applyBorder="1" applyAlignment="1">
      <alignment/>
    </xf>
    <xf numFmtId="3" fontId="27" fillId="6" borderId="25" xfId="0" applyNumberFormat="1" applyFont="1" applyFill="1" applyBorder="1" applyAlignment="1">
      <alignment/>
    </xf>
    <xf numFmtId="3" fontId="27" fillId="6" borderId="13" xfId="0" applyNumberFormat="1" applyFont="1" applyFill="1" applyBorder="1" applyAlignment="1">
      <alignment/>
    </xf>
    <xf numFmtId="4" fontId="27" fillId="6" borderId="25" xfId="0" applyNumberFormat="1" applyFont="1" applyFill="1" applyBorder="1" applyAlignment="1">
      <alignment/>
    </xf>
    <xf numFmtId="4" fontId="27" fillId="6" borderId="34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4" fontId="27" fillId="6" borderId="58" xfId="0" applyNumberFormat="1" applyFont="1" applyFill="1" applyBorder="1" applyAlignment="1">
      <alignment/>
    </xf>
    <xf numFmtId="3" fontId="27" fillId="6" borderId="58" xfId="0" applyNumberFormat="1" applyFont="1" applyFill="1" applyBorder="1" applyAlignment="1">
      <alignment/>
    </xf>
    <xf numFmtId="3" fontId="27" fillId="6" borderId="59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" fontId="27" fillId="35" borderId="25" xfId="0" applyNumberFormat="1" applyFont="1" applyFill="1" applyBorder="1" applyAlignment="1">
      <alignment/>
    </xf>
    <xf numFmtId="4" fontId="27" fillId="35" borderId="34" xfId="0" applyNumberFormat="1" applyFont="1" applyFill="1" applyBorder="1" applyAlignment="1">
      <alignment/>
    </xf>
    <xf numFmtId="4" fontId="27" fillId="35" borderId="58" xfId="0" applyNumberFormat="1" applyFont="1" applyFill="1" applyBorder="1" applyAlignment="1">
      <alignment/>
    </xf>
    <xf numFmtId="4" fontId="19" fillId="35" borderId="25" xfId="0" applyNumberFormat="1" applyFont="1" applyFill="1" applyBorder="1" applyAlignment="1">
      <alignment/>
    </xf>
    <xf numFmtId="4" fontId="19" fillId="35" borderId="34" xfId="0" applyNumberFormat="1" applyFont="1" applyFill="1" applyBorder="1" applyAlignment="1">
      <alignment/>
    </xf>
    <xf numFmtId="3" fontId="19" fillId="6" borderId="25" xfId="0" applyNumberFormat="1" applyFont="1" applyFill="1" applyBorder="1" applyAlignment="1">
      <alignment/>
    </xf>
    <xf numFmtId="3" fontId="19" fillId="6" borderId="13" xfId="0" applyNumberFormat="1" applyFont="1" applyFill="1" applyBorder="1" applyAlignment="1">
      <alignment/>
    </xf>
    <xf numFmtId="0" fontId="32" fillId="0" borderId="0" xfId="59" applyFont="1" applyBorder="1" applyAlignment="1">
      <alignment horizontal="left" wrapText="1"/>
      <protection/>
    </xf>
    <xf numFmtId="49" fontId="5" fillId="0" borderId="6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3" fontId="44" fillId="0" borderId="18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51" fillId="0" borderId="59" xfId="60" applyNumberFormat="1" applyFont="1" applyFill="1" applyBorder="1" applyAlignment="1">
      <alignment vertical="center"/>
      <protection/>
    </xf>
    <xf numFmtId="3" fontId="11" fillId="0" borderId="48" xfId="0" applyNumberFormat="1" applyFont="1" applyFill="1" applyBorder="1" applyAlignment="1">
      <alignment horizontal="right" vertical="center"/>
    </xf>
    <xf numFmtId="0" fontId="22" fillId="0" borderId="0" xfId="62" applyFont="1" applyAlignment="1">
      <alignment horizontal="right" vertical="center"/>
      <protection/>
    </xf>
    <xf numFmtId="3" fontId="19" fillId="0" borderId="49" xfId="61" applyNumberFormat="1" applyFont="1" applyBorder="1">
      <alignment/>
      <protection/>
    </xf>
    <xf numFmtId="3" fontId="142" fillId="0" borderId="0" xfId="61" applyNumberFormat="1" applyFont="1">
      <alignment/>
      <protection/>
    </xf>
    <xf numFmtId="3" fontId="142" fillId="0" borderId="0" xfId="61" applyNumberFormat="1" applyFont="1" applyAlignment="1">
      <alignment vertical="center"/>
      <protection/>
    </xf>
    <xf numFmtId="3" fontId="27" fillId="0" borderId="28" xfId="61" applyNumberFormat="1" applyFont="1" applyFill="1" applyBorder="1" applyAlignment="1">
      <alignment horizontal="center"/>
      <protection/>
    </xf>
    <xf numFmtId="3" fontId="27" fillId="0" borderId="25" xfId="61" applyNumberFormat="1" applyFont="1" applyFill="1" applyBorder="1" applyAlignment="1">
      <alignment horizontal="center"/>
      <protection/>
    </xf>
    <xf numFmtId="0" fontId="17" fillId="0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0" fontId="18" fillId="0" borderId="25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11" fillId="0" borderId="25" xfId="58" applyFont="1" applyFill="1" applyBorder="1" applyAlignment="1">
      <alignment horizontal="center" vertical="center" wrapText="1"/>
      <protection/>
    </xf>
    <xf numFmtId="0" fontId="70" fillId="0" borderId="25" xfId="58" applyFont="1" applyBorder="1">
      <alignment/>
      <protection/>
    </xf>
    <xf numFmtId="3" fontId="70" fillId="0" borderId="25" xfId="58" applyNumberFormat="1" applyFont="1" applyBorder="1">
      <alignment/>
      <protection/>
    </xf>
    <xf numFmtId="0" fontId="5" fillId="0" borderId="25" xfId="58" applyFont="1" applyBorder="1">
      <alignment/>
      <protection/>
    </xf>
    <xf numFmtId="3" fontId="5" fillId="0" borderId="25" xfId="58" applyNumberFormat="1" applyFont="1" applyBorder="1">
      <alignment/>
      <protection/>
    </xf>
    <xf numFmtId="3" fontId="1" fillId="0" borderId="25" xfId="58" applyNumberFormat="1" applyFont="1" applyBorder="1">
      <alignment/>
      <protection/>
    </xf>
    <xf numFmtId="0" fontId="58" fillId="0" borderId="25" xfId="58" applyFont="1" applyBorder="1">
      <alignment/>
      <protection/>
    </xf>
    <xf numFmtId="3" fontId="58" fillId="0" borderId="25" xfId="58" applyNumberFormat="1" applyFont="1" applyBorder="1">
      <alignment/>
      <protection/>
    </xf>
    <xf numFmtId="0" fontId="62" fillId="0" borderId="25" xfId="58" applyFont="1" applyBorder="1">
      <alignment/>
      <protection/>
    </xf>
    <xf numFmtId="0" fontId="62" fillId="0" borderId="0" xfId="58" applyFont="1">
      <alignment/>
      <protection/>
    </xf>
    <xf numFmtId="0" fontId="62" fillId="0" borderId="25" xfId="58" applyFont="1" applyBorder="1" applyAlignment="1">
      <alignment horizontal="left"/>
      <protection/>
    </xf>
    <xf numFmtId="3" fontId="62" fillId="0" borderId="25" xfId="58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25" xfId="58" applyNumberFormat="1" applyFont="1" applyBorder="1">
      <alignment/>
      <protection/>
    </xf>
    <xf numFmtId="0" fontId="50" fillId="0" borderId="25" xfId="58" applyFont="1" applyBorder="1" applyAlignment="1">
      <alignment horizontal="left"/>
      <protection/>
    </xf>
    <xf numFmtId="3" fontId="6" fillId="0" borderId="25" xfId="58" applyNumberFormat="1" applyFont="1" applyBorder="1">
      <alignment/>
      <protection/>
    </xf>
    <xf numFmtId="3" fontId="3" fillId="0" borderId="25" xfId="58" applyNumberFormat="1" applyFont="1" applyFill="1" applyBorder="1">
      <alignment/>
      <protection/>
    </xf>
    <xf numFmtId="3" fontId="6" fillId="0" borderId="25" xfId="58" applyNumberFormat="1" applyFont="1" applyFill="1" applyBorder="1">
      <alignment/>
      <protection/>
    </xf>
    <xf numFmtId="3" fontId="4" fillId="0" borderId="25" xfId="58" applyNumberFormat="1" applyFont="1" applyBorder="1">
      <alignment/>
      <protection/>
    </xf>
    <xf numFmtId="0" fontId="50" fillId="0" borderId="25" xfId="58" applyFont="1" applyBorder="1">
      <alignment/>
      <protection/>
    </xf>
    <xf numFmtId="3" fontId="50" fillId="0" borderId="25" xfId="58" applyNumberFormat="1" applyFont="1" applyBorder="1">
      <alignment/>
      <protection/>
    </xf>
    <xf numFmtId="0" fontId="0" fillId="0" borderId="25" xfId="58" applyBorder="1">
      <alignment/>
      <protection/>
    </xf>
    <xf numFmtId="0" fontId="50" fillId="0" borderId="17" xfId="58" applyFont="1" applyBorder="1" applyAlignment="1">
      <alignment horizontal="left"/>
      <protection/>
    </xf>
    <xf numFmtId="0" fontId="50" fillId="0" borderId="20" xfId="58" applyFont="1" applyBorder="1" applyAlignment="1">
      <alignment horizontal="left"/>
      <protection/>
    </xf>
    <xf numFmtId="0" fontId="0" fillId="0" borderId="17" xfId="58" applyBorder="1">
      <alignment/>
      <protection/>
    </xf>
    <xf numFmtId="0" fontId="0" fillId="0" borderId="0" xfId="58">
      <alignment/>
      <protection/>
    </xf>
    <xf numFmtId="3" fontId="16" fillId="0" borderId="25" xfId="58" applyNumberFormat="1" applyFont="1" applyBorder="1">
      <alignment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 wrapText="1"/>
    </xf>
    <xf numFmtId="49" fontId="5" fillId="0" borderId="130" xfId="0" applyNumberFormat="1" applyFont="1" applyFill="1" applyBorder="1" applyAlignment="1">
      <alignment horizontal="center" vertical="center" wrapText="1"/>
    </xf>
    <xf numFmtId="49" fontId="5" fillId="0" borderId="62" xfId="60" applyNumberFormat="1" applyFont="1" applyFill="1" applyBorder="1" applyAlignment="1">
      <alignment horizontal="center" vertical="center"/>
      <protection/>
    </xf>
    <xf numFmtId="3" fontId="3" fillId="0" borderId="26" xfId="60" applyNumberFormat="1" applyFont="1" applyFill="1" applyBorder="1" applyAlignment="1">
      <alignment vertical="center" wrapText="1"/>
      <protection/>
    </xf>
    <xf numFmtId="0" fontId="4" fillId="0" borderId="17" xfId="60" applyFont="1" applyFill="1" applyBorder="1" applyAlignment="1">
      <alignment horizontal="left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3" fontId="58" fillId="0" borderId="33" xfId="60" applyNumberFormat="1" applyFont="1" applyFill="1" applyBorder="1" applyAlignment="1">
      <alignment vertical="center"/>
      <protection/>
    </xf>
    <xf numFmtId="3" fontId="1" fillId="0" borderId="17" xfId="58" applyNumberFormat="1" applyFont="1" applyBorder="1">
      <alignment/>
      <protection/>
    </xf>
    <xf numFmtId="3" fontId="0" fillId="0" borderId="19" xfId="58" applyNumberFormat="1" applyBorder="1">
      <alignment/>
      <protection/>
    </xf>
    <xf numFmtId="3" fontId="1" fillId="0" borderId="20" xfId="58" applyNumberFormat="1" applyFont="1" applyBorder="1">
      <alignment/>
      <protection/>
    </xf>
    <xf numFmtId="0" fontId="64" fillId="0" borderId="89" xfId="0" applyFont="1" applyBorder="1" applyAlignment="1">
      <alignment/>
    </xf>
    <xf numFmtId="3" fontId="32" fillId="0" borderId="0" xfId="59" applyNumberFormat="1" applyFont="1" applyBorder="1" applyAlignment="1">
      <alignment/>
      <protection/>
    </xf>
    <xf numFmtId="0" fontId="64" fillId="0" borderId="0" xfId="0" applyFont="1" applyFill="1" applyBorder="1" applyAlignment="1">
      <alignment/>
    </xf>
    <xf numFmtId="3" fontId="32" fillId="0" borderId="89" xfId="59" applyNumberFormat="1" applyFont="1" applyBorder="1" applyAlignment="1">
      <alignment/>
      <protection/>
    </xf>
    <xf numFmtId="0" fontId="11" fillId="0" borderId="25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34" xfId="0" applyFont="1" applyBorder="1" applyAlignment="1">
      <alignment/>
    </xf>
    <xf numFmtId="3" fontId="0" fillId="37" borderId="25" xfId="0" applyNumberFormat="1" applyFill="1" applyBorder="1" applyAlignment="1">
      <alignment/>
    </xf>
    <xf numFmtId="3" fontId="0" fillId="6" borderId="40" xfId="0" applyNumberFormat="1" applyFill="1" applyBorder="1" applyAlignment="1">
      <alignment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left"/>
    </xf>
    <xf numFmtId="0" fontId="24" fillId="0" borderId="6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6" xfId="0" applyFont="1" applyBorder="1" applyAlignment="1">
      <alignment/>
    </xf>
    <xf numFmtId="4" fontId="19" fillId="35" borderId="17" xfId="0" applyNumberFormat="1" applyFont="1" applyFill="1" applyBorder="1" applyAlignment="1">
      <alignment/>
    </xf>
    <xf numFmtId="4" fontId="19" fillId="35" borderId="18" xfId="0" applyNumberFormat="1" applyFont="1" applyFill="1" applyBorder="1" applyAlignment="1">
      <alignment/>
    </xf>
    <xf numFmtId="3" fontId="27" fillId="6" borderId="11" xfId="0" applyNumberFormat="1" applyFont="1" applyFill="1" applyBorder="1" applyAlignment="1">
      <alignment/>
    </xf>
    <xf numFmtId="3" fontId="27" fillId="6" borderId="15" xfId="0" applyNumberFormat="1" applyFont="1" applyFill="1" applyBorder="1" applyAlignment="1">
      <alignment/>
    </xf>
    <xf numFmtId="0" fontId="27" fillId="0" borderId="36" xfId="0" applyFont="1" applyBorder="1" applyAlignment="1">
      <alignment horizontal="center"/>
    </xf>
    <xf numFmtId="3" fontId="0" fillId="6" borderId="25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3" fontId="19" fillId="6" borderId="51" xfId="0" applyNumberFormat="1" applyFont="1" applyFill="1" applyBorder="1" applyAlignment="1">
      <alignment horizontal="right"/>
    </xf>
    <xf numFmtId="3" fontId="19" fillId="6" borderId="62" xfId="0" applyNumberFormat="1" applyFont="1" applyFill="1" applyBorder="1" applyAlignment="1">
      <alignment horizontal="right"/>
    </xf>
    <xf numFmtId="0" fontId="50" fillId="0" borderId="25" xfId="0" applyFont="1" applyBorder="1" applyAlignment="1">
      <alignment horizontal="left" vertical="top"/>
    </xf>
    <xf numFmtId="3" fontId="50" fillId="0" borderId="64" xfId="0" applyNumberFormat="1" applyFont="1" applyFill="1" applyBorder="1" applyAlignment="1">
      <alignment/>
    </xf>
    <xf numFmtId="0" fontId="0" fillId="0" borderId="25" xfId="58" applyFont="1" applyBorder="1">
      <alignment/>
      <protection/>
    </xf>
    <xf numFmtId="0" fontId="32" fillId="37" borderId="25" xfId="0" applyFont="1" applyFill="1" applyBorder="1" applyAlignment="1">
      <alignment/>
    </xf>
    <xf numFmtId="49" fontId="32" fillId="0" borderId="55" xfId="0" applyNumberFormat="1" applyFont="1" applyBorder="1" applyAlignment="1">
      <alignment wrapText="1"/>
    </xf>
    <xf numFmtId="0" fontId="32" fillId="0" borderId="25" xfId="0" applyFont="1" applyBorder="1" applyAlignment="1">
      <alignment/>
    </xf>
    <xf numFmtId="3" fontId="20" fillId="37" borderId="25" xfId="62" applyNumberFormat="1" applyFont="1" applyFill="1" applyBorder="1" applyAlignment="1">
      <alignment horizontal="right" vertical="center" wrapText="1"/>
      <protection/>
    </xf>
    <xf numFmtId="0" fontId="143" fillId="0" borderId="0" xfId="0" applyFont="1" applyAlignment="1">
      <alignment/>
    </xf>
    <xf numFmtId="3" fontId="58" fillId="38" borderId="25" xfId="58" applyNumberFormat="1" applyFont="1" applyFill="1" applyBorder="1">
      <alignment/>
      <protection/>
    </xf>
    <xf numFmtId="3" fontId="6" fillId="38" borderId="25" xfId="58" applyNumberFormat="1" applyFont="1" applyFill="1" applyBorder="1">
      <alignment/>
      <protection/>
    </xf>
    <xf numFmtId="0" fontId="68" fillId="0" borderId="0" xfId="0" applyFont="1" applyAlignment="1">
      <alignment/>
    </xf>
    <xf numFmtId="0" fontId="144" fillId="0" borderId="0" xfId="0" applyFont="1" applyAlignment="1">
      <alignment/>
    </xf>
    <xf numFmtId="3" fontId="145" fillId="0" borderId="25" xfId="0" applyNumberFormat="1" applyFont="1" applyBorder="1" applyAlignment="1">
      <alignment vertical="center"/>
    </xf>
    <xf numFmtId="0" fontId="19" fillId="0" borderId="17" xfId="61" applyFont="1" applyBorder="1">
      <alignment/>
      <protection/>
    </xf>
    <xf numFmtId="0" fontId="146" fillId="0" borderId="0" xfId="61" applyFont="1">
      <alignment/>
      <protection/>
    </xf>
    <xf numFmtId="0" fontId="32" fillId="0" borderId="24" xfId="59" applyFont="1" applyBorder="1" applyAlignment="1">
      <alignment horizontal="left" wrapText="1"/>
      <protection/>
    </xf>
    <xf numFmtId="3" fontId="31" fillId="0" borderId="39" xfId="59" applyNumberFormat="1" applyFont="1" applyBorder="1" applyAlignment="1">
      <alignment horizontal="right" vertical="center"/>
      <protection/>
    </xf>
    <xf numFmtId="0" fontId="32" fillId="0" borderId="99" xfId="59" applyFont="1" applyBorder="1" applyAlignment="1">
      <alignment horizontal="left" wrapText="1"/>
      <protection/>
    </xf>
    <xf numFmtId="0" fontId="112" fillId="0" borderId="0" xfId="0" applyFont="1" applyAlignment="1">
      <alignment/>
    </xf>
    <xf numFmtId="0" fontId="146" fillId="0" borderId="0" xfId="0" applyFont="1" applyAlignment="1">
      <alignment/>
    </xf>
    <xf numFmtId="0" fontId="79" fillId="0" borderId="0" xfId="0" applyFont="1" applyAlignment="1">
      <alignment/>
    </xf>
    <xf numFmtId="0" fontId="16" fillId="0" borderId="0" xfId="58" applyFont="1" applyBorder="1" applyAlignment="1">
      <alignment horizontal="left"/>
      <protection/>
    </xf>
    <xf numFmtId="3" fontId="16" fillId="0" borderId="0" xfId="58" applyNumberFormat="1" applyFont="1" applyBorder="1">
      <alignment/>
      <protection/>
    </xf>
    <xf numFmtId="0" fontId="147" fillId="0" borderId="0" xfId="57" applyFont="1" applyAlignment="1">
      <alignment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86" fillId="0" borderId="0" xfId="57" applyFont="1" applyAlignment="1">
      <alignment/>
      <protection/>
    </xf>
    <xf numFmtId="0" fontId="52" fillId="0" borderId="0" xfId="60" applyFont="1" applyFill="1" applyBorder="1" applyAlignment="1">
      <alignment horizontal="left" vertical="center"/>
      <protection/>
    </xf>
    <xf numFmtId="3" fontId="52" fillId="0" borderId="0" xfId="60" applyNumberFormat="1" applyFont="1" applyFill="1" applyBorder="1" applyAlignment="1">
      <alignment vertical="center"/>
      <protection/>
    </xf>
    <xf numFmtId="0" fontId="75" fillId="0" borderId="24" xfId="59" applyFont="1" applyBorder="1">
      <alignment/>
      <protection/>
    </xf>
    <xf numFmtId="0" fontId="148" fillId="0" borderId="0" xfId="0" applyFont="1" applyFill="1" applyAlignment="1">
      <alignment vertical="center"/>
    </xf>
    <xf numFmtId="0" fontId="14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3" fontId="11" fillId="37" borderId="13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3" fontId="11" fillId="0" borderId="25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0" fontId="14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0" fillId="0" borderId="25" xfId="0" applyFont="1" applyBorder="1" applyAlignment="1">
      <alignment vertical="center"/>
    </xf>
    <xf numFmtId="3" fontId="30" fillId="37" borderId="25" xfId="0" applyNumberFormat="1" applyFont="1" applyFill="1" applyBorder="1" applyAlignment="1">
      <alignment vertical="center"/>
    </xf>
    <xf numFmtId="3" fontId="30" fillId="0" borderId="25" xfId="0" applyNumberFormat="1" applyFont="1" applyBorder="1" applyAlignment="1">
      <alignment vertical="center"/>
    </xf>
    <xf numFmtId="0" fontId="30" fillId="0" borderId="25" xfId="0" applyFont="1" applyBorder="1" applyAlignment="1">
      <alignment horizontal="right" vertical="center"/>
    </xf>
    <xf numFmtId="0" fontId="90" fillId="0" borderId="25" xfId="0" applyFont="1" applyBorder="1" applyAlignment="1">
      <alignment horizontal="center" vertical="center"/>
    </xf>
    <xf numFmtId="0" fontId="90" fillId="0" borderId="25" xfId="0" applyFont="1" applyBorder="1" applyAlignment="1">
      <alignment vertical="center"/>
    </xf>
    <xf numFmtId="3" fontId="90" fillId="0" borderId="25" xfId="0" applyNumberFormat="1" applyFont="1" applyBorder="1" applyAlignment="1">
      <alignment vertical="center"/>
    </xf>
    <xf numFmtId="0" fontId="59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 vertical="center"/>
    </xf>
    <xf numFmtId="3" fontId="59" fillId="0" borderId="25" xfId="0" applyNumberFormat="1" applyFont="1" applyBorder="1" applyAlignment="1">
      <alignment vertical="center"/>
    </xf>
    <xf numFmtId="0" fontId="147" fillId="0" borderId="0" xfId="62" applyFont="1" applyAlignment="1">
      <alignment vertical="center"/>
      <protection/>
    </xf>
    <xf numFmtId="0" fontId="69" fillId="0" borderId="0" xfId="62" applyFont="1" applyAlignment="1">
      <alignment vertical="center"/>
      <protection/>
    </xf>
    <xf numFmtId="0" fontId="19" fillId="0" borderId="53" xfId="0" applyFont="1" applyBorder="1" applyAlignment="1">
      <alignment/>
    </xf>
    <xf numFmtId="4" fontId="27" fillId="6" borderId="53" xfId="0" applyNumberFormat="1" applyFont="1" applyFill="1" applyBorder="1" applyAlignment="1">
      <alignment/>
    </xf>
    <xf numFmtId="4" fontId="27" fillId="35" borderId="53" xfId="0" applyNumberFormat="1" applyFont="1" applyFill="1" applyBorder="1" applyAlignment="1">
      <alignment/>
    </xf>
    <xf numFmtId="4" fontId="19" fillId="35" borderId="53" xfId="0" applyNumberFormat="1" applyFont="1" applyFill="1" applyBorder="1" applyAlignment="1">
      <alignment/>
    </xf>
    <xf numFmtId="3" fontId="27" fillId="6" borderId="53" xfId="0" applyNumberFormat="1" applyFont="1" applyFill="1" applyBorder="1" applyAlignment="1">
      <alignment/>
    </xf>
    <xf numFmtId="3" fontId="19" fillId="6" borderId="10" xfId="0" applyNumberFormat="1" applyFont="1" applyFill="1" applyBorder="1" applyAlignment="1">
      <alignment/>
    </xf>
    <xf numFmtId="49" fontId="55" fillId="0" borderId="25" xfId="61" applyNumberFormat="1" applyFont="1" applyBorder="1" applyAlignment="1">
      <alignment vertical="center"/>
      <protection/>
    </xf>
    <xf numFmtId="0" fontId="55" fillId="0" borderId="25" xfId="61" applyFont="1" applyBorder="1">
      <alignment/>
      <protection/>
    </xf>
    <xf numFmtId="0" fontId="55" fillId="0" borderId="17" xfId="61" applyFont="1" applyBorder="1">
      <alignment/>
      <protection/>
    </xf>
    <xf numFmtId="3" fontId="55" fillId="0" borderId="28" xfId="61" applyNumberFormat="1" applyFont="1" applyBorder="1">
      <alignment/>
      <protection/>
    </xf>
    <xf numFmtId="3" fontId="55" fillId="0" borderId="25" xfId="61" applyNumberFormat="1" applyFont="1" applyBorder="1">
      <alignment/>
      <protection/>
    </xf>
    <xf numFmtId="3" fontId="55" fillId="0" borderId="13" xfId="61" applyNumberFormat="1" applyFont="1" applyBorder="1">
      <alignment/>
      <protection/>
    </xf>
    <xf numFmtId="3" fontId="55" fillId="0" borderId="20" xfId="61" applyNumberFormat="1" applyFont="1" applyBorder="1">
      <alignment/>
      <protection/>
    </xf>
    <xf numFmtId="3" fontId="55" fillId="0" borderId="49" xfId="61" applyNumberFormat="1" applyFont="1" applyBorder="1">
      <alignment/>
      <protection/>
    </xf>
    <xf numFmtId="3" fontId="55" fillId="0" borderId="0" xfId="61" applyNumberFormat="1" applyFont="1">
      <alignment/>
      <protection/>
    </xf>
    <xf numFmtId="49" fontId="19" fillId="0" borderId="34" xfId="61" applyNumberFormat="1" applyBorder="1" applyAlignment="1">
      <alignment vertical="center"/>
      <protection/>
    </xf>
    <xf numFmtId="0" fontId="19" fillId="0" borderId="18" xfId="61" applyFont="1" applyBorder="1" applyAlignment="1">
      <alignment wrapText="1"/>
      <protection/>
    </xf>
    <xf numFmtId="3" fontId="19" fillId="0" borderId="63" xfId="61" applyNumberFormat="1" applyBorder="1">
      <alignment/>
      <protection/>
    </xf>
    <xf numFmtId="3" fontId="19" fillId="0" borderId="34" xfId="61" applyNumberFormat="1" applyBorder="1">
      <alignment/>
      <protection/>
    </xf>
    <xf numFmtId="3" fontId="19" fillId="0" borderId="76" xfId="61" applyNumberFormat="1" applyBorder="1">
      <alignment/>
      <protection/>
    </xf>
    <xf numFmtId="4" fontId="19" fillId="0" borderId="63" xfId="61" applyNumberFormat="1" applyFill="1" applyBorder="1">
      <alignment/>
      <protection/>
    </xf>
    <xf numFmtId="3" fontId="19" fillId="0" borderId="30" xfId="61" applyNumberFormat="1" applyFill="1" applyBorder="1">
      <alignment/>
      <protection/>
    </xf>
    <xf numFmtId="2" fontId="19" fillId="0" borderId="30" xfId="61" applyNumberFormat="1" applyBorder="1">
      <alignment/>
      <protection/>
    </xf>
    <xf numFmtId="3" fontId="19" fillId="0" borderId="34" xfId="61" applyNumberFormat="1" applyFill="1" applyBorder="1">
      <alignment/>
      <protection/>
    </xf>
    <xf numFmtId="3" fontId="2" fillId="38" borderId="32" xfId="61" applyNumberFormat="1" applyFont="1" applyFill="1" applyBorder="1" applyAlignment="1">
      <alignment horizontal="center"/>
      <protection/>
    </xf>
    <xf numFmtId="3" fontId="2" fillId="38" borderId="21" xfId="61" applyNumberFormat="1" applyFont="1" applyFill="1" applyBorder="1" applyAlignment="1">
      <alignment horizontal="center"/>
      <protection/>
    </xf>
    <xf numFmtId="3" fontId="1" fillId="38" borderId="33" xfId="61" applyNumberFormat="1" applyFont="1" applyFill="1" applyBorder="1">
      <alignment/>
      <protection/>
    </xf>
    <xf numFmtId="3" fontId="2" fillId="38" borderId="23" xfId="61" applyNumberFormat="1" applyFont="1" applyFill="1" applyBorder="1" applyAlignment="1">
      <alignment horizontal="center"/>
      <protection/>
    </xf>
    <xf numFmtId="3" fontId="27" fillId="38" borderId="132" xfId="61" applyNumberFormat="1" applyFont="1" applyFill="1" applyBorder="1">
      <alignment/>
      <protection/>
    </xf>
    <xf numFmtId="3" fontId="2" fillId="37" borderId="0" xfId="61" applyNumberFormat="1" applyFont="1" applyFill="1" applyBorder="1">
      <alignment/>
      <protection/>
    </xf>
    <xf numFmtId="3" fontId="1" fillId="37" borderId="0" xfId="61" applyNumberFormat="1" applyFont="1" applyFill="1" applyBorder="1">
      <alignment/>
      <protection/>
    </xf>
    <xf numFmtId="0" fontId="2" fillId="37" borderId="131" xfId="61" applyFont="1" applyFill="1" applyBorder="1" applyAlignment="1">
      <alignment horizontal="center"/>
      <protection/>
    </xf>
    <xf numFmtId="0" fontId="2" fillId="37" borderId="0" xfId="61" applyFont="1" applyFill="1" applyBorder="1" applyAlignment="1">
      <alignment horizontal="center"/>
      <protection/>
    </xf>
    <xf numFmtId="0" fontId="2" fillId="37" borderId="89" xfId="61" applyFont="1" applyFill="1" applyBorder="1" applyAlignment="1">
      <alignment horizontal="center"/>
      <protection/>
    </xf>
    <xf numFmtId="49" fontId="27" fillId="34" borderId="53" xfId="61" applyNumberFormat="1" applyFont="1" applyFill="1" applyBorder="1" applyAlignment="1">
      <alignment horizontal="center" vertical="center"/>
      <protection/>
    </xf>
    <xf numFmtId="0" fontId="27" fillId="34" borderId="53" xfId="61" applyFont="1" applyFill="1" applyBorder="1" applyAlignment="1">
      <alignment vertical="center"/>
      <protection/>
    </xf>
    <xf numFmtId="0" fontId="27" fillId="34" borderId="133" xfId="61" applyFont="1" applyFill="1" applyBorder="1" applyAlignment="1">
      <alignment vertical="center" wrapText="1"/>
      <protection/>
    </xf>
    <xf numFmtId="3" fontId="27" fillId="34" borderId="51" xfId="61" applyNumberFormat="1" applyFont="1" applyFill="1" applyBorder="1" applyAlignment="1">
      <alignment vertical="center"/>
      <protection/>
    </xf>
    <xf numFmtId="3" fontId="27" fillId="34" borderId="53" xfId="61" applyNumberFormat="1" applyFont="1" applyFill="1" applyBorder="1" applyAlignment="1">
      <alignment vertical="center"/>
      <protection/>
    </xf>
    <xf numFmtId="3" fontId="27" fillId="34" borderId="10" xfId="61" applyNumberFormat="1" applyFont="1" applyFill="1" applyBorder="1" applyAlignment="1">
      <alignment vertical="center"/>
      <protection/>
    </xf>
    <xf numFmtId="3" fontId="27" fillId="34" borderId="52" xfId="61" applyNumberFormat="1" applyFont="1" applyFill="1" applyBorder="1" applyAlignment="1">
      <alignment vertical="center"/>
      <protection/>
    </xf>
    <xf numFmtId="3" fontId="27" fillId="34" borderId="54" xfId="61" applyNumberFormat="1" applyFont="1" applyFill="1" applyBorder="1" applyAlignment="1">
      <alignment vertical="center"/>
      <protection/>
    </xf>
    <xf numFmtId="3" fontId="53" fillId="34" borderId="60" xfId="61" applyNumberFormat="1" applyFont="1" applyFill="1" applyBorder="1" applyAlignment="1">
      <alignment horizontal="center"/>
      <protection/>
    </xf>
    <xf numFmtId="3" fontId="53" fillId="34" borderId="58" xfId="61" applyNumberFormat="1" applyFont="1" applyFill="1" applyBorder="1" applyAlignment="1">
      <alignment horizontal="center"/>
      <protection/>
    </xf>
    <xf numFmtId="3" fontId="53" fillId="34" borderId="59" xfId="61" applyNumberFormat="1" applyFont="1" applyFill="1" applyBorder="1">
      <alignment/>
      <protection/>
    </xf>
    <xf numFmtId="3" fontId="53" fillId="34" borderId="134" xfId="61" applyNumberFormat="1" applyFont="1" applyFill="1" applyBorder="1" applyAlignment="1">
      <alignment horizontal="center"/>
      <protection/>
    </xf>
    <xf numFmtId="3" fontId="2" fillId="0" borderId="0" xfId="61" applyNumberFormat="1" applyFont="1" applyBorder="1">
      <alignment/>
      <protection/>
    </xf>
    <xf numFmtId="3" fontId="2" fillId="34" borderId="0" xfId="61" applyNumberFormat="1" applyFont="1" applyFill="1" applyBorder="1">
      <alignment/>
      <protection/>
    </xf>
    <xf numFmtId="0" fontId="5" fillId="0" borderId="25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2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61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0" fillId="0" borderId="17" xfId="58" applyFont="1" applyBorder="1" applyAlignment="1">
      <alignment horizontal="left"/>
      <protection/>
    </xf>
    <xf numFmtId="0" fontId="70" fillId="0" borderId="19" xfId="58" applyFont="1" applyBorder="1" applyAlignment="1">
      <alignment horizontal="left"/>
      <protection/>
    </xf>
    <xf numFmtId="0" fontId="70" fillId="0" borderId="20" xfId="58" applyFont="1" applyBorder="1" applyAlignment="1">
      <alignment horizontal="left"/>
      <protection/>
    </xf>
    <xf numFmtId="0" fontId="5" fillId="0" borderId="25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16" fillId="0" borderId="19" xfId="58" applyFont="1" applyBorder="1" applyAlignment="1">
      <alignment horizontal="left"/>
      <protection/>
    </xf>
    <xf numFmtId="0" fontId="16" fillId="0" borderId="20" xfId="58" applyFont="1" applyBorder="1" applyAlignment="1">
      <alignment horizontal="left"/>
      <protection/>
    </xf>
    <xf numFmtId="0" fontId="0" fillId="0" borderId="0" xfId="58" applyFont="1" applyAlignment="1">
      <alignment horizontal="right" vertical="center"/>
      <protection/>
    </xf>
    <xf numFmtId="0" fontId="0" fillId="0" borderId="0" xfId="58" applyAlignment="1">
      <alignment horizontal="right" vertical="center"/>
      <protection/>
    </xf>
    <xf numFmtId="0" fontId="3" fillId="0" borderId="17" xfId="58" applyFont="1" applyBorder="1" applyAlignment="1">
      <alignment horizontal="left" wrapText="1"/>
      <protection/>
    </xf>
    <xf numFmtId="0" fontId="3" fillId="0" borderId="20" xfId="58" applyFont="1" applyBorder="1" applyAlignment="1">
      <alignment horizontal="left" wrapText="1"/>
      <protection/>
    </xf>
    <xf numFmtId="0" fontId="5" fillId="0" borderId="17" xfId="58" applyFont="1" applyBorder="1" applyAlignment="1">
      <alignment horizontal="left"/>
      <protection/>
    </xf>
    <xf numFmtId="0" fontId="5" fillId="0" borderId="19" xfId="58" applyFont="1" applyBorder="1" applyAlignment="1">
      <alignment horizontal="left"/>
      <protection/>
    </xf>
    <xf numFmtId="0" fontId="5" fillId="0" borderId="20" xfId="58" applyFont="1" applyBorder="1" applyAlignment="1">
      <alignment horizontal="left"/>
      <protection/>
    </xf>
    <xf numFmtId="0" fontId="10" fillId="0" borderId="0" xfId="58" applyFont="1" applyFill="1" applyAlignment="1">
      <alignment horizontal="center" vertical="center"/>
      <protection/>
    </xf>
    <xf numFmtId="0" fontId="3" fillId="0" borderId="17" xfId="58" applyFont="1" applyBorder="1" applyAlignment="1">
      <alignment horizontal="left"/>
      <protection/>
    </xf>
    <xf numFmtId="0" fontId="3" fillId="0" borderId="20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70" fillId="0" borderId="25" xfId="58" applyFont="1" applyBorder="1" applyAlignment="1">
      <alignment horizontal="left"/>
      <protection/>
    </xf>
    <xf numFmtId="0" fontId="61" fillId="0" borderId="17" xfId="58" applyFont="1" applyFill="1" applyBorder="1" applyAlignment="1">
      <alignment horizontal="center" vertical="center" wrapText="1"/>
      <protection/>
    </xf>
    <xf numFmtId="0" fontId="8" fillId="0" borderId="19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77" fillId="0" borderId="19" xfId="58" applyFont="1" applyBorder="1" applyAlignment="1">
      <alignment horizontal="center" vertical="center" wrapText="1"/>
      <protection/>
    </xf>
    <xf numFmtId="0" fontId="77" fillId="0" borderId="20" xfId="58" applyFont="1" applyBorder="1" applyAlignment="1">
      <alignment horizontal="center" vertical="center" wrapText="1"/>
      <protection/>
    </xf>
    <xf numFmtId="0" fontId="26" fillId="0" borderId="17" xfId="57" applyFont="1" applyBorder="1" applyAlignment="1">
      <alignment horizontal="center"/>
      <protection/>
    </xf>
    <xf numFmtId="0" fontId="26" fillId="0" borderId="19" xfId="57" applyFont="1" applyBorder="1" applyAlignment="1">
      <alignment horizontal="center"/>
      <protection/>
    </xf>
    <xf numFmtId="0" fontId="26" fillId="0" borderId="20" xfId="57" applyFont="1" applyBorder="1" applyAlignment="1">
      <alignment horizontal="center"/>
      <protection/>
    </xf>
    <xf numFmtId="0" fontId="23" fillId="0" borderId="17" xfId="57" applyFont="1" applyBorder="1" applyAlignment="1">
      <alignment horizontal="right" vertical="center"/>
      <protection/>
    </xf>
    <xf numFmtId="0" fontId="23" fillId="0" borderId="19" xfId="57" applyFont="1" applyBorder="1" applyAlignment="1">
      <alignment horizontal="right" vertical="center"/>
      <protection/>
    </xf>
    <xf numFmtId="0" fontId="26" fillId="0" borderId="17" xfId="57" applyFont="1" applyBorder="1" applyAlignment="1">
      <alignment horizontal="center" vertical="center" wrapText="1"/>
      <protection/>
    </xf>
    <xf numFmtId="0" fontId="26" fillId="0" borderId="19" xfId="57" applyFont="1" applyBorder="1" applyAlignment="1">
      <alignment horizontal="center" vertical="center" wrapText="1"/>
      <protection/>
    </xf>
    <xf numFmtId="0" fontId="26" fillId="0" borderId="20" xfId="57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0" fontId="77" fillId="0" borderId="0" xfId="0" applyFont="1" applyAlignment="1">
      <alignment horizontal="right"/>
    </xf>
    <xf numFmtId="0" fontId="21" fillId="0" borderId="0" xfId="57" applyFont="1" applyAlignment="1">
      <alignment horizontal="center"/>
      <protection/>
    </xf>
    <xf numFmtId="0" fontId="21" fillId="0" borderId="25" xfId="57" applyFont="1" applyBorder="1" applyAlignment="1">
      <alignment horizontal="center" vertical="center"/>
      <protection/>
    </xf>
    <xf numFmtId="0" fontId="26" fillId="0" borderId="25" xfId="57" applyFont="1" applyBorder="1" applyAlignment="1">
      <alignment horizontal="center" vertical="center"/>
      <protection/>
    </xf>
    <xf numFmtId="0" fontId="4" fillId="0" borderId="74" xfId="0" applyFont="1" applyFill="1" applyBorder="1" applyAlignment="1">
      <alignment horizontal="center" vertical="center" wrapText="1"/>
    </xf>
    <xf numFmtId="0" fontId="4" fillId="0" borderId="1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textRotation="90"/>
    </xf>
    <xf numFmtId="0" fontId="45" fillId="0" borderId="136" xfId="0" applyFont="1" applyFill="1" applyBorder="1" applyAlignment="1">
      <alignment horizontal="center" vertical="center" wrapText="1"/>
    </xf>
    <xf numFmtId="0" fontId="45" fillId="0" borderId="131" xfId="0" applyFont="1" applyFill="1" applyBorder="1" applyAlignment="1">
      <alignment horizontal="center" vertical="center" wrapText="1"/>
    </xf>
    <xf numFmtId="0" fontId="45" fillId="0" borderId="1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49" fillId="0" borderId="0" xfId="0" applyNumberFormat="1" applyFont="1" applyFill="1" applyAlignment="1">
      <alignment horizontal="left" vertical="center"/>
    </xf>
    <xf numFmtId="49" fontId="4" fillId="0" borderId="137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textRotation="90"/>
    </xf>
    <xf numFmtId="49" fontId="5" fillId="0" borderId="72" xfId="0" applyNumberFormat="1" applyFont="1" applyFill="1" applyBorder="1" applyAlignment="1">
      <alignment horizontal="center" textRotation="90"/>
    </xf>
    <xf numFmtId="0" fontId="4" fillId="0" borderId="133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6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07" xfId="60" applyFont="1" applyFill="1" applyBorder="1" applyAlignment="1">
      <alignment horizontal="center" vertical="center"/>
      <protection/>
    </xf>
    <xf numFmtId="0" fontId="4" fillId="0" borderId="64" xfId="60" applyFont="1" applyFill="1" applyBorder="1" applyAlignment="1">
      <alignment horizontal="center" vertical="center"/>
      <protection/>
    </xf>
    <xf numFmtId="0" fontId="4" fillId="0" borderId="77" xfId="60" applyFont="1" applyFill="1" applyBorder="1" applyAlignment="1">
      <alignment horizontal="center" vertical="center"/>
      <protection/>
    </xf>
    <xf numFmtId="49" fontId="4" fillId="0" borderId="137" xfId="60" applyNumberFormat="1" applyFont="1" applyFill="1" applyBorder="1" applyAlignment="1">
      <alignment horizontal="center" vertical="center"/>
      <protection/>
    </xf>
    <xf numFmtId="49" fontId="4" fillId="0" borderId="72" xfId="60" applyNumberFormat="1" applyFont="1" applyFill="1" applyBorder="1" applyAlignment="1">
      <alignment horizontal="center" vertical="center"/>
      <protection/>
    </xf>
    <xf numFmtId="49" fontId="4" fillId="0" borderId="139" xfId="60" applyNumberFormat="1" applyFont="1" applyFill="1" applyBorder="1" applyAlignment="1">
      <alignment horizontal="center" vertical="center"/>
      <protection/>
    </xf>
    <xf numFmtId="0" fontId="16" fillId="0" borderId="109" xfId="60" applyFont="1" applyFill="1" applyBorder="1" applyAlignment="1">
      <alignment horizontal="center" vertical="center"/>
      <protection/>
    </xf>
    <xf numFmtId="0" fontId="16" fillId="0" borderId="110" xfId="60" applyFont="1" applyFill="1" applyBorder="1" applyAlignment="1">
      <alignment horizontal="center" vertical="center"/>
      <protection/>
    </xf>
    <xf numFmtId="0" fontId="47" fillId="0" borderId="136" xfId="60" applyFont="1" applyFill="1" applyBorder="1" applyAlignment="1">
      <alignment horizontal="left" vertical="center"/>
      <protection/>
    </xf>
    <xf numFmtId="0" fontId="47" fillId="0" borderId="109" xfId="60" applyFont="1" applyFill="1" applyBorder="1" applyAlignment="1">
      <alignment horizontal="left" vertical="center"/>
      <protection/>
    </xf>
    <xf numFmtId="0" fontId="47" fillId="0" borderId="110" xfId="60" applyFont="1" applyFill="1" applyBorder="1" applyAlignment="1">
      <alignment horizontal="left" vertical="center"/>
      <protection/>
    </xf>
    <xf numFmtId="3" fontId="3" fillId="0" borderId="76" xfId="60" applyNumberFormat="1" applyFont="1" applyFill="1" applyBorder="1" applyAlignment="1">
      <alignment horizontal="center" vertical="center" wrapText="1"/>
      <protection/>
    </xf>
    <xf numFmtId="3" fontId="3" fillId="0" borderId="135" xfId="60" applyNumberFormat="1" applyFont="1" applyFill="1" applyBorder="1" applyAlignment="1">
      <alignment horizontal="center" vertical="center" wrapText="1"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0" fontId="51" fillId="0" borderId="57" xfId="60" applyFont="1" applyFill="1" applyBorder="1" applyAlignment="1">
      <alignment horizontal="left" vertical="center"/>
      <protection/>
    </xf>
    <xf numFmtId="0" fontId="51" fillId="0" borderId="109" xfId="60" applyFont="1" applyFill="1" applyBorder="1" applyAlignment="1">
      <alignment horizontal="left" vertical="center"/>
      <protection/>
    </xf>
    <xf numFmtId="0" fontId="51" fillId="0" borderId="110" xfId="60" applyFont="1" applyFill="1" applyBorder="1" applyAlignment="1">
      <alignment horizontal="left" vertical="center"/>
      <protection/>
    </xf>
    <xf numFmtId="0" fontId="52" fillId="0" borderId="127" xfId="60" applyFont="1" applyFill="1" applyBorder="1" applyAlignment="1">
      <alignment horizontal="left" vertical="center"/>
      <protection/>
    </xf>
    <xf numFmtId="0" fontId="52" fillId="0" borderId="31" xfId="60" applyFont="1" applyFill="1" applyBorder="1" applyAlignment="1">
      <alignment horizontal="left" vertical="center"/>
      <protection/>
    </xf>
    <xf numFmtId="0" fontId="52" fillId="0" borderId="16" xfId="60" applyFont="1" applyFill="1" applyBorder="1" applyAlignment="1">
      <alignment horizontal="left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0" fillId="0" borderId="0" xfId="60" applyAlignment="1">
      <alignment horizontal="right"/>
      <protection/>
    </xf>
    <xf numFmtId="0" fontId="2" fillId="0" borderId="140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2" fillId="0" borderId="141" xfId="60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center" wrapText="1"/>
      <protection/>
    </xf>
    <xf numFmtId="0" fontId="4" fillId="0" borderId="89" xfId="60" applyFont="1" applyFill="1" applyBorder="1" applyAlignment="1">
      <alignment horizontal="center" vertical="center" wrapText="1"/>
      <protection/>
    </xf>
    <xf numFmtId="0" fontId="4" fillId="0" borderId="48" xfId="60" applyFont="1" applyFill="1" applyBorder="1" applyAlignment="1">
      <alignment horizontal="center" vertical="center" wrapText="1"/>
      <protection/>
    </xf>
    <xf numFmtId="0" fontId="4" fillId="0" borderId="123" xfId="60" applyFont="1" applyFill="1" applyBorder="1" applyAlignment="1">
      <alignment horizontal="center" vertical="center" wrapText="1"/>
      <protection/>
    </xf>
    <xf numFmtId="0" fontId="32" fillId="0" borderId="82" xfId="59" applyFont="1" applyBorder="1" applyAlignment="1">
      <alignment horizontal="left" wrapText="1"/>
      <protection/>
    </xf>
    <xf numFmtId="0" fontId="32" fillId="0" borderId="0" xfId="59" applyFont="1" applyBorder="1" applyAlignment="1">
      <alignment horizontal="left" wrapText="1"/>
      <protection/>
    </xf>
    <xf numFmtId="0" fontId="32" fillId="0" borderId="40" xfId="59" applyFont="1" applyBorder="1" applyAlignment="1">
      <alignment horizontal="left" wrapText="1"/>
      <protection/>
    </xf>
    <xf numFmtId="0" fontId="32" fillId="0" borderId="40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0" fontId="32" fillId="0" borderId="90" xfId="59" applyFont="1" applyBorder="1" applyAlignment="1">
      <alignment horizontal="left"/>
      <protection/>
    </xf>
    <xf numFmtId="0" fontId="32" fillId="0" borderId="38" xfId="59" applyFont="1" applyBorder="1" applyAlignment="1">
      <alignment horizontal="left"/>
      <protection/>
    </xf>
    <xf numFmtId="0" fontId="32" fillId="0" borderId="142" xfId="59" applyFont="1" applyBorder="1" applyAlignment="1">
      <alignment horizontal="left"/>
      <protection/>
    </xf>
    <xf numFmtId="0" fontId="32" fillId="0" borderId="36" xfId="59" applyFont="1" applyBorder="1" applyAlignment="1">
      <alignment horizontal="left"/>
      <protection/>
    </xf>
    <xf numFmtId="0" fontId="32" fillId="0" borderId="40" xfId="59" applyFont="1" applyBorder="1" applyAlignment="1">
      <alignment horizontal="left" vertical="center" wrapText="1"/>
      <protection/>
    </xf>
    <xf numFmtId="0" fontId="32" fillId="0" borderId="0" xfId="59" applyFont="1" applyBorder="1" applyAlignment="1">
      <alignment horizontal="left" vertical="center" wrapText="1"/>
      <protection/>
    </xf>
    <xf numFmtId="0" fontId="32" fillId="0" borderId="82" xfId="59" applyFont="1" applyBorder="1" applyAlignment="1">
      <alignment horizontal="left" vertical="center" wrapText="1"/>
      <protection/>
    </xf>
    <xf numFmtId="0" fontId="16" fillId="0" borderId="143" xfId="60" applyFont="1" applyFill="1" applyBorder="1" applyAlignment="1">
      <alignment horizontal="center" vertical="center" wrapText="1"/>
      <protection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54" fillId="0" borderId="146" xfId="59" applyFont="1" applyBorder="1" applyAlignment="1">
      <alignment horizontal="center" vertical="center"/>
      <protection/>
    </xf>
    <xf numFmtId="0" fontId="19" fillId="0" borderId="35" xfId="59" applyBorder="1" applyAlignment="1">
      <alignment horizontal="center" vertical="center"/>
      <protection/>
    </xf>
    <xf numFmtId="0" fontId="19" fillId="0" borderId="70" xfId="59" applyBorder="1" applyAlignment="1">
      <alignment horizontal="center" vertical="center"/>
      <protection/>
    </xf>
    <xf numFmtId="0" fontId="19" fillId="0" borderId="79" xfId="59" applyBorder="1" applyAlignment="1">
      <alignment horizontal="center" vertical="center"/>
      <protection/>
    </xf>
    <xf numFmtId="0" fontId="19" fillId="0" borderId="24" xfId="59" applyBorder="1" applyAlignment="1">
      <alignment horizontal="center" vertical="center"/>
      <protection/>
    </xf>
    <xf numFmtId="0" fontId="19" fillId="0" borderId="123" xfId="59" applyBorder="1" applyAlignment="1">
      <alignment horizontal="center" vertical="center"/>
      <protection/>
    </xf>
    <xf numFmtId="3" fontId="31" fillId="0" borderId="140" xfId="59" applyNumberFormat="1" applyFont="1" applyBorder="1" applyAlignment="1">
      <alignment horizontal="right" vertical="center"/>
      <protection/>
    </xf>
    <xf numFmtId="3" fontId="31" fillId="0" borderId="39" xfId="59" applyNumberFormat="1" applyFont="1" applyBorder="1" applyAlignment="1">
      <alignment horizontal="right" vertical="center"/>
      <protection/>
    </xf>
    <xf numFmtId="0" fontId="11" fillId="0" borderId="0" xfId="60" applyFont="1" applyFill="1" applyAlignment="1">
      <alignment horizontal="right" vertical="center"/>
      <protection/>
    </xf>
    <xf numFmtId="0" fontId="77" fillId="0" borderId="0" xfId="60" applyFont="1" applyAlignment="1">
      <alignment horizontal="right"/>
      <protection/>
    </xf>
    <xf numFmtId="0" fontId="77" fillId="0" borderId="0" xfId="0" applyFont="1" applyAlignment="1">
      <alignment/>
    </xf>
    <xf numFmtId="0" fontId="16" fillId="0" borderId="147" xfId="60" applyFont="1" applyFill="1" applyBorder="1" applyAlignment="1">
      <alignment horizontal="center" vertical="center" wrapText="1"/>
      <protection/>
    </xf>
    <xf numFmtId="0" fontId="0" fillId="0" borderId="144" xfId="0" applyBorder="1" applyAlignment="1">
      <alignment horizontal="center" vertical="center" wrapText="1"/>
    </xf>
    <xf numFmtId="0" fontId="16" fillId="0" borderId="148" xfId="60" applyFont="1" applyFill="1" applyBorder="1" applyAlignment="1">
      <alignment horizontal="center" vertical="center" wrapText="1"/>
      <protection/>
    </xf>
    <xf numFmtId="0" fontId="0" fillId="0" borderId="149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53" fillId="0" borderId="0" xfId="60" applyFont="1" applyFill="1" applyAlignment="1">
      <alignment horizontal="center" vertical="center" wrapText="1"/>
      <protection/>
    </xf>
    <xf numFmtId="0" fontId="53" fillId="0" borderId="37" xfId="60" applyFont="1" applyFill="1" applyBorder="1" applyAlignment="1">
      <alignment horizontal="center" vertical="center" wrapText="1"/>
      <protection/>
    </xf>
    <xf numFmtId="0" fontId="54" fillId="0" borderId="146" xfId="59" applyFont="1" applyBorder="1" applyAlignment="1">
      <alignment horizontal="center" wrapText="1"/>
      <protection/>
    </xf>
    <xf numFmtId="0" fontId="54" fillId="0" borderId="35" xfId="59" applyFont="1" applyBorder="1" applyAlignment="1">
      <alignment horizontal="center" wrapText="1"/>
      <protection/>
    </xf>
    <xf numFmtId="0" fontId="54" fillId="0" borderId="79" xfId="59" applyFont="1" applyBorder="1" applyAlignment="1">
      <alignment horizontal="center" wrapText="1"/>
      <protection/>
    </xf>
    <xf numFmtId="0" fontId="54" fillId="0" borderId="24" xfId="59" applyFont="1" applyBorder="1" applyAlignment="1">
      <alignment horizontal="center" wrapText="1"/>
      <protection/>
    </xf>
    <xf numFmtId="0" fontId="52" fillId="0" borderId="151" xfId="60" applyFont="1" applyFill="1" applyBorder="1" applyAlignment="1">
      <alignment horizontal="center" vertical="center" wrapText="1"/>
      <protection/>
    </xf>
    <xf numFmtId="0" fontId="52" fillId="0" borderId="35" xfId="60" applyFont="1" applyFill="1" applyBorder="1" applyAlignment="1">
      <alignment horizontal="center" vertical="center" wrapText="1"/>
      <protection/>
    </xf>
    <xf numFmtId="0" fontId="52" fillId="0" borderId="70" xfId="60" applyFont="1" applyFill="1" applyBorder="1" applyAlignment="1">
      <alignment horizontal="center" vertical="center" wrapText="1"/>
      <protection/>
    </xf>
    <xf numFmtId="0" fontId="52" fillId="0" borderId="99" xfId="60" applyFont="1" applyFill="1" applyBorder="1" applyAlignment="1">
      <alignment horizontal="center" vertical="center" wrapText="1"/>
      <protection/>
    </xf>
    <xf numFmtId="0" fontId="52" fillId="0" borderId="24" xfId="60" applyFont="1" applyFill="1" applyBorder="1" applyAlignment="1">
      <alignment horizontal="center" vertical="center" wrapText="1"/>
      <protection/>
    </xf>
    <xf numFmtId="0" fontId="52" fillId="0" borderId="123" xfId="60" applyFont="1" applyFill="1" applyBorder="1" applyAlignment="1">
      <alignment horizontal="center" vertical="center" wrapText="1"/>
      <protection/>
    </xf>
    <xf numFmtId="0" fontId="32" fillId="0" borderId="86" xfId="59" applyFont="1" applyBorder="1" applyAlignment="1">
      <alignment horizontal="left" wrapText="1"/>
      <protection/>
    </xf>
    <xf numFmtId="0" fontId="32" fillId="0" borderId="36" xfId="59" applyFont="1" applyBorder="1" applyAlignment="1">
      <alignment horizontal="left" wrapText="1"/>
      <protection/>
    </xf>
    <xf numFmtId="0" fontId="32" fillId="0" borderId="0" xfId="59" applyFont="1" applyAlignment="1">
      <alignment horizontal="left" wrapText="1"/>
      <protection/>
    </xf>
    <xf numFmtId="3" fontId="32" fillId="0" borderId="89" xfId="59" applyNumberFormat="1" applyFont="1" applyBorder="1" applyAlignment="1">
      <alignment horizontal="right"/>
      <protection/>
    </xf>
    <xf numFmtId="3" fontId="32" fillId="0" borderId="48" xfId="59" applyNumberFormat="1" applyFont="1" applyBorder="1" applyAlignment="1">
      <alignment horizontal="right"/>
      <protection/>
    </xf>
    <xf numFmtId="0" fontId="75" fillId="0" borderId="82" xfId="59" applyFont="1" applyBorder="1" applyAlignment="1">
      <alignment horizontal="left"/>
      <protection/>
    </xf>
    <xf numFmtId="0" fontId="75" fillId="0" borderId="0" xfId="59" applyFont="1" applyBorder="1" applyAlignment="1">
      <alignment horizontal="left"/>
      <protection/>
    </xf>
    <xf numFmtId="0" fontId="32" fillId="0" borderId="142" xfId="59" applyFont="1" applyBorder="1" applyAlignment="1">
      <alignment horizontal="left" wrapText="1"/>
      <protection/>
    </xf>
    <xf numFmtId="0" fontId="55" fillId="0" borderId="40" xfId="59" applyFont="1" applyBorder="1" applyAlignment="1">
      <alignment horizontal="right"/>
      <protection/>
    </xf>
    <xf numFmtId="0" fontId="55" fillId="0" borderId="0" xfId="59" applyFont="1" applyBorder="1" applyAlignment="1">
      <alignment horizontal="right"/>
      <protection/>
    </xf>
    <xf numFmtId="0" fontId="55" fillId="0" borderId="84" xfId="59" applyFont="1" applyBorder="1" applyAlignment="1">
      <alignment horizontal="right"/>
      <protection/>
    </xf>
    <xf numFmtId="0" fontId="54" fillId="36" borderId="124" xfId="59" applyFont="1" applyFill="1" applyBorder="1" applyAlignment="1">
      <alignment/>
      <protection/>
    </xf>
    <xf numFmtId="0" fontId="54" fillId="36" borderId="152" xfId="59" applyFont="1" applyFill="1" applyBorder="1" applyAlignment="1">
      <alignment/>
      <protection/>
    </xf>
    <xf numFmtId="0" fontId="31" fillId="36" borderId="113" xfId="59" applyFont="1" applyFill="1" applyBorder="1" applyAlignment="1">
      <alignment horizontal="right"/>
      <protection/>
    </xf>
    <xf numFmtId="0" fontId="0" fillId="36" borderId="37" xfId="0" applyFill="1" applyBorder="1" applyAlignment="1">
      <alignment horizontal="right"/>
    </xf>
    <xf numFmtId="0" fontId="0" fillId="36" borderId="153" xfId="0" applyFill="1" applyBorder="1" applyAlignment="1">
      <alignment horizontal="right"/>
    </xf>
    <xf numFmtId="0" fontId="31" fillId="36" borderId="37" xfId="59" applyFont="1" applyFill="1" applyBorder="1" applyAlignment="1">
      <alignment/>
      <protection/>
    </xf>
    <xf numFmtId="0" fontId="31" fillId="36" borderId="37" xfId="0" applyFont="1" applyFill="1" applyBorder="1" applyAlignment="1">
      <alignment/>
    </xf>
    <xf numFmtId="0" fontId="31" fillId="36" borderId="154" xfId="0" applyFont="1" applyFill="1" applyBorder="1" applyAlignment="1">
      <alignment/>
    </xf>
    <xf numFmtId="0" fontId="32" fillId="0" borderId="82" xfId="59" applyFont="1" applyBorder="1" applyAlignment="1">
      <alignment horizontal="left"/>
      <protection/>
    </xf>
    <xf numFmtId="0" fontId="54" fillId="36" borderId="37" xfId="59" applyFont="1" applyFill="1" applyBorder="1" applyAlignment="1">
      <alignment/>
      <protection/>
    </xf>
    <xf numFmtId="0" fontId="54" fillId="36" borderId="154" xfId="59" applyFont="1" applyFill="1" applyBorder="1" applyAlignment="1">
      <alignment/>
      <protection/>
    </xf>
    <xf numFmtId="0" fontId="52" fillId="0" borderId="155" xfId="60" applyFont="1" applyFill="1" applyBorder="1" applyAlignment="1">
      <alignment horizontal="center" vertical="center" wrapText="1"/>
      <protection/>
    </xf>
    <xf numFmtId="0" fontId="52" fillId="0" borderId="108" xfId="60" applyFont="1" applyFill="1" applyBorder="1" applyAlignment="1">
      <alignment horizontal="center" vertical="center" wrapText="1"/>
      <protection/>
    </xf>
    <xf numFmtId="3" fontId="31" fillId="0" borderId="140" xfId="59" applyNumberFormat="1" applyFont="1" applyBorder="1" applyAlignment="1">
      <alignment horizontal="right" vertical="center" wrapText="1"/>
      <protection/>
    </xf>
    <xf numFmtId="3" fontId="31" fillId="0" borderId="39" xfId="59" applyNumberFormat="1" applyFont="1" applyBorder="1" applyAlignment="1">
      <alignment horizontal="right" vertical="center" wrapText="1"/>
      <protection/>
    </xf>
    <xf numFmtId="3" fontId="31" fillId="0" borderId="156" xfId="59" applyNumberFormat="1" applyFont="1" applyBorder="1" applyAlignment="1">
      <alignment horizontal="right" vertical="center"/>
      <protection/>
    </xf>
    <xf numFmtId="3" fontId="31" fillId="0" borderId="112" xfId="59" applyNumberFormat="1" applyFont="1" applyBorder="1" applyAlignment="1">
      <alignment horizontal="right" vertical="center"/>
      <protection/>
    </xf>
    <xf numFmtId="3" fontId="32" fillId="0" borderId="48" xfId="59" applyNumberFormat="1" applyFont="1" applyBorder="1" applyAlignment="1">
      <alignment horizontal="right" vertical="center"/>
      <protection/>
    </xf>
    <xf numFmtId="0" fontId="75" fillId="0" borderId="86" xfId="59" applyFont="1" applyBorder="1" applyAlignment="1">
      <alignment horizontal="left"/>
      <protection/>
    </xf>
    <xf numFmtId="0" fontId="75" fillId="0" borderId="36" xfId="59" applyFont="1" applyBorder="1" applyAlignment="1">
      <alignment horizontal="left"/>
      <protection/>
    </xf>
    <xf numFmtId="3" fontId="31" fillId="0" borderId="40" xfId="59" applyNumberFormat="1" applyFont="1" applyBorder="1" applyAlignment="1">
      <alignment horizontal="right" vertical="center"/>
      <protection/>
    </xf>
    <xf numFmtId="3" fontId="31" fillId="0" borderId="88" xfId="59" applyNumberFormat="1" applyFont="1" applyBorder="1" applyAlignment="1">
      <alignment horizontal="right" vertical="center"/>
      <protection/>
    </xf>
    <xf numFmtId="0" fontId="75" fillId="0" borderId="40" xfId="59" applyFont="1" applyBorder="1" applyAlignment="1">
      <alignment horizontal="left"/>
      <protection/>
    </xf>
    <xf numFmtId="0" fontId="55" fillId="0" borderId="38" xfId="59" applyFont="1" applyBorder="1" applyAlignment="1">
      <alignment horizontal="right"/>
      <protection/>
    </xf>
    <xf numFmtId="0" fontId="55" fillId="0" borderId="119" xfId="59" applyFont="1" applyBorder="1" applyAlignment="1">
      <alignment horizontal="right"/>
      <protection/>
    </xf>
    <xf numFmtId="0" fontId="75" fillId="0" borderId="93" xfId="59" applyFont="1" applyBorder="1" applyAlignment="1">
      <alignment horizontal="left"/>
      <protection/>
    </xf>
    <xf numFmtId="0" fontId="75" fillId="0" borderId="38" xfId="59" applyFont="1" applyBorder="1" applyAlignment="1">
      <alignment horizontal="left"/>
      <protection/>
    </xf>
    <xf numFmtId="3" fontId="31" fillId="0" borderId="157" xfId="59" applyNumberFormat="1" applyFont="1" applyBorder="1" applyAlignment="1">
      <alignment horizontal="right" vertical="center"/>
      <protection/>
    </xf>
    <xf numFmtId="3" fontId="31" fillId="0" borderId="141" xfId="59" applyNumberFormat="1" applyFont="1" applyBorder="1" applyAlignment="1">
      <alignment horizontal="right" vertical="center"/>
      <protection/>
    </xf>
    <xf numFmtId="0" fontId="19" fillId="0" borderId="102" xfId="59" applyBorder="1" applyAlignment="1">
      <alignment horizontal="left" wrapText="1"/>
      <protection/>
    </xf>
    <xf numFmtId="0" fontId="19" fillId="0" borderId="37" xfId="59" applyBorder="1" applyAlignment="1">
      <alignment horizontal="left" wrapText="1"/>
      <protection/>
    </xf>
    <xf numFmtId="0" fontId="75" fillId="0" borderId="99" xfId="59" applyFont="1" applyBorder="1" applyAlignment="1">
      <alignment horizontal="left"/>
      <protection/>
    </xf>
    <xf numFmtId="0" fontId="75" fillId="0" borderId="24" xfId="59" applyFont="1" applyBorder="1" applyAlignment="1">
      <alignment horizontal="left"/>
      <protection/>
    </xf>
    <xf numFmtId="3" fontId="31" fillId="0" borderId="151" xfId="59" applyNumberFormat="1" applyFont="1" applyBorder="1" applyAlignment="1">
      <alignment horizontal="right" vertical="center"/>
      <protection/>
    </xf>
    <xf numFmtId="3" fontId="31" fillId="0" borderId="99" xfId="59" applyNumberFormat="1" applyFont="1" applyBorder="1" applyAlignment="1">
      <alignment horizontal="right" vertical="center"/>
      <protection/>
    </xf>
    <xf numFmtId="0" fontId="31" fillId="0" borderId="141" xfId="59" applyFont="1" applyBorder="1" applyAlignment="1">
      <alignment horizontal="right" vertical="center"/>
      <protection/>
    </xf>
    <xf numFmtId="0" fontId="0" fillId="0" borderId="35" xfId="0" applyBorder="1" applyAlignment="1">
      <alignment/>
    </xf>
    <xf numFmtId="0" fontId="0" fillId="0" borderId="158" xfId="0" applyBorder="1" applyAlignment="1">
      <alignment/>
    </xf>
    <xf numFmtId="0" fontId="0" fillId="0" borderId="79" xfId="0" applyBorder="1" applyAlignment="1">
      <alignment/>
    </xf>
    <xf numFmtId="0" fontId="0" fillId="0" borderId="24" xfId="0" applyBorder="1" applyAlignment="1">
      <alignment/>
    </xf>
    <xf numFmtId="0" fontId="0" fillId="0" borderId="75" xfId="0" applyBorder="1" applyAlignment="1">
      <alignment/>
    </xf>
    <xf numFmtId="0" fontId="0" fillId="0" borderId="70" xfId="0" applyBorder="1" applyAlignment="1">
      <alignment/>
    </xf>
    <xf numFmtId="0" fontId="0" fillId="0" borderId="0" xfId="0" applyBorder="1" applyAlignment="1">
      <alignment/>
    </xf>
    <xf numFmtId="0" fontId="0" fillId="0" borderId="123" xfId="0" applyBorder="1" applyAlignment="1">
      <alignment/>
    </xf>
    <xf numFmtId="0" fontId="0" fillId="0" borderId="99" xfId="0" applyBorder="1" applyAlignment="1">
      <alignment/>
    </xf>
    <xf numFmtId="0" fontId="0" fillId="0" borderId="155" xfId="0" applyBorder="1" applyAlignment="1">
      <alignment/>
    </xf>
    <xf numFmtId="0" fontId="0" fillId="0" borderId="108" xfId="0" applyBorder="1" applyAlignment="1">
      <alignment/>
    </xf>
    <xf numFmtId="0" fontId="16" fillId="0" borderId="159" xfId="60" applyFont="1" applyFill="1" applyBorder="1" applyAlignment="1">
      <alignment horizontal="center" vertical="center" wrapText="1"/>
      <protection/>
    </xf>
    <xf numFmtId="0" fontId="0" fillId="0" borderId="160" xfId="0" applyBorder="1" applyAlignment="1">
      <alignment horizontal="center" vertical="center" wrapText="1"/>
    </xf>
    <xf numFmtId="0" fontId="32" fillId="0" borderId="86" xfId="59" applyFont="1" applyBorder="1" applyAlignment="1">
      <alignment horizontal="left"/>
      <protection/>
    </xf>
    <xf numFmtId="3" fontId="31" fillId="0" borderId="89" xfId="59" applyNumberFormat="1" applyFont="1" applyBorder="1" applyAlignment="1">
      <alignment horizontal="right" vertical="center"/>
      <protection/>
    </xf>
    <xf numFmtId="3" fontId="31" fillId="0" borderId="116" xfId="59" applyNumberFormat="1" applyFont="1" applyBorder="1" applyAlignment="1">
      <alignment horizontal="right" vertical="center"/>
      <protection/>
    </xf>
    <xf numFmtId="0" fontId="55" fillId="0" borderId="109" xfId="59" applyFont="1" applyBorder="1" applyAlignment="1">
      <alignment horizontal="right"/>
      <protection/>
    </xf>
    <xf numFmtId="0" fontId="55" fillId="0" borderId="134" xfId="59" applyFont="1" applyBorder="1" applyAlignment="1">
      <alignment horizontal="right"/>
      <protection/>
    </xf>
    <xf numFmtId="0" fontId="32" fillId="0" borderId="109" xfId="59" applyFont="1" applyBorder="1" applyAlignment="1">
      <alignment horizontal="left"/>
      <protection/>
    </xf>
    <xf numFmtId="0" fontId="55" fillId="0" borderId="82" xfId="59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84" xfId="0" applyBorder="1" applyAlignment="1">
      <alignment horizontal="right"/>
    </xf>
    <xf numFmtId="0" fontId="54" fillId="0" borderId="35" xfId="59" applyFont="1" applyBorder="1" applyAlignment="1">
      <alignment horizontal="center" vertical="center"/>
      <protection/>
    </xf>
    <xf numFmtId="0" fontId="54" fillId="0" borderId="70" xfId="59" applyFont="1" applyBorder="1" applyAlignment="1">
      <alignment horizontal="center" vertical="center"/>
      <protection/>
    </xf>
    <xf numFmtId="0" fontId="54" fillId="0" borderId="79" xfId="59" applyFont="1" applyBorder="1" applyAlignment="1">
      <alignment horizontal="center" vertical="center"/>
      <protection/>
    </xf>
    <xf numFmtId="0" fontId="54" fillId="0" borderId="24" xfId="59" applyFont="1" applyBorder="1" applyAlignment="1">
      <alignment horizontal="center" vertical="center"/>
      <protection/>
    </xf>
    <xf numFmtId="0" fontId="54" fillId="0" borderId="123" xfId="59" applyFont="1" applyBorder="1" applyAlignment="1">
      <alignment horizontal="center" vertical="center"/>
      <protection/>
    </xf>
    <xf numFmtId="3" fontId="31" fillId="0" borderId="156" xfId="59" applyNumberFormat="1" applyFont="1" applyBorder="1" applyAlignment="1">
      <alignment horizontal="center" vertical="center"/>
      <protection/>
    </xf>
    <xf numFmtId="3" fontId="31" fillId="0" borderId="112" xfId="59" applyNumberFormat="1" applyFont="1" applyBorder="1" applyAlignment="1">
      <alignment horizontal="center" vertical="center"/>
      <protection/>
    </xf>
    <xf numFmtId="3" fontId="31" fillId="0" borderId="116" xfId="59" applyNumberFormat="1" applyFont="1" applyBorder="1" applyAlignment="1">
      <alignment horizontal="center" vertical="center"/>
      <protection/>
    </xf>
    <xf numFmtId="0" fontId="75" fillId="0" borderId="40" xfId="59" applyFont="1" applyBorder="1" applyAlignment="1">
      <alignment horizontal="left" wrapText="1"/>
      <protection/>
    </xf>
    <xf numFmtId="0" fontId="75" fillId="0" borderId="0" xfId="59" applyFont="1" applyBorder="1" applyAlignment="1">
      <alignment horizontal="left" wrapText="1"/>
      <protection/>
    </xf>
    <xf numFmtId="0" fontId="54" fillId="36" borderId="93" xfId="59" applyFont="1" applyFill="1" applyBorder="1" applyAlignment="1">
      <alignment wrapText="1"/>
      <protection/>
    </xf>
    <xf numFmtId="0" fontId="65" fillId="36" borderId="38" xfId="0" applyFont="1" applyFill="1" applyBorder="1" applyAlignment="1">
      <alignment wrapText="1"/>
    </xf>
    <xf numFmtId="0" fontId="65" fillId="36" borderId="119" xfId="0" applyFont="1" applyFill="1" applyBorder="1" applyAlignment="1">
      <alignment wrapText="1"/>
    </xf>
    <xf numFmtId="0" fontId="56" fillId="0" borderId="93" xfId="59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119" xfId="0" applyBorder="1" applyAlignment="1">
      <alignment horizontal="center"/>
    </xf>
    <xf numFmtId="0" fontId="31" fillId="0" borderId="37" xfId="59" applyFont="1" applyBorder="1" applyAlignment="1">
      <alignment/>
      <protection/>
    </xf>
    <xf numFmtId="0" fontId="31" fillId="0" borderId="37" xfId="0" applyFont="1" applyBorder="1" applyAlignment="1">
      <alignment/>
    </xf>
    <xf numFmtId="0" fontId="31" fillId="0" borderId="154" xfId="0" applyFont="1" applyBorder="1" applyAlignment="1">
      <alignment/>
    </xf>
    <xf numFmtId="0" fontId="54" fillId="0" borderId="37" xfId="59" applyFont="1" applyBorder="1" applyAlignment="1">
      <alignment/>
      <protection/>
    </xf>
    <xf numFmtId="0" fontId="54" fillId="0" borderId="154" xfId="59" applyFont="1" applyBorder="1" applyAlignment="1">
      <alignment/>
      <protection/>
    </xf>
    <xf numFmtId="0" fontId="16" fillId="0" borderId="161" xfId="60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19" fillId="24" borderId="55" xfId="0" applyFont="1" applyFill="1" applyBorder="1" applyAlignment="1">
      <alignment horizontal="left" wrapText="1"/>
    </xf>
    <xf numFmtId="0" fontId="19" fillId="24" borderId="19" xfId="0" applyFont="1" applyFill="1" applyBorder="1" applyAlignment="1">
      <alignment horizontal="left" wrapText="1"/>
    </xf>
    <xf numFmtId="0" fontId="19" fillId="24" borderId="20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33" xfId="0" applyFont="1" applyFill="1" applyBorder="1" applyAlignment="1">
      <alignment horizontal="left" vertical="center"/>
    </xf>
    <xf numFmtId="0" fontId="12" fillId="0" borderId="138" xfId="0" applyFont="1" applyFill="1" applyBorder="1" applyAlignment="1">
      <alignment horizontal="left" vertical="center"/>
    </xf>
    <xf numFmtId="0" fontId="12" fillId="0" borderId="162" xfId="0" applyFont="1" applyFill="1" applyBorder="1" applyAlignment="1">
      <alignment horizontal="left" vertical="center"/>
    </xf>
    <xf numFmtId="0" fontId="12" fillId="0" borderId="13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1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53" xfId="62" applyFont="1" applyBorder="1" applyAlignment="1">
      <alignment horizontal="center" vertical="center" wrapText="1"/>
      <protection/>
    </xf>
    <xf numFmtId="0" fontId="21" fillId="0" borderId="25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3" xfId="62" applyFont="1" applyBorder="1" applyAlignment="1">
      <alignment horizontal="center" vertical="center" wrapText="1"/>
      <protection/>
    </xf>
    <xf numFmtId="0" fontId="26" fillId="0" borderId="51" xfId="62" applyFont="1" applyBorder="1" applyAlignment="1">
      <alignment horizontal="center" vertical="center"/>
      <protection/>
    </xf>
    <xf numFmtId="0" fontId="26" fillId="0" borderId="28" xfId="62" applyFont="1" applyBorder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59" fillId="0" borderId="0" xfId="0" applyFont="1" applyAlignment="1">
      <alignment horizontal="center" wrapText="1"/>
    </xf>
    <xf numFmtId="0" fontId="56" fillId="39" borderId="90" xfId="0" applyFont="1" applyFill="1" applyBorder="1" applyAlignment="1">
      <alignment horizontal="center" vertical="center"/>
    </xf>
    <xf numFmtId="0" fontId="56" fillId="39" borderId="38" xfId="0" applyFont="1" applyFill="1" applyBorder="1" applyAlignment="1">
      <alignment horizontal="center" vertical="center"/>
    </xf>
    <xf numFmtId="0" fontId="56" fillId="39" borderId="163" xfId="0" applyFont="1" applyFill="1" applyBorder="1" applyAlignment="1">
      <alignment horizontal="center" vertical="center"/>
    </xf>
    <xf numFmtId="0" fontId="54" fillId="0" borderId="164" xfId="0" applyFont="1" applyBorder="1" applyAlignment="1">
      <alignment horizontal="left"/>
    </xf>
    <xf numFmtId="0" fontId="54" fillId="0" borderId="165" xfId="0" applyFont="1" applyBorder="1" applyAlignment="1">
      <alignment horizontal="left"/>
    </xf>
    <xf numFmtId="0" fontId="54" fillId="0" borderId="166" xfId="0" applyFont="1" applyBorder="1" applyAlignment="1">
      <alignment horizontal="left"/>
    </xf>
    <xf numFmtId="3" fontId="0" fillId="0" borderId="53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7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89" xfId="0" applyBorder="1" applyAlignment="1">
      <alignment horizontal="center"/>
    </xf>
    <xf numFmtId="0" fontId="27" fillId="0" borderId="151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5" fillId="0" borderId="14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55" fillId="0" borderId="142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133" xfId="0" applyFont="1" applyBorder="1" applyAlignment="1">
      <alignment horizontal="center" vertical="center" wrapText="1"/>
    </xf>
    <xf numFmtId="0" fontId="60" fillId="0" borderId="140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0" fillId="0" borderId="10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54" fillId="0" borderId="167" xfId="0" applyFont="1" applyBorder="1" applyAlignment="1">
      <alignment horizontal="left"/>
    </xf>
    <xf numFmtId="0" fontId="54" fillId="0" borderId="168" xfId="0" applyFont="1" applyBorder="1" applyAlignment="1">
      <alignment horizontal="left"/>
    </xf>
    <xf numFmtId="0" fontId="54" fillId="0" borderId="143" xfId="0" applyFont="1" applyBorder="1" applyAlignment="1">
      <alignment horizontal="left"/>
    </xf>
    <xf numFmtId="3" fontId="0" fillId="0" borderId="5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107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54" fillId="0" borderId="161" xfId="0" applyFont="1" applyBorder="1" applyAlignment="1">
      <alignment horizontal="left"/>
    </xf>
    <xf numFmtId="0" fontId="54" fillId="0" borderId="149" xfId="0" applyFont="1" applyBorder="1" applyAlignment="1">
      <alignment horizontal="left"/>
    </xf>
    <xf numFmtId="0" fontId="54" fillId="0" borderId="169" xfId="0" applyFont="1" applyBorder="1" applyAlignment="1">
      <alignment horizontal="left"/>
    </xf>
    <xf numFmtId="3" fontId="27" fillId="0" borderId="133" xfId="0" applyNumberFormat="1" applyFont="1" applyFill="1" applyBorder="1" applyAlignment="1">
      <alignment horizontal="center"/>
    </xf>
    <xf numFmtId="3" fontId="27" fillId="0" borderId="138" xfId="0" applyNumberFormat="1" applyFont="1" applyFill="1" applyBorder="1" applyAlignment="1">
      <alignment horizontal="center"/>
    </xf>
    <xf numFmtId="3" fontId="27" fillId="0" borderId="52" xfId="0" applyNumberFormat="1" applyFont="1" applyFill="1" applyBorder="1" applyAlignment="1">
      <alignment horizontal="center"/>
    </xf>
    <xf numFmtId="0" fontId="27" fillId="0" borderId="136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89" xfId="0" applyFont="1" applyFill="1" applyBorder="1" applyAlignment="1">
      <alignment horizontal="center"/>
    </xf>
    <xf numFmtId="3" fontId="27" fillId="0" borderId="162" xfId="0" applyNumberFormat="1" applyFont="1" applyFill="1" applyBorder="1" applyAlignment="1">
      <alignment horizontal="center"/>
    </xf>
    <xf numFmtId="0" fontId="1" fillId="0" borderId="0" xfId="61" applyFont="1" applyAlignment="1">
      <alignment horizontal="center" wrapText="1"/>
      <protection/>
    </xf>
    <xf numFmtId="0" fontId="1" fillId="0" borderId="140" xfId="61" applyFont="1" applyBorder="1" applyAlignment="1">
      <alignment horizontal="center" vertical="center" wrapText="1"/>
      <protection/>
    </xf>
    <xf numFmtId="0" fontId="19" fillId="0" borderId="47" xfId="61" applyBorder="1" applyAlignment="1">
      <alignment horizontal="center" vertical="center" wrapText="1"/>
      <protection/>
    </xf>
    <xf numFmtId="0" fontId="1" fillId="0" borderId="25" xfId="61" applyFont="1" applyBorder="1" applyAlignment="1">
      <alignment horizontal="center" vertical="center"/>
      <protection/>
    </xf>
    <xf numFmtId="0" fontId="2" fillId="38" borderId="21" xfId="61" applyFont="1" applyFill="1" applyBorder="1" applyAlignment="1">
      <alignment horizontal="right"/>
      <protection/>
    </xf>
    <xf numFmtId="0" fontId="2" fillId="38" borderId="106" xfId="61" applyFont="1" applyFill="1" applyBorder="1" applyAlignment="1">
      <alignment horizontal="right"/>
      <protection/>
    </xf>
    <xf numFmtId="0" fontId="53" fillId="34" borderId="58" xfId="61" applyFont="1" applyFill="1" applyBorder="1" applyAlignment="1">
      <alignment horizontal="left"/>
      <protection/>
    </xf>
    <xf numFmtId="0" fontId="53" fillId="34" borderId="170" xfId="61" applyFont="1" applyFill="1" applyBorder="1" applyAlignment="1">
      <alignment horizontal="left"/>
      <protection/>
    </xf>
    <xf numFmtId="0" fontId="1" fillId="0" borderId="0" xfId="61" applyFont="1" applyAlignment="1">
      <alignment horizontal="center"/>
      <protection/>
    </xf>
    <xf numFmtId="0" fontId="1" fillId="0" borderId="53" xfId="61" applyFont="1" applyBorder="1" applyAlignment="1">
      <alignment horizontal="center" vertical="center"/>
      <protection/>
    </xf>
    <xf numFmtId="0" fontId="1" fillId="0" borderId="133" xfId="61" applyFont="1" applyBorder="1" applyAlignment="1">
      <alignment horizontal="center" vertical="center"/>
      <protection/>
    </xf>
    <xf numFmtId="0" fontId="1" fillId="0" borderId="5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51" xfId="61" applyFont="1" applyBorder="1" applyAlignment="1">
      <alignment horizontal="center" vertical="center" wrapText="1"/>
      <protection/>
    </xf>
    <xf numFmtId="0" fontId="1" fillId="0" borderId="52" xfId="61" applyFont="1" applyBorder="1" applyAlignment="1">
      <alignment horizontal="center" vertical="center" wrapText="1"/>
      <protection/>
    </xf>
    <xf numFmtId="0" fontId="1" fillId="0" borderId="53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/>
      <protection/>
    </xf>
    <xf numFmtId="0" fontId="150" fillId="0" borderId="0" xfId="0" applyFont="1" applyFill="1" applyBorder="1" applyAlignment="1">
      <alignment horizontal="center" vertical="center" wrapText="1"/>
    </xf>
    <xf numFmtId="49" fontId="151" fillId="0" borderId="0" xfId="0" applyNumberFormat="1" applyFont="1" applyFill="1" applyAlignment="1">
      <alignment vertical="center"/>
    </xf>
    <xf numFmtId="49" fontId="152" fillId="0" borderId="0" xfId="0" applyNumberFormat="1" applyFont="1" applyFill="1" applyAlignment="1">
      <alignment horizontal="center" vertical="center"/>
    </xf>
    <xf numFmtId="49" fontId="152" fillId="0" borderId="0" xfId="0" applyNumberFormat="1" applyFont="1" applyFill="1" applyAlignment="1">
      <alignment horizontal="center" vertical="center" wrapText="1"/>
    </xf>
    <xf numFmtId="49" fontId="151" fillId="0" borderId="130" xfId="0" applyNumberFormat="1" applyFont="1" applyFill="1" applyBorder="1" applyAlignment="1">
      <alignment horizontal="center" vertical="center" wrapText="1"/>
    </xf>
    <xf numFmtId="49" fontId="153" fillId="0" borderId="0" xfId="0" applyNumberFormat="1" applyFont="1" applyFill="1" applyAlignment="1">
      <alignment vertical="center"/>
    </xf>
    <xf numFmtId="0" fontId="153" fillId="0" borderId="0" xfId="0" applyFont="1" applyFill="1" applyAlignment="1">
      <alignment vertical="center"/>
    </xf>
    <xf numFmtId="0" fontId="154" fillId="37" borderId="0" xfId="59" applyFont="1" applyFill="1">
      <alignment/>
      <protection/>
    </xf>
    <xf numFmtId="0" fontId="155" fillId="37" borderId="0" xfId="59" applyFont="1" applyFill="1" applyAlignment="1">
      <alignment horizontal="center"/>
      <protection/>
    </xf>
    <xf numFmtId="0" fontId="154" fillId="37" borderId="0" xfId="0" applyFont="1" applyFill="1" applyAlignment="1">
      <alignment/>
    </xf>
    <xf numFmtId="0" fontId="156" fillId="37" borderId="0" xfId="59" applyFont="1" applyFill="1" applyBorder="1" applyAlignment="1">
      <alignment horizontal="left"/>
      <protection/>
    </xf>
    <xf numFmtId="0" fontId="156" fillId="37" borderId="0" xfId="59" applyFont="1" applyFill="1" applyBorder="1">
      <alignment/>
      <protection/>
    </xf>
    <xf numFmtId="0" fontId="157" fillId="37" borderId="0" xfId="59" applyFont="1" applyFill="1" applyBorder="1" applyAlignment="1">
      <alignment horizontal="right" vertical="center"/>
      <protection/>
    </xf>
    <xf numFmtId="0" fontId="154" fillId="37" borderId="0" xfId="59" applyFont="1" applyFill="1" applyBorder="1">
      <alignment/>
      <protection/>
    </xf>
    <xf numFmtId="0" fontId="158" fillId="37" borderId="0" xfId="0" applyFont="1" applyFill="1" applyAlignment="1">
      <alignment/>
    </xf>
    <xf numFmtId="0" fontId="155" fillId="37" borderId="0" xfId="59" applyFont="1" applyFill="1" applyAlignment="1">
      <alignment horizontal="center"/>
      <protection/>
    </xf>
    <xf numFmtId="0" fontId="158" fillId="37" borderId="0" xfId="0" applyFont="1" applyFill="1" applyBorder="1" applyAlignment="1">
      <alignment/>
    </xf>
    <xf numFmtId="0" fontId="158" fillId="37" borderId="0" xfId="0" applyFont="1" applyFill="1" applyAlignment="1">
      <alignment/>
    </xf>
    <xf numFmtId="0" fontId="155" fillId="37" borderId="0" xfId="59" applyFont="1" applyFill="1" applyAlignment="1">
      <alignment horizontal="right"/>
      <protection/>
    </xf>
    <xf numFmtId="0" fontId="154" fillId="37" borderId="0" xfId="59" applyFont="1" applyFill="1" applyAlignment="1">
      <alignment horizontal="center"/>
      <protection/>
    </xf>
    <xf numFmtId="0" fontId="159" fillId="37" borderId="0" xfId="59" applyFont="1" applyFill="1">
      <alignment/>
      <protection/>
    </xf>
    <xf numFmtId="0" fontId="155" fillId="37" borderId="0" xfId="59" applyFont="1" applyFill="1" applyAlignment="1">
      <alignment horizontal="left"/>
      <protection/>
    </xf>
    <xf numFmtId="3" fontId="154" fillId="37" borderId="0" xfId="59" applyNumberFormat="1" applyFont="1" applyFill="1">
      <alignment/>
      <protection/>
    </xf>
    <xf numFmtId="3" fontId="154" fillId="37" borderId="0" xfId="59" applyNumberFormat="1" applyFont="1" applyFill="1" applyBorder="1">
      <alignment/>
      <protection/>
    </xf>
    <xf numFmtId="0" fontId="160" fillId="37" borderId="130" xfId="59" applyFont="1" applyFill="1" applyBorder="1">
      <alignment/>
      <protection/>
    </xf>
    <xf numFmtId="3" fontId="154" fillId="37" borderId="130" xfId="59" applyNumberFormat="1" applyFont="1" applyFill="1" applyBorder="1">
      <alignment/>
      <protection/>
    </xf>
    <xf numFmtId="0" fontId="154" fillId="37" borderId="130" xfId="59" applyFont="1" applyFill="1" applyBorder="1">
      <alignment/>
      <protection/>
    </xf>
    <xf numFmtId="0" fontId="154" fillId="37" borderId="0" xfId="59" applyFont="1" applyFill="1" applyAlignment="1">
      <alignment horizontal="right"/>
      <protection/>
    </xf>
    <xf numFmtId="0" fontId="154" fillId="37" borderId="0" xfId="59" applyFont="1" applyFill="1" applyAlignment="1">
      <alignment/>
      <protection/>
    </xf>
    <xf numFmtId="0" fontId="158" fillId="37" borderId="0" xfId="0" applyFont="1" applyFill="1" applyAlignment="1">
      <alignment horizontal="left"/>
    </xf>
    <xf numFmtId="0" fontId="155" fillId="37" borderId="0" xfId="59" applyFont="1" applyFill="1">
      <alignment/>
      <protection/>
    </xf>
    <xf numFmtId="3" fontId="155" fillId="37" borderId="0" xfId="59" applyNumberFormat="1" applyFont="1" applyFill="1">
      <alignment/>
      <protection/>
    </xf>
    <xf numFmtId="3" fontId="155" fillId="37" borderId="0" xfId="59" applyNumberFormat="1" applyFont="1" applyFill="1" applyBorder="1">
      <alignment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7"/>
  <sheetViews>
    <sheetView zoomScalePageLayoutView="0" workbookViewId="0" topLeftCell="A1">
      <selection activeCell="E194" sqref="E194"/>
    </sheetView>
  </sheetViews>
  <sheetFormatPr defaultColWidth="9.00390625" defaultRowHeight="12.75"/>
  <cols>
    <col min="1" max="1" width="5.125" style="0" customWidth="1"/>
    <col min="4" max="4" width="5.875" style="0" customWidth="1"/>
    <col min="5" max="5" width="48.375" style="0" customWidth="1"/>
    <col min="6" max="6" width="14.00390625" style="0" customWidth="1"/>
    <col min="7" max="7" width="13.625" style="0" customWidth="1"/>
    <col min="8" max="8" width="15.125" style="0" customWidth="1"/>
    <col min="9" max="9" width="14.625" style="0" customWidth="1"/>
  </cols>
  <sheetData>
    <row r="1" spans="1:9" ht="15.75">
      <c r="A1" s="136"/>
      <c r="B1" s="1"/>
      <c r="C1" s="1"/>
      <c r="D1" s="1"/>
      <c r="E1" s="2"/>
      <c r="F1" s="920" t="s">
        <v>1102</v>
      </c>
      <c r="G1" s="921"/>
      <c r="H1" s="921"/>
      <c r="I1" s="921"/>
    </row>
    <row r="2" spans="1:9" ht="15.75">
      <c r="A2" s="925" t="s">
        <v>938</v>
      </c>
      <c r="B2" s="925"/>
      <c r="C2" s="925"/>
      <c r="D2" s="925"/>
      <c r="E2" s="925"/>
      <c r="F2" s="925"/>
      <c r="G2" s="925"/>
      <c r="H2" s="925"/>
      <c r="I2" s="925"/>
    </row>
    <row r="3" spans="1:9" ht="12.75">
      <c r="A3" s="136"/>
      <c r="B3" s="3"/>
      <c r="C3" s="3"/>
      <c r="D3" s="3"/>
      <c r="E3" s="3"/>
      <c r="F3" s="1"/>
      <c r="G3" s="1"/>
      <c r="H3" s="1"/>
      <c r="I3" s="1"/>
    </row>
    <row r="4" spans="1:9" ht="12.75">
      <c r="A4" s="136"/>
      <c r="B4" s="1"/>
      <c r="C4" s="1"/>
      <c r="D4" s="1"/>
      <c r="E4" s="1"/>
      <c r="F4" s="1"/>
      <c r="G4" s="1"/>
      <c r="H4" s="1"/>
      <c r="I4" s="2" t="s">
        <v>649</v>
      </c>
    </row>
    <row r="5" spans="1:9" ht="36" customHeight="1">
      <c r="A5" s="929" t="s">
        <v>1</v>
      </c>
      <c r="B5" s="930"/>
      <c r="C5" s="930"/>
      <c r="D5" s="930"/>
      <c r="E5" s="931"/>
      <c r="F5" s="123" t="s">
        <v>2</v>
      </c>
      <c r="G5" s="123" t="s">
        <v>3</v>
      </c>
      <c r="H5" s="123" t="s">
        <v>905</v>
      </c>
      <c r="I5" s="123" t="s">
        <v>640</v>
      </c>
    </row>
    <row r="6" spans="1:9" s="657" customFormat="1" ht="15">
      <c r="A6" s="658" t="s">
        <v>726</v>
      </c>
      <c r="B6" s="922" t="s">
        <v>727</v>
      </c>
      <c r="C6" s="923"/>
      <c r="D6" s="923"/>
      <c r="E6" s="924"/>
      <c r="F6" s="659" t="s">
        <v>728</v>
      </c>
      <c r="G6" s="659" t="s">
        <v>729</v>
      </c>
      <c r="H6" s="659" t="s">
        <v>730</v>
      </c>
      <c r="I6" s="659" t="s">
        <v>731</v>
      </c>
    </row>
    <row r="7" spans="1:9" s="352" customFormat="1" ht="12.75">
      <c r="A7" s="350" t="s">
        <v>401</v>
      </c>
      <c r="B7" s="926" t="s">
        <v>402</v>
      </c>
      <c r="C7" s="926"/>
      <c r="D7" s="926"/>
      <c r="E7" s="926"/>
      <c r="F7" s="351">
        <f>SUM(F8+F15+F16+F17+F28+F29)</f>
        <v>701115</v>
      </c>
      <c r="G7" s="351">
        <f>SUM(G8+G15+G16+G17+G28+G29)</f>
        <v>0</v>
      </c>
      <c r="H7" s="351">
        <f>SUM(H8+H15+H16+H17+H28+H29)</f>
        <v>0</v>
      </c>
      <c r="I7" s="351">
        <f>SUM(F7:H7)</f>
        <v>701115</v>
      </c>
    </row>
    <row r="8" spans="1:9" ht="12.75">
      <c r="A8" s="328"/>
      <c r="B8" s="328" t="s">
        <v>403</v>
      </c>
      <c r="C8" s="918" t="s">
        <v>404</v>
      </c>
      <c r="D8" s="918"/>
      <c r="E8" s="918"/>
      <c r="F8" s="329">
        <f>SUM(F9:F14)</f>
        <v>534391</v>
      </c>
      <c r="G8" s="329">
        <f>SUM(G9:G14)</f>
        <v>0</v>
      </c>
      <c r="H8" s="329">
        <f>SUM(H9:H14)</f>
        <v>0</v>
      </c>
      <c r="I8" s="349">
        <f aca="true" t="shared" si="0" ref="I8:I71">SUM(F8:H8)</f>
        <v>534391</v>
      </c>
    </row>
    <row r="9" spans="1:9" ht="12.75">
      <c r="A9" s="333"/>
      <c r="B9" s="333"/>
      <c r="C9" s="333" t="s">
        <v>405</v>
      </c>
      <c r="D9" s="333"/>
      <c r="E9" s="333" t="s">
        <v>873</v>
      </c>
      <c r="F9" s="334">
        <v>203895</v>
      </c>
      <c r="G9" s="334">
        <v>0</v>
      </c>
      <c r="H9" s="334">
        <v>0</v>
      </c>
      <c r="I9" s="347">
        <f t="shared" si="0"/>
        <v>203895</v>
      </c>
    </row>
    <row r="10" spans="1:9" ht="12.75">
      <c r="A10" s="333"/>
      <c r="B10" s="353"/>
      <c r="C10" s="333" t="s">
        <v>406</v>
      </c>
      <c r="D10" s="333"/>
      <c r="E10" s="333" t="s">
        <v>407</v>
      </c>
      <c r="F10" s="334">
        <v>130224</v>
      </c>
      <c r="G10" s="334">
        <v>0</v>
      </c>
      <c r="H10" s="334">
        <v>0</v>
      </c>
      <c r="I10" s="347">
        <f t="shared" si="0"/>
        <v>130224</v>
      </c>
    </row>
    <row r="11" spans="1:9" ht="12.75">
      <c r="A11" s="333"/>
      <c r="B11" s="333"/>
      <c r="C11" s="333" t="s">
        <v>408</v>
      </c>
      <c r="D11" s="333"/>
      <c r="E11" s="333" t="s">
        <v>1026</v>
      </c>
      <c r="F11" s="334">
        <f>180567+1721</f>
        <v>182288</v>
      </c>
      <c r="G11" s="334">
        <v>0</v>
      </c>
      <c r="H11" s="334">
        <v>0</v>
      </c>
      <c r="I11" s="347">
        <f t="shared" si="0"/>
        <v>182288</v>
      </c>
    </row>
    <row r="12" spans="1:9" ht="12.75">
      <c r="A12" s="333"/>
      <c r="B12" s="333"/>
      <c r="C12" s="333" t="s">
        <v>409</v>
      </c>
      <c r="D12" s="333"/>
      <c r="E12" s="333" t="s">
        <v>410</v>
      </c>
      <c r="F12" s="334">
        <f>10499+416</f>
        <v>10915</v>
      </c>
      <c r="G12" s="334">
        <v>0</v>
      </c>
      <c r="H12" s="334">
        <v>0</v>
      </c>
      <c r="I12" s="347">
        <f t="shared" si="0"/>
        <v>10915</v>
      </c>
    </row>
    <row r="13" spans="1:9" ht="12.75">
      <c r="A13" s="333"/>
      <c r="B13" s="333"/>
      <c r="C13" s="333" t="s">
        <v>411</v>
      </c>
      <c r="D13" s="333"/>
      <c r="E13" s="333" t="s">
        <v>1027</v>
      </c>
      <c r="F13" s="334">
        <f>1589+520+4960</f>
        <v>7069</v>
      </c>
      <c r="G13" s="334">
        <v>0</v>
      </c>
      <c r="H13" s="334">
        <v>0</v>
      </c>
      <c r="I13" s="347">
        <f t="shared" si="0"/>
        <v>7069</v>
      </c>
    </row>
    <row r="14" spans="1:9" ht="12.75">
      <c r="A14" s="338"/>
      <c r="B14" s="338"/>
      <c r="C14" s="333" t="s">
        <v>412</v>
      </c>
      <c r="D14" s="338"/>
      <c r="E14" s="333" t="s">
        <v>1028</v>
      </c>
      <c r="F14" s="334">
        <v>0</v>
      </c>
      <c r="G14" s="334">
        <v>0</v>
      </c>
      <c r="H14" s="334">
        <v>0</v>
      </c>
      <c r="I14" s="347">
        <f t="shared" si="0"/>
        <v>0</v>
      </c>
    </row>
    <row r="15" spans="1:9" ht="12.75">
      <c r="A15" s="328"/>
      <c r="B15" s="328" t="s">
        <v>413</v>
      </c>
      <c r="C15" s="918" t="s">
        <v>414</v>
      </c>
      <c r="D15" s="918"/>
      <c r="E15" s="918"/>
      <c r="F15" s="329">
        <f>9549+3234</f>
        <v>12783</v>
      </c>
      <c r="G15" s="329">
        <v>0</v>
      </c>
      <c r="H15" s="329">
        <v>0</v>
      </c>
      <c r="I15" s="349">
        <f t="shared" si="0"/>
        <v>12783</v>
      </c>
    </row>
    <row r="16" spans="1:9" ht="12.75">
      <c r="A16" s="328"/>
      <c r="B16" s="328" t="s">
        <v>415</v>
      </c>
      <c r="C16" s="918" t="s">
        <v>416</v>
      </c>
      <c r="D16" s="918"/>
      <c r="E16" s="918"/>
      <c r="F16" s="329">
        <v>0</v>
      </c>
      <c r="G16" s="329">
        <v>0</v>
      </c>
      <c r="H16" s="329">
        <v>0</v>
      </c>
      <c r="I16" s="349">
        <f>SUM(F16:H16)</f>
        <v>0</v>
      </c>
    </row>
    <row r="17" spans="1:9" ht="12.75">
      <c r="A17" s="328"/>
      <c r="B17" s="328" t="s">
        <v>417</v>
      </c>
      <c r="C17" s="918" t="s">
        <v>418</v>
      </c>
      <c r="D17" s="918"/>
      <c r="E17" s="918"/>
      <c r="F17" s="329">
        <f>SUM(F18:F27)</f>
        <v>842</v>
      </c>
      <c r="G17" s="329">
        <f>SUM(G18:G27)</f>
        <v>0</v>
      </c>
      <c r="H17" s="329">
        <f>SUM(H18:H27)</f>
        <v>0</v>
      </c>
      <c r="I17" s="349">
        <f t="shared" si="0"/>
        <v>842</v>
      </c>
    </row>
    <row r="18" spans="1:9" ht="12.75">
      <c r="A18" s="336"/>
      <c r="B18" s="336"/>
      <c r="C18" s="335" t="s">
        <v>21</v>
      </c>
      <c r="D18" s="335" t="s">
        <v>308</v>
      </c>
      <c r="E18" s="335" t="s">
        <v>309</v>
      </c>
      <c r="F18" s="337">
        <v>0</v>
      </c>
      <c r="G18" s="337">
        <v>0</v>
      </c>
      <c r="H18" s="337">
        <v>0</v>
      </c>
      <c r="I18" s="339">
        <f t="shared" si="0"/>
        <v>0</v>
      </c>
    </row>
    <row r="19" spans="1:9" ht="12.75">
      <c r="A19" s="336"/>
      <c r="B19" s="336"/>
      <c r="C19" s="335"/>
      <c r="D19" s="335" t="s">
        <v>310</v>
      </c>
      <c r="E19" s="335" t="s">
        <v>311</v>
      </c>
      <c r="F19" s="337">
        <v>0</v>
      </c>
      <c r="G19" s="337">
        <v>0</v>
      </c>
      <c r="H19" s="337">
        <v>0</v>
      </c>
      <c r="I19" s="339">
        <f t="shared" si="0"/>
        <v>0</v>
      </c>
    </row>
    <row r="20" spans="1:9" ht="12.75">
      <c r="A20" s="336"/>
      <c r="B20" s="336"/>
      <c r="C20" s="335"/>
      <c r="D20" s="335" t="s">
        <v>312</v>
      </c>
      <c r="E20" s="335" t="s">
        <v>419</v>
      </c>
      <c r="F20" s="337">
        <v>0</v>
      </c>
      <c r="G20" s="337">
        <v>0</v>
      </c>
      <c r="H20" s="337">
        <v>0</v>
      </c>
      <c r="I20" s="339">
        <f t="shared" si="0"/>
        <v>0</v>
      </c>
    </row>
    <row r="21" spans="1:9" ht="12.75">
      <c r="A21" s="336"/>
      <c r="B21" s="336"/>
      <c r="C21" s="335"/>
      <c r="D21" s="335" t="s">
        <v>314</v>
      </c>
      <c r="E21" s="335" t="s">
        <v>315</v>
      </c>
      <c r="F21" s="337">
        <v>0</v>
      </c>
      <c r="G21" s="337">
        <v>0</v>
      </c>
      <c r="H21" s="337">
        <v>0</v>
      </c>
      <c r="I21" s="339">
        <f t="shared" si="0"/>
        <v>0</v>
      </c>
    </row>
    <row r="22" spans="1:9" ht="12.75">
      <c r="A22" s="336"/>
      <c r="B22" s="336"/>
      <c r="C22" s="335"/>
      <c r="D22" s="335" t="s">
        <v>316</v>
      </c>
      <c r="E22" s="335" t="s">
        <v>317</v>
      </c>
      <c r="F22" s="337">
        <v>0</v>
      </c>
      <c r="G22" s="337">
        <v>0</v>
      </c>
      <c r="H22" s="337">
        <v>0</v>
      </c>
      <c r="I22" s="339">
        <f t="shared" si="0"/>
        <v>0</v>
      </c>
    </row>
    <row r="23" spans="1:9" ht="12.75">
      <c r="A23" s="336"/>
      <c r="B23" s="336"/>
      <c r="C23" s="335"/>
      <c r="D23" s="335" t="s">
        <v>318</v>
      </c>
      <c r="E23" s="335" t="s">
        <v>319</v>
      </c>
      <c r="F23" s="337">
        <v>0</v>
      </c>
      <c r="G23" s="337">
        <v>0</v>
      </c>
      <c r="H23" s="337">
        <v>0</v>
      </c>
      <c r="I23" s="339">
        <f t="shared" si="0"/>
        <v>0</v>
      </c>
    </row>
    <row r="24" spans="1:9" ht="12.75">
      <c r="A24" s="336"/>
      <c r="B24" s="336"/>
      <c r="C24" s="335"/>
      <c r="D24" s="335" t="s">
        <v>320</v>
      </c>
      <c r="E24" s="335" t="s">
        <v>321</v>
      </c>
      <c r="F24" s="337">
        <v>0</v>
      </c>
      <c r="G24" s="337">
        <v>0</v>
      </c>
      <c r="H24" s="337">
        <v>0</v>
      </c>
      <c r="I24" s="339">
        <f t="shared" si="0"/>
        <v>0</v>
      </c>
    </row>
    <row r="25" spans="1:9" ht="12.75">
      <c r="A25" s="336"/>
      <c r="B25" s="336"/>
      <c r="C25" s="335"/>
      <c r="D25" s="335" t="s">
        <v>322</v>
      </c>
      <c r="E25" s="335" t="s">
        <v>323</v>
      </c>
      <c r="F25" s="337">
        <v>842</v>
      </c>
      <c r="G25" s="337">
        <v>0</v>
      </c>
      <c r="H25" s="337">
        <v>0</v>
      </c>
      <c r="I25" s="339">
        <f t="shared" si="0"/>
        <v>842</v>
      </c>
    </row>
    <row r="26" spans="1:9" ht="12.75">
      <c r="A26" s="336"/>
      <c r="B26" s="336"/>
      <c r="C26" s="335"/>
      <c r="D26" s="335" t="s">
        <v>324</v>
      </c>
      <c r="E26" s="335" t="s">
        <v>325</v>
      </c>
      <c r="F26" s="337">
        <v>0</v>
      </c>
      <c r="G26" s="337">
        <v>0</v>
      </c>
      <c r="H26" s="337">
        <v>0</v>
      </c>
      <c r="I26" s="339">
        <f t="shared" si="0"/>
        <v>0</v>
      </c>
    </row>
    <row r="27" spans="1:9" ht="12.75">
      <c r="A27" s="336"/>
      <c r="B27" s="336"/>
      <c r="C27" s="335"/>
      <c r="D27" s="335" t="s">
        <v>326</v>
      </c>
      <c r="E27" s="335" t="s">
        <v>327</v>
      </c>
      <c r="F27" s="337">
        <v>0</v>
      </c>
      <c r="G27" s="337">
        <v>0</v>
      </c>
      <c r="H27" s="337">
        <v>0</v>
      </c>
      <c r="I27" s="339">
        <f t="shared" si="0"/>
        <v>0</v>
      </c>
    </row>
    <row r="28" spans="1:9" ht="12.75">
      <c r="A28" s="328"/>
      <c r="B28" s="328" t="s">
        <v>420</v>
      </c>
      <c r="C28" s="918" t="s">
        <v>421</v>
      </c>
      <c r="D28" s="918"/>
      <c r="E28" s="918"/>
      <c r="F28" s="329">
        <v>0</v>
      </c>
      <c r="G28" s="329">
        <v>0</v>
      </c>
      <c r="H28" s="329">
        <v>0</v>
      </c>
      <c r="I28" s="349">
        <f t="shared" si="0"/>
        <v>0</v>
      </c>
    </row>
    <row r="29" spans="1:9" ht="12.75">
      <c r="A29" s="328"/>
      <c r="B29" s="328" t="s">
        <v>422</v>
      </c>
      <c r="C29" s="918" t="s">
        <v>423</v>
      </c>
      <c r="D29" s="918"/>
      <c r="E29" s="918"/>
      <c r="F29" s="329">
        <f>SUM(F30:F39)</f>
        <v>153099</v>
      </c>
      <c r="G29" s="329">
        <f>SUM(G30:G39)</f>
        <v>0</v>
      </c>
      <c r="H29" s="329">
        <f>SUM(H30:H39)</f>
        <v>0</v>
      </c>
      <c r="I29" s="349">
        <f t="shared" si="0"/>
        <v>153099</v>
      </c>
    </row>
    <row r="30" spans="1:9" ht="12.75">
      <c r="A30" s="336"/>
      <c r="B30" s="336"/>
      <c r="C30" s="335" t="s">
        <v>21</v>
      </c>
      <c r="D30" s="335" t="s">
        <v>308</v>
      </c>
      <c r="E30" s="335" t="s">
        <v>309</v>
      </c>
      <c r="F30" s="337">
        <v>0</v>
      </c>
      <c r="G30" s="337">
        <v>0</v>
      </c>
      <c r="H30" s="337">
        <v>0</v>
      </c>
      <c r="I30" s="339">
        <f t="shared" si="0"/>
        <v>0</v>
      </c>
    </row>
    <row r="31" spans="1:9" ht="12.75">
      <c r="A31" s="336"/>
      <c r="B31" s="336"/>
      <c r="C31" s="335"/>
      <c r="D31" s="335" t="s">
        <v>310</v>
      </c>
      <c r="E31" s="335" t="s">
        <v>311</v>
      </c>
      <c r="F31" s="337">
        <v>0</v>
      </c>
      <c r="G31" s="337">
        <v>0</v>
      </c>
      <c r="H31" s="337">
        <v>0</v>
      </c>
      <c r="I31" s="339">
        <f t="shared" si="0"/>
        <v>0</v>
      </c>
    </row>
    <row r="32" spans="1:9" ht="12.75">
      <c r="A32" s="340"/>
      <c r="B32" s="340"/>
      <c r="C32" s="341"/>
      <c r="D32" s="341" t="s">
        <v>312</v>
      </c>
      <c r="E32" s="341" t="s">
        <v>419</v>
      </c>
      <c r="F32" s="337">
        <f>15388+1428</f>
        <v>16816</v>
      </c>
      <c r="G32" s="337">
        <v>0</v>
      </c>
      <c r="H32" s="337"/>
      <c r="I32" s="339">
        <f t="shared" si="0"/>
        <v>16816</v>
      </c>
    </row>
    <row r="33" spans="1:9" ht="12.75">
      <c r="A33" s="336"/>
      <c r="B33" s="336"/>
      <c r="C33" s="335"/>
      <c r="D33" s="335" t="s">
        <v>314</v>
      </c>
      <c r="E33" s="335" t="s">
        <v>315</v>
      </c>
      <c r="F33" s="337">
        <v>49418</v>
      </c>
      <c r="G33" s="337">
        <v>0</v>
      </c>
      <c r="H33" s="337">
        <v>0</v>
      </c>
      <c r="I33" s="339">
        <f t="shared" si="0"/>
        <v>49418</v>
      </c>
    </row>
    <row r="34" spans="1:9" ht="12.75">
      <c r="A34" s="336"/>
      <c r="B34" s="336"/>
      <c r="C34" s="335"/>
      <c r="D34" s="335" t="s">
        <v>316</v>
      </c>
      <c r="E34" s="335" t="s">
        <v>317</v>
      </c>
      <c r="F34" s="337">
        <f>39922-5429</f>
        <v>34493</v>
      </c>
      <c r="G34" s="337">
        <v>0</v>
      </c>
      <c r="H34" s="337">
        <v>0</v>
      </c>
      <c r="I34" s="339">
        <f t="shared" si="0"/>
        <v>34493</v>
      </c>
    </row>
    <row r="35" spans="1:9" ht="12.75">
      <c r="A35" s="336"/>
      <c r="B35" s="336"/>
      <c r="C35" s="335"/>
      <c r="D35" s="335" t="s">
        <v>318</v>
      </c>
      <c r="E35" s="335" t="s">
        <v>319</v>
      </c>
      <c r="F35" s="337">
        <f>49412+96734-96734</f>
        <v>49412</v>
      </c>
      <c r="G35" s="337">
        <v>0</v>
      </c>
      <c r="H35" s="337">
        <v>0</v>
      </c>
      <c r="I35" s="339">
        <f t="shared" si="0"/>
        <v>49412</v>
      </c>
    </row>
    <row r="36" spans="1:9" ht="12.75">
      <c r="A36" s="336"/>
      <c r="B36" s="336"/>
      <c r="C36" s="335"/>
      <c r="D36" s="335" t="s">
        <v>320</v>
      </c>
      <c r="E36" s="335" t="s">
        <v>321</v>
      </c>
      <c r="F36" s="337">
        <v>2960</v>
      </c>
      <c r="G36" s="337">
        <v>0</v>
      </c>
      <c r="H36" s="337">
        <v>0</v>
      </c>
      <c r="I36" s="339">
        <f t="shared" si="0"/>
        <v>2960</v>
      </c>
    </row>
    <row r="37" spans="1:9" ht="12.75">
      <c r="A37" s="336"/>
      <c r="B37" s="336"/>
      <c r="C37" s="335"/>
      <c r="D37" s="335" t="s">
        <v>322</v>
      </c>
      <c r="E37" s="335" t="s">
        <v>323</v>
      </c>
      <c r="F37" s="337">
        <v>0</v>
      </c>
      <c r="G37" s="337">
        <v>0</v>
      </c>
      <c r="H37" s="337">
        <v>0</v>
      </c>
      <c r="I37" s="339">
        <f t="shared" si="0"/>
        <v>0</v>
      </c>
    </row>
    <row r="38" spans="1:9" ht="12.75">
      <c r="A38" s="336"/>
      <c r="B38" s="336"/>
      <c r="C38" s="335"/>
      <c r="D38" s="335" t="s">
        <v>324</v>
      </c>
      <c r="E38" s="335" t="s">
        <v>325</v>
      </c>
      <c r="F38" s="337">
        <v>0</v>
      </c>
      <c r="G38" s="337">
        <v>0</v>
      </c>
      <c r="H38" s="337">
        <v>0</v>
      </c>
      <c r="I38" s="339">
        <f t="shared" si="0"/>
        <v>0</v>
      </c>
    </row>
    <row r="39" spans="1:9" ht="12.75">
      <c r="A39" s="336"/>
      <c r="B39" s="336"/>
      <c r="C39" s="335"/>
      <c r="D39" s="335" t="s">
        <v>326</v>
      </c>
      <c r="E39" s="335" t="s">
        <v>327</v>
      </c>
      <c r="F39" s="337">
        <v>0</v>
      </c>
      <c r="G39" s="337">
        <v>0</v>
      </c>
      <c r="H39" s="337">
        <v>0</v>
      </c>
      <c r="I39" s="339">
        <f t="shared" si="0"/>
        <v>0</v>
      </c>
    </row>
    <row r="40" spans="1:9" s="352" customFormat="1" ht="12.75">
      <c r="A40" s="350" t="s">
        <v>424</v>
      </c>
      <c r="B40" s="926" t="s">
        <v>425</v>
      </c>
      <c r="C40" s="926"/>
      <c r="D40" s="926"/>
      <c r="E40" s="926"/>
      <c r="F40" s="351">
        <f>SUM(F41:F45)</f>
        <v>1034151</v>
      </c>
      <c r="G40" s="351">
        <f>SUM(G41:G45)</f>
        <v>0</v>
      </c>
      <c r="H40" s="351">
        <f>SUM(H41:H45)</f>
        <v>0</v>
      </c>
      <c r="I40" s="351">
        <f t="shared" si="0"/>
        <v>1034151</v>
      </c>
    </row>
    <row r="41" spans="1:9" ht="12.75">
      <c r="A41" s="328"/>
      <c r="B41" s="328" t="s">
        <v>426</v>
      </c>
      <c r="C41" s="918" t="s">
        <v>427</v>
      </c>
      <c r="D41" s="918"/>
      <c r="E41" s="918"/>
      <c r="F41" s="329">
        <v>0</v>
      </c>
      <c r="G41" s="329">
        <v>0</v>
      </c>
      <c r="H41" s="329">
        <v>0</v>
      </c>
      <c r="I41" s="349">
        <f t="shared" si="0"/>
        <v>0</v>
      </c>
    </row>
    <row r="42" spans="1:9" ht="12.75">
      <c r="A42" s="328"/>
      <c r="B42" s="328" t="s">
        <v>428</v>
      </c>
      <c r="C42" s="918" t="s">
        <v>429</v>
      </c>
      <c r="D42" s="918"/>
      <c r="E42" s="918"/>
      <c r="F42" s="329">
        <v>0</v>
      </c>
      <c r="G42" s="329">
        <v>0</v>
      </c>
      <c r="H42" s="329">
        <v>0</v>
      </c>
      <c r="I42" s="349">
        <f t="shared" si="0"/>
        <v>0</v>
      </c>
    </row>
    <row r="43" spans="1:9" ht="12.75">
      <c r="A43" s="328"/>
      <c r="B43" s="328" t="s">
        <v>430</v>
      </c>
      <c r="C43" s="918" t="s">
        <v>431</v>
      </c>
      <c r="D43" s="918"/>
      <c r="E43" s="918"/>
      <c r="F43" s="329">
        <v>0</v>
      </c>
      <c r="G43" s="329">
        <v>0</v>
      </c>
      <c r="H43" s="329">
        <v>0</v>
      </c>
      <c r="I43" s="349">
        <f t="shared" si="0"/>
        <v>0</v>
      </c>
    </row>
    <row r="44" spans="1:9" ht="12.75">
      <c r="A44" s="328"/>
      <c r="B44" s="328" t="s">
        <v>432</v>
      </c>
      <c r="C44" s="918" t="s">
        <v>433</v>
      </c>
      <c r="D44" s="918"/>
      <c r="E44" s="918"/>
      <c r="F44" s="329">
        <v>0</v>
      </c>
      <c r="G44" s="329">
        <v>0</v>
      </c>
      <c r="H44" s="329">
        <v>0</v>
      </c>
      <c r="I44" s="349">
        <f t="shared" si="0"/>
        <v>0</v>
      </c>
    </row>
    <row r="45" spans="1:9" ht="12.75">
      <c r="A45" s="328"/>
      <c r="B45" s="328" t="s">
        <v>434</v>
      </c>
      <c r="C45" s="918" t="s">
        <v>435</v>
      </c>
      <c r="D45" s="918"/>
      <c r="E45" s="918"/>
      <c r="F45" s="329">
        <f>SUM(F46:F55)</f>
        <v>1034151</v>
      </c>
      <c r="G45" s="329">
        <f>SUM(G46:G55)</f>
        <v>0</v>
      </c>
      <c r="H45" s="329">
        <f>SUM(H46:H55)</f>
        <v>0</v>
      </c>
      <c r="I45" s="349">
        <f t="shared" si="0"/>
        <v>1034151</v>
      </c>
    </row>
    <row r="46" spans="1:9" ht="12.75">
      <c r="A46" s="336"/>
      <c r="B46" s="336"/>
      <c r="C46" s="335" t="s">
        <v>21</v>
      </c>
      <c r="D46" s="335" t="s">
        <v>308</v>
      </c>
      <c r="E46" s="335" t="s">
        <v>309</v>
      </c>
      <c r="F46" s="337">
        <v>0</v>
      </c>
      <c r="G46" s="337">
        <v>0</v>
      </c>
      <c r="H46" s="337">
        <v>0</v>
      </c>
      <c r="I46" s="339">
        <f t="shared" si="0"/>
        <v>0</v>
      </c>
    </row>
    <row r="47" spans="1:9" ht="12.75">
      <c r="A47" s="336"/>
      <c r="B47" s="336"/>
      <c r="C47" s="335"/>
      <c r="D47" s="335" t="s">
        <v>310</v>
      </c>
      <c r="E47" s="335" t="s">
        <v>311</v>
      </c>
      <c r="F47" s="337">
        <v>0</v>
      </c>
      <c r="G47" s="337">
        <v>0</v>
      </c>
      <c r="H47" s="337">
        <v>0</v>
      </c>
      <c r="I47" s="339">
        <f t="shared" si="0"/>
        <v>0</v>
      </c>
    </row>
    <row r="48" spans="1:9" ht="12.75">
      <c r="A48" s="340"/>
      <c r="B48" s="340"/>
      <c r="C48" s="341"/>
      <c r="D48" s="341" t="s">
        <v>312</v>
      </c>
      <c r="E48" s="341" t="s">
        <v>419</v>
      </c>
      <c r="F48" s="337">
        <f>958761+9540</f>
        <v>968301</v>
      </c>
      <c r="G48" s="337">
        <v>0</v>
      </c>
      <c r="H48" s="337">
        <v>0</v>
      </c>
      <c r="I48" s="339">
        <f t="shared" si="0"/>
        <v>968301</v>
      </c>
    </row>
    <row r="49" spans="1:9" ht="12.75">
      <c r="A49" s="336"/>
      <c r="B49" s="336"/>
      <c r="C49" s="335"/>
      <c r="D49" s="335" t="s">
        <v>314</v>
      </c>
      <c r="E49" s="335" t="s">
        <v>315</v>
      </c>
      <c r="F49" s="337">
        <v>65850</v>
      </c>
      <c r="G49" s="337">
        <v>0</v>
      </c>
      <c r="H49" s="337">
        <v>0</v>
      </c>
      <c r="I49" s="339">
        <f t="shared" si="0"/>
        <v>65850</v>
      </c>
    </row>
    <row r="50" spans="1:9" ht="12.75">
      <c r="A50" s="336"/>
      <c r="B50" s="336"/>
      <c r="C50" s="335"/>
      <c r="D50" s="335" t="s">
        <v>316</v>
      </c>
      <c r="E50" s="335" t="s">
        <v>317</v>
      </c>
      <c r="F50" s="337">
        <v>0</v>
      </c>
      <c r="G50" s="337">
        <v>0</v>
      </c>
      <c r="H50" s="337">
        <v>0</v>
      </c>
      <c r="I50" s="339">
        <f t="shared" si="0"/>
        <v>0</v>
      </c>
    </row>
    <row r="51" spans="1:9" ht="12.75">
      <c r="A51" s="336"/>
      <c r="B51" s="336"/>
      <c r="C51" s="335"/>
      <c r="D51" s="335" t="s">
        <v>318</v>
      </c>
      <c r="E51" s="335" t="s">
        <v>319</v>
      </c>
      <c r="F51" s="337">
        <f>8223-8223</f>
        <v>0</v>
      </c>
      <c r="G51" s="337">
        <v>0</v>
      </c>
      <c r="H51" s="337">
        <v>0</v>
      </c>
      <c r="I51" s="339">
        <f t="shared" si="0"/>
        <v>0</v>
      </c>
    </row>
    <row r="52" spans="1:9" ht="12.75">
      <c r="A52" s="336"/>
      <c r="B52" s="336"/>
      <c r="C52" s="335"/>
      <c r="D52" s="335" t="s">
        <v>320</v>
      </c>
      <c r="E52" s="335" t="s">
        <v>321</v>
      </c>
      <c r="F52" s="337">
        <v>0</v>
      </c>
      <c r="G52" s="337">
        <v>0</v>
      </c>
      <c r="H52" s="337">
        <v>0</v>
      </c>
      <c r="I52" s="339">
        <f t="shared" si="0"/>
        <v>0</v>
      </c>
    </row>
    <row r="53" spans="1:9" ht="12.75">
      <c r="A53" s="336"/>
      <c r="B53" s="336"/>
      <c r="C53" s="335"/>
      <c r="D53" s="335" t="s">
        <v>322</v>
      </c>
      <c r="E53" s="335" t="s">
        <v>323</v>
      </c>
      <c r="F53" s="337">
        <v>0</v>
      </c>
      <c r="G53" s="337">
        <v>0</v>
      </c>
      <c r="H53" s="337">
        <v>0</v>
      </c>
      <c r="I53" s="339">
        <f t="shared" si="0"/>
        <v>0</v>
      </c>
    </row>
    <row r="54" spans="1:9" ht="12.75">
      <c r="A54" s="336"/>
      <c r="B54" s="336"/>
      <c r="C54" s="335"/>
      <c r="D54" s="335" t="s">
        <v>324</v>
      </c>
      <c r="E54" s="335" t="s">
        <v>325</v>
      </c>
      <c r="F54" s="337">
        <v>0</v>
      </c>
      <c r="G54" s="337">
        <v>0</v>
      </c>
      <c r="H54" s="337">
        <v>0</v>
      </c>
      <c r="I54" s="339">
        <f t="shared" si="0"/>
        <v>0</v>
      </c>
    </row>
    <row r="55" spans="1:9" ht="12.75">
      <c r="A55" s="336"/>
      <c r="B55" s="336"/>
      <c r="C55" s="335"/>
      <c r="D55" s="335" t="s">
        <v>326</v>
      </c>
      <c r="E55" s="335" t="s">
        <v>327</v>
      </c>
      <c r="F55" s="337">
        <v>0</v>
      </c>
      <c r="G55" s="337">
        <v>0</v>
      </c>
      <c r="H55" s="337">
        <v>0</v>
      </c>
      <c r="I55" s="339">
        <f t="shared" si="0"/>
        <v>0</v>
      </c>
    </row>
    <row r="56" spans="1:9" s="352" customFormat="1" ht="12.75">
      <c r="A56" s="350" t="s">
        <v>436</v>
      </c>
      <c r="B56" s="926" t="s">
        <v>437</v>
      </c>
      <c r="C56" s="926"/>
      <c r="D56" s="926"/>
      <c r="E56" s="926"/>
      <c r="F56" s="351">
        <f>SUM(F57+F58+F59+F60+F63+F74)</f>
        <v>170870</v>
      </c>
      <c r="G56" s="351">
        <f>SUM(G57+G58+G59+G60+G63+G74)</f>
        <v>100</v>
      </c>
      <c r="H56" s="351">
        <f>SUM(H57+H58+H59+H60+H63+H74)</f>
        <v>0</v>
      </c>
      <c r="I56" s="351">
        <f t="shared" si="0"/>
        <v>170970</v>
      </c>
    </row>
    <row r="57" spans="1:9" ht="12.75">
      <c r="A57" s="328"/>
      <c r="B57" s="328" t="s">
        <v>438</v>
      </c>
      <c r="C57" s="918" t="s">
        <v>439</v>
      </c>
      <c r="D57" s="918"/>
      <c r="E57" s="918"/>
      <c r="F57" s="329">
        <v>0</v>
      </c>
      <c r="G57" s="329">
        <v>0</v>
      </c>
      <c r="H57" s="329">
        <v>0</v>
      </c>
      <c r="I57" s="349">
        <f t="shared" si="0"/>
        <v>0</v>
      </c>
    </row>
    <row r="58" spans="1:9" ht="12.75">
      <c r="A58" s="328"/>
      <c r="B58" s="328" t="s">
        <v>440</v>
      </c>
      <c r="C58" s="918" t="s">
        <v>441</v>
      </c>
      <c r="D58" s="918"/>
      <c r="E58" s="918"/>
      <c r="F58" s="329">
        <v>0</v>
      </c>
      <c r="G58" s="329">
        <v>0</v>
      </c>
      <c r="H58" s="329">
        <v>0</v>
      </c>
      <c r="I58" s="349">
        <f t="shared" si="0"/>
        <v>0</v>
      </c>
    </row>
    <row r="59" spans="1:9" ht="12.75">
      <c r="A59" s="328"/>
      <c r="B59" s="328" t="s">
        <v>442</v>
      </c>
      <c r="C59" s="918" t="s">
        <v>443</v>
      </c>
      <c r="D59" s="918"/>
      <c r="E59" s="918"/>
      <c r="F59" s="329">
        <v>0</v>
      </c>
      <c r="G59" s="329">
        <v>0</v>
      </c>
      <c r="H59" s="329">
        <v>0</v>
      </c>
      <c r="I59" s="349">
        <f t="shared" si="0"/>
        <v>0</v>
      </c>
    </row>
    <row r="60" spans="1:9" ht="12.75">
      <c r="A60" s="328"/>
      <c r="B60" s="328" t="s">
        <v>444</v>
      </c>
      <c r="C60" s="918" t="s">
        <v>445</v>
      </c>
      <c r="D60" s="918"/>
      <c r="E60" s="918"/>
      <c r="F60" s="329">
        <f>SUM(F61:F62)</f>
        <v>26500</v>
      </c>
      <c r="G60" s="329">
        <f>SUM(G61:G62)</f>
        <v>0</v>
      </c>
      <c r="H60" s="329">
        <v>0</v>
      </c>
      <c r="I60" s="349">
        <f t="shared" si="0"/>
        <v>26500</v>
      </c>
    </row>
    <row r="61" spans="1:9" ht="12.75">
      <c r="A61" s="336"/>
      <c r="B61" s="336"/>
      <c r="C61" s="335"/>
      <c r="D61" s="335"/>
      <c r="E61" s="335" t="s">
        <v>446</v>
      </c>
      <c r="F61" s="337">
        <v>25500</v>
      </c>
      <c r="G61" s="337">
        <v>0</v>
      </c>
      <c r="H61" s="337">
        <v>0</v>
      </c>
      <c r="I61" s="339">
        <f t="shared" si="0"/>
        <v>25500</v>
      </c>
    </row>
    <row r="62" spans="1:9" ht="12.75">
      <c r="A62" s="336"/>
      <c r="B62" s="336"/>
      <c r="C62" s="335"/>
      <c r="D62" s="335"/>
      <c r="E62" s="335" t="s">
        <v>447</v>
      </c>
      <c r="F62" s="337">
        <v>1000</v>
      </c>
      <c r="G62" s="337">
        <v>0</v>
      </c>
      <c r="H62" s="337">
        <v>0</v>
      </c>
      <c r="I62" s="339">
        <f t="shared" si="0"/>
        <v>1000</v>
      </c>
    </row>
    <row r="63" spans="1:9" ht="12.75">
      <c r="A63" s="328"/>
      <c r="B63" s="328" t="s">
        <v>448</v>
      </c>
      <c r="C63" s="918" t="s">
        <v>449</v>
      </c>
      <c r="D63" s="918"/>
      <c r="E63" s="918"/>
      <c r="F63" s="329">
        <f>SUM(F64+F67+F68+F69+F71)</f>
        <v>142670</v>
      </c>
      <c r="G63" s="329">
        <f>SUM(G64+G67+G68+G69+G71)</f>
        <v>0</v>
      </c>
      <c r="H63" s="329">
        <v>0</v>
      </c>
      <c r="I63" s="349">
        <f t="shared" si="0"/>
        <v>142670</v>
      </c>
    </row>
    <row r="64" spans="1:9" ht="12.75">
      <c r="A64" s="333"/>
      <c r="B64" s="333"/>
      <c r="C64" s="333" t="s">
        <v>450</v>
      </c>
      <c r="D64" s="333" t="s">
        <v>451</v>
      </c>
      <c r="E64" s="333"/>
      <c r="F64" s="334">
        <f>SUM(F65:F66)</f>
        <v>122470</v>
      </c>
      <c r="G64" s="334">
        <f>SUM(G65:G66)</f>
        <v>0</v>
      </c>
      <c r="H64" s="334">
        <v>0</v>
      </c>
      <c r="I64" s="347">
        <f t="shared" si="0"/>
        <v>122470</v>
      </c>
    </row>
    <row r="65" spans="1:9" ht="12.75">
      <c r="A65" s="336"/>
      <c r="B65" s="336"/>
      <c r="C65" s="335"/>
      <c r="D65" s="335"/>
      <c r="E65" s="335" t="s">
        <v>452</v>
      </c>
      <c r="F65" s="337">
        <f>120000+1970</f>
        <v>121970</v>
      </c>
      <c r="G65" s="337">
        <v>0</v>
      </c>
      <c r="H65" s="337">
        <v>0</v>
      </c>
      <c r="I65" s="339">
        <f t="shared" si="0"/>
        <v>121970</v>
      </c>
    </row>
    <row r="66" spans="1:9" ht="12.75">
      <c r="A66" s="336"/>
      <c r="B66" s="336"/>
      <c r="C66" s="335"/>
      <c r="D66" s="335"/>
      <c r="E66" s="335" t="s">
        <v>453</v>
      </c>
      <c r="F66" s="337">
        <v>500</v>
      </c>
      <c r="G66" s="337">
        <v>0</v>
      </c>
      <c r="H66" s="337">
        <v>0</v>
      </c>
      <c r="I66" s="339">
        <f t="shared" si="0"/>
        <v>500</v>
      </c>
    </row>
    <row r="67" spans="1:9" ht="12.75">
      <c r="A67" s="333"/>
      <c r="B67" s="333"/>
      <c r="C67" s="333" t="s">
        <v>454</v>
      </c>
      <c r="D67" s="333" t="s">
        <v>455</v>
      </c>
      <c r="E67" s="333"/>
      <c r="F67" s="334">
        <v>0</v>
      </c>
      <c r="G67" s="334">
        <v>0</v>
      </c>
      <c r="H67" s="334">
        <v>0</v>
      </c>
      <c r="I67" s="347">
        <f t="shared" si="0"/>
        <v>0</v>
      </c>
    </row>
    <row r="68" spans="1:9" ht="12.75">
      <c r="A68" s="333"/>
      <c r="B68" s="333"/>
      <c r="C68" s="333" t="s">
        <v>456</v>
      </c>
      <c r="D68" s="333" t="s">
        <v>457</v>
      </c>
      <c r="E68" s="333"/>
      <c r="F68" s="334">
        <v>0</v>
      </c>
      <c r="G68" s="334">
        <v>0</v>
      </c>
      <c r="H68" s="334">
        <v>0</v>
      </c>
      <c r="I68" s="347">
        <f t="shared" si="0"/>
        <v>0</v>
      </c>
    </row>
    <row r="69" spans="1:9" ht="12.75">
      <c r="A69" s="333"/>
      <c r="B69" s="333"/>
      <c r="C69" s="333" t="s">
        <v>458</v>
      </c>
      <c r="D69" s="333" t="s">
        <v>459</v>
      </c>
      <c r="E69" s="333"/>
      <c r="F69" s="334">
        <f>SUM(F70)</f>
        <v>20000</v>
      </c>
      <c r="G69" s="334">
        <f>SUM(G70:G70)</f>
        <v>0</v>
      </c>
      <c r="H69" s="334">
        <v>0</v>
      </c>
      <c r="I69" s="347">
        <f t="shared" si="0"/>
        <v>20000</v>
      </c>
    </row>
    <row r="70" spans="1:9" ht="12.75">
      <c r="A70" s="336"/>
      <c r="B70" s="336"/>
      <c r="C70" s="336"/>
      <c r="D70" s="335"/>
      <c r="E70" s="335" t="s">
        <v>460</v>
      </c>
      <c r="F70" s="337">
        <v>20000</v>
      </c>
      <c r="G70" s="337">
        <v>0</v>
      </c>
      <c r="H70" s="337">
        <v>0</v>
      </c>
      <c r="I70" s="339">
        <f t="shared" si="0"/>
        <v>20000</v>
      </c>
    </row>
    <row r="71" spans="1:9" ht="12.75">
      <c r="A71" s="333"/>
      <c r="B71" s="333"/>
      <c r="C71" s="333" t="s">
        <v>461</v>
      </c>
      <c r="D71" s="333" t="s">
        <v>462</v>
      </c>
      <c r="E71" s="333"/>
      <c r="F71" s="334">
        <f>SUM(F72:F73)</f>
        <v>200</v>
      </c>
      <c r="G71" s="334">
        <v>0</v>
      </c>
      <c r="H71" s="334">
        <v>0</v>
      </c>
      <c r="I71" s="347">
        <f t="shared" si="0"/>
        <v>200</v>
      </c>
    </row>
    <row r="72" spans="1:9" ht="12.75">
      <c r="A72" s="336"/>
      <c r="B72" s="336"/>
      <c r="C72" s="336"/>
      <c r="D72" s="335"/>
      <c r="E72" s="335" t="s">
        <v>463</v>
      </c>
      <c r="F72" s="337">
        <v>200</v>
      </c>
      <c r="G72" s="337">
        <v>0</v>
      </c>
      <c r="H72" s="337">
        <v>0</v>
      </c>
      <c r="I72" s="339">
        <f aca="true" t="shared" si="1" ref="I72:I169">SUM(F72:H72)</f>
        <v>200</v>
      </c>
    </row>
    <row r="73" spans="1:9" ht="12.75">
      <c r="A73" s="336"/>
      <c r="B73" s="336"/>
      <c r="C73" s="336"/>
      <c r="D73" s="335"/>
      <c r="E73" s="335" t="s">
        <v>464</v>
      </c>
      <c r="F73" s="337">
        <v>0</v>
      </c>
      <c r="G73" s="337">
        <v>0</v>
      </c>
      <c r="H73" s="337">
        <v>0</v>
      </c>
      <c r="I73" s="339">
        <f t="shared" si="1"/>
        <v>0</v>
      </c>
    </row>
    <row r="74" spans="1:9" ht="12.75">
      <c r="A74" s="328"/>
      <c r="B74" s="328" t="s">
        <v>465</v>
      </c>
      <c r="C74" s="918" t="s">
        <v>466</v>
      </c>
      <c r="D74" s="918"/>
      <c r="E74" s="918"/>
      <c r="F74" s="329">
        <f>SUM(F75:F83)</f>
        <v>1700</v>
      </c>
      <c r="G74" s="329">
        <f>SUM(G75:G83)</f>
        <v>100</v>
      </c>
      <c r="H74" s="329">
        <f>SUM(H75:H83)</f>
        <v>0</v>
      </c>
      <c r="I74" s="349">
        <f t="shared" si="1"/>
        <v>1800</v>
      </c>
    </row>
    <row r="75" spans="1:9" ht="12.75">
      <c r="A75" s="342"/>
      <c r="B75" s="342"/>
      <c r="C75" s="342"/>
      <c r="D75" s="335"/>
      <c r="E75" s="335" t="s">
        <v>467</v>
      </c>
      <c r="F75" s="337">
        <v>0</v>
      </c>
      <c r="G75" s="337">
        <v>0</v>
      </c>
      <c r="H75" s="337">
        <v>0</v>
      </c>
      <c r="I75" s="339">
        <f t="shared" si="1"/>
        <v>0</v>
      </c>
    </row>
    <row r="76" spans="1:9" ht="12.75">
      <c r="A76" s="336"/>
      <c r="B76" s="336"/>
      <c r="C76" s="336"/>
      <c r="D76" s="335"/>
      <c r="E76" s="335" t="s">
        <v>468</v>
      </c>
      <c r="F76" s="337">
        <v>0</v>
      </c>
      <c r="G76" s="337">
        <v>50</v>
      </c>
      <c r="H76" s="337">
        <v>0</v>
      </c>
      <c r="I76" s="339">
        <f t="shared" si="1"/>
        <v>50</v>
      </c>
    </row>
    <row r="77" spans="1:9" ht="12.75">
      <c r="A77" s="342"/>
      <c r="B77" s="342"/>
      <c r="C77" s="342"/>
      <c r="D77" s="335"/>
      <c r="E77" s="335" t="s">
        <v>469</v>
      </c>
      <c r="F77" s="337">
        <v>0</v>
      </c>
      <c r="G77" s="337">
        <v>0</v>
      </c>
      <c r="H77" s="337">
        <v>0</v>
      </c>
      <c r="I77" s="339">
        <f t="shared" si="1"/>
        <v>0</v>
      </c>
    </row>
    <row r="78" spans="1:9" ht="12.75">
      <c r="A78" s="342"/>
      <c r="B78" s="342"/>
      <c r="C78" s="342"/>
      <c r="D78" s="335"/>
      <c r="E78" s="335" t="s">
        <v>470</v>
      </c>
      <c r="F78" s="337">
        <v>0</v>
      </c>
      <c r="G78" s="337">
        <v>0</v>
      </c>
      <c r="H78" s="337">
        <v>0</v>
      </c>
      <c r="I78" s="339">
        <f t="shared" si="1"/>
        <v>0</v>
      </c>
    </row>
    <row r="79" spans="1:9" ht="12.75">
      <c r="A79" s="342"/>
      <c r="B79" s="342"/>
      <c r="C79" s="342"/>
      <c r="D79" s="335"/>
      <c r="E79" s="335" t="s">
        <v>471</v>
      </c>
      <c r="F79" s="337">
        <v>0</v>
      </c>
      <c r="G79" s="337">
        <v>0</v>
      </c>
      <c r="H79" s="337">
        <v>0</v>
      </c>
      <c r="I79" s="339">
        <f t="shared" si="1"/>
        <v>0</v>
      </c>
    </row>
    <row r="80" spans="1:9" ht="12.75">
      <c r="A80" s="342"/>
      <c r="B80" s="342"/>
      <c r="C80" s="342"/>
      <c r="D80" s="335"/>
      <c r="E80" s="335" t="s">
        <v>472</v>
      </c>
      <c r="F80" s="337">
        <v>0</v>
      </c>
      <c r="G80" s="337">
        <v>50</v>
      </c>
      <c r="H80" s="337">
        <v>0</v>
      </c>
      <c r="I80" s="339">
        <f t="shared" si="1"/>
        <v>50</v>
      </c>
    </row>
    <row r="81" spans="1:9" ht="40.5" customHeight="1">
      <c r="A81" s="336"/>
      <c r="B81" s="336"/>
      <c r="C81" s="336"/>
      <c r="D81" s="336"/>
      <c r="E81" s="656" t="s">
        <v>473</v>
      </c>
      <c r="F81" s="337">
        <v>200</v>
      </c>
      <c r="G81" s="337">
        <v>0</v>
      </c>
      <c r="H81" s="337">
        <v>0</v>
      </c>
      <c r="I81" s="339">
        <f t="shared" si="1"/>
        <v>200</v>
      </c>
    </row>
    <row r="82" spans="1:9" ht="12.75">
      <c r="A82" s="342"/>
      <c r="B82" s="342"/>
      <c r="C82" s="342"/>
      <c r="D82" s="342"/>
      <c r="E82" s="335" t="s">
        <v>474</v>
      </c>
      <c r="F82" s="337">
        <v>0</v>
      </c>
      <c r="G82" s="337">
        <v>0</v>
      </c>
      <c r="H82" s="337">
        <v>0</v>
      </c>
      <c r="I82" s="339">
        <f t="shared" si="1"/>
        <v>0</v>
      </c>
    </row>
    <row r="83" spans="1:9" ht="12.75">
      <c r="A83" s="336"/>
      <c r="B83" s="336"/>
      <c r="C83" s="336"/>
      <c r="D83" s="336"/>
      <c r="E83" s="341" t="s">
        <v>475</v>
      </c>
      <c r="F83" s="337">
        <v>1500</v>
      </c>
      <c r="G83" s="337">
        <v>0</v>
      </c>
      <c r="H83" s="337">
        <v>0</v>
      </c>
      <c r="I83" s="339">
        <f t="shared" si="1"/>
        <v>1500</v>
      </c>
    </row>
    <row r="84" spans="1:9" s="352" customFormat="1" ht="12.75">
      <c r="A84" s="350" t="s">
        <v>476</v>
      </c>
      <c r="B84" s="926" t="s">
        <v>477</v>
      </c>
      <c r="C84" s="926"/>
      <c r="D84" s="926"/>
      <c r="E84" s="926"/>
      <c r="F84" s="351">
        <f>SUM(F85+F86+F89+F91+F98+F99+F100+F101+F105+F106+F107)</f>
        <v>412064</v>
      </c>
      <c r="G84" s="351">
        <f>SUM(G85+G86+G89+G91+G98+G99+G100+G101+G105+G106+G107)</f>
        <v>9330</v>
      </c>
      <c r="H84" s="351">
        <f>SUM(H85+H86+H89+H91+H98+H99+H100+H101+H105+H106+H107)</f>
        <v>8220</v>
      </c>
      <c r="I84" s="351">
        <f t="shared" si="1"/>
        <v>429614</v>
      </c>
    </row>
    <row r="85" spans="1:9" ht="12.75">
      <c r="A85" s="333"/>
      <c r="B85" s="333"/>
      <c r="C85" s="333" t="s">
        <v>478</v>
      </c>
      <c r="D85" s="333" t="s">
        <v>1029</v>
      </c>
      <c r="E85" s="333"/>
      <c r="F85" s="334">
        <v>8037</v>
      </c>
      <c r="G85" s="334">
        <v>0</v>
      </c>
      <c r="H85" s="334">
        <v>0</v>
      </c>
      <c r="I85" s="347">
        <f t="shared" si="1"/>
        <v>8037</v>
      </c>
    </row>
    <row r="86" spans="1:9" ht="12.75">
      <c r="A86" s="333"/>
      <c r="B86" s="333"/>
      <c r="C86" s="333" t="s">
        <v>479</v>
      </c>
      <c r="D86" s="333" t="s">
        <v>592</v>
      </c>
      <c r="E86" s="333"/>
      <c r="F86" s="334">
        <v>83692</v>
      </c>
      <c r="G86" s="334">
        <v>1716</v>
      </c>
      <c r="H86" s="334">
        <v>108</v>
      </c>
      <c r="I86" s="347">
        <f t="shared" si="1"/>
        <v>85516</v>
      </c>
    </row>
    <row r="87" spans="1:9" ht="12.75">
      <c r="A87" s="336"/>
      <c r="B87" s="336"/>
      <c r="C87" s="335" t="s">
        <v>21</v>
      </c>
      <c r="D87" s="335"/>
      <c r="E87" s="335" t="s">
        <v>480</v>
      </c>
      <c r="F87" s="337">
        <v>10878</v>
      </c>
      <c r="G87" s="337">
        <v>0</v>
      </c>
      <c r="H87" s="337">
        <v>108</v>
      </c>
      <c r="I87" s="339">
        <f t="shared" si="1"/>
        <v>10986</v>
      </c>
    </row>
    <row r="88" spans="1:9" ht="12.75">
      <c r="A88" s="336"/>
      <c r="B88" s="336"/>
      <c r="C88" s="335"/>
      <c r="D88" s="335"/>
      <c r="E88" s="335" t="s">
        <v>1067</v>
      </c>
      <c r="F88" s="337">
        <v>0</v>
      </c>
      <c r="G88" s="337">
        <v>0</v>
      </c>
      <c r="H88" s="337">
        <v>0</v>
      </c>
      <c r="I88" s="339">
        <f>SUM(F88:H88)</f>
        <v>0</v>
      </c>
    </row>
    <row r="89" spans="1:9" ht="12.75">
      <c r="A89" s="333"/>
      <c r="B89" s="333"/>
      <c r="C89" s="333" t="s">
        <v>481</v>
      </c>
      <c r="D89" s="333" t="s">
        <v>482</v>
      </c>
      <c r="E89" s="333"/>
      <c r="F89" s="334">
        <v>3884</v>
      </c>
      <c r="G89" s="334">
        <v>6951</v>
      </c>
      <c r="H89" s="334">
        <v>0</v>
      </c>
      <c r="I89" s="347">
        <f t="shared" si="1"/>
        <v>10835</v>
      </c>
    </row>
    <row r="90" spans="1:9" ht="12.75">
      <c r="A90" s="336"/>
      <c r="B90" s="336"/>
      <c r="C90" s="335" t="s">
        <v>21</v>
      </c>
      <c r="D90" s="335"/>
      <c r="E90" s="335" t="s">
        <v>68</v>
      </c>
      <c r="F90" s="337">
        <v>2824</v>
      </c>
      <c r="G90" s="337">
        <v>4651</v>
      </c>
      <c r="H90" s="337">
        <v>0</v>
      </c>
      <c r="I90" s="339">
        <f t="shared" si="1"/>
        <v>7475</v>
      </c>
    </row>
    <row r="91" spans="1:9" ht="12.75">
      <c r="A91" s="333"/>
      <c r="B91" s="333"/>
      <c r="C91" s="333" t="s">
        <v>483</v>
      </c>
      <c r="D91" s="333" t="s">
        <v>484</v>
      </c>
      <c r="E91" s="333"/>
      <c r="F91" s="334">
        <v>695</v>
      </c>
      <c r="G91" s="334">
        <v>0</v>
      </c>
      <c r="H91" s="334">
        <v>0</v>
      </c>
      <c r="I91" s="347">
        <f t="shared" si="1"/>
        <v>695</v>
      </c>
    </row>
    <row r="92" spans="1:9" ht="12.75">
      <c r="A92" s="336"/>
      <c r="B92" s="336"/>
      <c r="C92" s="335" t="s">
        <v>21</v>
      </c>
      <c r="D92" s="335"/>
      <c r="E92" s="335" t="s">
        <v>485</v>
      </c>
      <c r="F92" s="337">
        <v>0</v>
      </c>
      <c r="G92" s="337">
        <v>0</v>
      </c>
      <c r="H92" s="337">
        <v>0</v>
      </c>
      <c r="I92" s="339">
        <f t="shared" si="1"/>
        <v>0</v>
      </c>
    </row>
    <row r="93" spans="1:9" ht="12.75">
      <c r="A93" s="336"/>
      <c r="B93" s="336"/>
      <c r="C93" s="335"/>
      <c r="D93" s="335"/>
      <c r="E93" s="335" t="s">
        <v>1030</v>
      </c>
      <c r="F93" s="337">
        <v>0</v>
      </c>
      <c r="G93" s="337">
        <v>0</v>
      </c>
      <c r="H93" s="337">
        <v>0</v>
      </c>
      <c r="I93" s="339">
        <f>SUM(F93:H93)</f>
        <v>0</v>
      </c>
    </row>
    <row r="94" spans="1:9" ht="12.75">
      <c r="A94" s="336"/>
      <c r="B94" s="336"/>
      <c r="C94" s="335"/>
      <c r="D94" s="335"/>
      <c r="E94" s="335" t="s">
        <v>486</v>
      </c>
      <c r="F94" s="337">
        <v>695</v>
      </c>
      <c r="G94" s="337">
        <v>0</v>
      </c>
      <c r="H94" s="337">
        <v>0</v>
      </c>
      <c r="I94" s="339">
        <f>SUM(F94:H94)</f>
        <v>695</v>
      </c>
    </row>
    <row r="95" spans="1:9" ht="12.75">
      <c r="A95" s="336"/>
      <c r="B95" s="336"/>
      <c r="C95" s="335"/>
      <c r="D95" s="335"/>
      <c r="E95" s="335" t="s">
        <v>1032</v>
      </c>
      <c r="F95" s="337">
        <v>0</v>
      </c>
      <c r="G95" s="337">
        <v>0</v>
      </c>
      <c r="H95" s="337">
        <v>0</v>
      </c>
      <c r="I95" s="339">
        <f>SUM(F95:H95)</f>
        <v>0</v>
      </c>
    </row>
    <row r="96" spans="1:9" ht="12.75">
      <c r="A96" s="336"/>
      <c r="B96" s="336"/>
      <c r="C96" s="335"/>
      <c r="D96" s="335"/>
      <c r="E96" s="335" t="s">
        <v>1031</v>
      </c>
      <c r="F96" s="337">
        <v>0</v>
      </c>
      <c r="G96" s="337">
        <v>0</v>
      </c>
      <c r="H96" s="337">
        <v>0</v>
      </c>
      <c r="I96" s="339">
        <f>SUM(F96:H96)</f>
        <v>0</v>
      </c>
    </row>
    <row r="97" spans="1:9" ht="12.75">
      <c r="A97" s="336"/>
      <c r="B97" s="336"/>
      <c r="C97" s="335"/>
      <c r="D97" s="335"/>
      <c r="E97" s="335" t="s">
        <v>1033</v>
      </c>
      <c r="F97" s="337">
        <v>0</v>
      </c>
      <c r="G97" s="337">
        <v>0</v>
      </c>
      <c r="H97" s="337">
        <v>0</v>
      </c>
      <c r="I97" s="339">
        <f t="shared" si="1"/>
        <v>0</v>
      </c>
    </row>
    <row r="98" spans="1:9" ht="12.75">
      <c r="A98" s="333"/>
      <c r="B98" s="333"/>
      <c r="C98" s="333" t="s">
        <v>487</v>
      </c>
      <c r="D98" s="333" t="s">
        <v>488</v>
      </c>
      <c r="E98" s="333"/>
      <c r="F98" s="334">
        <v>3876</v>
      </c>
      <c r="G98" s="334">
        <v>0</v>
      </c>
      <c r="H98" s="334">
        <f>6868-561</f>
        <v>6307</v>
      </c>
      <c r="I98" s="347">
        <f t="shared" si="1"/>
        <v>10183</v>
      </c>
    </row>
    <row r="99" spans="1:9" ht="12.75">
      <c r="A99" s="333"/>
      <c r="B99" s="333"/>
      <c r="C99" s="333" t="s">
        <v>489</v>
      </c>
      <c r="D99" s="333" t="s">
        <v>490</v>
      </c>
      <c r="E99" s="333"/>
      <c r="F99" s="334">
        <v>21363</v>
      </c>
      <c r="G99" s="334">
        <v>648</v>
      </c>
      <c r="H99" s="334">
        <f>1854-151</f>
        <v>1703</v>
      </c>
      <c r="I99" s="347">
        <f t="shared" si="1"/>
        <v>23714</v>
      </c>
    </row>
    <row r="100" spans="1:9" ht="12.75">
      <c r="A100" s="333"/>
      <c r="B100" s="333"/>
      <c r="C100" s="333" t="s">
        <v>491</v>
      </c>
      <c r="D100" s="333" t="s">
        <v>492</v>
      </c>
      <c r="E100" s="333"/>
      <c r="F100" s="334">
        <f>284628+4762</f>
        <v>289390</v>
      </c>
      <c r="G100" s="334">
        <v>0</v>
      </c>
      <c r="H100" s="334">
        <v>77</v>
      </c>
      <c r="I100" s="347">
        <f t="shared" si="1"/>
        <v>289467</v>
      </c>
    </row>
    <row r="101" spans="1:9" ht="12.75">
      <c r="A101" s="333"/>
      <c r="B101" s="333"/>
      <c r="C101" s="333" t="s">
        <v>493</v>
      </c>
      <c r="D101" s="333" t="s">
        <v>1034</v>
      </c>
      <c r="E101" s="333"/>
      <c r="F101" s="334">
        <v>447</v>
      </c>
      <c r="G101" s="334">
        <v>15</v>
      </c>
      <c r="H101" s="334">
        <v>25</v>
      </c>
      <c r="I101" s="347">
        <f t="shared" si="1"/>
        <v>487</v>
      </c>
    </row>
    <row r="102" spans="1:9" ht="12.75">
      <c r="A102" s="333"/>
      <c r="B102" s="333"/>
      <c r="C102" s="335" t="s">
        <v>21</v>
      </c>
      <c r="D102" s="335"/>
      <c r="E102" s="335" t="s">
        <v>68</v>
      </c>
      <c r="F102" s="337">
        <v>48</v>
      </c>
      <c r="G102" s="337">
        <v>0</v>
      </c>
      <c r="H102" s="337">
        <v>0</v>
      </c>
      <c r="I102" s="339">
        <f t="shared" si="1"/>
        <v>48</v>
      </c>
    </row>
    <row r="103" spans="1:9" ht="12.75">
      <c r="A103" s="333"/>
      <c r="B103" s="333"/>
      <c r="C103" s="333"/>
      <c r="D103" s="333"/>
      <c r="E103" s="335" t="s">
        <v>1035</v>
      </c>
      <c r="F103" s="337">
        <v>0</v>
      </c>
      <c r="G103" s="337">
        <v>0</v>
      </c>
      <c r="H103" s="337">
        <v>0</v>
      </c>
      <c r="I103" s="339">
        <f>SUM(F103:H103)</f>
        <v>0</v>
      </c>
    </row>
    <row r="104" spans="1:9" ht="12.75">
      <c r="A104" s="333"/>
      <c r="B104" s="333"/>
      <c r="C104" s="333"/>
      <c r="D104" s="333"/>
      <c r="E104" s="335" t="s">
        <v>1036</v>
      </c>
      <c r="F104" s="337">
        <v>0</v>
      </c>
      <c r="G104" s="337">
        <v>0</v>
      </c>
      <c r="H104" s="337">
        <v>0</v>
      </c>
      <c r="I104" s="339">
        <f>SUM(F104:H104)</f>
        <v>0</v>
      </c>
    </row>
    <row r="105" spans="1:9" ht="12.75">
      <c r="A105" s="333"/>
      <c r="B105" s="333"/>
      <c r="C105" s="333" t="s">
        <v>494</v>
      </c>
      <c r="D105" s="333" t="s">
        <v>495</v>
      </c>
      <c r="E105" s="333"/>
      <c r="F105" s="334">
        <v>0</v>
      </c>
      <c r="G105" s="334">
        <v>0</v>
      </c>
      <c r="H105" s="334">
        <v>0</v>
      </c>
      <c r="I105" s="347">
        <f t="shared" si="1"/>
        <v>0</v>
      </c>
    </row>
    <row r="106" spans="1:9" ht="12.75">
      <c r="A106" s="333"/>
      <c r="B106" s="333"/>
      <c r="C106" s="333" t="s">
        <v>496</v>
      </c>
      <c r="D106" s="333" t="s">
        <v>1037</v>
      </c>
      <c r="E106" s="333"/>
      <c r="F106" s="334">
        <v>0</v>
      </c>
      <c r="G106" s="334">
        <v>0</v>
      </c>
      <c r="H106" s="334">
        <v>0</v>
      </c>
      <c r="I106" s="347">
        <f t="shared" si="1"/>
        <v>0</v>
      </c>
    </row>
    <row r="107" spans="1:9" ht="22.5" customHeight="1">
      <c r="A107" s="333"/>
      <c r="B107" s="333"/>
      <c r="C107" s="333" t="s">
        <v>1038</v>
      </c>
      <c r="D107" s="928" t="s">
        <v>1039</v>
      </c>
      <c r="E107" s="928"/>
      <c r="F107" s="334">
        <f>270+410</f>
        <v>680</v>
      </c>
      <c r="G107" s="334">
        <v>0</v>
      </c>
      <c r="H107" s="334">
        <v>0</v>
      </c>
      <c r="I107" s="347">
        <f t="shared" si="1"/>
        <v>680</v>
      </c>
    </row>
    <row r="108" spans="1:9" ht="45.75" customHeight="1">
      <c r="A108" s="338"/>
      <c r="B108" s="338"/>
      <c r="C108" s="815" t="s">
        <v>21</v>
      </c>
      <c r="D108" s="656" t="s">
        <v>742</v>
      </c>
      <c r="E108" s="656" t="s">
        <v>1068</v>
      </c>
      <c r="F108" s="337">
        <v>0</v>
      </c>
      <c r="G108" s="337">
        <v>0</v>
      </c>
      <c r="H108" s="337">
        <v>0</v>
      </c>
      <c r="I108" s="339">
        <f t="shared" si="1"/>
        <v>0</v>
      </c>
    </row>
    <row r="109" spans="1:9" ht="13.5" customHeight="1">
      <c r="A109" s="336"/>
      <c r="B109" s="336"/>
      <c r="C109" s="336"/>
      <c r="D109" s="335" t="s">
        <v>742</v>
      </c>
      <c r="E109" s="343" t="s">
        <v>497</v>
      </c>
      <c r="F109" s="337">
        <v>0</v>
      </c>
      <c r="G109" s="337">
        <v>0</v>
      </c>
      <c r="H109" s="337">
        <v>0</v>
      </c>
      <c r="I109" s="339">
        <f t="shared" si="1"/>
        <v>0</v>
      </c>
    </row>
    <row r="110" spans="1:9" s="352" customFormat="1" ht="12.75">
      <c r="A110" s="350" t="s">
        <v>498</v>
      </c>
      <c r="B110" s="926" t="s">
        <v>499</v>
      </c>
      <c r="C110" s="926"/>
      <c r="D110" s="926"/>
      <c r="E110" s="926"/>
      <c r="F110" s="351">
        <f>SUM(F111+F112+F114+F115+F116)</f>
        <v>43282</v>
      </c>
      <c r="G110" s="351">
        <f>SUM(G111+G112+G114+G115+G116)</f>
        <v>0</v>
      </c>
      <c r="H110" s="351">
        <f>SUM(H111+H112+H114+H115+H116)</f>
        <v>0</v>
      </c>
      <c r="I110" s="351">
        <f t="shared" si="1"/>
        <v>43282</v>
      </c>
    </row>
    <row r="111" spans="1:9" ht="12.75">
      <c r="A111" s="328"/>
      <c r="B111" s="328" t="s">
        <v>500</v>
      </c>
      <c r="C111" s="918" t="s">
        <v>593</v>
      </c>
      <c r="D111" s="918"/>
      <c r="E111" s="918"/>
      <c r="F111" s="329">
        <v>0</v>
      </c>
      <c r="G111" s="329">
        <v>0</v>
      </c>
      <c r="H111" s="329">
        <v>0</v>
      </c>
      <c r="I111" s="349">
        <f t="shared" si="1"/>
        <v>0</v>
      </c>
    </row>
    <row r="112" spans="1:9" ht="12.75">
      <c r="A112" s="328"/>
      <c r="B112" s="328" t="s">
        <v>501</v>
      </c>
      <c r="C112" s="918" t="s">
        <v>502</v>
      </c>
      <c r="D112" s="918"/>
      <c r="E112" s="918"/>
      <c r="F112" s="329">
        <f>16000+10000+17272</f>
        <v>43272</v>
      </c>
      <c r="G112" s="329">
        <v>0</v>
      </c>
      <c r="H112" s="329">
        <v>0</v>
      </c>
      <c r="I112" s="349">
        <f t="shared" si="1"/>
        <v>43272</v>
      </c>
    </row>
    <row r="113" spans="1:9" ht="12.75">
      <c r="A113" s="336"/>
      <c r="B113" s="336"/>
      <c r="C113" s="335" t="s">
        <v>21</v>
      </c>
      <c r="D113" s="335" t="s">
        <v>742</v>
      </c>
      <c r="E113" s="335" t="s">
        <v>503</v>
      </c>
      <c r="F113" s="337"/>
      <c r="G113" s="337">
        <v>0</v>
      </c>
      <c r="H113" s="337">
        <v>0</v>
      </c>
      <c r="I113" s="339">
        <f t="shared" si="1"/>
        <v>0</v>
      </c>
    </row>
    <row r="114" spans="1:9" ht="12.75">
      <c r="A114" s="328"/>
      <c r="B114" s="328" t="s">
        <v>504</v>
      </c>
      <c r="C114" s="918" t="s">
        <v>505</v>
      </c>
      <c r="D114" s="918"/>
      <c r="E114" s="918"/>
      <c r="F114" s="329">
        <v>0</v>
      </c>
      <c r="G114" s="329">
        <v>0</v>
      </c>
      <c r="H114" s="329">
        <v>0</v>
      </c>
      <c r="I114" s="349">
        <f t="shared" si="1"/>
        <v>0</v>
      </c>
    </row>
    <row r="115" spans="1:9" ht="12.75">
      <c r="A115" s="328"/>
      <c r="B115" s="328" t="s">
        <v>506</v>
      </c>
      <c r="C115" s="918" t="s">
        <v>507</v>
      </c>
      <c r="D115" s="918"/>
      <c r="E115" s="918"/>
      <c r="F115" s="329">
        <v>10</v>
      </c>
      <c r="G115" s="329">
        <v>0</v>
      </c>
      <c r="H115" s="329">
        <v>0</v>
      </c>
      <c r="I115" s="349">
        <f t="shared" si="1"/>
        <v>10</v>
      </c>
    </row>
    <row r="116" spans="1:9" ht="12.75">
      <c r="A116" s="328"/>
      <c r="B116" s="328" t="s">
        <v>508</v>
      </c>
      <c r="C116" s="918" t="s">
        <v>509</v>
      </c>
      <c r="D116" s="918"/>
      <c r="E116" s="918"/>
      <c r="F116" s="329">
        <v>0</v>
      </c>
      <c r="G116" s="329">
        <v>0</v>
      </c>
      <c r="H116" s="329">
        <v>0</v>
      </c>
      <c r="I116" s="349">
        <f t="shared" si="1"/>
        <v>0</v>
      </c>
    </row>
    <row r="117" spans="1:9" s="352" customFormat="1" ht="12.75">
      <c r="A117" s="350" t="s">
        <v>510</v>
      </c>
      <c r="B117" s="926" t="s">
        <v>511</v>
      </c>
      <c r="C117" s="926"/>
      <c r="D117" s="926"/>
      <c r="E117" s="926"/>
      <c r="F117" s="351">
        <f>SUM(F118+F119+F120+F121+F131)</f>
        <v>21668</v>
      </c>
      <c r="G117" s="351">
        <f>SUM(G118+G119+G120+G121+G131)</f>
        <v>0</v>
      </c>
      <c r="H117" s="351">
        <f>SUM(H118+H119+H120+H121+H131)</f>
        <v>0</v>
      </c>
      <c r="I117" s="351">
        <f t="shared" si="1"/>
        <v>21668</v>
      </c>
    </row>
    <row r="118" spans="1:9" ht="12.75">
      <c r="A118" s="328"/>
      <c r="B118" s="328" t="s">
        <v>512</v>
      </c>
      <c r="C118" s="918" t="s">
        <v>513</v>
      </c>
      <c r="D118" s="918"/>
      <c r="E118" s="918"/>
      <c r="F118" s="329">
        <v>0</v>
      </c>
      <c r="G118" s="329">
        <v>0</v>
      </c>
      <c r="H118" s="329">
        <v>0</v>
      </c>
      <c r="I118" s="349">
        <f t="shared" si="1"/>
        <v>0</v>
      </c>
    </row>
    <row r="119" spans="1:9" ht="12.75">
      <c r="A119" s="328"/>
      <c r="B119" s="328" t="s">
        <v>514</v>
      </c>
      <c r="C119" s="918" t="s">
        <v>1041</v>
      </c>
      <c r="D119" s="918"/>
      <c r="E119" s="918"/>
      <c r="F119" s="329">
        <v>0</v>
      </c>
      <c r="G119" s="329">
        <v>0</v>
      </c>
      <c r="H119" s="329">
        <v>0</v>
      </c>
      <c r="I119" s="349">
        <f t="shared" si="1"/>
        <v>0</v>
      </c>
    </row>
    <row r="120" spans="1:9" ht="26.25" customHeight="1">
      <c r="A120" s="328"/>
      <c r="B120" s="328" t="s">
        <v>533</v>
      </c>
      <c r="C120" s="927" t="s">
        <v>1042</v>
      </c>
      <c r="D120" s="927"/>
      <c r="E120" s="927"/>
      <c r="F120" s="329">
        <v>0</v>
      </c>
      <c r="G120" s="329">
        <v>0</v>
      </c>
      <c r="H120" s="329">
        <v>0</v>
      </c>
      <c r="I120" s="349">
        <f t="shared" si="1"/>
        <v>0</v>
      </c>
    </row>
    <row r="121" spans="1:9" ht="12.75">
      <c r="A121" s="328"/>
      <c r="B121" s="328" t="s">
        <v>1040</v>
      </c>
      <c r="C121" s="918" t="s">
        <v>532</v>
      </c>
      <c r="D121" s="918"/>
      <c r="E121" s="918"/>
      <c r="F121" s="329">
        <f>SUM(F122:F130)</f>
        <v>21668</v>
      </c>
      <c r="G121" s="329">
        <v>0</v>
      </c>
      <c r="H121" s="329">
        <v>0</v>
      </c>
      <c r="I121" s="349">
        <f t="shared" si="1"/>
        <v>21668</v>
      </c>
    </row>
    <row r="122" spans="1:9" ht="12.75">
      <c r="A122" s="338"/>
      <c r="B122" s="338"/>
      <c r="C122" s="335" t="s">
        <v>21</v>
      </c>
      <c r="D122" s="335" t="s">
        <v>308</v>
      </c>
      <c r="E122" s="335" t="s">
        <v>335</v>
      </c>
      <c r="F122" s="337">
        <v>0</v>
      </c>
      <c r="G122" s="337">
        <v>0</v>
      </c>
      <c r="H122" s="337">
        <v>0</v>
      </c>
      <c r="I122" s="339">
        <f t="shared" si="1"/>
        <v>0</v>
      </c>
    </row>
    <row r="123" spans="1:9" ht="12.75">
      <c r="A123" s="338"/>
      <c r="B123" s="338"/>
      <c r="C123" s="335"/>
      <c r="D123" s="335" t="s">
        <v>310</v>
      </c>
      <c r="E123" s="335" t="s">
        <v>1069</v>
      </c>
      <c r="F123" s="337">
        <v>7000</v>
      </c>
      <c r="G123" s="337">
        <v>0</v>
      </c>
      <c r="H123" s="337">
        <v>0</v>
      </c>
      <c r="I123" s="339">
        <f t="shared" si="1"/>
        <v>7000</v>
      </c>
    </row>
    <row r="124" spans="1:9" ht="12.75">
      <c r="A124" s="338"/>
      <c r="B124" s="338"/>
      <c r="C124" s="335"/>
      <c r="D124" s="335" t="s">
        <v>312</v>
      </c>
      <c r="E124" s="335" t="s">
        <v>336</v>
      </c>
      <c r="F124" s="337">
        <v>0</v>
      </c>
      <c r="G124" s="337">
        <v>0</v>
      </c>
      <c r="H124" s="337">
        <v>0</v>
      </c>
      <c r="I124" s="339">
        <f t="shared" si="1"/>
        <v>0</v>
      </c>
    </row>
    <row r="125" spans="1:9" ht="12.75">
      <c r="A125" s="338"/>
      <c r="B125" s="338"/>
      <c r="C125" s="335"/>
      <c r="D125" s="335" t="s">
        <v>314</v>
      </c>
      <c r="E125" s="335" t="s">
        <v>337</v>
      </c>
      <c r="F125" s="337">
        <v>0</v>
      </c>
      <c r="G125" s="337">
        <v>0</v>
      </c>
      <c r="H125" s="337">
        <v>0</v>
      </c>
      <c r="I125" s="339">
        <f t="shared" si="1"/>
        <v>0</v>
      </c>
    </row>
    <row r="126" spans="1:9" ht="12.75">
      <c r="A126" s="338"/>
      <c r="B126" s="338"/>
      <c r="C126" s="335"/>
      <c r="D126" s="335" t="s">
        <v>316</v>
      </c>
      <c r="E126" s="335" t="s">
        <v>338</v>
      </c>
      <c r="F126" s="337">
        <v>0</v>
      </c>
      <c r="G126" s="337">
        <v>0</v>
      </c>
      <c r="H126" s="337">
        <v>0</v>
      </c>
      <c r="I126" s="339">
        <f t="shared" si="1"/>
        <v>0</v>
      </c>
    </row>
    <row r="127" spans="1:9" ht="12.75">
      <c r="A127" s="338"/>
      <c r="B127" s="338"/>
      <c r="C127" s="335"/>
      <c r="D127" s="335" t="s">
        <v>318</v>
      </c>
      <c r="E127" s="335" t="s">
        <v>936</v>
      </c>
      <c r="F127" s="337">
        <v>0</v>
      </c>
      <c r="G127" s="337">
        <v>0</v>
      </c>
      <c r="H127" s="337">
        <v>0</v>
      </c>
      <c r="I127" s="339">
        <f t="shared" si="1"/>
        <v>0</v>
      </c>
    </row>
    <row r="128" spans="1:9" ht="12.75">
      <c r="A128" s="338"/>
      <c r="B128" s="338"/>
      <c r="C128" s="335"/>
      <c r="D128" s="335" t="s">
        <v>320</v>
      </c>
      <c r="E128" s="335" t="s">
        <v>935</v>
      </c>
      <c r="F128" s="816">
        <v>0</v>
      </c>
      <c r="G128" s="337">
        <v>0</v>
      </c>
      <c r="H128" s="337">
        <v>0</v>
      </c>
      <c r="I128" s="339">
        <f t="shared" si="1"/>
        <v>0</v>
      </c>
    </row>
    <row r="129" spans="1:9" ht="12.75">
      <c r="A129" s="338"/>
      <c r="B129" s="338"/>
      <c r="C129" s="335"/>
      <c r="D129" s="335" t="s">
        <v>322</v>
      </c>
      <c r="E129" s="335" t="s">
        <v>341</v>
      </c>
      <c r="F129" s="337">
        <v>14668</v>
      </c>
      <c r="G129" s="337">
        <v>0</v>
      </c>
      <c r="H129" s="337">
        <v>0</v>
      </c>
      <c r="I129" s="339">
        <f>SUM(F129:H129)</f>
        <v>14668</v>
      </c>
    </row>
    <row r="130" spans="1:9" ht="12.75">
      <c r="A130" s="338"/>
      <c r="B130" s="338"/>
      <c r="C130" s="335"/>
      <c r="D130" s="335" t="s">
        <v>324</v>
      </c>
      <c r="E130" s="335" t="s">
        <v>1070</v>
      </c>
      <c r="F130" s="337">
        <v>0</v>
      </c>
      <c r="G130" s="337">
        <v>0</v>
      </c>
      <c r="H130" s="337">
        <v>0</v>
      </c>
      <c r="I130" s="339">
        <f t="shared" si="1"/>
        <v>0</v>
      </c>
    </row>
    <row r="131" spans="1:9" ht="12.75">
      <c r="A131" s="328"/>
      <c r="B131" s="328" t="s">
        <v>1043</v>
      </c>
      <c r="C131" s="918" t="s">
        <v>534</v>
      </c>
      <c r="D131" s="918"/>
      <c r="E131" s="918"/>
      <c r="F131" s="329">
        <v>0</v>
      </c>
      <c r="G131" s="329">
        <v>0</v>
      </c>
      <c r="H131" s="329">
        <v>0</v>
      </c>
      <c r="I131" s="349">
        <f t="shared" si="1"/>
        <v>0</v>
      </c>
    </row>
    <row r="132" spans="1:9" s="352" customFormat="1" ht="12.75">
      <c r="A132" s="350" t="s">
        <v>535</v>
      </c>
      <c r="B132" s="926" t="s">
        <v>536</v>
      </c>
      <c r="C132" s="926"/>
      <c r="D132" s="926"/>
      <c r="E132" s="926"/>
      <c r="F132" s="351">
        <f>SUM(F133+F134+F135+F136+F146)</f>
        <v>216458</v>
      </c>
      <c r="G132" s="351">
        <f>SUM(G133+G134+G135+G136+G146)</f>
        <v>0</v>
      </c>
      <c r="H132" s="351">
        <f>SUM(H133+H134+H135+H136+H146)</f>
        <v>0</v>
      </c>
      <c r="I132" s="351">
        <f t="shared" si="1"/>
        <v>216458</v>
      </c>
    </row>
    <row r="133" spans="1:9" ht="12.75">
      <c r="A133" s="328"/>
      <c r="B133" s="328" t="s">
        <v>537</v>
      </c>
      <c r="C133" s="918" t="s">
        <v>538</v>
      </c>
      <c r="D133" s="918"/>
      <c r="E133" s="918"/>
      <c r="F133" s="329">
        <v>0</v>
      </c>
      <c r="G133" s="329">
        <v>0</v>
      </c>
      <c r="H133" s="329">
        <v>0</v>
      </c>
      <c r="I133" s="349">
        <f t="shared" si="1"/>
        <v>0</v>
      </c>
    </row>
    <row r="134" spans="1:9" ht="12.75">
      <c r="A134" s="328"/>
      <c r="B134" s="328" t="s">
        <v>539</v>
      </c>
      <c r="C134" s="918" t="s">
        <v>1044</v>
      </c>
      <c r="D134" s="918"/>
      <c r="E134" s="918"/>
      <c r="F134" s="329">
        <v>0</v>
      </c>
      <c r="G134" s="329">
        <v>0</v>
      </c>
      <c r="H134" s="329">
        <v>0</v>
      </c>
      <c r="I134" s="349">
        <f t="shared" si="1"/>
        <v>0</v>
      </c>
    </row>
    <row r="135" spans="1:9" ht="25.5" customHeight="1">
      <c r="A135" s="328"/>
      <c r="B135" s="328" t="s">
        <v>541</v>
      </c>
      <c r="C135" s="927" t="s">
        <v>1045</v>
      </c>
      <c r="D135" s="927"/>
      <c r="E135" s="927"/>
      <c r="F135" s="329">
        <v>0</v>
      </c>
      <c r="G135" s="329">
        <v>0</v>
      </c>
      <c r="H135" s="329">
        <v>0</v>
      </c>
      <c r="I135" s="349">
        <f t="shared" si="1"/>
        <v>0</v>
      </c>
    </row>
    <row r="136" spans="1:9" ht="12.75">
      <c r="A136" s="338"/>
      <c r="B136" s="328" t="s">
        <v>1046</v>
      </c>
      <c r="C136" s="918" t="s">
        <v>540</v>
      </c>
      <c r="D136" s="918"/>
      <c r="E136" s="918"/>
      <c r="F136" s="329">
        <f>SUM(F137:F145)</f>
        <v>40540</v>
      </c>
      <c r="G136" s="329">
        <f>SUM(G137:G145)</f>
        <v>0</v>
      </c>
      <c r="H136" s="329">
        <f>SUM(H137:H145)</f>
        <v>0</v>
      </c>
      <c r="I136" s="349">
        <f t="shared" si="1"/>
        <v>40540</v>
      </c>
    </row>
    <row r="137" spans="1:9" ht="12.75">
      <c r="A137" s="338"/>
      <c r="B137" s="338"/>
      <c r="C137" s="335" t="s">
        <v>21</v>
      </c>
      <c r="D137" s="335" t="s">
        <v>308</v>
      </c>
      <c r="E137" s="335" t="s">
        <v>335</v>
      </c>
      <c r="F137" s="337">
        <v>0</v>
      </c>
      <c r="G137" s="337">
        <v>0</v>
      </c>
      <c r="H137" s="337">
        <v>0</v>
      </c>
      <c r="I137" s="339">
        <f t="shared" si="1"/>
        <v>0</v>
      </c>
    </row>
    <row r="138" spans="1:9" ht="12.75">
      <c r="A138" s="338"/>
      <c r="B138" s="338"/>
      <c r="C138" s="335"/>
      <c r="D138" s="335" t="s">
        <v>310</v>
      </c>
      <c r="E138" s="335" t="s">
        <v>1069</v>
      </c>
      <c r="G138" s="337">
        <v>0</v>
      </c>
      <c r="H138" s="337">
        <v>0</v>
      </c>
      <c r="I138" s="339">
        <f t="shared" si="1"/>
        <v>0</v>
      </c>
    </row>
    <row r="139" spans="1:9" ht="12.75">
      <c r="A139" s="338"/>
      <c r="B139" s="338"/>
      <c r="C139" s="335"/>
      <c r="D139" s="335" t="s">
        <v>312</v>
      </c>
      <c r="E139" s="335" t="s">
        <v>336</v>
      </c>
      <c r="F139" s="337">
        <v>0</v>
      </c>
      <c r="G139" s="337">
        <v>0</v>
      </c>
      <c r="H139" s="337">
        <v>0</v>
      </c>
      <c r="I139" s="339">
        <f t="shared" si="1"/>
        <v>0</v>
      </c>
    </row>
    <row r="140" spans="1:9" ht="12.75">
      <c r="A140" s="338"/>
      <c r="B140" s="338"/>
      <c r="C140" s="335"/>
      <c r="D140" s="335" t="s">
        <v>314</v>
      </c>
      <c r="E140" s="335" t="s">
        <v>337</v>
      </c>
      <c r="F140" s="337">
        <v>0</v>
      </c>
      <c r="G140" s="337">
        <v>0</v>
      </c>
      <c r="H140" s="337">
        <v>0</v>
      </c>
      <c r="I140" s="339">
        <f t="shared" si="1"/>
        <v>0</v>
      </c>
    </row>
    <row r="141" spans="1:9" ht="12.75">
      <c r="A141" s="338"/>
      <c r="B141" s="338"/>
      <c r="C141" s="335"/>
      <c r="D141" s="335" t="s">
        <v>316</v>
      </c>
      <c r="E141" s="335" t="s">
        <v>338</v>
      </c>
      <c r="F141" s="337">
        <v>0</v>
      </c>
      <c r="G141" s="337">
        <v>0</v>
      </c>
      <c r="H141" s="337">
        <v>0</v>
      </c>
      <c r="I141" s="339">
        <f t="shared" si="1"/>
        <v>0</v>
      </c>
    </row>
    <row r="142" spans="1:9" ht="12.75">
      <c r="A142" s="338"/>
      <c r="B142" s="338"/>
      <c r="C142" s="335"/>
      <c r="D142" s="335" t="s">
        <v>318</v>
      </c>
      <c r="E142" s="335" t="s">
        <v>936</v>
      </c>
      <c r="F142" s="337">
        <v>0</v>
      </c>
      <c r="G142" s="337">
        <v>0</v>
      </c>
      <c r="H142" s="337">
        <v>0</v>
      </c>
      <c r="I142" s="339">
        <f t="shared" si="1"/>
        <v>0</v>
      </c>
    </row>
    <row r="143" spans="1:9" ht="12.75">
      <c r="A143" s="338"/>
      <c r="B143" s="338"/>
      <c r="C143" s="335"/>
      <c r="D143" s="335" t="s">
        <v>320</v>
      </c>
      <c r="E143" s="335" t="s">
        <v>935</v>
      </c>
      <c r="F143" s="337">
        <v>40540</v>
      </c>
      <c r="G143" s="337">
        <v>0</v>
      </c>
      <c r="H143" s="337">
        <v>0</v>
      </c>
      <c r="I143" s="339">
        <f>SUM(F143:H143)</f>
        <v>40540</v>
      </c>
    </row>
    <row r="144" spans="1:9" ht="12.75">
      <c r="A144" s="338"/>
      <c r="B144" s="338"/>
      <c r="C144" s="335"/>
      <c r="D144" s="335" t="s">
        <v>322</v>
      </c>
      <c r="E144" s="335" t="s">
        <v>341</v>
      </c>
      <c r="F144" s="337">
        <v>0</v>
      </c>
      <c r="G144" s="337">
        <v>0</v>
      </c>
      <c r="H144" s="337">
        <v>0</v>
      </c>
      <c r="I144" s="339">
        <f>SUM(F144:H144)</f>
        <v>0</v>
      </c>
    </row>
    <row r="145" spans="1:9" ht="12.75">
      <c r="A145" s="338"/>
      <c r="B145" s="338"/>
      <c r="C145" s="335"/>
      <c r="D145" s="335" t="s">
        <v>324</v>
      </c>
      <c r="E145" s="335" t="s">
        <v>1070</v>
      </c>
      <c r="F145" s="337">
        <v>0</v>
      </c>
      <c r="G145" s="337">
        <v>0</v>
      </c>
      <c r="H145" s="337">
        <v>0</v>
      </c>
      <c r="I145" s="339">
        <f>SUM(F145:H145)</f>
        <v>0</v>
      </c>
    </row>
    <row r="146" spans="1:9" ht="12.75">
      <c r="A146" s="338"/>
      <c r="B146" s="328" t="s">
        <v>1047</v>
      </c>
      <c r="C146" s="918" t="s">
        <v>542</v>
      </c>
      <c r="D146" s="918"/>
      <c r="E146" s="918"/>
      <c r="F146" s="329">
        <f>SUM(F147:F157)</f>
        <v>175918</v>
      </c>
      <c r="G146" s="329">
        <f>SUM(G147:G157)</f>
        <v>0</v>
      </c>
      <c r="H146" s="329">
        <f>SUM(H147:H157)</f>
        <v>0</v>
      </c>
      <c r="I146" s="349">
        <f t="shared" si="1"/>
        <v>175918</v>
      </c>
    </row>
    <row r="147" spans="1:9" ht="12.75">
      <c r="A147" s="338"/>
      <c r="B147" s="338"/>
      <c r="C147" s="335" t="s">
        <v>21</v>
      </c>
      <c r="D147" s="335" t="s">
        <v>308</v>
      </c>
      <c r="E147" s="335" t="s">
        <v>335</v>
      </c>
      <c r="F147" s="337">
        <v>0</v>
      </c>
      <c r="G147" s="337">
        <v>0</v>
      </c>
      <c r="H147" s="337">
        <v>0</v>
      </c>
      <c r="I147" s="339">
        <f t="shared" si="1"/>
        <v>0</v>
      </c>
    </row>
    <row r="148" spans="1:9" ht="12.75">
      <c r="A148" s="338"/>
      <c r="B148" s="338"/>
      <c r="C148" s="335"/>
      <c r="D148" s="335" t="s">
        <v>310</v>
      </c>
      <c r="E148" s="335" t="s">
        <v>1069</v>
      </c>
      <c r="F148" s="337">
        <v>0</v>
      </c>
      <c r="G148" s="337">
        <v>0</v>
      </c>
      <c r="H148" s="337">
        <v>0</v>
      </c>
      <c r="I148" s="339">
        <f t="shared" si="1"/>
        <v>0</v>
      </c>
    </row>
    <row r="149" spans="1:9" ht="12.75">
      <c r="A149" s="338"/>
      <c r="B149" s="338"/>
      <c r="C149" s="335"/>
      <c r="D149" s="335" t="s">
        <v>312</v>
      </c>
      <c r="E149" s="335" t="s">
        <v>336</v>
      </c>
      <c r="F149" s="337">
        <v>0</v>
      </c>
      <c r="G149" s="337">
        <v>0</v>
      </c>
      <c r="H149" s="337">
        <v>0</v>
      </c>
      <c r="I149" s="339">
        <f t="shared" si="1"/>
        <v>0</v>
      </c>
    </row>
    <row r="150" spans="1:9" ht="12.75">
      <c r="A150" s="338"/>
      <c r="B150" s="338"/>
      <c r="C150" s="335"/>
      <c r="D150" s="335" t="s">
        <v>314</v>
      </c>
      <c r="E150" s="335" t="s">
        <v>337</v>
      </c>
      <c r="F150" s="337">
        <v>0</v>
      </c>
      <c r="G150" s="337">
        <v>0</v>
      </c>
      <c r="H150" s="337">
        <v>0</v>
      </c>
      <c r="I150" s="339">
        <f t="shared" si="1"/>
        <v>0</v>
      </c>
    </row>
    <row r="151" spans="1:9" ht="12.75">
      <c r="A151" s="338"/>
      <c r="B151" s="338"/>
      <c r="C151" s="335"/>
      <c r="D151" s="335" t="s">
        <v>316</v>
      </c>
      <c r="E151" s="335" t="s">
        <v>338</v>
      </c>
      <c r="F151" s="337">
        <v>0</v>
      </c>
      <c r="G151" s="337">
        <v>0</v>
      </c>
      <c r="H151" s="337">
        <v>0</v>
      </c>
      <c r="I151" s="339">
        <f t="shared" si="1"/>
        <v>0</v>
      </c>
    </row>
    <row r="152" spans="1:9" ht="12.75">
      <c r="A152" s="338"/>
      <c r="B152" s="338"/>
      <c r="C152" s="335"/>
      <c r="D152" s="335" t="s">
        <v>318</v>
      </c>
      <c r="E152" s="335" t="s">
        <v>936</v>
      </c>
      <c r="F152" s="337">
        <v>0</v>
      </c>
      <c r="G152" s="337">
        <v>0</v>
      </c>
      <c r="H152" s="337">
        <v>0</v>
      </c>
      <c r="I152" s="339">
        <f t="shared" si="1"/>
        <v>0</v>
      </c>
    </row>
    <row r="153" spans="1:9" ht="12.75">
      <c r="A153" s="338"/>
      <c r="B153" s="338"/>
      <c r="C153" s="335"/>
      <c r="D153" s="335" t="s">
        <v>320</v>
      </c>
      <c r="E153" s="335" t="s">
        <v>935</v>
      </c>
      <c r="F153" s="816">
        <v>3517</v>
      </c>
      <c r="G153" s="337">
        <v>0</v>
      </c>
      <c r="H153" s="337">
        <v>0</v>
      </c>
      <c r="I153" s="339">
        <f t="shared" si="1"/>
        <v>3517</v>
      </c>
    </row>
    <row r="154" spans="1:9" ht="12.75">
      <c r="A154" s="338"/>
      <c r="B154" s="338"/>
      <c r="C154" s="335"/>
      <c r="D154" s="335" t="s">
        <v>322</v>
      </c>
      <c r="E154" s="335" t="s">
        <v>341</v>
      </c>
      <c r="F154" s="337">
        <v>172401</v>
      </c>
      <c r="G154" s="337">
        <v>0</v>
      </c>
      <c r="H154" s="337">
        <v>0</v>
      </c>
      <c r="I154" s="339">
        <f>SUM(F154:H154)</f>
        <v>172401</v>
      </c>
    </row>
    <row r="155" spans="1:9" ht="12.75">
      <c r="A155" s="338"/>
      <c r="B155" s="338"/>
      <c r="C155" s="335"/>
      <c r="D155" s="335" t="s">
        <v>324</v>
      </c>
      <c r="E155" s="335" t="s">
        <v>342</v>
      </c>
      <c r="F155" s="337">
        <v>0</v>
      </c>
      <c r="G155" s="337">
        <v>0</v>
      </c>
      <c r="H155" s="337">
        <v>0</v>
      </c>
      <c r="I155" s="339">
        <f>SUM(F155:H155)</f>
        <v>0</v>
      </c>
    </row>
    <row r="156" spans="1:9" ht="12.75">
      <c r="A156" s="338"/>
      <c r="B156" s="338"/>
      <c r="C156" s="335"/>
      <c r="D156" s="335" t="s">
        <v>326</v>
      </c>
      <c r="E156" s="335" t="s">
        <v>343</v>
      </c>
      <c r="F156" s="337">
        <v>0</v>
      </c>
      <c r="G156" s="337">
        <v>0</v>
      </c>
      <c r="H156" s="337">
        <v>0</v>
      </c>
      <c r="I156" s="339">
        <f>SUM(F156:H156)</f>
        <v>0</v>
      </c>
    </row>
    <row r="157" spans="1:9" ht="12.75">
      <c r="A157" s="338"/>
      <c r="B157" s="338"/>
      <c r="C157" s="335"/>
      <c r="D157" s="335" t="s">
        <v>1071</v>
      </c>
      <c r="E157" s="335" t="s">
        <v>344</v>
      </c>
      <c r="F157" s="337">
        <v>0</v>
      </c>
      <c r="G157" s="337">
        <v>0</v>
      </c>
      <c r="H157" s="337">
        <v>0</v>
      </c>
      <c r="I157" s="339">
        <f>SUM(F157:H157)</f>
        <v>0</v>
      </c>
    </row>
    <row r="158" spans="1:9" s="352" customFormat="1" ht="12.75">
      <c r="A158" s="350" t="s">
        <v>543</v>
      </c>
      <c r="B158" s="926" t="s">
        <v>544</v>
      </c>
      <c r="C158" s="926"/>
      <c r="D158" s="926"/>
      <c r="E158" s="926"/>
      <c r="F158" s="351">
        <f>SUM(F159+F180+F181+F182)</f>
        <v>125715</v>
      </c>
      <c r="G158" s="351">
        <f>SUM(G159+G180+G181+G182)</f>
        <v>3234</v>
      </c>
      <c r="H158" s="351">
        <f>SUM(H159+H180+H181+H182)</f>
        <v>10830</v>
      </c>
      <c r="I158" s="351">
        <f>SUM(I159+I180+I181+I182)</f>
        <v>139779</v>
      </c>
    </row>
    <row r="159" spans="1:9" ht="12.75">
      <c r="A159" s="338"/>
      <c r="B159" s="328" t="s">
        <v>545</v>
      </c>
      <c r="C159" s="918" t="s">
        <v>546</v>
      </c>
      <c r="D159" s="918"/>
      <c r="E159" s="918"/>
      <c r="F159" s="329">
        <f>SUM(F160+F164+F169+F172+F173+F174+F175+F176+F177)</f>
        <v>125715</v>
      </c>
      <c r="G159" s="329">
        <f>SUM(G160+G164+G169+G172+G173+G174+G175+G176+G177)</f>
        <v>3234</v>
      </c>
      <c r="H159" s="329">
        <f>SUM(H160+H164+H169+H172+H173+H174+H175+H176+H177)</f>
        <v>10830</v>
      </c>
      <c r="I159" s="349">
        <f t="shared" si="1"/>
        <v>139779</v>
      </c>
    </row>
    <row r="160" spans="1:9" ht="12.75">
      <c r="A160" s="333"/>
      <c r="B160" s="333"/>
      <c r="C160" s="333" t="s">
        <v>547</v>
      </c>
      <c r="D160" s="333" t="s">
        <v>548</v>
      </c>
      <c r="E160" s="333"/>
      <c r="F160" s="334">
        <f>SUM(F161:F163)</f>
        <v>0</v>
      </c>
      <c r="G160" s="334">
        <f>SUM(G161:G163)</f>
        <v>0</v>
      </c>
      <c r="H160" s="334">
        <f>SUM(H161:H163)</f>
        <v>0</v>
      </c>
      <c r="I160" s="347">
        <f t="shared" si="1"/>
        <v>0</v>
      </c>
    </row>
    <row r="161" spans="1:9" ht="12.75">
      <c r="A161" s="330"/>
      <c r="B161" s="330"/>
      <c r="C161" s="330"/>
      <c r="D161" s="330" t="s">
        <v>549</v>
      </c>
      <c r="E161" s="330" t="s">
        <v>1048</v>
      </c>
      <c r="F161" s="331"/>
      <c r="G161" s="331">
        <v>0</v>
      </c>
      <c r="H161" s="331">
        <v>0</v>
      </c>
      <c r="I161" s="348">
        <f t="shared" si="1"/>
        <v>0</v>
      </c>
    </row>
    <row r="162" spans="1:9" ht="12.75">
      <c r="A162" s="330"/>
      <c r="B162" s="330"/>
      <c r="C162" s="330"/>
      <c r="D162" s="330" t="s">
        <v>550</v>
      </c>
      <c r="E162" s="330" t="s">
        <v>551</v>
      </c>
      <c r="F162" s="331">
        <v>0</v>
      </c>
      <c r="G162" s="331">
        <v>0</v>
      </c>
      <c r="H162" s="331">
        <v>0</v>
      </c>
      <c r="I162" s="348">
        <f t="shared" si="1"/>
        <v>0</v>
      </c>
    </row>
    <row r="163" spans="1:9" ht="12.75">
      <c r="A163" s="330"/>
      <c r="B163" s="330"/>
      <c r="C163" s="330"/>
      <c r="D163" s="330" t="s">
        <v>552</v>
      </c>
      <c r="E163" s="330" t="s">
        <v>1049</v>
      </c>
      <c r="F163" s="331">
        <v>0</v>
      </c>
      <c r="G163" s="331">
        <v>0</v>
      </c>
      <c r="H163" s="331">
        <v>0</v>
      </c>
      <c r="I163" s="348">
        <f t="shared" si="1"/>
        <v>0</v>
      </c>
    </row>
    <row r="164" spans="1:9" ht="12.75">
      <c r="A164" s="333"/>
      <c r="B164" s="333"/>
      <c r="C164" s="333" t="s">
        <v>553</v>
      </c>
      <c r="D164" s="333" t="s">
        <v>554</v>
      </c>
      <c r="E164" s="333"/>
      <c r="F164" s="334">
        <f>SUM(F165:F168)</f>
        <v>0</v>
      </c>
      <c r="G164" s="334">
        <f>SUM(G165:G168)</f>
        <v>0</v>
      </c>
      <c r="H164" s="334">
        <f>SUM(H165:H168)</f>
        <v>0</v>
      </c>
      <c r="I164" s="347">
        <f t="shared" si="1"/>
        <v>0</v>
      </c>
    </row>
    <row r="165" spans="1:9" ht="12.75">
      <c r="A165" s="333"/>
      <c r="B165" s="333"/>
      <c r="C165" s="333"/>
      <c r="D165" s="330" t="s">
        <v>1050</v>
      </c>
      <c r="E165" s="330" t="s">
        <v>1051</v>
      </c>
      <c r="F165" s="334">
        <v>0</v>
      </c>
      <c r="G165" s="334">
        <v>0</v>
      </c>
      <c r="H165" s="334">
        <v>0</v>
      </c>
      <c r="I165" s="347">
        <f t="shared" si="1"/>
        <v>0</v>
      </c>
    </row>
    <row r="166" spans="1:9" ht="12.75">
      <c r="A166" s="333"/>
      <c r="B166" s="333"/>
      <c r="C166" s="333"/>
      <c r="D166" s="330" t="s">
        <v>1052</v>
      </c>
      <c r="E166" s="330" t="s">
        <v>1053</v>
      </c>
      <c r="F166" s="334">
        <v>0</v>
      </c>
      <c r="G166" s="334">
        <v>0</v>
      </c>
      <c r="H166" s="334">
        <v>0</v>
      </c>
      <c r="I166" s="347">
        <f t="shared" si="1"/>
        <v>0</v>
      </c>
    </row>
    <row r="167" spans="1:9" ht="12.75">
      <c r="A167" s="333"/>
      <c r="B167" s="333"/>
      <c r="C167" s="333"/>
      <c r="D167" s="330" t="s">
        <v>1054</v>
      </c>
      <c r="E167" s="330" t="s">
        <v>1055</v>
      </c>
      <c r="F167" s="334">
        <v>0</v>
      </c>
      <c r="G167" s="334">
        <v>0</v>
      </c>
      <c r="H167" s="334">
        <v>0</v>
      </c>
      <c r="I167" s="347">
        <f t="shared" si="1"/>
        <v>0</v>
      </c>
    </row>
    <row r="168" spans="1:9" ht="12.75">
      <c r="A168" s="333"/>
      <c r="B168" s="333"/>
      <c r="C168" s="333"/>
      <c r="D168" s="330" t="s">
        <v>1056</v>
      </c>
      <c r="E168" s="330" t="s">
        <v>1057</v>
      </c>
      <c r="F168" s="334">
        <v>0</v>
      </c>
      <c r="G168" s="334">
        <v>0</v>
      </c>
      <c r="H168" s="334">
        <v>0</v>
      </c>
      <c r="I168" s="347">
        <f t="shared" si="1"/>
        <v>0</v>
      </c>
    </row>
    <row r="169" spans="1:9" ht="12.75">
      <c r="A169" s="333"/>
      <c r="B169" s="333"/>
      <c r="C169" s="333" t="s">
        <v>555</v>
      </c>
      <c r="D169" s="333" t="s">
        <v>556</v>
      </c>
      <c r="E169" s="333"/>
      <c r="F169" s="334">
        <f>SUM(F170:F171)</f>
        <v>125715</v>
      </c>
      <c r="G169" s="334">
        <f>SUM(G170:G171)</f>
        <v>3234</v>
      </c>
      <c r="H169" s="334">
        <f>SUM(H170:H171)</f>
        <v>10830</v>
      </c>
      <c r="I169" s="347">
        <f t="shared" si="1"/>
        <v>139779</v>
      </c>
    </row>
    <row r="170" spans="1:9" ht="12.75">
      <c r="A170" s="330"/>
      <c r="B170" s="330"/>
      <c r="C170" s="330"/>
      <c r="D170" s="330" t="s">
        <v>557</v>
      </c>
      <c r="E170" s="330" t="s">
        <v>558</v>
      </c>
      <c r="F170" s="330">
        <f>3569+122146</f>
        <v>125715</v>
      </c>
      <c r="G170" s="330">
        <v>3234</v>
      </c>
      <c r="H170" s="330">
        <f>1281+9549</f>
        <v>10830</v>
      </c>
      <c r="I170" s="348">
        <f aca="true" t="shared" si="2" ref="I170:I182">SUM(F170:H170)</f>
        <v>139779</v>
      </c>
    </row>
    <row r="171" spans="1:9" s="695" customFormat="1" ht="12.75">
      <c r="A171" s="330"/>
      <c r="B171" s="330"/>
      <c r="C171" s="330"/>
      <c r="D171" s="330" t="s">
        <v>559</v>
      </c>
      <c r="E171" s="330" t="s">
        <v>560</v>
      </c>
      <c r="F171" s="331">
        <v>0</v>
      </c>
      <c r="G171" s="331">
        <v>0</v>
      </c>
      <c r="H171" s="331">
        <v>0</v>
      </c>
      <c r="I171" s="348">
        <f t="shared" si="2"/>
        <v>0</v>
      </c>
    </row>
    <row r="172" spans="1:9" s="695" customFormat="1" ht="12.75">
      <c r="A172" s="333"/>
      <c r="B172" s="333"/>
      <c r="C172" s="333" t="s">
        <v>561</v>
      </c>
      <c r="D172" s="333" t="s">
        <v>562</v>
      </c>
      <c r="E172" s="333"/>
      <c r="F172" s="334">
        <v>0</v>
      </c>
      <c r="G172" s="334">
        <v>0</v>
      </c>
      <c r="H172" s="334">
        <v>0</v>
      </c>
      <c r="I172" s="347">
        <f t="shared" si="2"/>
        <v>0</v>
      </c>
    </row>
    <row r="173" spans="1:9" ht="12.75">
      <c r="A173" s="333"/>
      <c r="B173" s="333"/>
      <c r="C173" s="333" t="s">
        <v>563</v>
      </c>
      <c r="D173" s="333" t="s">
        <v>564</v>
      </c>
      <c r="E173" s="333"/>
      <c r="F173" s="334">
        <v>0</v>
      </c>
      <c r="G173" s="334">
        <v>0</v>
      </c>
      <c r="H173" s="334">
        <v>0</v>
      </c>
      <c r="I173" s="347">
        <f t="shared" si="2"/>
        <v>0</v>
      </c>
    </row>
    <row r="174" spans="1:9" ht="12.75">
      <c r="A174" s="333"/>
      <c r="B174" s="333"/>
      <c r="C174" s="333" t="s">
        <v>565</v>
      </c>
      <c r="D174" s="333" t="s">
        <v>566</v>
      </c>
      <c r="E174" s="333"/>
      <c r="F174" s="334">
        <v>0</v>
      </c>
      <c r="G174" s="334">
        <v>0</v>
      </c>
      <c r="H174" s="334">
        <v>0</v>
      </c>
      <c r="I174" s="347">
        <f t="shared" si="2"/>
        <v>0</v>
      </c>
    </row>
    <row r="175" spans="1:9" ht="12.75">
      <c r="A175" s="333"/>
      <c r="B175" s="333"/>
      <c r="C175" s="333" t="s">
        <v>567</v>
      </c>
      <c r="D175" s="333" t="s">
        <v>1058</v>
      </c>
      <c r="E175" s="333"/>
      <c r="F175" s="334">
        <v>0</v>
      </c>
      <c r="G175" s="334">
        <v>0</v>
      </c>
      <c r="H175" s="334">
        <v>0</v>
      </c>
      <c r="I175" s="347">
        <f t="shared" si="2"/>
        <v>0</v>
      </c>
    </row>
    <row r="176" spans="1:9" ht="12.75">
      <c r="A176" s="333"/>
      <c r="B176" s="333"/>
      <c r="C176" s="333" t="s">
        <v>568</v>
      </c>
      <c r="D176" s="333" t="s">
        <v>569</v>
      </c>
      <c r="E176" s="333"/>
      <c r="F176" s="334">
        <v>0</v>
      </c>
      <c r="G176" s="334">
        <v>0</v>
      </c>
      <c r="H176" s="334">
        <v>0</v>
      </c>
      <c r="I176" s="347">
        <f t="shared" si="2"/>
        <v>0</v>
      </c>
    </row>
    <row r="177" spans="1:9" ht="12.75">
      <c r="A177" s="333"/>
      <c r="B177" s="333"/>
      <c r="C177" s="333" t="s">
        <v>1059</v>
      </c>
      <c r="D177" s="333" t="s">
        <v>1060</v>
      </c>
      <c r="E177" s="333"/>
      <c r="F177" s="334">
        <v>0</v>
      </c>
      <c r="G177" s="334">
        <v>0</v>
      </c>
      <c r="H177" s="334">
        <v>0</v>
      </c>
      <c r="I177" s="347">
        <f t="shared" si="2"/>
        <v>0</v>
      </c>
    </row>
    <row r="178" spans="1:9" ht="12.75">
      <c r="A178" s="333"/>
      <c r="B178" s="333"/>
      <c r="C178" s="333"/>
      <c r="D178" s="330" t="s">
        <v>1061</v>
      </c>
      <c r="E178" s="330" t="s">
        <v>1062</v>
      </c>
      <c r="F178" s="332">
        <v>0</v>
      </c>
      <c r="G178" s="332">
        <v>0</v>
      </c>
      <c r="H178" s="332">
        <v>0</v>
      </c>
      <c r="I178" s="347">
        <f t="shared" si="2"/>
        <v>0</v>
      </c>
    </row>
    <row r="179" spans="1:9" ht="12.75">
      <c r="A179" s="333"/>
      <c r="B179" s="333"/>
      <c r="C179" s="333"/>
      <c r="D179" s="330" t="s">
        <v>1063</v>
      </c>
      <c r="E179" s="330" t="s">
        <v>1064</v>
      </c>
      <c r="F179" s="332">
        <v>0</v>
      </c>
      <c r="G179" s="332">
        <v>0</v>
      </c>
      <c r="H179" s="332">
        <v>0</v>
      </c>
      <c r="I179" s="347">
        <f t="shared" si="2"/>
        <v>0</v>
      </c>
    </row>
    <row r="180" spans="1:9" ht="12.75">
      <c r="A180" s="338"/>
      <c r="B180" s="328" t="s">
        <v>570</v>
      </c>
      <c r="C180" s="918" t="s">
        <v>571</v>
      </c>
      <c r="D180" s="918"/>
      <c r="E180" s="918"/>
      <c r="F180" s="329">
        <v>0</v>
      </c>
      <c r="G180" s="329">
        <v>0</v>
      </c>
      <c r="H180" s="329">
        <v>0</v>
      </c>
      <c r="I180" s="349">
        <f t="shared" si="2"/>
        <v>0</v>
      </c>
    </row>
    <row r="181" spans="1:9" ht="12.75">
      <c r="A181" s="338"/>
      <c r="B181" s="328" t="s">
        <v>572</v>
      </c>
      <c r="C181" s="918" t="s">
        <v>573</v>
      </c>
      <c r="D181" s="918"/>
      <c r="E181" s="918"/>
      <c r="F181" s="329">
        <v>0</v>
      </c>
      <c r="G181" s="329">
        <v>0</v>
      </c>
      <c r="H181" s="329">
        <v>0</v>
      </c>
      <c r="I181" s="349">
        <f>SUM(F181:H181)</f>
        <v>0</v>
      </c>
    </row>
    <row r="182" spans="1:9" ht="12.75">
      <c r="A182" s="338"/>
      <c r="B182" s="328" t="s">
        <v>1065</v>
      </c>
      <c r="C182" s="918" t="s">
        <v>1066</v>
      </c>
      <c r="D182" s="918"/>
      <c r="E182" s="918"/>
      <c r="F182" s="329">
        <v>0</v>
      </c>
      <c r="G182" s="329">
        <v>0</v>
      </c>
      <c r="H182" s="329">
        <v>0</v>
      </c>
      <c r="I182" s="349">
        <f t="shared" si="2"/>
        <v>0</v>
      </c>
    </row>
    <row r="183" spans="1:9" ht="15.75">
      <c r="A183" s="919" t="s">
        <v>741</v>
      </c>
      <c r="B183" s="919"/>
      <c r="C183" s="919"/>
      <c r="D183" s="919"/>
      <c r="E183" s="919"/>
      <c r="F183" s="345">
        <f>SUM(F158+F132+F117+F110+F84+F56+F40+F7)</f>
        <v>2725323</v>
      </c>
      <c r="G183" s="345">
        <f>SUM(G158+G132+G117+G110+G84+G56+G40+G7)</f>
        <v>12664</v>
      </c>
      <c r="H183" s="345">
        <f>SUM(H158+H132+H117+H110+H84+H56+H40+H7)</f>
        <v>19050</v>
      </c>
      <c r="I183" s="345">
        <f>SUM(F183:H183)</f>
        <v>2757037</v>
      </c>
    </row>
    <row r="185" ht="14.25">
      <c r="C185" s="822" t="s">
        <v>1101</v>
      </c>
    </row>
    <row r="186" spans="3:5" ht="15">
      <c r="C186" s="834" t="s">
        <v>1103</v>
      </c>
      <c r="D186" s="833"/>
      <c r="E186" s="833"/>
    </row>
    <row r="187" spans="3:5" ht="15">
      <c r="C187" s="833"/>
      <c r="D187" s="833"/>
      <c r="E187" s="833"/>
    </row>
  </sheetData>
  <sheetProtection/>
  <mergeCells count="50">
    <mergeCell ref="A5:E5"/>
    <mergeCell ref="B7:E7"/>
    <mergeCell ref="C8:E8"/>
    <mergeCell ref="C15:E15"/>
    <mergeCell ref="B40:E40"/>
    <mergeCell ref="C42:E42"/>
    <mergeCell ref="C16:E16"/>
    <mergeCell ref="C17:E17"/>
    <mergeCell ref="C28:E28"/>
    <mergeCell ref="C29:E29"/>
    <mergeCell ref="C119:E119"/>
    <mergeCell ref="C120:E120"/>
    <mergeCell ref="C118:E118"/>
    <mergeCell ref="C41:E41"/>
    <mergeCell ref="D107:E107"/>
    <mergeCell ref="B110:E110"/>
    <mergeCell ref="C44:E44"/>
    <mergeCell ref="C45:E45"/>
    <mergeCell ref="B56:E56"/>
    <mergeCell ref="C57:E57"/>
    <mergeCell ref="C43:E43"/>
    <mergeCell ref="C133:E133"/>
    <mergeCell ref="C63:E63"/>
    <mergeCell ref="C74:E74"/>
    <mergeCell ref="B84:E84"/>
    <mergeCell ref="C136:E136"/>
    <mergeCell ref="B117:E117"/>
    <mergeCell ref="C121:E121"/>
    <mergeCell ref="C131:E131"/>
    <mergeCell ref="B132:E132"/>
    <mergeCell ref="C182:E182"/>
    <mergeCell ref="B158:E158"/>
    <mergeCell ref="C135:E135"/>
    <mergeCell ref="C134:E134"/>
    <mergeCell ref="C159:E159"/>
    <mergeCell ref="C111:E111"/>
    <mergeCell ref="C112:E112"/>
    <mergeCell ref="C114:E114"/>
    <mergeCell ref="C115:E115"/>
    <mergeCell ref="C116:E116"/>
    <mergeCell ref="C180:E180"/>
    <mergeCell ref="C181:E181"/>
    <mergeCell ref="A183:E183"/>
    <mergeCell ref="F1:I1"/>
    <mergeCell ref="B6:E6"/>
    <mergeCell ref="A2:I2"/>
    <mergeCell ref="C146:E146"/>
    <mergeCell ref="C58:E58"/>
    <mergeCell ref="C59:E59"/>
    <mergeCell ref="C60:E60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9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4.125" style="174" bestFit="1" customWidth="1"/>
    <col min="2" max="2" width="14.625" style="166" customWidth="1"/>
    <col min="3" max="9" width="16.75390625" style="166" customWidth="1"/>
    <col min="10" max="10" width="13.875" style="166" bestFit="1" customWidth="1"/>
    <col min="11" max="11" width="14.25390625" style="166" bestFit="1" customWidth="1"/>
    <col min="12" max="16384" width="8.875" style="166" customWidth="1"/>
  </cols>
  <sheetData>
    <row r="1" ht="15.75">
      <c r="I1" s="741" t="s">
        <v>1201</v>
      </c>
    </row>
    <row r="3" spans="1:9" ht="40.5" customHeight="1">
      <c r="A3" s="1190" t="s">
        <v>279</v>
      </c>
      <c r="B3" s="1191"/>
      <c r="C3" s="1191"/>
      <c r="D3" s="1191"/>
      <c r="E3" s="1191"/>
      <c r="F3" s="1191"/>
      <c r="G3" s="1191"/>
      <c r="H3" s="1191"/>
      <c r="I3" s="1191"/>
    </row>
    <row r="4" spans="2:9" ht="16.5" thickBot="1">
      <c r="B4" s="167"/>
      <c r="C4" s="167"/>
      <c r="D4" s="167"/>
      <c r="E4" s="167"/>
      <c r="F4" s="167"/>
      <c r="G4" s="167"/>
      <c r="H4" s="167"/>
      <c r="I4" s="167"/>
    </row>
    <row r="5" spans="1:9" ht="15.75">
      <c r="A5" s="1196" t="s">
        <v>732</v>
      </c>
      <c r="B5" s="1192" t="s">
        <v>705</v>
      </c>
      <c r="C5" s="1192" t="s">
        <v>712</v>
      </c>
      <c r="D5" s="1192"/>
      <c r="E5" s="1192"/>
      <c r="F5" s="1192"/>
      <c r="G5" s="1192"/>
      <c r="H5" s="1192"/>
      <c r="I5" s="1194" t="s">
        <v>721</v>
      </c>
    </row>
    <row r="6" spans="1:9" s="168" customFormat="1" ht="102.75" customHeight="1">
      <c r="A6" s="1197"/>
      <c r="B6" s="1193"/>
      <c r="C6" s="169" t="s">
        <v>707</v>
      </c>
      <c r="D6" s="169" t="s">
        <v>709</v>
      </c>
      <c r="E6" s="169" t="s">
        <v>722</v>
      </c>
      <c r="F6" s="169" t="s">
        <v>710</v>
      </c>
      <c r="G6" s="169" t="s">
        <v>706</v>
      </c>
      <c r="H6" s="169" t="s">
        <v>711</v>
      </c>
      <c r="I6" s="1195"/>
    </row>
    <row r="7" spans="1:9" s="174" customFormat="1" ht="12">
      <c r="A7" s="1197"/>
      <c r="B7" s="176" t="s">
        <v>726</v>
      </c>
      <c r="C7" s="175" t="s">
        <v>727</v>
      </c>
      <c r="D7" s="175" t="s">
        <v>728</v>
      </c>
      <c r="E7" s="175" t="s">
        <v>729</v>
      </c>
      <c r="F7" s="175" t="s">
        <v>730</v>
      </c>
      <c r="G7" s="175" t="s">
        <v>731</v>
      </c>
      <c r="H7" s="175" t="s">
        <v>734</v>
      </c>
      <c r="I7" s="178" t="s">
        <v>735</v>
      </c>
    </row>
    <row r="8" spans="1:9" ht="15.75">
      <c r="A8" s="172">
        <v>1</v>
      </c>
      <c r="B8" s="177" t="s">
        <v>747</v>
      </c>
      <c r="C8" s="625">
        <v>148970</v>
      </c>
      <c r="D8" s="625">
        <f>16695+10000+17272</f>
        <v>43967</v>
      </c>
      <c r="E8" s="173">
        <v>487</v>
      </c>
      <c r="F8" s="173">
        <v>10</v>
      </c>
      <c r="G8" s="821">
        <v>11983</v>
      </c>
      <c r="H8" s="173">
        <v>0</v>
      </c>
      <c r="I8" s="170">
        <f aca="true" t="shared" si="0" ref="I8:I15">SUM(C8:H8)</f>
        <v>205417</v>
      </c>
    </row>
    <row r="9" spans="1:9" ht="15.75">
      <c r="A9" s="172">
        <v>2</v>
      </c>
      <c r="B9" s="177" t="s">
        <v>748</v>
      </c>
      <c r="C9" s="171">
        <v>128500</v>
      </c>
      <c r="D9" s="173">
        <v>20000</v>
      </c>
      <c r="E9" s="173">
        <v>3000</v>
      </c>
      <c r="F9" s="173">
        <v>1000</v>
      </c>
      <c r="G9" s="171">
        <v>9500</v>
      </c>
      <c r="H9" s="173">
        <v>0</v>
      </c>
      <c r="I9" s="170">
        <f t="shared" si="0"/>
        <v>162000</v>
      </c>
    </row>
    <row r="10" spans="1:9" ht="15.75">
      <c r="A10" s="172">
        <v>3</v>
      </c>
      <c r="B10" s="177" t="s">
        <v>749</v>
      </c>
      <c r="C10" s="171">
        <v>124800</v>
      </c>
      <c r="D10" s="173">
        <v>18000</v>
      </c>
      <c r="E10" s="173">
        <v>2800</v>
      </c>
      <c r="F10" s="173">
        <v>1000</v>
      </c>
      <c r="G10" s="171">
        <v>8000</v>
      </c>
      <c r="H10" s="173">
        <v>0</v>
      </c>
      <c r="I10" s="170">
        <f t="shared" si="0"/>
        <v>154600</v>
      </c>
    </row>
    <row r="11" spans="1:9" ht="15.75">
      <c r="A11" s="172">
        <v>4</v>
      </c>
      <c r="B11" s="177" t="s">
        <v>750</v>
      </c>
      <c r="C11" s="171">
        <v>125000</v>
      </c>
      <c r="D11" s="173">
        <v>16000</v>
      </c>
      <c r="E11" s="173">
        <v>2600</v>
      </c>
      <c r="F11" s="173">
        <v>800</v>
      </c>
      <c r="G11" s="171">
        <v>8000</v>
      </c>
      <c r="H11" s="173">
        <v>0</v>
      </c>
      <c r="I11" s="170">
        <f t="shared" si="0"/>
        <v>152400</v>
      </c>
    </row>
    <row r="12" spans="1:9" ht="15.75">
      <c r="A12" s="172">
        <v>5</v>
      </c>
      <c r="B12" s="177" t="s">
        <v>751</v>
      </c>
      <c r="C12" s="171">
        <v>125940</v>
      </c>
      <c r="D12" s="653">
        <v>6000</v>
      </c>
      <c r="E12" s="173">
        <v>2610</v>
      </c>
      <c r="F12" s="173">
        <v>200</v>
      </c>
      <c r="G12" s="171">
        <v>4000</v>
      </c>
      <c r="H12" s="173">
        <v>0</v>
      </c>
      <c r="I12" s="170">
        <f t="shared" si="0"/>
        <v>138750</v>
      </c>
    </row>
    <row r="13" spans="1:9" ht="15.75">
      <c r="A13" s="172">
        <v>6</v>
      </c>
      <c r="B13" s="177" t="s">
        <v>752</v>
      </c>
      <c r="C13" s="171">
        <v>127035</v>
      </c>
      <c r="D13" s="653">
        <v>6000</v>
      </c>
      <c r="E13" s="173">
        <v>2640</v>
      </c>
      <c r="F13" s="173">
        <v>100</v>
      </c>
      <c r="G13" s="171">
        <v>3800</v>
      </c>
      <c r="H13" s="173">
        <v>0</v>
      </c>
      <c r="I13" s="170">
        <f t="shared" si="0"/>
        <v>139575</v>
      </c>
    </row>
    <row r="14" spans="1:9" ht="15.75">
      <c r="A14" s="172">
        <v>7</v>
      </c>
      <c r="B14" s="177" t="s">
        <v>753</v>
      </c>
      <c r="C14" s="171">
        <v>128585</v>
      </c>
      <c r="D14" s="653">
        <v>6000</v>
      </c>
      <c r="E14" s="173">
        <v>2660</v>
      </c>
      <c r="F14" s="173">
        <v>100</v>
      </c>
      <c r="G14" s="171">
        <v>3500</v>
      </c>
      <c r="H14" s="173">
        <v>0</v>
      </c>
      <c r="I14" s="170">
        <f t="shared" si="0"/>
        <v>140845</v>
      </c>
    </row>
    <row r="15" spans="1:9" ht="15.75">
      <c r="A15" s="172">
        <v>8</v>
      </c>
      <c r="B15" s="177" t="s">
        <v>754</v>
      </c>
      <c r="C15" s="171">
        <v>130615</v>
      </c>
      <c r="D15" s="653">
        <v>6000</v>
      </c>
      <c r="E15" s="173">
        <v>2710</v>
      </c>
      <c r="F15" s="173">
        <v>100</v>
      </c>
      <c r="G15" s="171">
        <v>3400</v>
      </c>
      <c r="H15" s="173">
        <v>0</v>
      </c>
      <c r="I15" s="170">
        <f t="shared" si="0"/>
        <v>142825</v>
      </c>
    </row>
    <row r="17" spans="2:5" ht="15.75">
      <c r="B17" s="868" t="s">
        <v>1200</v>
      </c>
      <c r="C17" s="869"/>
      <c r="D17" s="869"/>
      <c r="E17" s="869"/>
    </row>
    <row r="18" spans="2:5" ht="15.75">
      <c r="B18" s="843" t="s">
        <v>1199</v>
      </c>
      <c r="C18" s="857"/>
      <c r="D18" s="869"/>
      <c r="E18" s="869"/>
    </row>
  </sheetData>
  <sheetProtection/>
  <mergeCells count="5">
    <mergeCell ref="A3:I3"/>
    <mergeCell ref="B5:B6"/>
    <mergeCell ref="I5:I6"/>
    <mergeCell ref="A5:A7"/>
    <mergeCell ref="C5:H5"/>
  </mergeCells>
  <printOptions horizontalCentered="1" vertic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2"/>
  <sheetViews>
    <sheetView tabSelected="1" workbookViewId="0" topLeftCell="A1">
      <selection activeCell="G73" sqref="G73"/>
    </sheetView>
  </sheetViews>
  <sheetFormatPr defaultColWidth="13.25390625" defaultRowHeight="12.75"/>
  <cols>
    <col min="1" max="1" width="4.625" style="262" customWidth="1"/>
    <col min="2" max="2" width="36.125" style="163" customWidth="1"/>
    <col min="3" max="3" width="15.00390625" style="163" customWidth="1"/>
    <col min="4" max="4" width="10.00390625" style="163" customWidth="1"/>
    <col min="5" max="5" width="11.875" style="163" customWidth="1"/>
    <col min="6" max="6" width="11.75390625" style="163" customWidth="1"/>
    <col min="7" max="7" width="11.25390625" style="163" customWidth="1"/>
    <col min="8" max="8" width="11.75390625" style="163" customWidth="1"/>
    <col min="9" max="9" width="15.375" style="163" customWidth="1"/>
    <col min="10" max="10" width="16.625" style="163" customWidth="1"/>
    <col min="11" max="11" width="9.25390625" style="163" customWidth="1"/>
    <col min="12" max="12" width="9.75390625" style="163" customWidth="1"/>
    <col min="13" max="13" width="7.875" style="163" customWidth="1"/>
    <col min="14" max="14" width="9.625" style="163" customWidth="1"/>
    <col min="15" max="15" width="15.875" style="163" customWidth="1"/>
    <col min="16" max="16" width="17.25390625" style="163" customWidth="1"/>
    <col min="17" max="16384" width="13.25390625" style="163" customWidth="1"/>
  </cols>
  <sheetData>
    <row r="1" spans="2:10" ht="16.5">
      <c r="B1" s="1198" t="s">
        <v>1202</v>
      </c>
      <c r="C1" s="1198"/>
      <c r="D1" s="1198"/>
      <c r="E1" s="1198"/>
      <c r="F1" s="1198"/>
      <c r="G1" s="1198"/>
      <c r="H1" s="1198"/>
      <c r="I1" s="1198"/>
      <c r="J1" s="1198"/>
    </row>
    <row r="3" ht="16.5" customHeight="1"/>
    <row r="4" spans="2:10" ht="34.5" customHeight="1">
      <c r="B4" s="1199" t="s">
        <v>947</v>
      </c>
      <c r="C4" s="1199"/>
      <c r="D4" s="1199"/>
      <c r="E4" s="1199"/>
      <c r="F4" s="1199"/>
      <c r="G4" s="1199"/>
      <c r="H4" s="1199"/>
      <c r="I4" s="1199"/>
      <c r="J4" s="1199"/>
    </row>
    <row r="5" ht="6.75" customHeight="1" hidden="1"/>
    <row r="6" ht="12.75" customHeight="1"/>
    <row r="7" ht="12.75" customHeight="1" thickBot="1"/>
    <row r="8" spans="1:10" ht="12.75" customHeight="1">
      <c r="A8" s="1217" t="s">
        <v>732</v>
      </c>
      <c r="B8" s="1220" t="s">
        <v>636</v>
      </c>
      <c r="C8" s="1223" t="s">
        <v>574</v>
      </c>
      <c r="D8" s="1224"/>
      <c r="E8" s="1224"/>
      <c r="F8" s="1224"/>
      <c r="G8" s="1224"/>
      <c r="H8" s="1225"/>
      <c r="I8" s="1226" t="s">
        <v>948</v>
      </c>
      <c r="J8" s="1226" t="s">
        <v>949</v>
      </c>
    </row>
    <row r="9" spans="1:16" s="164" customFormat="1" ht="12.75" customHeight="1">
      <c r="A9" s="1218"/>
      <c r="B9" s="1221"/>
      <c r="C9" s="1229" t="s">
        <v>721</v>
      </c>
      <c r="D9" s="1230" t="s">
        <v>575</v>
      </c>
      <c r="E9" s="1231"/>
      <c r="F9" s="1231"/>
      <c r="G9" s="1231"/>
      <c r="H9" s="1232"/>
      <c r="I9" s="1227"/>
      <c r="J9" s="1227"/>
      <c r="K9" s="163"/>
      <c r="L9" s="163"/>
      <c r="M9" s="163"/>
      <c r="N9" s="163"/>
      <c r="O9" s="163"/>
      <c r="P9" s="163"/>
    </row>
    <row r="10" spans="1:10" ht="44.25" customHeight="1">
      <c r="A10" s="1219"/>
      <c r="B10" s="1222"/>
      <c r="C10" s="1229"/>
      <c r="D10" s="264" t="s">
        <v>739</v>
      </c>
      <c r="E10" s="264" t="s">
        <v>743</v>
      </c>
      <c r="F10" s="264" t="s">
        <v>744</v>
      </c>
      <c r="G10" s="264" t="s">
        <v>746</v>
      </c>
      <c r="H10" s="265" t="s">
        <v>747</v>
      </c>
      <c r="I10" s="1228"/>
      <c r="J10" s="1228"/>
    </row>
    <row r="11" spans="1:10" ht="19.5" customHeight="1" thickBot="1">
      <c r="A11" s="263" t="s">
        <v>726</v>
      </c>
      <c r="B11" s="266" t="s">
        <v>727</v>
      </c>
      <c r="C11" s="267" t="s">
        <v>728</v>
      </c>
      <c r="D11" s="268" t="s">
        <v>729</v>
      </c>
      <c r="E11" s="269" t="s">
        <v>730</v>
      </c>
      <c r="F11" s="269" t="s">
        <v>731</v>
      </c>
      <c r="G11" s="269" t="s">
        <v>734</v>
      </c>
      <c r="H11" s="269" t="s">
        <v>735</v>
      </c>
      <c r="I11" s="270" t="s">
        <v>671</v>
      </c>
      <c r="J11" s="271" t="s">
        <v>672</v>
      </c>
    </row>
    <row r="12" spans="1:10" ht="29.25" customHeight="1" thickBot="1" thickTop="1">
      <c r="A12" s="272">
        <v>1</v>
      </c>
      <c r="B12" s="1200" t="s">
        <v>207</v>
      </c>
      <c r="C12" s="1201"/>
      <c r="D12" s="1201"/>
      <c r="E12" s="1201"/>
      <c r="F12" s="1201"/>
      <c r="G12" s="1201"/>
      <c r="H12" s="1201"/>
      <c r="I12" s="1201"/>
      <c r="J12" s="1202"/>
    </row>
    <row r="13" spans="1:10" ht="16.5" thickBot="1" thickTop="1">
      <c r="A13" s="273">
        <v>2</v>
      </c>
      <c r="B13" s="1203" t="s">
        <v>262</v>
      </c>
      <c r="C13" s="1204"/>
      <c r="D13" s="1204"/>
      <c r="E13" s="1204"/>
      <c r="F13" s="1204"/>
      <c r="G13" s="1204"/>
      <c r="H13" s="1204"/>
      <c r="I13" s="1205"/>
      <c r="J13" s="274"/>
    </row>
    <row r="14" spans="1:10" ht="14.25" customHeight="1">
      <c r="A14" s="275">
        <v>3</v>
      </c>
      <c r="B14" s="276" t="s">
        <v>576</v>
      </c>
      <c r="C14" s="633">
        <f>SUM(H14+G14+F14+E14+D14)</f>
        <v>0</v>
      </c>
      <c r="D14" s="279"/>
      <c r="E14" s="279"/>
      <c r="F14" s="279"/>
      <c r="G14" s="279"/>
      <c r="H14" s="279"/>
      <c r="I14" s="280">
        <v>2</v>
      </c>
      <c r="J14" s="280">
        <v>0</v>
      </c>
    </row>
    <row r="15" spans="1:10" ht="14.25" customHeight="1" thickBot="1">
      <c r="A15" s="275">
        <v>4</v>
      </c>
      <c r="B15" s="281" t="s">
        <v>577</v>
      </c>
      <c r="C15" s="634">
        <f>SUM(H15+G15+F15+E15+D15)</f>
        <v>21900</v>
      </c>
      <c r="D15" s="694"/>
      <c r="E15" s="284"/>
      <c r="F15" s="284">
        <v>2670</v>
      </c>
      <c r="G15" s="284">
        <v>19230</v>
      </c>
      <c r="H15" s="284"/>
      <c r="I15" s="285">
        <v>12456</v>
      </c>
      <c r="J15" s="285"/>
    </row>
    <row r="16" spans="1:10" ht="14.25" customHeight="1" thickBot="1">
      <c r="A16" s="275">
        <v>5</v>
      </c>
      <c r="B16" s="286" t="s">
        <v>578</v>
      </c>
      <c r="C16" s="287">
        <f>SUM(H16+G16+F16+E16+D16)</f>
        <v>21900</v>
      </c>
      <c r="D16" s="288">
        <f aca="true" t="shared" si="0" ref="D16:J16">SUM(D14+D15)</f>
        <v>0</v>
      </c>
      <c r="E16" s="288">
        <f t="shared" si="0"/>
        <v>0</v>
      </c>
      <c r="F16" s="288">
        <f t="shared" si="0"/>
        <v>2670</v>
      </c>
      <c r="G16" s="288">
        <f t="shared" si="0"/>
        <v>19230</v>
      </c>
      <c r="H16" s="289">
        <f t="shared" si="0"/>
        <v>0</v>
      </c>
      <c r="I16" s="290">
        <f t="shared" si="0"/>
        <v>12458</v>
      </c>
      <c r="J16" s="291">
        <f t="shared" si="0"/>
        <v>0</v>
      </c>
    </row>
    <row r="17" spans="1:10" ht="6" customHeight="1" thickBot="1">
      <c r="A17" s="275"/>
      <c r="B17" s="1210"/>
      <c r="C17" s="1211"/>
      <c r="D17" s="1212"/>
      <c r="E17" s="1212"/>
      <c r="F17" s="1212"/>
      <c r="G17" s="1212"/>
      <c r="H17" s="1212"/>
      <c r="I17" s="1213"/>
      <c r="J17" s="274"/>
    </row>
    <row r="18" spans="1:10" ht="14.25" customHeight="1">
      <c r="A18" s="292">
        <v>6</v>
      </c>
      <c r="B18" s="293" t="s">
        <v>579</v>
      </c>
      <c r="C18" s="277">
        <f>SUM(D18:H18)</f>
        <v>2000</v>
      </c>
      <c r="D18" s="294"/>
      <c r="E18" s="284"/>
      <c r="F18" s="284"/>
      <c r="G18" s="284">
        <v>2000</v>
      </c>
      <c r="H18" s="284"/>
      <c r="I18" s="280"/>
      <c r="J18" s="280"/>
    </row>
    <row r="19" spans="1:10" ht="14.25" customHeight="1">
      <c r="A19" s="292">
        <v>7</v>
      </c>
      <c r="B19" s="293" t="s">
        <v>580</v>
      </c>
      <c r="C19" s="282">
        <f>SUM(D19:H19)</f>
        <v>0</v>
      </c>
      <c r="D19" s="294"/>
      <c r="E19" s="294"/>
      <c r="F19" s="294"/>
      <c r="G19" s="294"/>
      <c r="H19" s="294"/>
      <c r="I19" s="295"/>
      <c r="J19" s="295"/>
    </row>
    <row r="20" spans="1:10" ht="14.25" customHeight="1">
      <c r="A20" s="292">
        <v>8</v>
      </c>
      <c r="B20" s="319" t="s">
        <v>1022</v>
      </c>
      <c r="C20" s="282">
        <f>SUM(D20:H20)</f>
        <v>6100</v>
      </c>
      <c r="D20" s="320"/>
      <c r="E20" s="320"/>
      <c r="F20" s="284">
        <v>1200</v>
      </c>
      <c r="G20" s="284">
        <v>4900</v>
      </c>
      <c r="H20" s="294"/>
      <c r="I20" s="298"/>
      <c r="J20" s="298">
        <v>5818</v>
      </c>
    </row>
    <row r="21" spans="1:10" ht="14.25" customHeight="1">
      <c r="A21" s="292">
        <v>9</v>
      </c>
      <c r="B21" s="296" t="s">
        <v>581</v>
      </c>
      <c r="C21" s="282">
        <f>SUM(D21:H21)</f>
        <v>13800</v>
      </c>
      <c r="D21" s="320"/>
      <c r="E21" s="320"/>
      <c r="F21" s="799">
        <v>1470</v>
      </c>
      <c r="G21" s="284">
        <v>12330</v>
      </c>
      <c r="H21" s="284"/>
      <c r="I21" s="285"/>
      <c r="J21" s="285"/>
    </row>
    <row r="22" spans="1:10" ht="14.25" customHeight="1" thickBot="1">
      <c r="A22" s="292">
        <v>10</v>
      </c>
      <c r="B22" s="296" t="s">
        <v>582</v>
      </c>
      <c r="C22" s="299">
        <f>SUM(D22:H22)</f>
        <v>0</v>
      </c>
      <c r="D22" s="300"/>
      <c r="E22" s="300"/>
      <c r="F22" s="300"/>
      <c r="G22" s="300"/>
      <c r="H22" s="300"/>
      <c r="I22" s="301"/>
      <c r="J22" s="301">
        <v>2</v>
      </c>
    </row>
    <row r="23" spans="1:16" s="165" customFormat="1" ht="14.25" customHeight="1" thickBot="1">
      <c r="A23" s="302">
        <v>11</v>
      </c>
      <c r="B23" s="303" t="s">
        <v>646</v>
      </c>
      <c r="C23" s="304">
        <f aca="true" t="shared" si="1" ref="C23:J23">SUM(C18:C22)</f>
        <v>21900</v>
      </c>
      <c r="D23" s="305">
        <f t="shared" si="1"/>
        <v>0</v>
      </c>
      <c r="E23" s="305">
        <f t="shared" si="1"/>
        <v>0</v>
      </c>
      <c r="F23" s="305">
        <f t="shared" si="1"/>
        <v>2670</v>
      </c>
      <c r="G23" s="305">
        <f t="shared" si="1"/>
        <v>19230</v>
      </c>
      <c r="H23" s="305">
        <f t="shared" si="1"/>
        <v>0</v>
      </c>
      <c r="I23" s="306">
        <f t="shared" si="1"/>
        <v>0</v>
      </c>
      <c r="J23" s="307">
        <f t="shared" si="1"/>
        <v>5820</v>
      </c>
      <c r="K23" s="163"/>
      <c r="L23" s="163"/>
      <c r="M23" s="163"/>
      <c r="N23" s="163"/>
      <c r="O23" s="163"/>
      <c r="P23" s="163"/>
    </row>
    <row r="24" spans="1:16" s="165" customFormat="1" ht="14.25" thickBot="1" thickTop="1">
      <c r="A24" s="308"/>
      <c r="B24" s="1214"/>
      <c r="C24" s="1215"/>
      <c r="D24" s="1215"/>
      <c r="E24" s="1215"/>
      <c r="F24" s="1215"/>
      <c r="G24" s="1215"/>
      <c r="H24" s="1215"/>
      <c r="I24" s="1215"/>
      <c r="J24" s="1216"/>
      <c r="K24" s="163"/>
      <c r="L24" s="163"/>
      <c r="M24" s="163"/>
      <c r="N24" s="163"/>
      <c r="O24" s="163"/>
      <c r="P24" s="163"/>
    </row>
    <row r="25" spans="1:10" ht="16.5" thickBot="1" thickTop="1">
      <c r="A25" s="309">
        <v>12</v>
      </c>
      <c r="B25" s="1203" t="s">
        <v>583</v>
      </c>
      <c r="C25" s="1204"/>
      <c r="D25" s="1204"/>
      <c r="E25" s="1204"/>
      <c r="F25" s="1204"/>
      <c r="G25" s="1204"/>
      <c r="H25" s="1204"/>
      <c r="I25" s="1205"/>
      <c r="J25" s="310"/>
    </row>
    <row r="26" spans="1:10" ht="14.25" customHeight="1">
      <c r="A26" s="275">
        <v>13</v>
      </c>
      <c r="B26" s="276" t="s">
        <v>1203</v>
      </c>
      <c r="C26" s="813">
        <v>189679</v>
      </c>
      <c r="D26" s="1206">
        <v>61656</v>
      </c>
      <c r="E26" s="1206">
        <v>120570</v>
      </c>
      <c r="F26" s="1206">
        <v>63867</v>
      </c>
      <c r="G26" s="1241"/>
      <c r="H26" s="1208"/>
      <c r="I26" s="280">
        <f>172401+35888</f>
        <v>208289</v>
      </c>
      <c r="J26" s="280"/>
    </row>
    <row r="27" spans="1:10" ht="14.25" customHeight="1">
      <c r="A27" s="275">
        <v>14</v>
      </c>
      <c r="B27" s="281" t="s">
        <v>1204</v>
      </c>
      <c r="C27" s="814">
        <v>56414</v>
      </c>
      <c r="D27" s="1207"/>
      <c r="E27" s="1207"/>
      <c r="F27" s="1207"/>
      <c r="G27" s="1242"/>
      <c r="H27" s="1209"/>
      <c r="I27" s="285">
        <v>850</v>
      </c>
      <c r="J27" s="285"/>
    </row>
    <row r="28" spans="1:16" s="165" customFormat="1" ht="14.25" customHeight="1">
      <c r="A28" s="311">
        <v>15</v>
      </c>
      <c r="B28" s="281" t="s">
        <v>584</v>
      </c>
      <c r="C28" s="312">
        <v>2791977</v>
      </c>
      <c r="D28" s="283">
        <v>699507</v>
      </c>
      <c r="E28" s="284">
        <v>1367887</v>
      </c>
      <c r="F28" s="284">
        <v>724583</v>
      </c>
      <c r="G28" s="284"/>
      <c r="H28" s="284"/>
      <c r="I28" s="285">
        <v>560125</v>
      </c>
      <c r="J28" s="285"/>
      <c r="K28" s="163"/>
      <c r="L28" s="163"/>
      <c r="M28" s="163"/>
      <c r="N28" s="163"/>
      <c r="O28" s="163"/>
      <c r="P28" s="163"/>
    </row>
    <row r="29" spans="1:10" ht="14.25" customHeight="1" thickBot="1">
      <c r="A29" s="275">
        <v>16</v>
      </c>
      <c r="B29" s="281" t="s">
        <v>585</v>
      </c>
      <c r="C29" s="313"/>
      <c r="D29" s="694"/>
      <c r="E29" s="314"/>
      <c r="F29" s="314"/>
      <c r="G29" s="314"/>
      <c r="H29" s="314"/>
      <c r="I29" s="315">
        <v>284628</v>
      </c>
      <c r="J29" s="301"/>
    </row>
    <row r="30" spans="1:10" ht="14.25" customHeight="1" thickBot="1">
      <c r="A30" s="275">
        <v>17</v>
      </c>
      <c r="B30" s="286" t="s">
        <v>578</v>
      </c>
      <c r="C30" s="287">
        <f>SUM(C26:C29)</f>
        <v>3038070</v>
      </c>
      <c r="D30" s="288">
        <f aca="true" t="shared" si="2" ref="D30:I30">SUM(D26:D29)</f>
        <v>761163</v>
      </c>
      <c r="E30" s="288">
        <f t="shared" si="2"/>
        <v>1488457</v>
      </c>
      <c r="F30" s="288">
        <f t="shared" si="2"/>
        <v>788450</v>
      </c>
      <c r="G30" s="288">
        <f t="shared" si="2"/>
        <v>0</v>
      </c>
      <c r="H30" s="288">
        <f t="shared" si="2"/>
        <v>0</v>
      </c>
      <c r="I30" s="290">
        <f t="shared" si="2"/>
        <v>1053892</v>
      </c>
      <c r="J30" s="291">
        <f>SUM(J27:J29)</f>
        <v>0</v>
      </c>
    </row>
    <row r="31" spans="1:16" s="164" customFormat="1" ht="6" customHeight="1" thickBot="1">
      <c r="A31" s="275"/>
      <c r="B31" s="1235"/>
      <c r="C31" s="1236"/>
      <c r="D31" s="1236"/>
      <c r="E31" s="1236"/>
      <c r="F31" s="1236"/>
      <c r="G31" s="1236"/>
      <c r="H31" s="1236"/>
      <c r="I31" s="1237"/>
      <c r="J31" s="274"/>
      <c r="K31" s="163"/>
      <c r="L31" s="163"/>
      <c r="M31" s="163"/>
      <c r="N31" s="163"/>
      <c r="O31" s="163"/>
      <c r="P31" s="163"/>
    </row>
    <row r="32" spans="1:16" s="164" customFormat="1" ht="15" customHeight="1">
      <c r="A32" s="292">
        <v>18</v>
      </c>
      <c r="B32" s="316" t="s">
        <v>579</v>
      </c>
      <c r="C32" s="277">
        <v>2981656</v>
      </c>
      <c r="D32" s="1233">
        <v>761163</v>
      </c>
      <c r="E32" s="1243">
        <v>1488457</v>
      </c>
      <c r="F32" s="1243">
        <v>788450</v>
      </c>
      <c r="G32" s="279"/>
      <c r="H32" s="318"/>
      <c r="I32" s="280"/>
      <c r="J32" s="280">
        <f>732526+35888</f>
        <v>768414</v>
      </c>
      <c r="K32" s="163"/>
      <c r="L32" s="163"/>
      <c r="M32" s="163"/>
      <c r="N32" s="163"/>
      <c r="O32" s="163"/>
      <c r="P32" s="163"/>
    </row>
    <row r="33" spans="1:16" s="164" customFormat="1" ht="15" customHeight="1">
      <c r="A33" s="292">
        <v>19</v>
      </c>
      <c r="B33" s="319" t="s">
        <v>580</v>
      </c>
      <c r="C33" s="282">
        <v>56414</v>
      </c>
      <c r="D33" s="1234"/>
      <c r="E33" s="1244"/>
      <c r="F33" s="1244"/>
      <c r="G33" s="320"/>
      <c r="H33" s="321"/>
      <c r="I33" s="285"/>
      <c r="J33" s="285">
        <v>35480</v>
      </c>
      <c r="K33" s="163"/>
      <c r="L33" s="163"/>
      <c r="M33" s="163"/>
      <c r="N33" s="163"/>
      <c r="O33" s="163"/>
      <c r="P33" s="163"/>
    </row>
    <row r="34" spans="1:16" s="164" customFormat="1" ht="15" customHeight="1">
      <c r="A34" s="292">
        <v>20</v>
      </c>
      <c r="B34" s="296" t="s">
        <v>581</v>
      </c>
      <c r="C34" s="282"/>
      <c r="D34" s="320"/>
      <c r="E34" s="320"/>
      <c r="F34" s="320"/>
      <c r="G34" s="320"/>
      <c r="H34" s="321"/>
      <c r="I34" s="285"/>
      <c r="J34" s="285"/>
      <c r="K34" s="163"/>
      <c r="L34" s="163"/>
      <c r="M34" s="163"/>
      <c r="N34" s="163"/>
      <c r="O34" s="163"/>
      <c r="P34" s="163"/>
    </row>
    <row r="35" spans="1:16" s="164" customFormat="1" ht="15" customHeight="1">
      <c r="A35" s="292">
        <v>21</v>
      </c>
      <c r="B35" s="296" t="s">
        <v>582</v>
      </c>
      <c r="C35" s="282"/>
      <c r="D35" s="320"/>
      <c r="E35" s="320"/>
      <c r="F35" s="320"/>
      <c r="G35" s="320"/>
      <c r="H35" s="321"/>
      <c r="I35" s="285"/>
      <c r="J35" s="285">
        <f>201+850</f>
        <v>1051</v>
      </c>
      <c r="K35" s="163"/>
      <c r="L35" s="163"/>
      <c r="M35" s="163"/>
      <c r="N35" s="163"/>
      <c r="O35" s="163"/>
      <c r="P35" s="163"/>
    </row>
    <row r="36" spans="1:10" ht="14.25" customHeight="1" thickBot="1">
      <c r="A36" s="292">
        <v>22</v>
      </c>
      <c r="B36" s="802" t="s">
        <v>1023</v>
      </c>
      <c r="C36" s="800"/>
      <c r="D36" s="297"/>
      <c r="E36" s="297"/>
      <c r="F36" s="297"/>
      <c r="G36" s="297"/>
      <c r="H36" s="801"/>
      <c r="I36" s="800"/>
      <c r="J36" s="285">
        <v>284628</v>
      </c>
    </row>
    <row r="37" spans="1:10" ht="14.25" customHeight="1" thickBot="1">
      <c r="A37" s="322">
        <v>23</v>
      </c>
      <c r="B37" s="323" t="s">
        <v>646</v>
      </c>
      <c r="C37" s="304">
        <f aca="true" t="shared" si="3" ref="C37:H37">SUM(C32:C35)</f>
        <v>3038070</v>
      </c>
      <c r="D37" s="305">
        <f t="shared" si="3"/>
        <v>761163</v>
      </c>
      <c r="E37" s="305">
        <f t="shared" si="3"/>
        <v>1488457</v>
      </c>
      <c r="F37" s="305">
        <f t="shared" si="3"/>
        <v>788450</v>
      </c>
      <c r="G37" s="305">
        <f t="shared" si="3"/>
        <v>0</v>
      </c>
      <c r="H37" s="305">
        <f t="shared" si="3"/>
        <v>0</v>
      </c>
      <c r="I37" s="304">
        <f>SUM(I32:I36)</f>
        <v>0</v>
      </c>
      <c r="J37" s="307">
        <f>SUM(J32:J36)</f>
        <v>1089573</v>
      </c>
    </row>
    <row r="38" spans="1:10" ht="14.25" thickBot="1" thickTop="1">
      <c r="A38" s="324"/>
      <c r="B38" s="1214"/>
      <c r="C38" s="1215"/>
      <c r="D38" s="1215"/>
      <c r="E38" s="1215"/>
      <c r="F38" s="1215"/>
      <c r="G38" s="1215"/>
      <c r="H38" s="1215"/>
      <c r="I38" s="1215"/>
      <c r="J38" s="1216"/>
    </row>
    <row r="39" spans="1:10" ht="16.5" thickBot="1" thickTop="1">
      <c r="A39" s="309">
        <v>24</v>
      </c>
      <c r="B39" s="1238" t="s">
        <v>280</v>
      </c>
      <c r="C39" s="1239"/>
      <c r="D39" s="1239"/>
      <c r="E39" s="1239"/>
      <c r="F39" s="1239"/>
      <c r="G39" s="1239"/>
      <c r="H39" s="1239"/>
      <c r="I39" s="1240"/>
      <c r="J39" s="310"/>
    </row>
    <row r="40" spans="1:10" ht="14.25" customHeight="1">
      <c r="A40" s="275">
        <v>25</v>
      </c>
      <c r="B40" s="281" t="s">
        <v>1205</v>
      </c>
      <c r="C40" s="277">
        <v>66350</v>
      </c>
      <c r="D40" s="278"/>
      <c r="E40" s="279"/>
      <c r="F40" s="279"/>
      <c r="G40" s="279"/>
      <c r="H40" s="279"/>
      <c r="I40" s="280">
        <f>65850+6</f>
        <v>65856</v>
      </c>
      <c r="J40" s="280"/>
    </row>
    <row r="41" spans="1:16" s="164" customFormat="1" ht="14.25" customHeight="1" thickBot="1">
      <c r="A41" s="275">
        <v>26</v>
      </c>
      <c r="B41" s="281" t="s">
        <v>577</v>
      </c>
      <c r="C41" s="282">
        <v>373150</v>
      </c>
      <c r="D41" s="283"/>
      <c r="E41" s="284"/>
      <c r="F41" s="284"/>
      <c r="G41" s="284"/>
      <c r="H41" s="284"/>
      <c r="I41" s="285">
        <v>373150</v>
      </c>
      <c r="J41" s="285"/>
      <c r="K41" s="163"/>
      <c r="L41" s="163"/>
      <c r="M41" s="163"/>
      <c r="N41" s="163"/>
      <c r="O41" s="163"/>
      <c r="P41" s="163"/>
    </row>
    <row r="42" spans="1:10" ht="13.5" thickBot="1">
      <c r="A42" s="275">
        <v>27</v>
      </c>
      <c r="B42" s="286" t="s">
        <v>578</v>
      </c>
      <c r="C42" s="287">
        <f aca="true" t="shared" si="4" ref="C42:I42">SUM(C40:C41)</f>
        <v>439500</v>
      </c>
      <c r="D42" s="288">
        <f t="shared" si="4"/>
        <v>0</v>
      </c>
      <c r="E42" s="288">
        <f t="shared" si="4"/>
        <v>0</v>
      </c>
      <c r="F42" s="288">
        <f t="shared" si="4"/>
        <v>0</v>
      </c>
      <c r="G42" s="288">
        <f t="shared" si="4"/>
        <v>0</v>
      </c>
      <c r="H42" s="289">
        <f t="shared" si="4"/>
        <v>0</v>
      </c>
      <c r="I42" s="290">
        <f t="shared" si="4"/>
        <v>439006</v>
      </c>
      <c r="J42" s="291">
        <v>0</v>
      </c>
    </row>
    <row r="43" spans="1:10" ht="5.25" customHeight="1" thickBot="1">
      <c r="A43" s="275"/>
      <c r="B43" s="1235"/>
      <c r="C43" s="1236"/>
      <c r="D43" s="1236"/>
      <c r="E43" s="1236"/>
      <c r="F43" s="1236"/>
      <c r="G43" s="1236"/>
      <c r="H43" s="1236"/>
      <c r="I43" s="1237"/>
      <c r="J43" s="274"/>
    </row>
    <row r="44" spans="1:16" s="164" customFormat="1" ht="15" customHeight="1">
      <c r="A44" s="292">
        <v>28</v>
      </c>
      <c r="B44" s="316" t="s">
        <v>579</v>
      </c>
      <c r="C44" s="277">
        <v>439000</v>
      </c>
      <c r="D44" s="317"/>
      <c r="E44" s="279"/>
      <c r="F44" s="279"/>
      <c r="G44" s="279"/>
      <c r="H44" s="318"/>
      <c r="I44" s="280"/>
      <c r="J44" s="280">
        <f>420040+8825</f>
        <v>428865</v>
      </c>
      <c r="K44" s="163"/>
      <c r="L44" s="163"/>
      <c r="M44" s="163"/>
      <c r="N44" s="163"/>
      <c r="O44" s="163"/>
      <c r="P44" s="163"/>
    </row>
    <row r="45" spans="1:16" s="164" customFormat="1" ht="15" customHeight="1" thickBot="1">
      <c r="A45" s="292">
        <v>29</v>
      </c>
      <c r="B45" s="319" t="s">
        <v>580</v>
      </c>
      <c r="C45" s="282">
        <v>500</v>
      </c>
      <c r="D45" s="320"/>
      <c r="E45" s="320"/>
      <c r="F45" s="320"/>
      <c r="G45" s="320"/>
      <c r="H45" s="321"/>
      <c r="I45" s="285"/>
      <c r="J45" s="285">
        <f>381+6</f>
        <v>387</v>
      </c>
      <c r="K45" s="163"/>
      <c r="L45" s="163"/>
      <c r="M45" s="163"/>
      <c r="N45" s="163"/>
      <c r="O45" s="163"/>
      <c r="P45" s="163"/>
    </row>
    <row r="46" spans="1:10" ht="13.5" thickBot="1">
      <c r="A46" s="322">
        <v>30</v>
      </c>
      <c r="B46" s="323" t="s">
        <v>646</v>
      </c>
      <c r="C46" s="304">
        <f>SUM(C44:C45)</f>
        <v>439500</v>
      </c>
      <c r="D46" s="305">
        <f>SUM(D44:D45)</f>
        <v>0</v>
      </c>
      <c r="E46" s="305">
        <f>SUM(E44:E45)</f>
        <v>0</v>
      </c>
      <c r="F46" s="305">
        <f>SUM(F44:F45)</f>
        <v>0</v>
      </c>
      <c r="G46" s="305">
        <v>0</v>
      </c>
      <c r="H46" s="305">
        <v>0</v>
      </c>
      <c r="I46" s="304">
        <f>SUM(I44:I45)</f>
        <v>0</v>
      </c>
      <c r="J46" s="307">
        <f>SUM(J44:J45)</f>
        <v>429252</v>
      </c>
    </row>
    <row r="47" spans="1:10" ht="14.25" thickBot="1" thickTop="1">
      <c r="A47" s="324"/>
      <c r="B47" s="1214"/>
      <c r="C47" s="1215"/>
      <c r="D47" s="1215"/>
      <c r="E47" s="1215"/>
      <c r="F47" s="1215"/>
      <c r="G47" s="1215"/>
      <c r="H47" s="1215"/>
      <c r="I47" s="1215"/>
      <c r="J47" s="1216"/>
    </row>
    <row r="48" spans="1:10" ht="16.5" thickBot="1" thickTop="1">
      <c r="A48" s="309">
        <v>31</v>
      </c>
      <c r="B48" s="1245" t="s">
        <v>263</v>
      </c>
      <c r="C48" s="1246"/>
      <c r="D48" s="1246"/>
      <c r="E48" s="1246"/>
      <c r="F48" s="1246"/>
      <c r="G48" s="1246"/>
      <c r="H48" s="1246"/>
      <c r="I48" s="1246"/>
      <c r="J48" s="1247"/>
    </row>
    <row r="49" spans="1:10" ht="14.25" customHeight="1">
      <c r="A49" s="275">
        <v>32</v>
      </c>
      <c r="B49" s="327" t="s">
        <v>576</v>
      </c>
      <c r="C49" s="277">
        <v>2276</v>
      </c>
      <c r="D49" s="278"/>
      <c r="E49" s="279"/>
      <c r="F49" s="279"/>
      <c r="G49" s="279"/>
      <c r="H49" s="279"/>
      <c r="I49" s="280"/>
      <c r="J49" s="280"/>
    </row>
    <row r="50" spans="1:16" s="164" customFormat="1" ht="14.25" customHeight="1" thickBot="1">
      <c r="A50" s="275">
        <v>33</v>
      </c>
      <c r="B50" s="281" t="s">
        <v>577</v>
      </c>
      <c r="C50" s="299">
        <v>11195</v>
      </c>
      <c r="D50" s="283"/>
      <c r="E50" s="284"/>
      <c r="F50" s="284"/>
      <c r="G50" s="284"/>
      <c r="H50" s="284"/>
      <c r="I50" s="285">
        <v>11195</v>
      </c>
      <c r="J50" s="285"/>
      <c r="K50" s="163"/>
      <c r="L50" s="163"/>
      <c r="M50" s="163"/>
      <c r="N50" s="163"/>
      <c r="O50" s="163"/>
      <c r="P50" s="163"/>
    </row>
    <row r="51" spans="1:10" ht="13.5" thickBot="1">
      <c r="A51" s="275">
        <v>34</v>
      </c>
      <c r="B51" s="286" t="s">
        <v>578</v>
      </c>
      <c r="C51" s="287">
        <f aca="true" t="shared" si="5" ref="C51:H51">SUM(C49:C50)</f>
        <v>13471</v>
      </c>
      <c r="D51" s="288">
        <f t="shared" si="5"/>
        <v>0</v>
      </c>
      <c r="E51" s="288">
        <f t="shared" si="5"/>
        <v>0</v>
      </c>
      <c r="F51" s="288">
        <f t="shared" si="5"/>
        <v>0</v>
      </c>
      <c r="G51" s="288">
        <f t="shared" si="5"/>
        <v>0</v>
      </c>
      <c r="H51" s="289">
        <f t="shared" si="5"/>
        <v>0</v>
      </c>
      <c r="I51" s="290">
        <f>SUM(I49+I50)</f>
        <v>11195</v>
      </c>
      <c r="J51" s="291">
        <f>SUM(J49+J50)</f>
        <v>0</v>
      </c>
    </row>
    <row r="52" spans="1:10" ht="5.25" customHeight="1" thickBot="1">
      <c r="A52" s="275"/>
      <c r="B52" s="1235"/>
      <c r="C52" s="1236"/>
      <c r="D52" s="1236"/>
      <c r="E52" s="1236"/>
      <c r="F52" s="1236"/>
      <c r="G52" s="1236"/>
      <c r="H52" s="1236"/>
      <c r="I52" s="1237"/>
      <c r="J52" s="274"/>
    </row>
    <row r="53" spans="1:16" s="164" customFormat="1" ht="15" customHeight="1">
      <c r="A53" s="292">
        <v>35</v>
      </c>
      <c r="B53" s="316" t="s">
        <v>579</v>
      </c>
      <c r="C53" s="277">
        <v>13171</v>
      </c>
      <c r="D53" s="317"/>
      <c r="E53" s="279"/>
      <c r="F53" s="279"/>
      <c r="G53" s="279"/>
      <c r="H53" s="318"/>
      <c r="I53" s="280"/>
      <c r="J53" s="280">
        <f>49+10330</f>
        <v>10379</v>
      </c>
      <c r="K53" s="163"/>
      <c r="L53" s="163"/>
      <c r="M53" s="163"/>
      <c r="N53" s="163"/>
      <c r="O53" s="163"/>
      <c r="P53" s="163"/>
    </row>
    <row r="54" spans="1:16" s="164" customFormat="1" ht="15" customHeight="1" thickBot="1">
      <c r="A54" s="292">
        <v>36</v>
      </c>
      <c r="B54" s="319" t="s">
        <v>580</v>
      </c>
      <c r="C54" s="282">
        <v>300</v>
      </c>
      <c r="D54" s="320"/>
      <c r="E54" s="320"/>
      <c r="F54" s="320"/>
      <c r="G54" s="320"/>
      <c r="H54" s="321"/>
      <c r="I54" s="285"/>
      <c r="J54" s="285"/>
      <c r="K54" s="163"/>
      <c r="L54" s="163"/>
      <c r="M54" s="163"/>
      <c r="N54" s="163"/>
      <c r="O54" s="163"/>
      <c r="P54" s="163"/>
    </row>
    <row r="55" spans="1:10" ht="14.25" customHeight="1" thickBot="1">
      <c r="A55" s="322">
        <v>37</v>
      </c>
      <c r="B55" s="323" t="s">
        <v>646</v>
      </c>
      <c r="C55" s="304">
        <f>SUM(C53:C54)</f>
        <v>13471</v>
      </c>
      <c r="D55" s="305">
        <v>0</v>
      </c>
      <c r="E55" s="305">
        <v>0</v>
      </c>
      <c r="F55" s="305">
        <v>0</v>
      </c>
      <c r="G55" s="305">
        <v>0</v>
      </c>
      <c r="H55" s="305">
        <v>0</v>
      </c>
      <c r="I55" s="304">
        <v>0</v>
      </c>
      <c r="J55" s="307">
        <f>SUM(J52:J54)</f>
        <v>10379</v>
      </c>
    </row>
    <row r="56" spans="1:10" ht="14.25" customHeight="1" thickBot="1" thickTop="1">
      <c r="A56" s="324"/>
      <c r="B56" s="325"/>
      <c r="C56" s="712"/>
      <c r="D56" s="326"/>
      <c r="E56" s="326"/>
      <c r="F56" s="326"/>
      <c r="G56" s="326"/>
      <c r="H56" s="326"/>
      <c r="I56" s="712"/>
      <c r="J56" s="713"/>
    </row>
    <row r="57" spans="1:10" ht="16.5" thickBot="1" thickTop="1">
      <c r="A57" s="309">
        <v>38</v>
      </c>
      <c r="B57" s="1245" t="s">
        <v>517</v>
      </c>
      <c r="C57" s="1246"/>
      <c r="D57" s="1246"/>
      <c r="E57" s="1246"/>
      <c r="F57" s="1246"/>
      <c r="G57" s="1246"/>
      <c r="H57" s="1246"/>
      <c r="I57" s="1246"/>
      <c r="J57" s="1247"/>
    </row>
    <row r="58" spans="1:10" ht="14.25" customHeight="1">
      <c r="A58" s="714">
        <v>39</v>
      </c>
      <c r="B58" s="715"/>
      <c r="C58" s="1248" t="s">
        <v>518</v>
      </c>
      <c r="D58" s="1249"/>
      <c r="E58" s="1249"/>
      <c r="F58" s="1249"/>
      <c r="G58" s="1249"/>
      <c r="H58" s="1250"/>
      <c r="I58" s="1248" t="s">
        <v>519</v>
      </c>
      <c r="J58" s="1254"/>
    </row>
    <row r="59" spans="1:10" ht="14.25" customHeight="1">
      <c r="A59" s="714">
        <v>40</v>
      </c>
      <c r="B59" s="797" t="s">
        <v>576</v>
      </c>
      <c r="C59" s="718">
        <v>5822.7</v>
      </c>
      <c r="D59" s="726"/>
      <c r="E59" s="726"/>
      <c r="F59" s="729">
        <v>5409.84</v>
      </c>
      <c r="G59" s="729">
        <v>412.86</v>
      </c>
      <c r="H59" s="729"/>
      <c r="I59" s="731">
        <v>5</v>
      </c>
      <c r="J59" s="717"/>
    </row>
    <row r="60" spans="1:10" ht="14.25" customHeight="1">
      <c r="A60" s="714">
        <v>41</v>
      </c>
      <c r="B60" s="797" t="s">
        <v>520</v>
      </c>
      <c r="C60" s="718">
        <v>11645.4</v>
      </c>
      <c r="D60" s="726"/>
      <c r="E60" s="726"/>
      <c r="F60" s="729">
        <v>11645.4</v>
      </c>
      <c r="G60" s="729">
        <v>0</v>
      </c>
      <c r="H60" s="806"/>
      <c r="I60" s="811">
        <v>1521</v>
      </c>
      <c r="J60" s="808"/>
    </row>
    <row r="61" spans="1:10" ht="14.25" customHeight="1" thickBot="1">
      <c r="A61" s="714">
        <v>42</v>
      </c>
      <c r="B61" s="798" t="s">
        <v>521</v>
      </c>
      <c r="C61" s="719">
        <v>98985.9</v>
      </c>
      <c r="D61" s="727"/>
      <c r="E61" s="727"/>
      <c r="F61" s="730">
        <v>14847.89</v>
      </c>
      <c r="G61" s="730">
        <v>84138.01</v>
      </c>
      <c r="H61" s="807"/>
      <c r="I61" s="812">
        <v>12930</v>
      </c>
      <c r="J61" s="809"/>
    </row>
    <row r="62" spans="1:12" ht="14.25" customHeight="1" thickBot="1">
      <c r="A62" s="714">
        <v>43</v>
      </c>
      <c r="B62" s="720" t="s">
        <v>578</v>
      </c>
      <c r="C62" s="721">
        <f>SUM(D62:H62)</f>
        <v>116454</v>
      </c>
      <c r="D62" s="728">
        <v>0</v>
      </c>
      <c r="E62" s="728">
        <v>0</v>
      </c>
      <c r="F62" s="728">
        <f>SUM(F59:F61)</f>
        <v>31903.129999999997</v>
      </c>
      <c r="G62" s="728">
        <f>SUM(G59:G61)</f>
        <v>84550.87</v>
      </c>
      <c r="H62" s="728">
        <f>SUM(H59:H61)</f>
        <v>0</v>
      </c>
      <c r="I62" s="722">
        <f>SUM(I59:I61)</f>
        <v>14456</v>
      </c>
      <c r="J62" s="723">
        <v>0</v>
      </c>
      <c r="L62" s="163" t="s">
        <v>526</v>
      </c>
    </row>
    <row r="63" spans="1:10" s="725" customFormat="1" ht="7.5" customHeight="1" thickBot="1">
      <c r="A63" s="724"/>
      <c r="B63" s="1251"/>
      <c r="C63" s="1252"/>
      <c r="D63" s="1252"/>
      <c r="E63" s="1252"/>
      <c r="F63" s="1252"/>
      <c r="G63" s="1252"/>
      <c r="H63" s="1252"/>
      <c r="I63" s="1252"/>
      <c r="J63" s="1253"/>
    </row>
    <row r="64" spans="1:10" ht="14.25" customHeight="1">
      <c r="A64" s="714">
        <v>44</v>
      </c>
      <c r="B64" s="870" t="s">
        <v>522</v>
      </c>
      <c r="C64" s="871">
        <v>82240</v>
      </c>
      <c r="D64" s="872"/>
      <c r="E64" s="872"/>
      <c r="F64" s="872">
        <v>30663.79</v>
      </c>
      <c r="G64" s="873">
        <v>51576.21</v>
      </c>
      <c r="H64" s="873"/>
      <c r="I64" s="874"/>
      <c r="J64" s="875"/>
    </row>
    <row r="65" spans="1:10" ht="14.25" customHeight="1">
      <c r="A65" s="714">
        <v>45</v>
      </c>
      <c r="B65" s="797" t="s">
        <v>523</v>
      </c>
      <c r="C65" s="718">
        <v>0</v>
      </c>
      <c r="D65" s="726"/>
      <c r="E65" s="726"/>
      <c r="F65" s="726"/>
      <c r="G65" s="726"/>
      <c r="H65" s="729"/>
      <c r="I65" s="716"/>
      <c r="J65" s="732"/>
    </row>
    <row r="66" spans="1:10" ht="14.25" customHeight="1">
      <c r="A66" s="714">
        <v>46</v>
      </c>
      <c r="B66" s="797" t="s">
        <v>524</v>
      </c>
      <c r="C66" s="718">
        <v>5140</v>
      </c>
      <c r="D66" s="726"/>
      <c r="E66" s="726"/>
      <c r="F66" s="726"/>
      <c r="G66" s="726">
        <v>5140</v>
      </c>
      <c r="H66" s="729"/>
      <c r="I66" s="716"/>
      <c r="J66" s="732"/>
    </row>
    <row r="67" spans="1:10" ht="14.25" customHeight="1">
      <c r="A67" s="714">
        <v>47</v>
      </c>
      <c r="B67" s="797" t="s">
        <v>525</v>
      </c>
      <c r="C67" s="718">
        <v>9480</v>
      </c>
      <c r="D67" s="726"/>
      <c r="E67" s="726"/>
      <c r="F67" s="726"/>
      <c r="G67" s="726">
        <v>9480</v>
      </c>
      <c r="H67" s="729"/>
      <c r="I67" s="716"/>
      <c r="J67" s="732">
        <v>724</v>
      </c>
    </row>
    <row r="68" spans="1:10" ht="14.25" customHeight="1">
      <c r="A68" s="714">
        <v>48</v>
      </c>
      <c r="B68" s="797" t="s">
        <v>581</v>
      </c>
      <c r="C68" s="718">
        <v>19594</v>
      </c>
      <c r="D68" s="726"/>
      <c r="E68" s="726"/>
      <c r="F68" s="726">
        <v>1239.34</v>
      </c>
      <c r="G68" s="729">
        <v>18354.66</v>
      </c>
      <c r="H68" s="729"/>
      <c r="I68" s="716"/>
      <c r="J68" s="732">
        <v>50</v>
      </c>
    </row>
    <row r="69" spans="1:10" ht="14.25" customHeight="1" thickBot="1">
      <c r="A69" s="714">
        <v>49</v>
      </c>
      <c r="B69" s="797" t="s">
        <v>582</v>
      </c>
      <c r="C69" s="716">
        <v>0</v>
      </c>
      <c r="D69" s="726"/>
      <c r="E69" s="726"/>
      <c r="F69" s="726"/>
      <c r="G69" s="726"/>
      <c r="H69" s="729"/>
      <c r="I69" s="716"/>
      <c r="J69" s="732">
        <f>337+5</f>
        <v>342</v>
      </c>
    </row>
    <row r="70" spans="1:10" ht="14.25" customHeight="1" thickBot="1">
      <c r="A70" s="803">
        <v>50</v>
      </c>
      <c r="B70" s="720" t="s">
        <v>646</v>
      </c>
      <c r="C70" s="721">
        <f>SUM(D70:H70)</f>
        <v>116454</v>
      </c>
      <c r="D70" s="728">
        <v>0</v>
      </c>
      <c r="E70" s="728">
        <v>0</v>
      </c>
      <c r="F70" s="728">
        <f>SUM(F64:F69)</f>
        <v>31903.13</v>
      </c>
      <c r="G70" s="728">
        <f>SUM(G64:G69)</f>
        <v>84550.87</v>
      </c>
      <c r="H70" s="728">
        <f>SUM(H64:H69)</f>
        <v>0</v>
      </c>
      <c r="I70" s="722">
        <v>0</v>
      </c>
      <c r="J70" s="723">
        <f>SUM(J64:J69)</f>
        <v>1116</v>
      </c>
    </row>
    <row r="71" spans="1:10" ht="12.75">
      <c r="A71" s="805"/>
      <c r="B71" s="700"/>
      <c r="C71" s="700"/>
      <c r="D71" s="700"/>
      <c r="E71" s="700"/>
      <c r="F71" s="700"/>
      <c r="G71" s="700"/>
      <c r="H71" s="700"/>
      <c r="I71" s="700"/>
      <c r="J71" s="810"/>
    </row>
    <row r="72" spans="1:2" ht="13.5">
      <c r="A72" s="804"/>
      <c r="B72" s="843" t="s">
        <v>1206</v>
      </c>
    </row>
  </sheetData>
  <sheetProtection/>
  <mergeCells count="33">
    <mergeCell ref="B52:I52"/>
    <mergeCell ref="B57:J57"/>
    <mergeCell ref="C58:H58"/>
    <mergeCell ref="B63:J63"/>
    <mergeCell ref="I58:J58"/>
    <mergeCell ref="B48:J48"/>
    <mergeCell ref="B31:I31"/>
    <mergeCell ref="B39:I39"/>
    <mergeCell ref="B43:I43"/>
    <mergeCell ref="F26:F27"/>
    <mergeCell ref="G26:G27"/>
    <mergeCell ref="B38:J38"/>
    <mergeCell ref="E32:E33"/>
    <mergeCell ref="F32:F33"/>
    <mergeCell ref="B47:J47"/>
    <mergeCell ref="E26:E27"/>
    <mergeCell ref="A8:A10"/>
    <mergeCell ref="B8:B10"/>
    <mergeCell ref="C8:H8"/>
    <mergeCell ref="I8:I10"/>
    <mergeCell ref="J8:J10"/>
    <mergeCell ref="C9:C10"/>
    <mergeCell ref="D9:H9"/>
    <mergeCell ref="D32:D33"/>
    <mergeCell ref="B1:J1"/>
    <mergeCell ref="B4:J4"/>
    <mergeCell ref="B12:J12"/>
    <mergeCell ref="B13:I13"/>
    <mergeCell ref="D26:D27"/>
    <mergeCell ref="H26:H27"/>
    <mergeCell ref="B17:I17"/>
    <mergeCell ref="B24:J24"/>
    <mergeCell ref="B25:I2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58"/>
  <sheetViews>
    <sheetView zoomScalePageLayoutView="0" workbookViewId="0" topLeftCell="A1">
      <selection activeCell="I66" sqref="I66"/>
    </sheetView>
  </sheetViews>
  <sheetFormatPr defaultColWidth="9.00390625" defaultRowHeight="12.75"/>
  <cols>
    <col min="1" max="1" width="5.125" style="67" bestFit="1" customWidth="1"/>
    <col min="2" max="2" width="8.875" style="59" customWidth="1"/>
    <col min="3" max="3" width="65.00390625" style="59" customWidth="1"/>
    <col min="4" max="4" width="9.75390625" style="59" bestFit="1" customWidth="1"/>
    <col min="5" max="5" width="10.375" style="59" bestFit="1" customWidth="1"/>
    <col min="6" max="6" width="14.375" style="59" bestFit="1" customWidth="1"/>
    <col min="7" max="7" width="9.75390625" style="59" customWidth="1"/>
    <col min="8" max="8" width="11.25390625" style="59" customWidth="1"/>
    <col min="9" max="9" width="9.625" style="59" customWidth="1"/>
    <col min="10" max="10" width="11.25390625" style="59" customWidth="1"/>
    <col min="11" max="11" width="14.375" style="59" bestFit="1" customWidth="1"/>
    <col min="12" max="12" width="15.125" style="59" customWidth="1"/>
    <col min="13" max="13" width="9.125" style="59" customWidth="1"/>
    <col min="14" max="14" width="12.375" style="59" bestFit="1" customWidth="1"/>
    <col min="15" max="16384" width="9.125" style="59" customWidth="1"/>
  </cols>
  <sheetData>
    <row r="1" spans="9:12" ht="16.5">
      <c r="I1" s="692"/>
      <c r="L1" s="693" t="s">
        <v>1207</v>
      </c>
    </row>
    <row r="2" spans="1:12" s="45" customFormat="1" ht="15.75" customHeight="1">
      <c r="A2" s="1255"/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44"/>
    </row>
    <row r="3" spans="1:12" s="45" customFormat="1" ht="15.75">
      <c r="A3" s="1255" t="s">
        <v>907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44"/>
    </row>
    <row r="4" spans="1:14" ht="15.75">
      <c r="A4" s="1263" t="s">
        <v>932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46"/>
      <c r="M4" s="45"/>
      <c r="N4" s="45"/>
    </row>
    <row r="5" spans="1:14" s="52" customFormat="1" ht="40.5" customHeight="1" thickBot="1">
      <c r="A5" s="67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s="52" customFormat="1" ht="12.75">
      <c r="A6" s="1264" t="s">
        <v>755</v>
      </c>
      <c r="B6" s="1264"/>
      <c r="C6" s="1265"/>
      <c r="D6" s="1266" t="s">
        <v>745</v>
      </c>
      <c r="E6" s="1264"/>
      <c r="F6" s="1267"/>
      <c r="G6" s="1268" t="s">
        <v>905</v>
      </c>
      <c r="H6" s="1269"/>
      <c r="I6" s="1269"/>
      <c r="J6" s="1270"/>
      <c r="K6" s="1271"/>
      <c r="L6" s="1256" t="s">
        <v>641</v>
      </c>
      <c r="N6" s="52" t="s">
        <v>801</v>
      </c>
    </row>
    <row r="7" spans="1:14" s="162" customFormat="1" ht="12" customHeight="1">
      <c r="A7" s="1272" t="s">
        <v>756</v>
      </c>
      <c r="B7" s="1273"/>
      <c r="C7" s="47" t="s">
        <v>757</v>
      </c>
      <c r="D7" s="48" t="s">
        <v>758</v>
      </c>
      <c r="E7" s="50" t="s">
        <v>759</v>
      </c>
      <c r="F7" s="51" t="s">
        <v>800</v>
      </c>
      <c r="G7" s="48" t="s">
        <v>761</v>
      </c>
      <c r="H7" s="49" t="s">
        <v>777</v>
      </c>
      <c r="I7" s="49" t="s">
        <v>762</v>
      </c>
      <c r="J7" s="49" t="s">
        <v>777</v>
      </c>
      <c r="K7" s="51" t="s">
        <v>760</v>
      </c>
      <c r="L7" s="1257"/>
      <c r="M7" s="52"/>
      <c r="N7" s="52"/>
    </row>
    <row r="8" spans="1:14" s="211" customFormat="1" ht="28.5" customHeight="1">
      <c r="A8" s="1258" t="s">
        <v>726</v>
      </c>
      <c r="B8" s="1258"/>
      <c r="C8" s="157" t="s">
        <v>727</v>
      </c>
      <c r="D8" s="158" t="s">
        <v>728</v>
      </c>
      <c r="E8" s="159" t="s">
        <v>729</v>
      </c>
      <c r="F8" s="160" t="s">
        <v>730</v>
      </c>
      <c r="G8" s="158" t="s">
        <v>731</v>
      </c>
      <c r="H8" s="161" t="s">
        <v>734</v>
      </c>
      <c r="I8" s="161" t="s">
        <v>735</v>
      </c>
      <c r="J8" s="161" t="s">
        <v>671</v>
      </c>
      <c r="K8" s="160" t="s">
        <v>672</v>
      </c>
      <c r="L8" s="688" t="s">
        <v>673</v>
      </c>
      <c r="M8" s="162"/>
      <c r="N8" s="162"/>
    </row>
    <row r="9" spans="1:14" s="207" customFormat="1" ht="21.75" customHeight="1">
      <c r="A9" s="215" t="s">
        <v>784</v>
      </c>
      <c r="B9" s="216"/>
      <c r="C9" s="217" t="s">
        <v>798</v>
      </c>
      <c r="D9" s="218"/>
      <c r="E9" s="219"/>
      <c r="F9" s="220">
        <f>F10+F11+F16+F17+F18+F19</f>
        <v>207920068</v>
      </c>
      <c r="G9" s="218"/>
      <c r="H9" s="221"/>
      <c r="I9" s="221"/>
      <c r="J9" s="219"/>
      <c r="K9" s="220">
        <f>K10+K11+K16+K17+K18+K19</f>
        <v>1454023</v>
      </c>
      <c r="L9" s="689">
        <f aca="true" t="shared" si="0" ref="L9:L15">F9+K9</f>
        <v>209374091</v>
      </c>
      <c r="M9" s="210"/>
      <c r="N9" s="744">
        <f>SUM(N10:N19)</f>
        <v>209374091</v>
      </c>
    </row>
    <row r="10" spans="1:14" s="207" customFormat="1" ht="19.5" customHeight="1">
      <c r="A10" s="199"/>
      <c r="B10" s="200" t="s">
        <v>909</v>
      </c>
      <c r="C10" s="201" t="s">
        <v>778</v>
      </c>
      <c r="D10" s="626">
        <v>26.89</v>
      </c>
      <c r="E10" s="203">
        <v>4580000</v>
      </c>
      <c r="F10" s="204">
        <f>D10*E10</f>
        <v>123156200</v>
      </c>
      <c r="G10" s="202"/>
      <c r="H10" s="205"/>
      <c r="I10" s="205"/>
      <c r="J10" s="203"/>
      <c r="K10" s="204"/>
      <c r="L10" s="690">
        <f t="shared" si="0"/>
        <v>123156200</v>
      </c>
      <c r="M10" s="206"/>
      <c r="N10" s="213">
        <f>SUM(L10)</f>
        <v>123156200</v>
      </c>
    </row>
    <row r="11" spans="1:14" ht="12.75">
      <c r="A11" s="199"/>
      <c r="B11" s="200" t="s">
        <v>910</v>
      </c>
      <c r="C11" s="201" t="s">
        <v>247</v>
      </c>
      <c r="D11" s="202"/>
      <c r="E11" s="203"/>
      <c r="F11" s="204">
        <f>SUM(F12:F15)</f>
        <v>63413420</v>
      </c>
      <c r="G11" s="202"/>
      <c r="H11" s="205"/>
      <c r="I11" s="205"/>
      <c r="J11" s="203"/>
      <c r="K11" s="204"/>
      <c r="L11" s="690">
        <f t="shared" si="0"/>
        <v>63413420</v>
      </c>
      <c r="M11" s="206"/>
      <c r="N11" s="213">
        <f>SUM(L12:L15)</f>
        <v>63413420</v>
      </c>
    </row>
    <row r="12" spans="1:14" ht="12.75">
      <c r="A12" s="53"/>
      <c r="B12" s="65" t="s">
        <v>911</v>
      </c>
      <c r="C12" s="828" t="s">
        <v>779</v>
      </c>
      <c r="D12" s="54"/>
      <c r="E12" s="55"/>
      <c r="F12" s="56">
        <v>18213050</v>
      </c>
      <c r="G12" s="54"/>
      <c r="H12" s="57"/>
      <c r="I12" s="57"/>
      <c r="J12" s="55"/>
      <c r="K12" s="56"/>
      <c r="L12" s="691">
        <f t="shared" si="0"/>
        <v>18213050</v>
      </c>
      <c r="M12" s="58"/>
      <c r="N12" s="213"/>
    </row>
    <row r="13" spans="1:14" ht="12.75">
      <c r="A13" s="53"/>
      <c r="B13" s="65" t="s">
        <v>912</v>
      </c>
      <c r="C13" s="828" t="s">
        <v>780</v>
      </c>
      <c r="D13" s="54"/>
      <c r="E13" s="55"/>
      <c r="F13" s="56">
        <v>30048000</v>
      </c>
      <c r="G13" s="54"/>
      <c r="H13" s="57"/>
      <c r="I13" s="57"/>
      <c r="J13" s="55"/>
      <c r="K13" s="56"/>
      <c r="L13" s="691">
        <f t="shared" si="0"/>
        <v>30048000</v>
      </c>
      <c r="M13" s="58"/>
      <c r="N13" s="213"/>
    </row>
    <row r="14" spans="1:14" ht="12.75">
      <c r="A14" s="53"/>
      <c r="B14" s="65" t="s">
        <v>913</v>
      </c>
      <c r="C14" s="828" t="s">
        <v>781</v>
      </c>
      <c r="D14" s="54"/>
      <c r="E14" s="55"/>
      <c r="F14" s="56">
        <v>100000</v>
      </c>
      <c r="G14" s="54"/>
      <c r="H14" s="57"/>
      <c r="I14" s="57"/>
      <c r="J14" s="55"/>
      <c r="K14" s="56"/>
      <c r="L14" s="691">
        <f t="shared" si="0"/>
        <v>100000</v>
      </c>
      <c r="M14" s="58"/>
      <c r="N14" s="213"/>
    </row>
    <row r="15" spans="1:14" s="207" customFormat="1" ht="12.75">
      <c r="A15" s="53"/>
      <c r="B15" s="65" t="s">
        <v>914</v>
      </c>
      <c r="C15" s="828" t="s">
        <v>782</v>
      </c>
      <c r="D15" s="54"/>
      <c r="E15" s="55"/>
      <c r="F15" s="56">
        <v>15052370</v>
      </c>
      <c r="G15" s="54"/>
      <c r="H15" s="57"/>
      <c r="I15" s="57"/>
      <c r="J15" s="55"/>
      <c r="K15" s="56"/>
      <c r="L15" s="691">
        <f t="shared" si="0"/>
        <v>15052370</v>
      </c>
      <c r="M15" s="58"/>
      <c r="N15" s="213"/>
    </row>
    <row r="16" spans="1:14" s="207" customFormat="1" ht="12.75">
      <c r="A16" s="199"/>
      <c r="B16" s="200" t="s">
        <v>915</v>
      </c>
      <c r="C16" s="208" t="s">
        <v>248</v>
      </c>
      <c r="D16" s="202"/>
      <c r="E16" s="203"/>
      <c r="F16" s="204">
        <v>16560564</v>
      </c>
      <c r="G16" s="202"/>
      <c r="H16" s="205"/>
      <c r="I16" s="205"/>
      <c r="J16" s="203"/>
      <c r="K16" s="204"/>
      <c r="L16" s="690">
        <f>F16+K16</f>
        <v>16560564</v>
      </c>
      <c r="M16" s="206"/>
      <c r="N16" s="213">
        <f>SUM(L16)</f>
        <v>16560564</v>
      </c>
    </row>
    <row r="17" spans="1:14" s="207" customFormat="1" ht="12.75">
      <c r="A17" s="199"/>
      <c r="B17" s="200" t="s">
        <v>916</v>
      </c>
      <c r="C17" s="208" t="s">
        <v>211</v>
      </c>
      <c r="D17" s="202">
        <v>300</v>
      </c>
      <c r="E17" s="203">
        <v>2550</v>
      </c>
      <c r="F17" s="204">
        <f>D17*E17</f>
        <v>765000</v>
      </c>
      <c r="G17" s="202"/>
      <c r="H17" s="205"/>
      <c r="I17" s="205"/>
      <c r="J17" s="203"/>
      <c r="K17" s="204"/>
      <c r="L17" s="690">
        <f>F17+K17</f>
        <v>765000</v>
      </c>
      <c r="M17" s="206"/>
      <c r="N17" s="213">
        <f>SUM(L17)</f>
        <v>765000</v>
      </c>
    </row>
    <row r="18" spans="1:14" ht="12.75">
      <c r="A18" s="199"/>
      <c r="B18" s="200" t="s">
        <v>917</v>
      </c>
      <c r="C18" s="208" t="s">
        <v>908</v>
      </c>
      <c r="D18" s="202"/>
      <c r="E18" s="203"/>
      <c r="F18" s="204">
        <v>396113</v>
      </c>
      <c r="G18" s="202"/>
      <c r="H18" s="205"/>
      <c r="I18" s="205"/>
      <c r="J18" s="203"/>
      <c r="K18" s="204">
        <v>123444</v>
      </c>
      <c r="L18" s="690">
        <f>F18+K18</f>
        <v>519557</v>
      </c>
      <c r="M18" s="206"/>
      <c r="N18" s="213">
        <f>SUM(L18)</f>
        <v>519557</v>
      </c>
    </row>
    <row r="19" spans="1:14" s="207" customFormat="1" ht="12.75">
      <c r="A19" s="876"/>
      <c r="B19" s="877"/>
      <c r="C19" s="878" t="s">
        <v>1208</v>
      </c>
      <c r="D19" s="879"/>
      <c r="E19" s="880"/>
      <c r="F19" s="881">
        <v>3628771</v>
      </c>
      <c r="G19" s="879"/>
      <c r="H19" s="882"/>
      <c r="I19" s="882"/>
      <c r="J19" s="880"/>
      <c r="K19" s="881">
        <v>1330579</v>
      </c>
      <c r="L19" s="883">
        <f>F19+K19</f>
        <v>4959350</v>
      </c>
      <c r="M19" s="884"/>
      <c r="N19" s="213">
        <f>SUM(L19)</f>
        <v>4959350</v>
      </c>
    </row>
    <row r="20" spans="1:14" ht="25.5">
      <c r="A20" s="215" t="s">
        <v>783</v>
      </c>
      <c r="B20" s="222"/>
      <c r="C20" s="217" t="s">
        <v>249</v>
      </c>
      <c r="D20" s="223"/>
      <c r="E20" s="224"/>
      <c r="F20" s="225"/>
      <c r="G20" s="223"/>
      <c r="H20" s="226"/>
      <c r="I20" s="226"/>
      <c r="J20" s="224"/>
      <c r="K20" s="225">
        <f>K21+K25+K26+K27</f>
        <v>130224433.33333333</v>
      </c>
      <c r="L20" s="687">
        <f>F20+K20</f>
        <v>130224433.33333333</v>
      </c>
      <c r="M20" s="58"/>
      <c r="N20" s="743">
        <f>SUM(N25:N27,N21)</f>
        <v>130224433.33333333</v>
      </c>
    </row>
    <row r="21" spans="1:14" ht="25.5">
      <c r="A21" s="212"/>
      <c r="B21" s="200" t="s">
        <v>785</v>
      </c>
      <c r="C21" s="201" t="s">
        <v>250</v>
      </c>
      <c r="D21" s="202"/>
      <c r="E21" s="203"/>
      <c r="F21" s="204"/>
      <c r="G21" s="202"/>
      <c r="H21" s="205"/>
      <c r="I21" s="205"/>
      <c r="J21" s="203"/>
      <c r="K21" s="204">
        <f>SUM(K22:K24)</f>
        <v>110979100</v>
      </c>
      <c r="L21" s="690">
        <f>SUM(K21,F21)</f>
        <v>110979100</v>
      </c>
      <c r="M21" s="206"/>
      <c r="N21" s="213">
        <f>SUM(L22:L24)</f>
        <v>110979100</v>
      </c>
    </row>
    <row r="22" spans="1:14" ht="12.75">
      <c r="A22" s="53"/>
      <c r="B22" s="65" t="s">
        <v>788</v>
      </c>
      <c r="C22" s="828" t="s">
        <v>787</v>
      </c>
      <c r="D22" s="54"/>
      <c r="E22" s="55"/>
      <c r="F22" s="56"/>
      <c r="G22" s="54">
        <v>20</v>
      </c>
      <c r="H22" s="57">
        <v>4152000</v>
      </c>
      <c r="I22" s="629">
        <v>18.9</v>
      </c>
      <c r="J22" s="55">
        <v>4152000</v>
      </c>
      <c r="K22" s="56">
        <f>(G22/12*8*H22)+(I22/12*4*J22)</f>
        <v>81517600</v>
      </c>
      <c r="L22" s="691">
        <f aca="true" t="shared" si="1" ref="L22:L42">F22+K22</f>
        <v>81517600</v>
      </c>
      <c r="M22" s="58"/>
      <c r="N22" s="213"/>
    </row>
    <row r="23" spans="1:14" s="207" customFormat="1" ht="18" customHeight="1">
      <c r="A23" s="53"/>
      <c r="B23" s="65" t="s">
        <v>789</v>
      </c>
      <c r="C23" s="828" t="s">
        <v>251</v>
      </c>
      <c r="D23" s="54"/>
      <c r="E23" s="55"/>
      <c r="F23" s="56"/>
      <c r="G23" s="54">
        <v>16</v>
      </c>
      <c r="H23" s="57">
        <v>1800000</v>
      </c>
      <c r="I23" s="57">
        <v>16</v>
      </c>
      <c r="J23" s="55">
        <v>1800000</v>
      </c>
      <c r="K23" s="56">
        <f>(G23/12*8*H23)+(I23/12*4*J23)</f>
        <v>28800000</v>
      </c>
      <c r="L23" s="691">
        <f t="shared" si="1"/>
        <v>28800000</v>
      </c>
      <c r="M23" s="58"/>
      <c r="N23" s="213"/>
    </row>
    <row r="24" spans="1:14" s="207" customFormat="1" ht="18" customHeight="1">
      <c r="A24" s="53"/>
      <c r="B24" s="65" t="s">
        <v>252</v>
      </c>
      <c r="C24" s="828" t="s">
        <v>918</v>
      </c>
      <c r="D24" s="54"/>
      <c r="E24" s="55"/>
      <c r="F24" s="56"/>
      <c r="G24" s="54"/>
      <c r="H24" s="57"/>
      <c r="I24" s="629">
        <v>18.9</v>
      </c>
      <c r="J24" s="55">
        <v>35000</v>
      </c>
      <c r="K24" s="56">
        <f>I24*J24</f>
        <v>661500</v>
      </c>
      <c r="L24" s="691">
        <f t="shared" si="1"/>
        <v>661500</v>
      </c>
      <c r="M24" s="58"/>
      <c r="N24" s="213"/>
    </row>
    <row r="25" spans="1:14" s="207" customFormat="1" ht="26.25" customHeight="1">
      <c r="A25" s="199"/>
      <c r="B25" s="200" t="s">
        <v>790</v>
      </c>
      <c r="C25" s="208" t="s">
        <v>791</v>
      </c>
      <c r="D25" s="214"/>
      <c r="E25" s="209"/>
      <c r="F25" s="204"/>
      <c r="G25" s="628">
        <v>222</v>
      </c>
      <c r="H25" s="205">
        <v>70000</v>
      </c>
      <c r="I25" s="630">
        <v>205</v>
      </c>
      <c r="J25" s="203">
        <v>70000</v>
      </c>
      <c r="K25" s="204">
        <f>(G25/12*8*H25)+(I25/12*4*J25)</f>
        <v>15143333.333333332</v>
      </c>
      <c r="L25" s="690">
        <f t="shared" si="1"/>
        <v>15143333.333333332</v>
      </c>
      <c r="M25" s="206"/>
      <c r="N25" s="213">
        <f>SUM(L25)</f>
        <v>15143333.333333332</v>
      </c>
    </row>
    <row r="26" spans="1:14" ht="12.75">
      <c r="A26" s="199"/>
      <c r="B26" s="200" t="s">
        <v>919</v>
      </c>
      <c r="C26" s="208" t="s">
        <v>920</v>
      </c>
      <c r="D26" s="745"/>
      <c r="E26" s="746"/>
      <c r="F26" s="204"/>
      <c r="G26" s="628"/>
      <c r="H26" s="205"/>
      <c r="I26" s="630"/>
      <c r="J26" s="203"/>
      <c r="K26" s="204"/>
      <c r="L26" s="690">
        <f>F26+K26</f>
        <v>0</v>
      </c>
      <c r="M26" s="206"/>
      <c r="N26" s="213">
        <f>SUM(L26)</f>
        <v>0</v>
      </c>
    </row>
    <row r="27" spans="1:14" ht="25.5">
      <c r="A27" s="199"/>
      <c r="B27" s="200" t="s">
        <v>921</v>
      </c>
      <c r="C27" s="201" t="s">
        <v>922</v>
      </c>
      <c r="D27" s="214"/>
      <c r="E27" s="209"/>
      <c r="F27" s="204"/>
      <c r="G27" s="628"/>
      <c r="H27" s="205"/>
      <c r="I27" s="630"/>
      <c r="J27" s="203"/>
      <c r="K27" s="204">
        <f>SUM(K28:K29)</f>
        <v>4102000</v>
      </c>
      <c r="L27" s="690">
        <f>F27+K27</f>
        <v>4102000</v>
      </c>
      <c r="M27" s="206"/>
      <c r="N27" s="213">
        <f>SUM(L28:L29)</f>
        <v>4102000</v>
      </c>
    </row>
    <row r="28" spans="1:14" s="207" customFormat="1" ht="12.75">
      <c r="A28" s="53"/>
      <c r="B28" s="65" t="s">
        <v>923</v>
      </c>
      <c r="C28" s="828" t="s">
        <v>924</v>
      </c>
      <c r="D28" s="54"/>
      <c r="E28" s="55"/>
      <c r="F28" s="56"/>
      <c r="G28" s="54"/>
      <c r="H28" s="57"/>
      <c r="I28" s="57">
        <v>8</v>
      </c>
      <c r="J28" s="55">
        <v>352000</v>
      </c>
      <c r="K28" s="56">
        <f>I28*J28</f>
        <v>2816000</v>
      </c>
      <c r="L28" s="691">
        <f>SUM(K28)</f>
        <v>2816000</v>
      </c>
      <c r="M28" s="58"/>
      <c r="N28" s="213"/>
    </row>
    <row r="29" spans="1:14" s="207" customFormat="1" ht="18" customHeight="1">
      <c r="A29" s="53"/>
      <c r="B29" s="65" t="s">
        <v>925</v>
      </c>
      <c r="C29" s="828" t="s">
        <v>926</v>
      </c>
      <c r="D29" s="54"/>
      <c r="E29" s="55"/>
      <c r="F29" s="56"/>
      <c r="G29" s="54"/>
      <c r="H29" s="57"/>
      <c r="I29" s="57">
        <v>1</v>
      </c>
      <c r="J29" s="55">
        <v>1286000</v>
      </c>
      <c r="K29" s="56">
        <f>I29*J29</f>
        <v>1286000</v>
      </c>
      <c r="L29" s="691">
        <f>SUM(K29)</f>
        <v>1286000</v>
      </c>
      <c r="M29" s="58"/>
      <c r="N29" s="213"/>
    </row>
    <row r="30" spans="1:14" s="207" customFormat="1" ht="25.5" customHeight="1">
      <c r="A30" s="215" t="s">
        <v>792</v>
      </c>
      <c r="B30" s="228"/>
      <c r="C30" s="217" t="s">
        <v>253</v>
      </c>
      <c r="D30" s="229"/>
      <c r="E30" s="230"/>
      <c r="F30" s="225">
        <f>SUM(F31:F33,F36)</f>
        <v>182287681</v>
      </c>
      <c r="G30" s="231"/>
      <c r="H30" s="227"/>
      <c r="I30" s="232"/>
      <c r="J30" s="230"/>
      <c r="K30" s="225">
        <f>SUM(K31:K33,K36)</f>
        <v>0</v>
      </c>
      <c r="L30" s="687">
        <f t="shared" si="1"/>
        <v>182287681</v>
      </c>
      <c r="M30" s="206"/>
      <c r="N30" s="743">
        <f>SUM(N31:N33)+N36</f>
        <v>182287681</v>
      </c>
    </row>
    <row r="31" spans="1:14" s="207" customFormat="1" ht="18" customHeight="1">
      <c r="A31" s="199"/>
      <c r="B31" s="200" t="s">
        <v>793</v>
      </c>
      <c r="C31" s="208" t="s">
        <v>927</v>
      </c>
      <c r="D31" s="214"/>
      <c r="E31" s="209"/>
      <c r="F31" s="204">
        <f>35436000+1721000</f>
        <v>37157000</v>
      </c>
      <c r="G31" s="628"/>
      <c r="H31" s="205"/>
      <c r="I31" s="630"/>
      <c r="J31" s="203"/>
      <c r="K31" s="204"/>
      <c r="L31" s="690">
        <f t="shared" si="1"/>
        <v>37157000</v>
      </c>
      <c r="M31" s="206"/>
      <c r="N31" s="213">
        <f>SUM(L31)</f>
        <v>37157000</v>
      </c>
    </row>
    <row r="32" spans="1:14" ht="12.75">
      <c r="A32" s="199"/>
      <c r="B32" s="200" t="s">
        <v>794</v>
      </c>
      <c r="C32" s="208" t="s">
        <v>928</v>
      </c>
      <c r="D32" s="214"/>
      <c r="E32" s="209"/>
      <c r="F32" s="204">
        <v>77155970</v>
      </c>
      <c r="G32" s="628"/>
      <c r="H32" s="205"/>
      <c r="I32" s="630"/>
      <c r="J32" s="203"/>
      <c r="K32" s="204"/>
      <c r="L32" s="690">
        <f t="shared" si="1"/>
        <v>77155970</v>
      </c>
      <c r="M32" s="206"/>
      <c r="N32" s="213">
        <f>SUM(L32)</f>
        <v>77155970</v>
      </c>
    </row>
    <row r="33" spans="1:14" ht="12.75">
      <c r="A33" s="199"/>
      <c r="B33" s="200" t="s">
        <v>795</v>
      </c>
      <c r="C33" s="208" t="s">
        <v>796</v>
      </c>
      <c r="D33" s="214"/>
      <c r="E33" s="209"/>
      <c r="F33" s="204">
        <f>SUM(F34:F35)</f>
        <v>7275900</v>
      </c>
      <c r="G33" s="628"/>
      <c r="H33" s="205"/>
      <c r="I33" s="630"/>
      <c r="J33" s="203"/>
      <c r="K33" s="204"/>
      <c r="L33" s="690">
        <f t="shared" si="1"/>
        <v>7275900</v>
      </c>
      <c r="M33" s="206"/>
      <c r="N33" s="213">
        <f>SUM(L34:L35)</f>
        <v>7275900</v>
      </c>
    </row>
    <row r="34" spans="1:14" s="207" customFormat="1" ht="18" customHeight="1">
      <c r="A34" s="53"/>
      <c r="B34" s="65" t="s">
        <v>254</v>
      </c>
      <c r="C34" s="828" t="s">
        <v>766</v>
      </c>
      <c r="D34" s="54"/>
      <c r="E34" s="55"/>
      <c r="F34" s="56">
        <v>3637950</v>
      </c>
      <c r="G34" s="62"/>
      <c r="H34" s="57"/>
      <c r="I34" s="61"/>
      <c r="J34" s="55"/>
      <c r="K34" s="56"/>
      <c r="L34" s="691">
        <f t="shared" si="1"/>
        <v>3637950</v>
      </c>
      <c r="M34" s="58"/>
      <c r="N34" s="58"/>
    </row>
    <row r="35" spans="1:14" ht="16.5" customHeight="1">
      <c r="A35" s="53"/>
      <c r="B35" s="65" t="s">
        <v>255</v>
      </c>
      <c r="C35" s="828" t="s">
        <v>797</v>
      </c>
      <c r="D35" s="54"/>
      <c r="E35" s="55"/>
      <c r="F35" s="56">
        <v>3637950</v>
      </c>
      <c r="G35" s="62"/>
      <c r="H35" s="57"/>
      <c r="I35" s="61"/>
      <c r="J35" s="55"/>
      <c r="K35" s="56"/>
      <c r="L35" s="691">
        <f t="shared" si="1"/>
        <v>3637950</v>
      </c>
      <c r="M35" s="58"/>
      <c r="N35" s="58"/>
    </row>
    <row r="36" spans="1:14" ht="12.75">
      <c r="A36" s="199"/>
      <c r="B36" s="200" t="s">
        <v>256</v>
      </c>
      <c r="C36" s="208" t="s">
        <v>257</v>
      </c>
      <c r="D36" s="214"/>
      <c r="E36" s="209"/>
      <c r="F36" s="204">
        <f>SUM(F37:F38)</f>
        <v>60698811</v>
      </c>
      <c r="G36" s="628"/>
      <c r="H36" s="205"/>
      <c r="I36" s="630"/>
      <c r="J36" s="203"/>
      <c r="K36" s="204">
        <f>SUM(K37:K38)</f>
        <v>0</v>
      </c>
      <c r="L36" s="690">
        <f t="shared" si="1"/>
        <v>60698811</v>
      </c>
      <c r="M36" s="206"/>
      <c r="N36" s="213">
        <f>SUM(L37:L38)</f>
        <v>60698811</v>
      </c>
    </row>
    <row r="37" spans="1:14" s="207" customFormat="1" ht="12.75">
      <c r="A37" s="53"/>
      <c r="B37" s="65" t="s">
        <v>930</v>
      </c>
      <c r="C37" s="631" t="s">
        <v>929</v>
      </c>
      <c r="D37" s="632">
        <v>13.61</v>
      </c>
      <c r="E37" s="60">
        <v>1632000</v>
      </c>
      <c r="F37" s="56">
        <f>E37*D37</f>
        <v>22211520</v>
      </c>
      <c r="G37" s="627"/>
      <c r="H37" s="57"/>
      <c r="I37" s="629"/>
      <c r="J37" s="55"/>
      <c r="K37" s="56"/>
      <c r="L37" s="742">
        <f t="shared" si="1"/>
        <v>22211520</v>
      </c>
      <c r="M37" s="58"/>
      <c r="N37" s="213"/>
    </row>
    <row r="38" spans="1:14" s="207" customFormat="1" ht="18" customHeight="1">
      <c r="A38" s="53"/>
      <c r="B38" s="65" t="s">
        <v>258</v>
      </c>
      <c r="C38" s="631" t="s">
        <v>259</v>
      </c>
      <c r="D38" s="632"/>
      <c r="E38" s="55"/>
      <c r="F38" s="56">
        <v>38487291</v>
      </c>
      <c r="G38" s="54"/>
      <c r="H38" s="57"/>
      <c r="I38" s="57"/>
      <c r="J38" s="55"/>
      <c r="K38" s="56"/>
      <c r="L38" s="742">
        <f t="shared" si="1"/>
        <v>38487291</v>
      </c>
      <c r="M38" s="58"/>
      <c r="N38" s="58"/>
    </row>
    <row r="39" spans="1:14" ht="12.75">
      <c r="A39" s="215" t="s">
        <v>799</v>
      </c>
      <c r="B39" s="228"/>
      <c r="C39" s="217" t="s">
        <v>775</v>
      </c>
      <c r="D39" s="229"/>
      <c r="E39" s="230"/>
      <c r="F39" s="225">
        <f>SUM(F41+F42)</f>
        <v>10915850</v>
      </c>
      <c r="G39" s="231"/>
      <c r="H39" s="227"/>
      <c r="I39" s="232"/>
      <c r="J39" s="230"/>
      <c r="K39" s="225"/>
      <c r="L39" s="687">
        <f t="shared" si="1"/>
        <v>10915850</v>
      </c>
      <c r="M39" s="206"/>
      <c r="N39" s="743">
        <f>SUM(N41:N42)</f>
        <v>10915850</v>
      </c>
    </row>
    <row r="40" spans="1:14" s="66" customFormat="1" ht="15">
      <c r="A40" s="199"/>
      <c r="B40" s="200" t="s">
        <v>933</v>
      </c>
      <c r="C40" s="208" t="s">
        <v>934</v>
      </c>
      <c r="D40" s="214"/>
      <c r="E40" s="209"/>
      <c r="F40" s="204"/>
      <c r="G40" s="628"/>
      <c r="H40" s="205"/>
      <c r="I40" s="630"/>
      <c r="J40" s="203"/>
      <c r="K40" s="204"/>
      <c r="L40" s="690"/>
      <c r="M40" s="206"/>
      <c r="N40" s="213"/>
    </row>
    <row r="41" spans="1:14" ht="15" customHeight="1">
      <c r="A41" s="53"/>
      <c r="B41" s="65" t="s">
        <v>931</v>
      </c>
      <c r="C41" s="631" t="s">
        <v>260</v>
      </c>
      <c r="D41" s="54">
        <v>9210</v>
      </c>
      <c r="E41" s="55">
        <v>1140</v>
      </c>
      <c r="F41" s="56">
        <f>D41*E41</f>
        <v>10499400</v>
      </c>
      <c r="G41" s="64"/>
      <c r="H41" s="63"/>
      <c r="I41" s="61"/>
      <c r="J41" s="60"/>
      <c r="K41" s="56"/>
      <c r="L41" s="691">
        <f t="shared" si="1"/>
        <v>10499400</v>
      </c>
      <c r="M41" s="58"/>
      <c r="N41" s="58">
        <f>SUM(L41)</f>
        <v>10499400</v>
      </c>
    </row>
    <row r="42" spans="1:14" s="66" customFormat="1" ht="15">
      <c r="A42" s="885"/>
      <c r="B42" s="65" t="s">
        <v>1209</v>
      </c>
      <c r="C42" s="886" t="s">
        <v>1210</v>
      </c>
      <c r="D42" s="887"/>
      <c r="E42" s="888"/>
      <c r="F42" s="889">
        <v>416450</v>
      </c>
      <c r="G42" s="890"/>
      <c r="H42" s="891"/>
      <c r="I42" s="892"/>
      <c r="J42" s="893"/>
      <c r="K42" s="889"/>
      <c r="L42" s="691">
        <f t="shared" si="1"/>
        <v>416450</v>
      </c>
      <c r="M42" s="58"/>
      <c r="N42" s="58">
        <f>SUM(L42)</f>
        <v>416450</v>
      </c>
    </row>
    <row r="43" spans="1:14" ht="15.75" thickBot="1">
      <c r="A43" s="1259" t="s">
        <v>802</v>
      </c>
      <c r="B43" s="1259"/>
      <c r="C43" s="1260"/>
      <c r="D43" s="894" t="s">
        <v>763</v>
      </c>
      <c r="E43" s="895" t="s">
        <v>763</v>
      </c>
      <c r="F43" s="896">
        <f>SUM(F39,F30,F20,F9)</f>
        <v>401123599</v>
      </c>
      <c r="G43" s="894" t="s">
        <v>763</v>
      </c>
      <c r="H43" s="897" t="s">
        <v>763</v>
      </c>
      <c r="I43" s="897" t="s">
        <v>763</v>
      </c>
      <c r="J43" s="895" t="s">
        <v>763</v>
      </c>
      <c r="K43" s="896">
        <f>SUM(K39,K30,K20,K9)</f>
        <v>131678456.33333333</v>
      </c>
      <c r="L43" s="898">
        <f>SUM(L39,L30,L20,L9)</f>
        <v>532802055.3333333</v>
      </c>
      <c r="M43" s="899"/>
      <c r="N43" s="900">
        <f>SUM(N39,N30,N20,N9)</f>
        <v>532802055.3333333</v>
      </c>
    </row>
    <row r="44" spans="1:14" ht="15.75" thickBot="1">
      <c r="A44" s="901"/>
      <c r="B44" s="902"/>
      <c r="C44" s="902"/>
      <c r="D44" s="902"/>
      <c r="E44" s="902"/>
      <c r="F44" s="902"/>
      <c r="G44" s="902"/>
      <c r="H44" s="902"/>
      <c r="I44" s="902"/>
      <c r="J44" s="902"/>
      <c r="K44" s="902"/>
      <c r="L44" s="903"/>
      <c r="M44" s="902"/>
      <c r="N44" s="902"/>
    </row>
    <row r="45" spans="1:14" ht="12.75">
      <c r="A45" s="904" t="s">
        <v>784</v>
      </c>
      <c r="B45" s="905"/>
      <c r="C45" s="906" t="s">
        <v>1211</v>
      </c>
      <c r="D45" s="907"/>
      <c r="E45" s="908"/>
      <c r="F45" s="909">
        <f>SUM(F46)</f>
        <v>1589280</v>
      </c>
      <c r="G45" s="907"/>
      <c r="H45" s="910"/>
      <c r="I45" s="910"/>
      <c r="J45" s="908"/>
      <c r="K45" s="909"/>
      <c r="L45" s="911">
        <f>F45+K45</f>
        <v>1589280</v>
      </c>
      <c r="M45" s="210"/>
      <c r="N45" s="744">
        <f>SUM(N46)</f>
        <v>1589280</v>
      </c>
    </row>
    <row r="46" spans="1:14" ht="25.5">
      <c r="A46" s="199"/>
      <c r="B46" s="200" t="s">
        <v>1212</v>
      </c>
      <c r="C46" s="201" t="s">
        <v>1213</v>
      </c>
      <c r="D46" s="626"/>
      <c r="E46" s="203"/>
      <c r="F46" s="204">
        <v>1589280</v>
      </c>
      <c r="G46" s="202"/>
      <c r="H46" s="205"/>
      <c r="I46" s="205"/>
      <c r="J46" s="203"/>
      <c r="K46" s="204"/>
      <c r="L46" s="690">
        <f>F46+K46</f>
        <v>1589280</v>
      </c>
      <c r="M46" s="206"/>
      <c r="N46" s="213">
        <f>SUM(L46)</f>
        <v>1589280</v>
      </c>
    </row>
    <row r="47" spans="1:14" ht="12.75">
      <c r="A47" s="215" t="s">
        <v>783</v>
      </c>
      <c r="B47" s="216"/>
      <c r="C47" s="217" t="s">
        <v>1214</v>
      </c>
      <c r="D47" s="218"/>
      <c r="E47" s="219"/>
      <c r="F47" s="220">
        <f>SUM(F53+F52+F49+F48)</f>
        <v>0</v>
      </c>
      <c r="G47" s="218"/>
      <c r="H47" s="221"/>
      <c r="I47" s="221"/>
      <c r="J47" s="219"/>
      <c r="K47" s="220">
        <f>SUM(K48,K49,K52,K53)</f>
        <v>0</v>
      </c>
      <c r="L47" s="689">
        <f>F47+K47</f>
        <v>0</v>
      </c>
      <c r="M47" s="210"/>
      <c r="N47" s="744">
        <f>SUM(L47)</f>
        <v>0</v>
      </c>
    </row>
    <row r="48" spans="1:14" ht="25.5">
      <c r="A48" s="199"/>
      <c r="B48" s="200" t="s">
        <v>1215</v>
      </c>
      <c r="C48" s="201" t="s">
        <v>1216</v>
      </c>
      <c r="D48" s="626"/>
      <c r="E48" s="203"/>
      <c r="F48" s="204"/>
      <c r="G48" s="202"/>
      <c r="H48" s="205"/>
      <c r="I48" s="205"/>
      <c r="J48" s="203"/>
      <c r="K48" s="204"/>
      <c r="L48" s="690"/>
      <c r="M48" s="206"/>
      <c r="N48" s="213"/>
    </row>
    <row r="49" spans="1:14" ht="12.75">
      <c r="A49" s="199"/>
      <c r="B49" s="200" t="s">
        <v>1217</v>
      </c>
      <c r="C49" s="201" t="s">
        <v>1218</v>
      </c>
      <c r="D49" s="626"/>
      <c r="E49" s="203"/>
      <c r="F49" s="204">
        <f>SUM(F50:F51)</f>
        <v>0</v>
      </c>
      <c r="G49" s="202"/>
      <c r="H49" s="205"/>
      <c r="I49" s="205"/>
      <c r="J49" s="203"/>
      <c r="K49" s="204">
        <f>SUM(K50:K51)</f>
        <v>0</v>
      </c>
      <c r="L49" s="690">
        <f>SUM(F49,K49)</f>
        <v>0</v>
      </c>
      <c r="M49" s="206"/>
      <c r="N49" s="213"/>
    </row>
    <row r="50" spans="1:14" ht="12.75">
      <c r="A50" s="53"/>
      <c r="B50" s="65" t="s">
        <v>1219</v>
      </c>
      <c r="C50" s="828" t="s">
        <v>1220</v>
      </c>
      <c r="D50" s="54"/>
      <c r="E50" s="55"/>
      <c r="F50" s="56"/>
      <c r="G50" s="62"/>
      <c r="H50" s="57"/>
      <c r="I50" s="61"/>
      <c r="J50" s="55"/>
      <c r="K50" s="56"/>
      <c r="L50" s="691">
        <f>F50+K50</f>
        <v>0</v>
      </c>
      <c r="M50" s="58"/>
      <c r="N50" s="58"/>
    </row>
    <row r="51" spans="1:14" ht="12.75">
      <c r="A51" s="53"/>
      <c r="B51" s="65" t="s">
        <v>1221</v>
      </c>
      <c r="C51" s="828" t="s">
        <v>1222</v>
      </c>
      <c r="D51" s="54"/>
      <c r="E51" s="55"/>
      <c r="F51" s="56"/>
      <c r="G51" s="62"/>
      <c r="H51" s="57"/>
      <c r="I51" s="61"/>
      <c r="J51" s="55"/>
      <c r="K51" s="56"/>
      <c r="L51" s="691">
        <f>F51+K51</f>
        <v>0</v>
      </c>
      <c r="M51" s="58"/>
      <c r="N51" s="58"/>
    </row>
    <row r="52" spans="1:14" ht="25.5">
      <c r="A52" s="199"/>
      <c r="B52" s="200" t="s">
        <v>1223</v>
      </c>
      <c r="C52" s="201" t="s">
        <v>1224</v>
      </c>
      <c r="D52" s="626"/>
      <c r="E52" s="203"/>
      <c r="F52" s="204">
        <v>0</v>
      </c>
      <c r="G52" s="202"/>
      <c r="H52" s="205"/>
      <c r="I52" s="205"/>
      <c r="J52" s="203"/>
      <c r="K52" s="204">
        <v>0</v>
      </c>
      <c r="L52" s="690">
        <f>SUM(K52,F52)</f>
        <v>0</v>
      </c>
      <c r="M52" s="206"/>
      <c r="N52" s="213"/>
    </row>
    <row r="53" spans="1:14" ht="12.75">
      <c r="A53" s="199"/>
      <c r="B53" s="200" t="s">
        <v>1225</v>
      </c>
      <c r="C53" s="201" t="s">
        <v>1226</v>
      </c>
      <c r="D53" s="626"/>
      <c r="E53" s="203"/>
      <c r="F53" s="204">
        <v>0</v>
      </c>
      <c r="G53" s="202"/>
      <c r="H53" s="205"/>
      <c r="I53" s="205"/>
      <c r="J53" s="203"/>
      <c r="K53" s="204">
        <v>0</v>
      </c>
      <c r="L53" s="690">
        <f>SUM(K53,F53)</f>
        <v>0</v>
      </c>
      <c r="M53" s="206"/>
      <c r="N53" s="213"/>
    </row>
    <row r="54" spans="1:14" ht="15.75" thickBot="1">
      <c r="A54" s="1259" t="s">
        <v>1227</v>
      </c>
      <c r="B54" s="1259"/>
      <c r="C54" s="1260"/>
      <c r="D54" s="894" t="s">
        <v>763</v>
      </c>
      <c r="E54" s="895" t="s">
        <v>763</v>
      </c>
      <c r="F54" s="896">
        <f>SUM(F45+F47)</f>
        <v>1589280</v>
      </c>
      <c r="G54" s="894" t="s">
        <v>763</v>
      </c>
      <c r="H54" s="897" t="s">
        <v>763</v>
      </c>
      <c r="I54" s="897" t="s">
        <v>763</v>
      </c>
      <c r="J54" s="895" t="s">
        <v>763</v>
      </c>
      <c r="K54" s="896">
        <f>SUM(K45+K47)</f>
        <v>0</v>
      </c>
      <c r="L54" s="898">
        <f>SUM(L45+L47)</f>
        <v>1589280</v>
      </c>
      <c r="M54" s="899"/>
      <c r="N54" s="900">
        <f>SUM(N45+N47)</f>
        <v>1589280</v>
      </c>
    </row>
    <row r="55" spans="1:14" ht="15.75" thickBot="1">
      <c r="A55" s="901"/>
      <c r="B55" s="902"/>
      <c r="C55" s="902"/>
      <c r="D55" s="902"/>
      <c r="E55" s="902"/>
      <c r="F55" s="902"/>
      <c r="G55" s="902"/>
      <c r="H55" s="902"/>
      <c r="I55" s="902"/>
      <c r="J55" s="902"/>
      <c r="K55" s="902"/>
      <c r="L55" s="903"/>
      <c r="M55" s="902"/>
      <c r="N55" s="902"/>
    </row>
    <row r="56" spans="1:14" ht="17.25" thickBot="1">
      <c r="A56" s="1261" t="s">
        <v>261</v>
      </c>
      <c r="B56" s="1261"/>
      <c r="C56" s="1262"/>
      <c r="D56" s="912" t="s">
        <v>763</v>
      </c>
      <c r="E56" s="913" t="s">
        <v>763</v>
      </c>
      <c r="F56" s="914">
        <f>SUM(F43+F54)</f>
        <v>402712879</v>
      </c>
      <c r="G56" s="912" t="s">
        <v>763</v>
      </c>
      <c r="H56" s="915" t="s">
        <v>763</v>
      </c>
      <c r="I56" s="915" t="s">
        <v>763</v>
      </c>
      <c r="J56" s="913" t="s">
        <v>763</v>
      </c>
      <c r="K56" s="914">
        <f>SUM(K43+K54)</f>
        <v>131678456.33333333</v>
      </c>
      <c r="L56" s="914">
        <f>SUM(L43+L54)</f>
        <v>534391335.3333333</v>
      </c>
      <c r="M56" s="916"/>
      <c r="N56" s="917">
        <f>SUM(N43+N54)</f>
        <v>534391335.3333333</v>
      </c>
    </row>
    <row r="58" ht="14.25">
      <c r="B58" s="829" t="s">
        <v>1228</v>
      </c>
    </row>
  </sheetData>
  <sheetProtection/>
  <mergeCells count="12">
    <mergeCell ref="A56:C56"/>
    <mergeCell ref="A4:K4"/>
    <mergeCell ref="A6:C6"/>
    <mergeCell ref="D6:F6"/>
    <mergeCell ref="G6:K6"/>
    <mergeCell ref="A7:B7"/>
    <mergeCell ref="A2:K2"/>
    <mergeCell ref="A3:K3"/>
    <mergeCell ref="L6:L7"/>
    <mergeCell ref="A8:B8"/>
    <mergeCell ref="A43:C43"/>
    <mergeCell ref="A54:C54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1"/>
  <sheetViews>
    <sheetView zoomScalePageLayoutView="0" workbookViewId="0" topLeftCell="A1">
      <selection activeCell="A160" sqref="A160:E160"/>
    </sheetView>
  </sheetViews>
  <sheetFormatPr defaultColWidth="9.00390625" defaultRowHeight="12.75"/>
  <cols>
    <col min="1" max="1" width="6.125" style="0" customWidth="1"/>
    <col min="5" max="5" width="40.375" style="0" customWidth="1"/>
    <col min="6" max="6" width="13.625" style="0" customWidth="1"/>
    <col min="7" max="7" width="13.125" style="0" customWidth="1"/>
    <col min="8" max="8" width="14.875" style="0" customWidth="1"/>
    <col min="9" max="9" width="12.625" style="0" customWidth="1"/>
  </cols>
  <sheetData>
    <row r="1" spans="1:9" s="4" customFormat="1" ht="14.25">
      <c r="A1" s="939" t="s">
        <v>1106</v>
      </c>
      <c r="B1" s="940"/>
      <c r="C1" s="940"/>
      <c r="D1" s="940"/>
      <c r="E1" s="940"/>
      <c r="F1" s="940"/>
      <c r="G1" s="940"/>
      <c r="H1" s="940"/>
      <c r="I1" s="940"/>
    </row>
    <row r="2" spans="1:9" s="4" customFormat="1" ht="9.75" customHeight="1">
      <c r="A2" s="747"/>
      <c r="B2" s="748"/>
      <c r="C2" s="748"/>
      <c r="D2" s="748"/>
      <c r="E2" s="748"/>
      <c r="F2" s="748"/>
      <c r="G2" s="748"/>
      <c r="H2" s="748"/>
      <c r="I2" s="748"/>
    </row>
    <row r="3" spans="1:9" s="4" customFormat="1" ht="16.5">
      <c r="A3" s="946" t="s">
        <v>937</v>
      </c>
      <c r="B3" s="946"/>
      <c r="C3" s="946"/>
      <c r="D3" s="946"/>
      <c r="E3" s="946"/>
      <c r="F3" s="946"/>
      <c r="G3" s="946"/>
      <c r="H3" s="946"/>
      <c r="I3" s="946"/>
    </row>
    <row r="4" spans="1:9" s="4" customFormat="1" ht="12.75">
      <c r="A4" s="747"/>
      <c r="B4" s="748"/>
      <c r="C4" s="748"/>
      <c r="D4" s="748"/>
      <c r="E4" s="748"/>
      <c r="F4" s="748"/>
      <c r="G4" s="748"/>
      <c r="H4" s="748"/>
      <c r="I4" s="748"/>
    </row>
    <row r="5" spans="1:9" ht="36" customHeight="1">
      <c r="A5" s="952" t="s">
        <v>1</v>
      </c>
      <c r="B5" s="953"/>
      <c r="C5" s="953"/>
      <c r="D5" s="953"/>
      <c r="E5" s="954"/>
      <c r="F5" s="749" t="s">
        <v>2</v>
      </c>
      <c r="G5" s="749" t="s">
        <v>3</v>
      </c>
      <c r="H5" s="749" t="s">
        <v>905</v>
      </c>
      <c r="I5" s="749" t="s">
        <v>640</v>
      </c>
    </row>
    <row r="6" spans="1:9" s="657" customFormat="1" ht="15">
      <c r="A6" s="750" t="s">
        <v>726</v>
      </c>
      <c r="B6" s="955" t="s">
        <v>727</v>
      </c>
      <c r="C6" s="956"/>
      <c r="D6" s="956"/>
      <c r="E6" s="957"/>
      <c r="F6" s="751" t="s">
        <v>728</v>
      </c>
      <c r="G6" s="751" t="s">
        <v>729</v>
      </c>
      <c r="H6" s="751" t="s">
        <v>730</v>
      </c>
      <c r="I6" s="751" t="s">
        <v>731</v>
      </c>
    </row>
    <row r="7" spans="1:9" s="344" customFormat="1" ht="12.75" customHeight="1">
      <c r="A7" s="752" t="s">
        <v>4</v>
      </c>
      <c r="B7" s="951" t="s">
        <v>599</v>
      </c>
      <c r="C7" s="951"/>
      <c r="D7" s="951"/>
      <c r="E7" s="951"/>
      <c r="F7" s="753">
        <f>SUM(F8+F18)</f>
        <v>164121</v>
      </c>
      <c r="G7" s="753">
        <f>SUM(G8+G18)</f>
        <v>75312</v>
      </c>
      <c r="H7" s="753">
        <f>SUM(H8+H18)</f>
        <v>117428</v>
      </c>
      <c r="I7" s="753">
        <f>SUM(F7:H7)</f>
        <v>356861</v>
      </c>
    </row>
    <row r="8" spans="1:9" ht="12.75" customHeight="1" hidden="1">
      <c r="A8" s="754"/>
      <c r="B8" s="754" t="s">
        <v>5</v>
      </c>
      <c r="C8" s="935" t="s">
        <v>6</v>
      </c>
      <c r="D8" s="935"/>
      <c r="E8" s="935"/>
      <c r="F8" s="755">
        <f>SUM(F9:F16)</f>
        <v>142246</v>
      </c>
      <c r="G8" s="755">
        <f>SUM(G9:G16)</f>
        <v>75112</v>
      </c>
      <c r="H8" s="755">
        <f>SUM(H9:H16)</f>
        <v>116978</v>
      </c>
      <c r="I8" s="756">
        <f>SUM(F8:H8)</f>
        <v>334336</v>
      </c>
    </row>
    <row r="9" spans="1:9" ht="12.75" customHeight="1" hidden="1">
      <c r="A9" s="757"/>
      <c r="B9" s="757"/>
      <c r="C9" s="757"/>
      <c r="D9" s="757" t="s">
        <v>7</v>
      </c>
      <c r="E9" s="757" t="s">
        <v>8</v>
      </c>
      <c r="F9" s="758">
        <f>199487-75649</f>
        <v>123838</v>
      </c>
      <c r="G9" s="758">
        <f>66563</f>
        <v>66563</v>
      </c>
      <c r="H9" s="758">
        <v>114872</v>
      </c>
      <c r="I9" s="756">
        <f aca="true" t="shared" si="0" ref="I9:I17">SUM(F9:H9)</f>
        <v>305273</v>
      </c>
    </row>
    <row r="10" spans="1:9" ht="12.75" customHeight="1" hidden="1">
      <c r="A10" s="757"/>
      <c r="B10" s="757"/>
      <c r="C10" s="757"/>
      <c r="D10" s="757" t="s">
        <v>950</v>
      </c>
      <c r="E10" s="757" t="s">
        <v>951</v>
      </c>
      <c r="F10" s="758"/>
      <c r="G10" s="758">
        <v>464</v>
      </c>
      <c r="H10" s="758"/>
      <c r="I10" s="756">
        <f t="shared" si="0"/>
        <v>464</v>
      </c>
    </row>
    <row r="11" spans="1:9" ht="12.75" customHeight="1" hidden="1">
      <c r="A11" s="757"/>
      <c r="B11" s="757"/>
      <c r="C11" s="757"/>
      <c r="D11" s="757" t="s">
        <v>9</v>
      </c>
      <c r="E11" s="757" t="s">
        <v>10</v>
      </c>
      <c r="F11" s="758">
        <v>9785</v>
      </c>
      <c r="G11" s="758"/>
      <c r="H11" s="758"/>
      <c r="I11" s="756">
        <f t="shared" si="0"/>
        <v>9785</v>
      </c>
    </row>
    <row r="12" spans="1:9" ht="12.75" customHeight="1" hidden="1">
      <c r="A12" s="757"/>
      <c r="B12" s="757"/>
      <c r="C12" s="757"/>
      <c r="D12" s="757" t="s">
        <v>11</v>
      </c>
      <c r="E12" s="757" t="s">
        <v>12</v>
      </c>
      <c r="F12" s="758">
        <v>784</v>
      </c>
      <c r="G12" s="758">
        <v>681</v>
      </c>
      <c r="H12" s="758"/>
      <c r="I12" s="756">
        <f t="shared" si="0"/>
        <v>1465</v>
      </c>
    </row>
    <row r="13" spans="1:9" ht="12.75" customHeight="1" hidden="1">
      <c r="A13" s="757"/>
      <c r="B13" s="757"/>
      <c r="C13" s="757"/>
      <c r="D13" s="757" t="s">
        <v>13</v>
      </c>
      <c r="E13" s="757" t="s">
        <v>14</v>
      </c>
      <c r="F13" s="758"/>
      <c r="G13" s="758">
        <v>5200</v>
      </c>
      <c r="H13" s="758"/>
      <c r="I13" s="756">
        <f t="shared" si="0"/>
        <v>5200</v>
      </c>
    </row>
    <row r="14" spans="1:9" ht="12.75" customHeight="1" hidden="1">
      <c r="A14" s="757"/>
      <c r="B14" s="757"/>
      <c r="C14" s="757"/>
      <c r="D14" s="757" t="s">
        <v>15</v>
      </c>
      <c r="E14" s="757" t="s">
        <v>16</v>
      </c>
      <c r="F14" s="758">
        <v>48</v>
      </c>
      <c r="G14" s="758">
        <v>100</v>
      </c>
      <c r="H14" s="758">
        <v>250</v>
      </c>
      <c r="I14" s="756">
        <f t="shared" si="0"/>
        <v>398</v>
      </c>
    </row>
    <row r="15" spans="1:9" ht="12.75" customHeight="1" hidden="1">
      <c r="A15" s="757"/>
      <c r="B15" s="757"/>
      <c r="C15" s="757"/>
      <c r="D15" s="757" t="s">
        <v>17</v>
      </c>
      <c r="E15" s="757" t="s">
        <v>18</v>
      </c>
      <c r="F15" s="758">
        <v>658</v>
      </c>
      <c r="G15" s="758">
        <v>626</v>
      </c>
      <c r="H15" s="758">
        <v>561</v>
      </c>
      <c r="I15" s="756">
        <f t="shared" si="0"/>
        <v>1845</v>
      </c>
    </row>
    <row r="16" spans="1:9" ht="12.75" customHeight="1" hidden="1">
      <c r="A16" s="757"/>
      <c r="B16" s="757"/>
      <c r="C16" s="757"/>
      <c r="D16" s="757" t="s">
        <v>19</v>
      </c>
      <c r="E16" s="757" t="s">
        <v>20</v>
      </c>
      <c r="F16" s="758">
        <f>5341+47+54+55+21+428+664+298+197+28</f>
        <v>7133</v>
      </c>
      <c r="G16" s="758">
        <f>100+135+1243</f>
        <v>1478</v>
      </c>
      <c r="H16" s="758">
        <f>150+97+1048</f>
        <v>1295</v>
      </c>
      <c r="I16" s="756">
        <f t="shared" si="0"/>
        <v>9906</v>
      </c>
    </row>
    <row r="17" spans="1:9" ht="12.75" customHeight="1" hidden="1">
      <c r="A17" s="759"/>
      <c r="B17" s="759"/>
      <c r="C17" s="760"/>
      <c r="D17" s="761" t="s">
        <v>21</v>
      </c>
      <c r="E17" s="761" t="s">
        <v>22</v>
      </c>
      <c r="F17" s="762">
        <v>108</v>
      </c>
      <c r="G17" s="762"/>
      <c r="H17" s="762"/>
      <c r="I17" s="762">
        <f t="shared" si="0"/>
        <v>108</v>
      </c>
    </row>
    <row r="18" spans="1:9" ht="12.75" customHeight="1" hidden="1">
      <c r="A18" s="754"/>
      <c r="B18" s="754" t="s">
        <v>23</v>
      </c>
      <c r="C18" s="935" t="s">
        <v>24</v>
      </c>
      <c r="D18" s="935"/>
      <c r="E18" s="935"/>
      <c r="F18" s="755">
        <f>SUM(F19:F21)</f>
        <v>21875</v>
      </c>
      <c r="G18" s="755">
        <f>SUM(G19:G21)</f>
        <v>200</v>
      </c>
      <c r="H18" s="755">
        <f>SUM(H19:H21)</f>
        <v>450</v>
      </c>
      <c r="I18" s="756">
        <f aca="true" t="shared" si="1" ref="I18:I28">SUM(F18:H18)</f>
        <v>22525</v>
      </c>
    </row>
    <row r="19" spans="1:9" ht="12.75" customHeight="1" hidden="1">
      <c r="A19" s="763"/>
      <c r="B19" s="763"/>
      <c r="C19" s="763" t="s">
        <v>25</v>
      </c>
      <c r="D19" s="763" t="s">
        <v>26</v>
      </c>
      <c r="E19" s="763"/>
      <c r="F19" s="764">
        <v>20648</v>
      </c>
      <c r="G19" s="764">
        <f>20648-20648</f>
        <v>0</v>
      </c>
      <c r="H19" s="764"/>
      <c r="I19" s="756">
        <f t="shared" si="1"/>
        <v>20648</v>
      </c>
    </row>
    <row r="20" spans="1:9" ht="12.75" customHeight="1" hidden="1">
      <c r="A20" s="763"/>
      <c r="B20" s="763"/>
      <c r="C20" s="763" t="s">
        <v>27</v>
      </c>
      <c r="D20" s="949" t="s">
        <v>28</v>
      </c>
      <c r="E20" s="950"/>
      <c r="F20" s="764">
        <v>192</v>
      </c>
      <c r="G20" s="764"/>
      <c r="H20" s="764">
        <v>450</v>
      </c>
      <c r="I20" s="756">
        <f t="shared" si="1"/>
        <v>642</v>
      </c>
    </row>
    <row r="21" spans="1:9" ht="12.75" customHeight="1" hidden="1">
      <c r="A21" s="763"/>
      <c r="B21" s="763"/>
      <c r="C21" s="763" t="s">
        <v>29</v>
      </c>
      <c r="D21" s="941" t="s">
        <v>30</v>
      </c>
      <c r="E21" s="942"/>
      <c r="F21" s="764">
        <f>127+787+121</f>
        <v>1035</v>
      </c>
      <c r="G21" s="764">
        <v>200</v>
      </c>
      <c r="H21" s="764"/>
      <c r="I21" s="756">
        <f t="shared" si="1"/>
        <v>1235</v>
      </c>
    </row>
    <row r="22" spans="1:9" s="344" customFormat="1" ht="13.5" customHeight="1">
      <c r="A22" s="752" t="s">
        <v>31</v>
      </c>
      <c r="B22" s="951" t="s">
        <v>32</v>
      </c>
      <c r="C22" s="951"/>
      <c r="D22" s="951"/>
      <c r="E22" s="951"/>
      <c r="F22" s="753">
        <f>SUM(F23:F27)</f>
        <v>40813</v>
      </c>
      <c r="G22" s="753">
        <f>SUM(G23:G27)</f>
        <v>20465</v>
      </c>
      <c r="H22" s="753">
        <f>SUM(H23:H27)-198</f>
        <v>32774</v>
      </c>
      <c r="I22" s="753">
        <f t="shared" si="1"/>
        <v>94052</v>
      </c>
    </row>
    <row r="23" spans="1:9" ht="12.75" customHeight="1" hidden="1">
      <c r="A23" s="757"/>
      <c r="B23" s="757"/>
      <c r="C23" s="757"/>
      <c r="D23" s="765" t="s">
        <v>21</v>
      </c>
      <c r="E23" s="765" t="s">
        <v>33</v>
      </c>
      <c r="F23" s="758">
        <f>42021-10213+5467+13+15+15+6+116+179+80+53+8</f>
        <v>37760</v>
      </c>
      <c r="G23" s="758">
        <f>23767-5467+36+335</f>
        <v>18671</v>
      </c>
      <c r="H23" s="758">
        <f>31575+26+283</f>
        <v>31884</v>
      </c>
      <c r="I23" s="766">
        <f t="shared" si="1"/>
        <v>88315</v>
      </c>
    </row>
    <row r="24" spans="1:9" ht="12.75" customHeight="1" hidden="1">
      <c r="A24" s="757"/>
      <c r="B24" s="757"/>
      <c r="C24" s="757"/>
      <c r="D24" s="765"/>
      <c r="E24" s="765" t="s">
        <v>34</v>
      </c>
      <c r="F24" s="758">
        <v>2411</v>
      </c>
      <c r="G24" s="758">
        <v>1447</v>
      </c>
      <c r="H24" s="758">
        <v>1061</v>
      </c>
      <c r="I24" s="766">
        <f t="shared" si="1"/>
        <v>4919</v>
      </c>
    </row>
    <row r="25" spans="1:9" ht="12.75" customHeight="1" hidden="1">
      <c r="A25" s="757"/>
      <c r="B25" s="757"/>
      <c r="C25" s="757"/>
      <c r="D25" s="765"/>
      <c r="E25" s="765" t="s">
        <v>35</v>
      </c>
      <c r="F25" s="758">
        <v>73</v>
      </c>
      <c r="G25" s="758">
        <v>102</v>
      </c>
      <c r="H25" s="758"/>
      <c r="I25" s="766">
        <f t="shared" si="1"/>
        <v>175</v>
      </c>
    </row>
    <row r="26" spans="1:9" ht="12.75" customHeight="1" hidden="1">
      <c r="A26" s="757"/>
      <c r="B26" s="757"/>
      <c r="C26" s="757"/>
      <c r="D26" s="765"/>
      <c r="E26" s="765" t="s">
        <v>36</v>
      </c>
      <c r="F26" s="758">
        <f>66+253+39</f>
        <v>358</v>
      </c>
      <c r="G26" s="758">
        <v>154</v>
      </c>
      <c r="H26" s="758">
        <v>16</v>
      </c>
      <c r="I26" s="766">
        <f t="shared" si="1"/>
        <v>528</v>
      </c>
    </row>
    <row r="27" spans="1:9" ht="2.25" customHeight="1" hidden="1">
      <c r="A27" s="757"/>
      <c r="B27" s="757"/>
      <c r="C27" s="757"/>
      <c r="D27" s="765"/>
      <c r="E27" s="765" t="s">
        <v>37</v>
      </c>
      <c r="F27" s="758">
        <f>38+150+23</f>
        <v>211</v>
      </c>
      <c r="G27" s="758">
        <v>91</v>
      </c>
      <c r="H27" s="758">
        <v>11</v>
      </c>
      <c r="I27" s="766">
        <f t="shared" si="1"/>
        <v>313</v>
      </c>
    </row>
    <row r="28" spans="1:9" s="344" customFormat="1" ht="12.75" customHeight="1">
      <c r="A28" s="752" t="s">
        <v>38</v>
      </c>
      <c r="B28" s="951" t="s">
        <v>39</v>
      </c>
      <c r="C28" s="951"/>
      <c r="D28" s="951"/>
      <c r="E28" s="951"/>
      <c r="F28" s="753">
        <f>SUM(F52+F49+F35+F32+F29)</f>
        <v>548694</v>
      </c>
      <c r="G28" s="753">
        <f>SUM(G52+G49+G35+G32+G29)</f>
        <v>27625</v>
      </c>
      <c r="H28" s="753">
        <f>SUM(H52+H49+H35+H32+H29)</f>
        <v>48564</v>
      </c>
      <c r="I28" s="753">
        <f t="shared" si="1"/>
        <v>624883</v>
      </c>
    </row>
    <row r="29" spans="1:9" ht="12.75" customHeight="1" hidden="1">
      <c r="A29" s="754"/>
      <c r="B29" s="754" t="s">
        <v>40</v>
      </c>
      <c r="C29" s="935" t="s">
        <v>41</v>
      </c>
      <c r="D29" s="935"/>
      <c r="E29" s="935"/>
      <c r="F29" s="769">
        <f>SUM(F30:F31)</f>
        <v>88189</v>
      </c>
      <c r="G29" s="769">
        <f>SUM(G30:G31)</f>
        <v>2176</v>
      </c>
      <c r="H29" s="769">
        <f>SUM(H30:H31)</f>
        <v>3026</v>
      </c>
      <c r="I29" s="769">
        <f>SUM(I30:I31)</f>
        <v>93391</v>
      </c>
    </row>
    <row r="30" spans="1:9" ht="12.75" customHeight="1" hidden="1">
      <c r="A30" s="763"/>
      <c r="B30" s="763"/>
      <c r="C30" s="763" t="s">
        <v>42</v>
      </c>
      <c r="D30" s="763" t="s">
        <v>43</v>
      </c>
      <c r="E30" s="763"/>
      <c r="F30" s="764">
        <f>10083-4808+296</f>
        <v>5571</v>
      </c>
      <c r="G30" s="764">
        <v>200</v>
      </c>
      <c r="H30" s="767">
        <v>691</v>
      </c>
      <c r="I30" s="768">
        <f>SUM(F30:H30)</f>
        <v>6462</v>
      </c>
    </row>
    <row r="31" spans="1:9" ht="12.75" customHeight="1" hidden="1">
      <c r="A31" s="763"/>
      <c r="B31" s="763"/>
      <c r="C31" s="763" t="s">
        <v>44</v>
      </c>
      <c r="D31" s="763" t="s">
        <v>45</v>
      </c>
      <c r="E31" s="763"/>
      <c r="F31" s="764">
        <f>76136-2346+1251+4020+15+3458+8+76</f>
        <v>82618</v>
      </c>
      <c r="G31" s="764">
        <v>1976</v>
      </c>
      <c r="H31" s="767">
        <v>2335</v>
      </c>
      <c r="I31" s="768">
        <f>SUM(F31:H31)</f>
        <v>86929</v>
      </c>
    </row>
    <row r="32" spans="1:9" ht="12.75" customHeight="1" hidden="1">
      <c r="A32" s="754"/>
      <c r="B32" s="754" t="s">
        <v>46</v>
      </c>
      <c r="C32" s="935" t="s">
        <v>47</v>
      </c>
      <c r="D32" s="935"/>
      <c r="E32" s="935"/>
      <c r="F32" s="769">
        <f>SUM(F33:F34)</f>
        <v>2624</v>
      </c>
      <c r="G32" s="769">
        <f>SUM(G33:G34)</f>
        <v>3837</v>
      </c>
      <c r="H32" s="769">
        <f>SUM(H33:H34)</f>
        <v>407</v>
      </c>
      <c r="I32" s="769">
        <f>SUM(I33:I34)</f>
        <v>6868</v>
      </c>
    </row>
    <row r="33" spans="1:9" ht="12.75" customHeight="1" hidden="1">
      <c r="A33" s="763"/>
      <c r="B33" s="763"/>
      <c r="C33" s="763" t="s">
        <v>48</v>
      </c>
      <c r="D33" s="763" t="s">
        <v>49</v>
      </c>
      <c r="E33" s="763"/>
      <c r="F33" s="764">
        <v>1744</v>
      </c>
      <c r="G33" s="764">
        <v>2457</v>
      </c>
      <c r="H33" s="764">
        <v>120</v>
      </c>
      <c r="I33" s="766">
        <f>SUM(F33:H33)</f>
        <v>4321</v>
      </c>
    </row>
    <row r="34" spans="1:9" ht="12.75" customHeight="1" hidden="1">
      <c r="A34" s="763"/>
      <c r="B34" s="763"/>
      <c r="C34" s="763" t="s">
        <v>50</v>
      </c>
      <c r="D34" s="763" t="s">
        <v>51</v>
      </c>
      <c r="E34" s="763"/>
      <c r="F34" s="764">
        <v>880</v>
      </c>
      <c r="G34" s="764">
        <v>1380</v>
      </c>
      <c r="H34" s="764">
        <v>287</v>
      </c>
      <c r="I34" s="766">
        <f>SUM(F34:H34)</f>
        <v>2547</v>
      </c>
    </row>
    <row r="35" spans="1:9" ht="12.75" customHeight="1" hidden="1">
      <c r="A35" s="754"/>
      <c r="B35" s="754" t="s">
        <v>52</v>
      </c>
      <c r="C35" s="935" t="s">
        <v>53</v>
      </c>
      <c r="D35" s="935"/>
      <c r="E35" s="935"/>
      <c r="F35" s="769">
        <f>SUM(F36+F41+F42+F43+F44+F46+F47)</f>
        <v>123200</v>
      </c>
      <c r="G35" s="769">
        <f>SUM(G36+G41+G42+G43+G44+G46+G47)</f>
        <v>16387</v>
      </c>
      <c r="H35" s="769">
        <f>SUM(H36+H41+H42+H43+H44+H46+H47)</f>
        <v>34622</v>
      </c>
      <c r="I35" s="769">
        <f>SUM(I36+I41+I42+I43+I44+I46+I47)</f>
        <v>174209</v>
      </c>
    </row>
    <row r="36" spans="1:9" ht="12.75" customHeight="1" hidden="1">
      <c r="A36" s="763"/>
      <c r="B36" s="763"/>
      <c r="C36" s="763" t="s">
        <v>54</v>
      </c>
      <c r="D36" s="763" t="s">
        <v>55</v>
      </c>
      <c r="E36" s="763"/>
      <c r="F36" s="764">
        <f>SUM(F37:F40)</f>
        <v>36899</v>
      </c>
      <c r="G36" s="764">
        <f>SUM(G37:G40)</f>
        <v>3193</v>
      </c>
      <c r="H36" s="764">
        <v>6867</v>
      </c>
      <c r="I36" s="766">
        <f>SUM(F36:H36)</f>
        <v>46959</v>
      </c>
    </row>
    <row r="37" spans="1:9" ht="12.75" customHeight="1" hidden="1">
      <c r="A37" s="757"/>
      <c r="B37" s="757"/>
      <c r="C37" s="757"/>
      <c r="D37" s="765" t="s">
        <v>21</v>
      </c>
      <c r="E37" s="765" t="s">
        <v>56</v>
      </c>
      <c r="F37" s="758">
        <f>18358+138+1377+78+100</f>
        <v>20051</v>
      </c>
      <c r="G37" s="758">
        <v>1528</v>
      </c>
      <c r="H37" s="823"/>
      <c r="I37" s="824">
        <f aca="true" t="shared" si="2" ref="I37:I48">SUM(F37:H37)</f>
        <v>21579</v>
      </c>
    </row>
    <row r="38" spans="1:9" ht="12.75" customHeight="1" hidden="1">
      <c r="A38" s="757"/>
      <c r="B38" s="757"/>
      <c r="C38" s="757"/>
      <c r="D38" s="765"/>
      <c r="E38" s="765" t="s">
        <v>57</v>
      </c>
      <c r="F38" s="758">
        <f>14102+100</f>
        <v>14202</v>
      </c>
      <c r="G38" s="758">
        <v>1465</v>
      </c>
      <c r="H38" s="823"/>
      <c r="I38" s="824">
        <f t="shared" si="2"/>
        <v>15667</v>
      </c>
    </row>
    <row r="39" spans="1:9" ht="12.75" customHeight="1" hidden="1">
      <c r="A39" s="757"/>
      <c r="B39" s="757"/>
      <c r="C39" s="757"/>
      <c r="D39" s="765"/>
      <c r="E39" s="765" t="s">
        <v>58</v>
      </c>
      <c r="F39" s="758">
        <v>300</v>
      </c>
      <c r="G39" s="758"/>
      <c r="H39" s="823"/>
      <c r="I39" s="824">
        <f t="shared" si="2"/>
        <v>300</v>
      </c>
    </row>
    <row r="40" spans="1:9" ht="12.75" customHeight="1" hidden="1">
      <c r="A40" s="757"/>
      <c r="B40" s="757"/>
      <c r="C40" s="757"/>
      <c r="D40" s="765"/>
      <c r="E40" s="765" t="s">
        <v>59</v>
      </c>
      <c r="F40" s="758">
        <v>2346</v>
      </c>
      <c r="G40" s="758">
        <v>200</v>
      </c>
      <c r="H40" s="823"/>
      <c r="I40" s="824">
        <f t="shared" si="2"/>
        <v>2546</v>
      </c>
    </row>
    <row r="41" spans="1:9" ht="12.75" customHeight="1" hidden="1">
      <c r="A41" s="763"/>
      <c r="B41" s="763"/>
      <c r="C41" s="763" t="s">
        <v>60</v>
      </c>
      <c r="D41" s="763" t="s">
        <v>61</v>
      </c>
      <c r="E41" s="763"/>
      <c r="F41" s="764">
        <f>287-227</f>
        <v>60</v>
      </c>
      <c r="G41" s="764">
        <v>0</v>
      </c>
      <c r="H41" s="764">
        <v>26047</v>
      </c>
      <c r="I41" s="766">
        <f t="shared" si="2"/>
        <v>26107</v>
      </c>
    </row>
    <row r="42" spans="1:9" ht="12.75" customHeight="1" hidden="1">
      <c r="A42" s="763"/>
      <c r="B42" s="763"/>
      <c r="C42" s="763" t="s">
        <v>62</v>
      </c>
      <c r="D42" s="763" t="s">
        <v>63</v>
      </c>
      <c r="E42" s="763"/>
      <c r="F42" s="764">
        <f>917+167</f>
        <v>1084</v>
      </c>
      <c r="G42" s="764">
        <v>1591</v>
      </c>
      <c r="H42" s="764">
        <v>0</v>
      </c>
      <c r="I42" s="766">
        <f t="shared" si="2"/>
        <v>2675</v>
      </c>
    </row>
    <row r="43" spans="1:9" ht="12.75" customHeight="1" hidden="1">
      <c r="A43" s="763"/>
      <c r="B43" s="763"/>
      <c r="C43" s="763" t="s">
        <v>64</v>
      </c>
      <c r="D43" s="763" t="s">
        <v>65</v>
      </c>
      <c r="E43" s="763"/>
      <c r="F43" s="764">
        <f>2500+100</f>
        <v>2600</v>
      </c>
      <c r="G43" s="764">
        <v>395</v>
      </c>
      <c r="H43" s="764">
        <f>261+61</f>
        <v>322</v>
      </c>
      <c r="I43" s="766">
        <f t="shared" si="2"/>
        <v>3317</v>
      </c>
    </row>
    <row r="44" spans="1:9" ht="12.75" customHeight="1" hidden="1">
      <c r="A44" s="763"/>
      <c r="B44" s="763"/>
      <c r="C44" s="763" t="s">
        <v>66</v>
      </c>
      <c r="D44" s="763" t="s">
        <v>67</v>
      </c>
      <c r="E44" s="763"/>
      <c r="F44" s="764">
        <f>3242+38</f>
        <v>3280</v>
      </c>
      <c r="G44" s="764">
        <v>6267</v>
      </c>
      <c r="H44" s="764">
        <v>0</v>
      </c>
      <c r="I44" s="766">
        <f t="shared" si="2"/>
        <v>9547</v>
      </c>
    </row>
    <row r="45" spans="1:9" ht="12.75" customHeight="1" hidden="1">
      <c r="A45" s="757"/>
      <c r="B45" s="757"/>
      <c r="C45" s="757"/>
      <c r="D45" s="765" t="s">
        <v>21</v>
      </c>
      <c r="E45" s="765" t="s">
        <v>68</v>
      </c>
      <c r="F45" s="762">
        <v>2292</v>
      </c>
      <c r="G45" s="762">
        <v>3967</v>
      </c>
      <c r="H45" s="758">
        <v>0</v>
      </c>
      <c r="I45" s="766">
        <f t="shared" si="2"/>
        <v>6259</v>
      </c>
    </row>
    <row r="46" spans="1:9" ht="12.75" customHeight="1" hidden="1">
      <c r="A46" s="763"/>
      <c r="B46" s="763"/>
      <c r="C46" s="763" t="s">
        <v>69</v>
      </c>
      <c r="D46" s="763" t="s">
        <v>70</v>
      </c>
      <c r="E46" s="763"/>
      <c r="F46" s="764">
        <f>53303-1540-118+3000+205+548-183</f>
        <v>55215</v>
      </c>
      <c r="G46" s="764">
        <v>1075</v>
      </c>
      <c r="H46" s="764">
        <v>349</v>
      </c>
      <c r="I46" s="766">
        <f t="shared" si="2"/>
        <v>56639</v>
      </c>
    </row>
    <row r="47" spans="1:9" ht="12.75" customHeight="1" hidden="1">
      <c r="A47" s="763"/>
      <c r="B47" s="763"/>
      <c r="C47" s="763" t="s">
        <v>71</v>
      </c>
      <c r="D47" s="763" t="s">
        <v>72</v>
      </c>
      <c r="E47" s="763"/>
      <c r="F47" s="764">
        <f>23160+581+5+2+14+300</f>
        <v>24062</v>
      </c>
      <c r="G47" s="764">
        <v>3866</v>
      </c>
      <c r="H47" s="764">
        <v>1037</v>
      </c>
      <c r="I47" s="766">
        <f t="shared" si="2"/>
        <v>28965</v>
      </c>
    </row>
    <row r="48" spans="1:9" ht="12.75" customHeight="1" hidden="1">
      <c r="A48" s="757"/>
      <c r="B48" s="757"/>
      <c r="C48" s="757"/>
      <c r="D48" s="765" t="s">
        <v>21</v>
      </c>
      <c r="E48" s="765" t="s">
        <v>22</v>
      </c>
      <c r="F48" s="762">
        <f>731+14</f>
        <v>745</v>
      </c>
      <c r="G48" s="762">
        <v>0</v>
      </c>
      <c r="H48" s="758">
        <v>0</v>
      </c>
      <c r="I48" s="766">
        <f t="shared" si="2"/>
        <v>745</v>
      </c>
    </row>
    <row r="49" spans="1:9" ht="12.75" customHeight="1" hidden="1">
      <c r="A49" s="754"/>
      <c r="B49" s="754" t="s">
        <v>73</v>
      </c>
      <c r="C49" s="935" t="s">
        <v>74</v>
      </c>
      <c r="D49" s="935"/>
      <c r="E49" s="935"/>
      <c r="F49" s="769">
        <f>SUM(F50:F51)</f>
        <v>677</v>
      </c>
      <c r="G49" s="769">
        <f>SUM(G50:G51)</f>
        <v>400</v>
      </c>
      <c r="H49" s="769">
        <f>SUM(H50:H51)</f>
        <v>90</v>
      </c>
      <c r="I49" s="769">
        <f>SUM(I50:I51)</f>
        <v>1167</v>
      </c>
    </row>
    <row r="50" spans="1:9" ht="12.75" customHeight="1" hidden="1">
      <c r="A50" s="763"/>
      <c r="B50" s="763"/>
      <c r="C50" s="763" t="s">
        <v>75</v>
      </c>
      <c r="D50" s="763" t="s">
        <v>76</v>
      </c>
      <c r="E50" s="763"/>
      <c r="F50" s="764">
        <f>230+250</f>
        <v>480</v>
      </c>
      <c r="G50" s="764">
        <v>400</v>
      </c>
      <c r="H50" s="764">
        <v>90</v>
      </c>
      <c r="I50" s="766">
        <f>SUM(F50:H50)</f>
        <v>970</v>
      </c>
    </row>
    <row r="51" spans="1:9" ht="12.75" customHeight="1" hidden="1">
      <c r="A51" s="763"/>
      <c r="B51" s="763"/>
      <c r="C51" s="763" t="s">
        <v>77</v>
      </c>
      <c r="D51" s="763" t="s">
        <v>78</v>
      </c>
      <c r="E51" s="763"/>
      <c r="F51" s="764">
        <f>79+118</f>
        <v>197</v>
      </c>
      <c r="G51" s="764">
        <v>0</v>
      </c>
      <c r="H51" s="764">
        <v>0</v>
      </c>
      <c r="I51" s="766">
        <f>SUM(F51:H51)</f>
        <v>197</v>
      </c>
    </row>
    <row r="52" spans="1:9" ht="12.75" customHeight="1" hidden="1">
      <c r="A52" s="754"/>
      <c r="B52" s="754" t="s">
        <v>79</v>
      </c>
      <c r="C52" s="935" t="s">
        <v>80</v>
      </c>
      <c r="D52" s="935"/>
      <c r="E52" s="935"/>
      <c r="F52" s="769">
        <f>SUM(F53:F55)</f>
        <v>334004</v>
      </c>
      <c r="G52" s="769">
        <f>SUM(G53:G55)</f>
        <v>4825</v>
      </c>
      <c r="H52" s="769">
        <f>SUM(H53:H55)</f>
        <v>10419</v>
      </c>
      <c r="I52" s="769">
        <f>SUM(I53:I55)</f>
        <v>349248</v>
      </c>
    </row>
    <row r="53" spans="1:9" ht="12.75" customHeight="1" hidden="1">
      <c r="A53" s="763"/>
      <c r="B53" s="763"/>
      <c r="C53" s="763" t="s">
        <v>81</v>
      </c>
      <c r="D53" s="763" t="s">
        <v>82</v>
      </c>
      <c r="E53" s="763"/>
      <c r="F53" s="764">
        <f>45457-2409+32-32+338+1179+1085+181+31+1592+27</f>
        <v>47481</v>
      </c>
      <c r="G53" s="764">
        <v>4175</v>
      </c>
      <c r="H53" s="764">
        <f>10303+16</f>
        <v>10319</v>
      </c>
      <c r="I53" s="766">
        <f>SUM(F53:H53)</f>
        <v>61975</v>
      </c>
    </row>
    <row r="54" spans="1:9" ht="12.75" customHeight="1" hidden="1">
      <c r="A54" s="763"/>
      <c r="B54" s="763"/>
      <c r="C54" s="763" t="s">
        <v>83</v>
      </c>
      <c r="D54" s="763" t="s">
        <v>84</v>
      </c>
      <c r="E54" s="763"/>
      <c r="F54" s="764">
        <v>284708</v>
      </c>
      <c r="G54" s="764">
        <v>0</v>
      </c>
      <c r="H54" s="764">
        <v>0</v>
      </c>
      <c r="I54" s="766">
        <f>SUM(F54:H54)</f>
        <v>284708</v>
      </c>
    </row>
    <row r="55" spans="1:9" ht="12.75" customHeight="1" hidden="1">
      <c r="A55" s="763"/>
      <c r="B55" s="763"/>
      <c r="C55" s="763" t="s">
        <v>85</v>
      </c>
      <c r="D55" s="763" t="s">
        <v>86</v>
      </c>
      <c r="E55" s="763"/>
      <c r="F55" s="764">
        <f>1495+50+269+1</f>
        <v>1815</v>
      </c>
      <c r="G55" s="764">
        <v>650</v>
      </c>
      <c r="H55" s="764">
        <v>100</v>
      </c>
      <c r="I55" s="766">
        <f>SUM(F55:H55)</f>
        <v>2565</v>
      </c>
    </row>
    <row r="56" spans="1:9" s="344" customFormat="1" ht="12.75">
      <c r="A56" s="752" t="s">
        <v>87</v>
      </c>
      <c r="B56" s="951" t="s">
        <v>88</v>
      </c>
      <c r="C56" s="951"/>
      <c r="D56" s="951"/>
      <c r="E56" s="951"/>
      <c r="F56" s="753">
        <f>SUM(F71+F70+F68+F66+F63+F62+F58+F57)</f>
        <v>2800</v>
      </c>
      <c r="G56" s="753">
        <f>SUM(G71+G70+G68+G66+G63+G62+G58+G57)</f>
        <v>57369</v>
      </c>
      <c r="H56" s="753">
        <f>SUM(H71+H70+H68+H66+H63+H62+H58+H57)</f>
        <v>0</v>
      </c>
      <c r="I56" s="753">
        <f>SUM(F56:H56)</f>
        <v>60169</v>
      </c>
    </row>
    <row r="57" spans="1:9" ht="12.75">
      <c r="A57" s="754"/>
      <c r="B57" s="754" t="s">
        <v>89</v>
      </c>
      <c r="C57" s="943" t="s">
        <v>90</v>
      </c>
      <c r="D57" s="944"/>
      <c r="E57" s="945"/>
      <c r="F57" s="755">
        <v>0</v>
      </c>
      <c r="G57" s="755">
        <v>0</v>
      </c>
      <c r="H57" s="755">
        <v>0</v>
      </c>
      <c r="I57" s="756">
        <f>SUM(F57:H57)</f>
        <v>0</v>
      </c>
    </row>
    <row r="58" spans="1:9" ht="12.75">
      <c r="A58" s="754"/>
      <c r="B58" s="754" t="s">
        <v>91</v>
      </c>
      <c r="C58" s="935" t="s">
        <v>92</v>
      </c>
      <c r="D58" s="935"/>
      <c r="E58" s="935"/>
      <c r="F58" s="755">
        <f>SUM(F59:F61)</f>
        <v>0</v>
      </c>
      <c r="G58" s="755">
        <f>SUM(G59:G61)</f>
        <v>12626</v>
      </c>
      <c r="H58" s="755">
        <f>SUM(H59:H61)</f>
        <v>0</v>
      </c>
      <c r="I58" s="756">
        <f aca="true" t="shared" si="3" ref="I58:I75">SUM(F58:H58)</f>
        <v>12626</v>
      </c>
    </row>
    <row r="59" spans="1:9" ht="12.75">
      <c r="A59" s="763"/>
      <c r="B59" s="763"/>
      <c r="C59" s="763"/>
      <c r="D59" s="947" t="s">
        <v>93</v>
      </c>
      <c r="E59" s="948"/>
      <c r="F59" s="764">
        <v>0</v>
      </c>
      <c r="G59" s="764">
        <v>12000</v>
      </c>
      <c r="H59" s="764">
        <v>0</v>
      </c>
      <c r="I59" s="756">
        <f t="shared" si="3"/>
        <v>12000</v>
      </c>
    </row>
    <row r="60" spans="1:9" ht="19.5" customHeight="1">
      <c r="A60" s="763"/>
      <c r="B60" s="763"/>
      <c r="C60" s="763"/>
      <c r="D60" s="949" t="s">
        <v>94</v>
      </c>
      <c r="E60" s="950"/>
      <c r="F60" s="764">
        <v>0</v>
      </c>
      <c r="G60" s="764">
        <v>276</v>
      </c>
      <c r="H60" s="764">
        <v>0</v>
      </c>
      <c r="I60" s="756">
        <f t="shared" si="3"/>
        <v>276</v>
      </c>
    </row>
    <row r="61" spans="1:9" ht="12.75">
      <c r="A61" s="763"/>
      <c r="B61" s="763"/>
      <c r="C61" s="763"/>
      <c r="D61" s="947" t="s">
        <v>847</v>
      </c>
      <c r="E61" s="948"/>
      <c r="F61" s="764">
        <v>0</v>
      </c>
      <c r="G61" s="764">
        <v>350</v>
      </c>
      <c r="H61" s="764">
        <v>0</v>
      </c>
      <c r="I61" s="756">
        <f t="shared" si="3"/>
        <v>350</v>
      </c>
    </row>
    <row r="62" spans="1:9" ht="12.75">
      <c r="A62" s="754"/>
      <c r="B62" s="754" t="s">
        <v>281</v>
      </c>
      <c r="C62" s="935" t="s">
        <v>282</v>
      </c>
      <c r="D62" s="935"/>
      <c r="E62" s="935"/>
      <c r="F62" s="755">
        <v>0</v>
      </c>
      <c r="G62" s="755">
        <v>15</v>
      </c>
      <c r="H62" s="755">
        <v>0</v>
      </c>
      <c r="I62" s="756">
        <f t="shared" si="3"/>
        <v>15</v>
      </c>
    </row>
    <row r="63" spans="1:9" ht="12.75">
      <c r="A63" s="754"/>
      <c r="B63" s="754" t="s">
        <v>283</v>
      </c>
      <c r="C63" s="943" t="s">
        <v>284</v>
      </c>
      <c r="D63" s="944"/>
      <c r="E63" s="945"/>
      <c r="F63" s="755">
        <f>SUM(F64:F65)</f>
        <v>0</v>
      </c>
      <c r="G63" s="755">
        <f>SUM(G64:G65)</f>
        <v>0</v>
      </c>
      <c r="H63" s="755">
        <f>SUM(H64:H65)</f>
        <v>0</v>
      </c>
      <c r="I63" s="756">
        <f t="shared" si="3"/>
        <v>0</v>
      </c>
    </row>
    <row r="64" spans="1:9" ht="23.25" customHeight="1">
      <c r="A64" s="763"/>
      <c r="B64" s="763"/>
      <c r="C64" s="763"/>
      <c r="D64" s="949" t="s">
        <v>285</v>
      </c>
      <c r="E64" s="950"/>
      <c r="F64" s="764">
        <v>0</v>
      </c>
      <c r="G64" s="764">
        <v>0</v>
      </c>
      <c r="H64" s="764">
        <v>0</v>
      </c>
      <c r="I64" s="756">
        <f t="shared" si="3"/>
        <v>0</v>
      </c>
    </row>
    <row r="65" spans="1:9" ht="12.75">
      <c r="A65" s="763"/>
      <c r="B65" s="763"/>
      <c r="C65" s="763"/>
      <c r="D65" s="947" t="s">
        <v>286</v>
      </c>
      <c r="E65" s="948"/>
      <c r="F65" s="764">
        <v>0</v>
      </c>
      <c r="G65" s="764">
        <v>0</v>
      </c>
      <c r="H65" s="764">
        <v>0</v>
      </c>
      <c r="I65" s="756">
        <f t="shared" si="3"/>
        <v>0</v>
      </c>
    </row>
    <row r="66" spans="1:9" ht="12.75">
      <c r="A66" s="754"/>
      <c r="B66" s="754" t="s">
        <v>287</v>
      </c>
      <c r="C66" s="943" t="s">
        <v>288</v>
      </c>
      <c r="D66" s="944"/>
      <c r="E66" s="945"/>
      <c r="F66" s="755">
        <f>SUM(F67)</f>
        <v>0</v>
      </c>
      <c r="G66" s="755">
        <f>SUM(G67)</f>
        <v>24863</v>
      </c>
      <c r="H66" s="755">
        <f>SUM(H67)</f>
        <v>0</v>
      </c>
      <c r="I66" s="756">
        <f t="shared" si="3"/>
        <v>24863</v>
      </c>
    </row>
    <row r="67" spans="1:9" ht="12.75">
      <c r="A67" s="763"/>
      <c r="B67" s="763"/>
      <c r="C67" s="763"/>
      <c r="D67" s="947" t="s">
        <v>289</v>
      </c>
      <c r="E67" s="948"/>
      <c r="F67" s="764">
        <v>0</v>
      </c>
      <c r="G67" s="764">
        <f>23940+923</f>
        <v>24863</v>
      </c>
      <c r="H67" s="764">
        <v>0</v>
      </c>
      <c r="I67" s="756">
        <f t="shared" si="3"/>
        <v>24863</v>
      </c>
    </row>
    <row r="68" spans="1:9" ht="12.75">
      <c r="A68" s="754"/>
      <c r="B68" s="754" t="s">
        <v>290</v>
      </c>
      <c r="C68" s="943" t="s">
        <v>291</v>
      </c>
      <c r="D68" s="944"/>
      <c r="E68" s="945"/>
      <c r="F68" s="755">
        <f>SUM(F69)</f>
        <v>0</v>
      </c>
      <c r="G68" s="755">
        <f>SUM(G69)</f>
        <v>14669</v>
      </c>
      <c r="H68" s="755">
        <f>SUM(H69)</f>
        <v>0</v>
      </c>
      <c r="I68" s="756">
        <f t="shared" si="3"/>
        <v>14669</v>
      </c>
    </row>
    <row r="69" spans="1:9" ht="12.75">
      <c r="A69" s="763"/>
      <c r="B69" s="763"/>
      <c r="C69" s="763"/>
      <c r="D69" s="947" t="s">
        <v>292</v>
      </c>
      <c r="E69" s="948"/>
      <c r="F69" s="764">
        <v>0</v>
      </c>
      <c r="G69" s="764">
        <v>14669</v>
      </c>
      <c r="H69" s="764">
        <v>0</v>
      </c>
      <c r="I69" s="756">
        <f t="shared" si="3"/>
        <v>14669</v>
      </c>
    </row>
    <row r="70" spans="1:9" ht="12.75">
      <c r="A70" s="754"/>
      <c r="B70" s="754" t="s">
        <v>293</v>
      </c>
      <c r="C70" s="935" t="s">
        <v>95</v>
      </c>
      <c r="D70" s="935"/>
      <c r="E70" s="935"/>
      <c r="F70" s="755">
        <v>0</v>
      </c>
      <c r="G70" s="755">
        <v>0</v>
      </c>
      <c r="H70" s="755">
        <v>0</v>
      </c>
      <c r="I70" s="756">
        <f t="shared" si="3"/>
        <v>0</v>
      </c>
    </row>
    <row r="71" spans="1:9" ht="12.75">
      <c r="A71" s="754"/>
      <c r="B71" s="754" t="s">
        <v>294</v>
      </c>
      <c r="C71" s="943" t="s">
        <v>295</v>
      </c>
      <c r="D71" s="944"/>
      <c r="E71" s="945"/>
      <c r="F71" s="755">
        <f>SUM(F72:F75)</f>
        <v>2800</v>
      </c>
      <c r="G71" s="755">
        <f>SUM(G72:G75)</f>
        <v>5196</v>
      </c>
      <c r="H71" s="755">
        <f>SUM(H72:H75)</f>
        <v>0</v>
      </c>
      <c r="I71" s="756">
        <f t="shared" si="3"/>
        <v>7996</v>
      </c>
    </row>
    <row r="72" spans="1:9" ht="12.75">
      <c r="A72" s="763"/>
      <c r="B72" s="763"/>
      <c r="C72" s="763"/>
      <c r="D72" s="947" t="s">
        <v>1024</v>
      </c>
      <c r="E72" s="948"/>
      <c r="F72" s="764">
        <v>0</v>
      </c>
      <c r="G72" s="764">
        <f>3019+1657</f>
        <v>4676</v>
      </c>
      <c r="H72" s="764">
        <v>0</v>
      </c>
      <c r="I72" s="756">
        <f t="shared" si="3"/>
        <v>4676</v>
      </c>
    </row>
    <row r="73" spans="1:9" ht="12.75">
      <c r="A73" s="763"/>
      <c r="B73" s="763"/>
      <c r="C73" s="763"/>
      <c r="D73" s="947" t="s">
        <v>952</v>
      </c>
      <c r="E73" s="948"/>
      <c r="F73" s="764">
        <v>0</v>
      </c>
      <c r="G73" s="764">
        <v>520</v>
      </c>
      <c r="H73" s="764">
        <v>0</v>
      </c>
      <c r="I73" s="756">
        <f t="shared" si="3"/>
        <v>520</v>
      </c>
    </row>
    <row r="74" spans="1:9" ht="12.75">
      <c r="A74" s="763"/>
      <c r="B74" s="763"/>
      <c r="C74" s="763"/>
      <c r="D74" s="947" t="s">
        <v>296</v>
      </c>
      <c r="E74" s="948"/>
      <c r="F74" s="764">
        <v>1500</v>
      </c>
      <c r="G74" s="764">
        <v>0</v>
      </c>
      <c r="H74" s="764">
        <v>0</v>
      </c>
      <c r="I74" s="756">
        <f t="shared" si="3"/>
        <v>1500</v>
      </c>
    </row>
    <row r="75" spans="1:9" s="344" customFormat="1" ht="12.75">
      <c r="A75" s="763"/>
      <c r="B75" s="763"/>
      <c r="C75" s="763"/>
      <c r="D75" s="947" t="s">
        <v>297</v>
      </c>
      <c r="E75" s="948"/>
      <c r="F75" s="764">
        <v>1300</v>
      </c>
      <c r="G75" s="764">
        <v>0</v>
      </c>
      <c r="H75" s="764">
        <v>0</v>
      </c>
      <c r="I75" s="756">
        <f t="shared" si="3"/>
        <v>1300</v>
      </c>
    </row>
    <row r="76" spans="1:9" ht="11.25" customHeight="1">
      <c r="A76" s="752" t="s">
        <v>298</v>
      </c>
      <c r="B76" s="932" t="s">
        <v>299</v>
      </c>
      <c r="C76" s="933"/>
      <c r="D76" s="933"/>
      <c r="E76" s="934"/>
      <c r="F76" s="753">
        <f>SUM(F111+F100+F98+F97+F94+F93+F82+F81+F80+F79+F77+F78)</f>
        <v>297027</v>
      </c>
      <c r="G76" s="753">
        <f>SUM(G111+G100+G98+G97+G94+G93+G82+G81+G80+G79+G77+G78)</f>
        <v>3234</v>
      </c>
      <c r="H76" s="753">
        <f>SUM(H111+H100+H98+H97+H94+H93+H82+H81+H80+H79+H77+H78)</f>
        <v>9549</v>
      </c>
      <c r="I76" s="753">
        <f>SUM(F76:H76)</f>
        <v>309810</v>
      </c>
    </row>
    <row r="77" spans="1:9" ht="0.75" customHeight="1" hidden="1">
      <c r="A77" s="763"/>
      <c r="B77" s="763"/>
      <c r="C77" s="763" t="s">
        <v>300</v>
      </c>
      <c r="D77" s="763" t="s">
        <v>301</v>
      </c>
      <c r="E77" s="763"/>
      <c r="F77" s="764">
        <v>0</v>
      </c>
      <c r="G77" s="764">
        <v>0</v>
      </c>
      <c r="H77" s="764">
        <v>0</v>
      </c>
      <c r="I77" s="766">
        <f>SUM(F77:H77)</f>
        <v>0</v>
      </c>
    </row>
    <row r="78" spans="1:9" ht="12.75" customHeight="1" hidden="1">
      <c r="A78" s="763"/>
      <c r="B78" s="763"/>
      <c r="C78" s="763" t="s">
        <v>302</v>
      </c>
      <c r="D78" s="763" t="s">
        <v>303</v>
      </c>
      <c r="E78" s="763"/>
      <c r="F78" s="764">
        <f>13962+18</f>
        <v>13980</v>
      </c>
      <c r="G78" s="764">
        <v>3234</v>
      </c>
      <c r="H78" s="764">
        <v>9549</v>
      </c>
      <c r="I78" s="766">
        <f aca="true" t="shared" si="4" ref="I78:I119">SUM(F78:H78)</f>
        <v>26763</v>
      </c>
    </row>
    <row r="79" spans="1:9" ht="21.75" customHeight="1" hidden="1">
      <c r="A79" s="763"/>
      <c r="B79" s="763"/>
      <c r="C79" s="763" t="s">
        <v>304</v>
      </c>
      <c r="D79" s="941" t="s">
        <v>305</v>
      </c>
      <c r="E79" s="942"/>
      <c r="F79" s="764">
        <v>0</v>
      </c>
      <c r="G79" s="764">
        <v>0</v>
      </c>
      <c r="H79" s="764">
        <v>0</v>
      </c>
      <c r="I79" s="766">
        <f t="shared" si="4"/>
        <v>0</v>
      </c>
    </row>
    <row r="80" spans="1:9" ht="23.25" customHeight="1" hidden="1">
      <c r="A80" s="763"/>
      <c r="B80" s="763"/>
      <c r="C80" s="763" t="s">
        <v>306</v>
      </c>
      <c r="D80" s="941" t="s">
        <v>307</v>
      </c>
      <c r="E80" s="942"/>
      <c r="F80" s="764">
        <v>0</v>
      </c>
      <c r="G80" s="764">
        <v>0</v>
      </c>
      <c r="H80" s="764">
        <v>0</v>
      </c>
      <c r="I80" s="766">
        <f t="shared" si="4"/>
        <v>0</v>
      </c>
    </row>
    <row r="81" spans="1:9" ht="24" customHeight="1" hidden="1">
      <c r="A81" s="763"/>
      <c r="B81" s="763"/>
      <c r="C81" s="763" t="s">
        <v>328</v>
      </c>
      <c r="D81" s="941" t="s">
        <v>329</v>
      </c>
      <c r="E81" s="942"/>
      <c r="F81" s="764">
        <v>0</v>
      </c>
      <c r="G81" s="764">
        <v>0</v>
      </c>
      <c r="H81" s="764">
        <v>0</v>
      </c>
      <c r="I81" s="766">
        <f t="shared" si="4"/>
        <v>0</v>
      </c>
    </row>
    <row r="82" spans="1:9" ht="13.5" customHeight="1" hidden="1">
      <c r="A82" s="763"/>
      <c r="B82" s="763"/>
      <c r="C82" s="763" t="s">
        <v>330</v>
      </c>
      <c r="D82" s="941" t="s">
        <v>331</v>
      </c>
      <c r="E82" s="942"/>
      <c r="F82" s="764">
        <f>SUM(F83:F92)</f>
        <v>436</v>
      </c>
      <c r="G82" s="764">
        <f>SUM(G83:G92)</f>
        <v>0</v>
      </c>
      <c r="H82" s="764">
        <f>SUM(H83:H92)</f>
        <v>0</v>
      </c>
      <c r="I82" s="766">
        <f t="shared" si="4"/>
        <v>436</v>
      </c>
    </row>
    <row r="83" spans="1:9" ht="12.75" customHeight="1" hidden="1">
      <c r="A83" s="770"/>
      <c r="B83" s="770"/>
      <c r="C83" s="765" t="s">
        <v>21</v>
      </c>
      <c r="D83" s="765" t="s">
        <v>308</v>
      </c>
      <c r="E83" s="765" t="s">
        <v>309</v>
      </c>
      <c r="F83" s="771">
        <v>0</v>
      </c>
      <c r="G83" s="771">
        <v>0</v>
      </c>
      <c r="H83" s="771">
        <v>0</v>
      </c>
      <c r="I83" s="766">
        <f t="shared" si="4"/>
        <v>0</v>
      </c>
    </row>
    <row r="84" spans="1:9" ht="12.75" customHeight="1" hidden="1">
      <c r="A84" s="770"/>
      <c r="B84" s="770"/>
      <c r="C84" s="765"/>
      <c r="D84" s="765" t="s">
        <v>310</v>
      </c>
      <c r="E84" s="765" t="s">
        <v>311</v>
      </c>
      <c r="F84" s="771">
        <v>0</v>
      </c>
      <c r="G84" s="771">
        <v>0</v>
      </c>
      <c r="H84" s="771">
        <v>0</v>
      </c>
      <c r="I84" s="766">
        <f t="shared" si="4"/>
        <v>0</v>
      </c>
    </row>
    <row r="85" spans="1:9" ht="12.75" customHeight="1" hidden="1">
      <c r="A85" s="770"/>
      <c r="B85" s="770"/>
      <c r="C85" s="765"/>
      <c r="D85" s="765" t="s">
        <v>312</v>
      </c>
      <c r="E85" s="765" t="s">
        <v>313</v>
      </c>
      <c r="F85" s="771">
        <v>0</v>
      </c>
      <c r="G85" s="771">
        <v>0</v>
      </c>
      <c r="H85" s="771">
        <v>0</v>
      </c>
      <c r="I85" s="766">
        <f t="shared" si="4"/>
        <v>0</v>
      </c>
    </row>
    <row r="86" spans="1:9" ht="12.75" customHeight="1" hidden="1">
      <c r="A86" s="770"/>
      <c r="B86" s="770"/>
      <c r="C86" s="765"/>
      <c r="D86" s="765" t="s">
        <v>314</v>
      </c>
      <c r="E86" s="765" t="s">
        <v>315</v>
      </c>
      <c r="F86" s="771">
        <v>0</v>
      </c>
      <c r="G86" s="771">
        <v>0</v>
      </c>
      <c r="H86" s="771">
        <v>0</v>
      </c>
      <c r="I86" s="766">
        <f t="shared" si="4"/>
        <v>0</v>
      </c>
    </row>
    <row r="87" spans="1:9" ht="12.75" customHeight="1" hidden="1">
      <c r="A87" s="770"/>
      <c r="B87" s="770"/>
      <c r="C87" s="765"/>
      <c r="D87" s="765" t="s">
        <v>316</v>
      </c>
      <c r="E87" s="765" t="s">
        <v>317</v>
      </c>
      <c r="F87" s="771">
        <v>0</v>
      </c>
      <c r="G87" s="771">
        <v>0</v>
      </c>
      <c r="H87" s="771">
        <v>0</v>
      </c>
      <c r="I87" s="766">
        <f t="shared" si="4"/>
        <v>0</v>
      </c>
    </row>
    <row r="88" spans="1:9" ht="12.75" customHeight="1" hidden="1">
      <c r="A88" s="770"/>
      <c r="B88" s="770"/>
      <c r="C88" s="765"/>
      <c r="D88" s="765" t="s">
        <v>318</v>
      </c>
      <c r="E88" s="765" t="s">
        <v>319</v>
      </c>
      <c r="F88" s="771">
        <v>0</v>
      </c>
      <c r="G88" s="771">
        <v>0</v>
      </c>
      <c r="H88" s="771">
        <v>0</v>
      </c>
      <c r="I88" s="766">
        <f t="shared" si="4"/>
        <v>0</v>
      </c>
    </row>
    <row r="89" spans="1:9" ht="12.75" customHeight="1" hidden="1">
      <c r="A89" s="770"/>
      <c r="B89" s="770"/>
      <c r="C89" s="765"/>
      <c r="D89" s="765" t="s">
        <v>320</v>
      </c>
      <c r="E89" s="765" t="s">
        <v>321</v>
      </c>
      <c r="F89" s="771">
        <v>250</v>
      </c>
      <c r="G89" s="771">
        <v>0</v>
      </c>
      <c r="H89" s="771">
        <v>0</v>
      </c>
      <c r="I89" s="766">
        <f t="shared" si="4"/>
        <v>250</v>
      </c>
    </row>
    <row r="90" spans="1:9" ht="12.75" customHeight="1" hidden="1">
      <c r="A90" s="770"/>
      <c r="B90" s="770"/>
      <c r="C90" s="765"/>
      <c r="D90" s="765" t="s">
        <v>322</v>
      </c>
      <c r="E90" s="765" t="s">
        <v>323</v>
      </c>
      <c r="F90" s="771">
        <v>186</v>
      </c>
      <c r="G90" s="771">
        <v>0</v>
      </c>
      <c r="H90" s="771">
        <v>0</v>
      </c>
      <c r="I90" s="766">
        <f t="shared" si="4"/>
        <v>186</v>
      </c>
    </row>
    <row r="91" spans="1:9" ht="12.75" customHeight="1" hidden="1">
      <c r="A91" s="770"/>
      <c r="B91" s="770"/>
      <c r="C91" s="765"/>
      <c r="D91" s="765" t="s">
        <v>324</v>
      </c>
      <c r="E91" s="765" t="s">
        <v>325</v>
      </c>
      <c r="F91" s="771">
        <v>0</v>
      </c>
      <c r="G91" s="771">
        <v>0</v>
      </c>
      <c r="H91" s="771">
        <v>0</v>
      </c>
      <c r="I91" s="766">
        <f t="shared" si="4"/>
        <v>0</v>
      </c>
    </row>
    <row r="92" spans="1:9" ht="12.75" customHeight="1" hidden="1">
      <c r="A92" s="770"/>
      <c r="B92" s="770"/>
      <c r="C92" s="765"/>
      <c r="D92" s="765" t="s">
        <v>326</v>
      </c>
      <c r="E92" s="765" t="s">
        <v>327</v>
      </c>
      <c r="F92" s="771">
        <v>0</v>
      </c>
      <c r="G92" s="771">
        <v>0</v>
      </c>
      <c r="H92" s="771">
        <v>0</v>
      </c>
      <c r="I92" s="766">
        <f t="shared" si="4"/>
        <v>0</v>
      </c>
    </row>
    <row r="93" spans="1:9" ht="24" customHeight="1" hidden="1">
      <c r="A93" s="763"/>
      <c r="B93" s="763"/>
      <c r="C93" s="763" t="s">
        <v>332</v>
      </c>
      <c r="D93" s="941" t="s">
        <v>333</v>
      </c>
      <c r="E93" s="942"/>
      <c r="F93" s="764">
        <v>0</v>
      </c>
      <c r="G93" s="764">
        <v>0</v>
      </c>
      <c r="H93" s="764">
        <v>0</v>
      </c>
      <c r="I93" s="766">
        <f t="shared" si="4"/>
        <v>0</v>
      </c>
    </row>
    <row r="94" spans="1:9" ht="24.75" customHeight="1" hidden="1">
      <c r="A94" s="763"/>
      <c r="B94" s="763"/>
      <c r="C94" s="763" t="s">
        <v>334</v>
      </c>
      <c r="D94" s="941" t="s">
        <v>953</v>
      </c>
      <c r="E94" s="942"/>
      <c r="F94" s="764">
        <f>SUM(F95:F96)</f>
        <v>21668</v>
      </c>
      <c r="G94" s="764">
        <f>SUM(G95:G96)</f>
        <v>0</v>
      </c>
      <c r="H94" s="764">
        <f>SUM(H95:H96)</f>
        <v>0</v>
      </c>
      <c r="I94" s="766">
        <f t="shared" si="4"/>
        <v>21668</v>
      </c>
    </row>
    <row r="95" spans="1:9" ht="12.75" customHeight="1" hidden="1">
      <c r="A95" s="763"/>
      <c r="B95" s="763"/>
      <c r="C95" s="763"/>
      <c r="D95" s="765" t="s">
        <v>310</v>
      </c>
      <c r="E95" s="765" t="s">
        <v>1069</v>
      </c>
      <c r="F95" s="764">
        <v>7000</v>
      </c>
      <c r="G95" s="764"/>
      <c r="H95" s="764"/>
      <c r="I95" s="766"/>
    </row>
    <row r="96" spans="1:9" ht="12.75" customHeight="1" hidden="1">
      <c r="A96" s="763"/>
      <c r="B96" s="763"/>
      <c r="C96" s="763"/>
      <c r="D96" s="765" t="s">
        <v>322</v>
      </c>
      <c r="E96" s="765" t="s">
        <v>341</v>
      </c>
      <c r="F96" s="764">
        <v>14668</v>
      </c>
      <c r="G96" s="764"/>
      <c r="H96" s="764"/>
      <c r="I96" s="766"/>
    </row>
    <row r="97" spans="1:9" ht="12.75" customHeight="1" hidden="1">
      <c r="A97" s="763"/>
      <c r="B97" s="763"/>
      <c r="C97" s="763" t="s">
        <v>345</v>
      </c>
      <c r="D97" s="941" t="s">
        <v>346</v>
      </c>
      <c r="E97" s="942"/>
      <c r="F97" s="764">
        <v>0</v>
      </c>
      <c r="G97" s="764">
        <v>0</v>
      </c>
      <c r="H97" s="764">
        <v>0</v>
      </c>
      <c r="I97" s="766">
        <f t="shared" si="4"/>
        <v>0</v>
      </c>
    </row>
    <row r="98" spans="1:9" ht="12.75" customHeight="1" hidden="1">
      <c r="A98" s="763"/>
      <c r="B98" s="763"/>
      <c r="C98" s="763" t="s">
        <v>347</v>
      </c>
      <c r="D98" s="941" t="s">
        <v>348</v>
      </c>
      <c r="E98" s="942"/>
      <c r="F98" s="764">
        <v>0</v>
      </c>
      <c r="G98" s="764">
        <v>0</v>
      </c>
      <c r="H98" s="764">
        <v>0</v>
      </c>
      <c r="I98" s="766">
        <f t="shared" si="4"/>
        <v>0</v>
      </c>
    </row>
    <row r="99" spans="1:9" ht="12.75" customHeight="1" hidden="1">
      <c r="A99" s="763"/>
      <c r="B99" s="763"/>
      <c r="C99" s="763" t="s">
        <v>349</v>
      </c>
      <c r="D99" s="941" t="s">
        <v>1072</v>
      </c>
      <c r="E99" s="942"/>
      <c r="F99" s="764">
        <v>0</v>
      </c>
      <c r="G99" s="764">
        <v>0</v>
      </c>
      <c r="H99" s="764">
        <v>0</v>
      </c>
      <c r="I99" s="766">
        <f t="shared" si="4"/>
        <v>0</v>
      </c>
    </row>
    <row r="100" spans="1:9" ht="12.75" customHeight="1" hidden="1">
      <c r="A100" s="763"/>
      <c r="B100" s="763"/>
      <c r="C100" s="763" t="s">
        <v>351</v>
      </c>
      <c r="D100" s="941" t="s">
        <v>350</v>
      </c>
      <c r="E100" s="942"/>
      <c r="F100" s="764">
        <f>SUM(F101:F110)</f>
        <v>201041</v>
      </c>
      <c r="G100" s="764">
        <f>SUM(G101:G110)</f>
        <v>0</v>
      </c>
      <c r="H100" s="764">
        <f>SUM(H101:H110)</f>
        <v>0</v>
      </c>
      <c r="I100" s="766">
        <f t="shared" si="4"/>
        <v>201041</v>
      </c>
    </row>
    <row r="101" spans="1:9" ht="12.75" customHeight="1" hidden="1">
      <c r="A101" s="772"/>
      <c r="B101" s="772"/>
      <c r="C101" s="765" t="s">
        <v>21</v>
      </c>
      <c r="D101" s="765" t="s">
        <v>308</v>
      </c>
      <c r="E101" s="765" t="s">
        <v>335</v>
      </c>
      <c r="F101" s="771">
        <v>0</v>
      </c>
      <c r="G101" s="771">
        <v>0</v>
      </c>
      <c r="H101" s="771">
        <v>0</v>
      </c>
      <c r="I101" s="766">
        <f t="shared" si="4"/>
        <v>0</v>
      </c>
    </row>
    <row r="102" spans="1:9" ht="12.75" customHeight="1" hidden="1">
      <c r="A102" s="772"/>
      <c r="B102" s="772"/>
      <c r="C102" s="765"/>
      <c r="D102" s="765" t="s">
        <v>310</v>
      </c>
      <c r="E102" s="765" t="s">
        <v>1069</v>
      </c>
      <c r="F102" s="771">
        <v>9137</v>
      </c>
      <c r="G102" s="771">
        <v>0</v>
      </c>
      <c r="H102" s="771">
        <v>0</v>
      </c>
      <c r="I102" s="766">
        <f t="shared" si="4"/>
        <v>9137</v>
      </c>
    </row>
    <row r="103" spans="1:9" ht="12.75" customHeight="1" hidden="1">
      <c r="A103" s="772"/>
      <c r="B103" s="772"/>
      <c r="C103" s="765"/>
      <c r="D103" s="765" t="s">
        <v>312</v>
      </c>
      <c r="E103" s="765" t="s">
        <v>336</v>
      </c>
      <c r="F103" s="771">
        <v>100</v>
      </c>
      <c r="G103" s="771">
        <v>0</v>
      </c>
      <c r="H103" s="771">
        <v>0</v>
      </c>
      <c r="I103" s="766">
        <f t="shared" si="4"/>
        <v>100</v>
      </c>
    </row>
    <row r="104" spans="1:9" ht="12.75" customHeight="1" hidden="1">
      <c r="A104" s="772"/>
      <c r="B104" s="772"/>
      <c r="C104" s="765"/>
      <c r="D104" s="765" t="s">
        <v>314</v>
      </c>
      <c r="E104" s="765" t="s">
        <v>337</v>
      </c>
      <c r="F104" s="771">
        <v>0</v>
      </c>
      <c r="G104" s="771">
        <v>0</v>
      </c>
      <c r="H104" s="771">
        <v>0</v>
      </c>
      <c r="I104" s="766">
        <f t="shared" si="4"/>
        <v>0</v>
      </c>
    </row>
    <row r="105" spans="1:9" ht="12.75" customHeight="1" hidden="1">
      <c r="A105" s="772"/>
      <c r="B105" s="772"/>
      <c r="C105" s="765"/>
      <c r="D105" s="765" t="s">
        <v>316</v>
      </c>
      <c r="E105" s="765" t="s">
        <v>338</v>
      </c>
      <c r="F105" s="771">
        <v>0</v>
      </c>
      <c r="G105" s="771">
        <v>0</v>
      </c>
      <c r="H105" s="771">
        <v>0</v>
      </c>
      <c r="I105" s="766">
        <f t="shared" si="4"/>
        <v>0</v>
      </c>
    </row>
    <row r="106" spans="1:9" ht="12.75" customHeight="1" hidden="1">
      <c r="A106" s="772"/>
      <c r="B106" s="772"/>
      <c r="C106" s="765"/>
      <c r="D106" s="765" t="s">
        <v>318</v>
      </c>
      <c r="E106" s="765" t="s">
        <v>339</v>
      </c>
      <c r="F106" s="771">
        <v>0</v>
      </c>
      <c r="G106" s="771">
        <v>0</v>
      </c>
      <c r="H106" s="771">
        <v>0</v>
      </c>
      <c r="I106" s="766">
        <f t="shared" si="4"/>
        <v>0</v>
      </c>
    </row>
    <row r="107" spans="1:9" ht="12.75" customHeight="1" hidden="1">
      <c r="A107" s="770"/>
      <c r="B107" s="770"/>
      <c r="C107" s="765"/>
      <c r="D107" s="765" t="s">
        <v>320</v>
      </c>
      <c r="E107" s="765" t="s">
        <v>340</v>
      </c>
      <c r="F107" s="771">
        <f>185178+416</f>
        <v>185594</v>
      </c>
      <c r="G107" s="771">
        <v>0</v>
      </c>
      <c r="H107" s="771">
        <v>0</v>
      </c>
      <c r="I107" s="766">
        <f t="shared" si="4"/>
        <v>185594</v>
      </c>
    </row>
    <row r="108" spans="1:9" ht="12.75" customHeight="1" hidden="1">
      <c r="A108" s="770"/>
      <c r="B108" s="770"/>
      <c r="C108" s="765"/>
      <c r="D108" s="765" t="s">
        <v>322</v>
      </c>
      <c r="E108" s="765" t="s">
        <v>341</v>
      </c>
      <c r="F108" s="771">
        <f>9230-5429+3</f>
        <v>3804</v>
      </c>
      <c r="G108" s="771">
        <v>0</v>
      </c>
      <c r="H108" s="771">
        <v>0</v>
      </c>
      <c r="I108" s="766">
        <f t="shared" si="4"/>
        <v>3804</v>
      </c>
    </row>
    <row r="109" spans="1:9" ht="12.75">
      <c r="A109" s="772"/>
      <c r="B109" s="772"/>
      <c r="C109" s="765"/>
      <c r="D109" s="765" t="s">
        <v>324</v>
      </c>
      <c r="E109" s="765" t="s">
        <v>343</v>
      </c>
      <c r="F109" s="771">
        <v>0</v>
      </c>
      <c r="G109" s="771">
        <v>0</v>
      </c>
      <c r="H109" s="771">
        <v>0</v>
      </c>
      <c r="I109" s="766">
        <f t="shared" si="4"/>
        <v>0</v>
      </c>
    </row>
    <row r="110" spans="1:9" ht="12.75">
      <c r="A110" s="772"/>
      <c r="B110" s="772"/>
      <c r="C110" s="765"/>
      <c r="D110" s="765" t="s">
        <v>326</v>
      </c>
      <c r="E110" s="765" t="s">
        <v>344</v>
      </c>
      <c r="F110" s="771">
        <f>999+1407</f>
        <v>2406</v>
      </c>
      <c r="G110" s="771">
        <v>0</v>
      </c>
      <c r="H110" s="771">
        <v>0</v>
      </c>
      <c r="I110" s="766">
        <f t="shared" si="4"/>
        <v>2406</v>
      </c>
    </row>
    <row r="111" spans="1:9" ht="12.75">
      <c r="A111" s="772"/>
      <c r="B111" s="817" t="s">
        <v>21</v>
      </c>
      <c r="C111" s="763" t="s">
        <v>1073</v>
      </c>
      <c r="D111" s="941" t="s">
        <v>352</v>
      </c>
      <c r="E111" s="942"/>
      <c r="F111" s="764">
        <f>SUM(F112:F119)</f>
        <v>59902</v>
      </c>
      <c r="G111" s="764">
        <f>SUM(G112:G119)</f>
        <v>0</v>
      </c>
      <c r="H111" s="764">
        <f>SUM(H112:H119)</f>
        <v>0</v>
      </c>
      <c r="I111" s="766">
        <f t="shared" si="4"/>
        <v>59902</v>
      </c>
    </row>
    <row r="112" spans="1:9" ht="12.75">
      <c r="A112" s="770"/>
      <c r="B112" s="770"/>
      <c r="C112" s="765"/>
      <c r="D112" s="773"/>
      <c r="E112" s="774" t="s">
        <v>725</v>
      </c>
      <c r="F112" s="771">
        <f>1000-1000</f>
        <v>0</v>
      </c>
      <c r="G112" s="771">
        <v>0</v>
      </c>
      <c r="H112" s="771">
        <v>0</v>
      </c>
      <c r="I112" s="766">
        <f t="shared" si="4"/>
        <v>0</v>
      </c>
    </row>
    <row r="113" spans="1:9" ht="12.75">
      <c r="A113" s="770"/>
      <c r="B113" s="770"/>
      <c r="C113" s="765"/>
      <c r="D113" s="773"/>
      <c r="E113" s="774" t="s">
        <v>353</v>
      </c>
      <c r="F113" s="771">
        <f>200+2611</f>
        <v>2811</v>
      </c>
      <c r="G113" s="771">
        <v>0</v>
      </c>
      <c r="H113" s="771">
        <v>0</v>
      </c>
      <c r="I113" s="766">
        <f t="shared" si="4"/>
        <v>2811</v>
      </c>
    </row>
    <row r="114" spans="1:9" s="344" customFormat="1" ht="12.75">
      <c r="A114" s="770"/>
      <c r="B114" s="770"/>
      <c r="C114" s="765"/>
      <c r="D114" s="773"/>
      <c r="E114" s="774" t="s">
        <v>885</v>
      </c>
      <c r="F114" s="771">
        <f>1519-323+714+2900-127</f>
        <v>4683</v>
      </c>
      <c r="G114" s="771">
        <v>0</v>
      </c>
      <c r="H114" s="771">
        <v>0</v>
      </c>
      <c r="I114" s="766">
        <f t="shared" si="4"/>
        <v>4683</v>
      </c>
    </row>
    <row r="115" spans="1:9" ht="12.75">
      <c r="A115" s="770"/>
      <c r="B115" s="770"/>
      <c r="C115" s="765"/>
      <c r="D115" s="773"/>
      <c r="E115" s="774" t="s">
        <v>773</v>
      </c>
      <c r="F115" s="771">
        <f>1000-3517-100-859+720+3517-250+10-70-350-2250-2250-6000+12783-1000+410</f>
        <v>1794</v>
      </c>
      <c r="G115" s="771">
        <v>0</v>
      </c>
      <c r="H115" s="771">
        <v>0</v>
      </c>
      <c r="I115" s="766">
        <f t="shared" si="4"/>
        <v>1794</v>
      </c>
    </row>
    <row r="116" spans="1:9" ht="12.75">
      <c r="A116" s="770"/>
      <c r="B116" s="770"/>
      <c r="C116" s="765"/>
      <c r="D116" s="773"/>
      <c r="E116" s="774" t="s">
        <v>1107</v>
      </c>
      <c r="F116" s="771">
        <f>-882-8489+122146-13962-41870-714-146-3-7982-9122-2900-2611-4252-16238-18-10330</f>
        <v>2627</v>
      </c>
      <c r="G116" s="771">
        <f>3234-3234</f>
        <v>0</v>
      </c>
      <c r="H116" s="771">
        <f>9549-9549</f>
        <v>0</v>
      </c>
      <c r="I116" s="766">
        <f t="shared" si="4"/>
        <v>2627</v>
      </c>
    </row>
    <row r="117" spans="1:9" ht="12.75">
      <c r="A117" s="770"/>
      <c r="B117" s="770"/>
      <c r="C117" s="765"/>
      <c r="D117" s="773"/>
      <c r="E117" s="774" t="s">
        <v>954</v>
      </c>
      <c r="F117" s="771">
        <v>3000</v>
      </c>
      <c r="G117" s="771">
        <v>0</v>
      </c>
      <c r="H117" s="771">
        <v>0</v>
      </c>
      <c r="I117" s="766">
        <f t="shared" si="4"/>
        <v>3000</v>
      </c>
    </row>
    <row r="118" spans="1:9" ht="12.75" customHeight="1" hidden="1">
      <c r="A118" s="770"/>
      <c r="B118" s="770"/>
      <c r="C118" s="765"/>
      <c r="D118" s="773"/>
      <c r="E118" s="774" t="s">
        <v>989</v>
      </c>
      <c r="F118" s="771">
        <v>40540</v>
      </c>
      <c r="G118" s="771">
        <v>0</v>
      </c>
      <c r="H118" s="771">
        <v>0</v>
      </c>
      <c r="I118" s="766">
        <f t="shared" si="4"/>
        <v>40540</v>
      </c>
    </row>
    <row r="119" spans="1:9" ht="12.75" customHeight="1" hidden="1">
      <c r="A119" s="770"/>
      <c r="B119" s="770"/>
      <c r="C119" s="765"/>
      <c r="D119" s="773"/>
      <c r="E119" s="774" t="s">
        <v>354</v>
      </c>
      <c r="F119" s="771">
        <f>195+4252</f>
        <v>4447</v>
      </c>
      <c r="G119" s="771">
        <v>0</v>
      </c>
      <c r="H119" s="771">
        <v>0</v>
      </c>
      <c r="I119" s="766">
        <f t="shared" si="4"/>
        <v>4447</v>
      </c>
    </row>
    <row r="120" spans="1:9" ht="12.75" customHeight="1" hidden="1">
      <c r="A120" s="752" t="s">
        <v>269</v>
      </c>
      <c r="B120" s="932" t="s">
        <v>643</v>
      </c>
      <c r="C120" s="933"/>
      <c r="D120" s="933"/>
      <c r="E120" s="934"/>
      <c r="F120" s="753">
        <f>SUM(F121:F127)</f>
        <v>1275656</v>
      </c>
      <c r="G120" s="753">
        <f>SUM(G121:G127)</f>
        <v>445</v>
      </c>
      <c r="H120" s="753">
        <f>SUM(H121:H127)</f>
        <v>537</v>
      </c>
      <c r="I120" s="753">
        <f>SUM(F120:H120)</f>
        <v>1276638</v>
      </c>
    </row>
    <row r="121" spans="1:9" ht="12.75" customHeight="1" hidden="1">
      <c r="A121" s="754"/>
      <c r="B121" s="754" t="s">
        <v>355</v>
      </c>
      <c r="C121" s="935" t="s">
        <v>356</v>
      </c>
      <c r="D121" s="935"/>
      <c r="E121" s="935"/>
      <c r="F121" s="755">
        <v>0</v>
      </c>
      <c r="G121" s="755">
        <v>0</v>
      </c>
      <c r="H121" s="755">
        <v>0</v>
      </c>
      <c r="I121" s="756">
        <f>SUM(F121:H121)</f>
        <v>0</v>
      </c>
    </row>
    <row r="122" spans="1:9" s="344" customFormat="1" ht="12.75" customHeight="1" hidden="1">
      <c r="A122" s="754"/>
      <c r="B122" s="754" t="s">
        <v>357</v>
      </c>
      <c r="C122" s="935" t="s">
        <v>358</v>
      </c>
      <c r="D122" s="935"/>
      <c r="E122" s="935"/>
      <c r="F122" s="755">
        <f>780343-1809+6550+28258</f>
        <v>813342</v>
      </c>
      <c r="G122" s="755">
        <v>0</v>
      </c>
      <c r="H122" s="755">
        <v>262</v>
      </c>
      <c r="I122" s="756">
        <f aca="true" t="shared" si="5" ref="I122:I127">SUM(F122:H122)</f>
        <v>813604</v>
      </c>
    </row>
    <row r="123" spans="1:9" ht="12.75" customHeight="1" hidden="1">
      <c r="A123" s="754" t="s">
        <v>359</v>
      </c>
      <c r="B123" s="754" t="s">
        <v>360</v>
      </c>
      <c r="C123" s="935" t="s">
        <v>361</v>
      </c>
      <c r="D123" s="935"/>
      <c r="E123" s="935"/>
      <c r="F123" s="755">
        <f>315+134</f>
        <v>449</v>
      </c>
      <c r="G123" s="755">
        <v>0</v>
      </c>
      <c r="H123" s="755">
        <v>0</v>
      </c>
      <c r="I123" s="756">
        <f t="shared" si="5"/>
        <v>449</v>
      </c>
    </row>
    <row r="124" spans="1:9" ht="12.75" customHeight="1" hidden="1">
      <c r="A124" s="754"/>
      <c r="B124" s="754" t="s">
        <v>362</v>
      </c>
      <c r="C124" s="935" t="s">
        <v>363</v>
      </c>
      <c r="D124" s="935"/>
      <c r="E124" s="935"/>
      <c r="F124" s="755">
        <f>336605-4635+55+1063+4444+5+39+195+6949+8134</f>
        <v>352854</v>
      </c>
      <c r="G124" s="755">
        <v>350</v>
      </c>
      <c r="H124" s="755">
        <v>161</v>
      </c>
      <c r="I124" s="756">
        <f t="shared" si="5"/>
        <v>353365</v>
      </c>
    </row>
    <row r="125" spans="1:9" ht="12" customHeight="1">
      <c r="A125" s="754"/>
      <c r="B125" s="754" t="s">
        <v>364</v>
      </c>
      <c r="C125" s="935" t="s">
        <v>365</v>
      </c>
      <c r="D125" s="935"/>
      <c r="E125" s="935"/>
      <c r="F125" s="755">
        <v>3000</v>
      </c>
      <c r="G125" s="755">
        <v>0</v>
      </c>
      <c r="H125" s="755">
        <v>0</v>
      </c>
      <c r="I125" s="756">
        <f t="shared" si="5"/>
        <v>3000</v>
      </c>
    </row>
    <row r="126" spans="1:9" ht="12.75" customHeight="1" hidden="1">
      <c r="A126" s="754"/>
      <c r="B126" s="754" t="s">
        <v>366</v>
      </c>
      <c r="C126" s="935" t="s">
        <v>367</v>
      </c>
      <c r="D126" s="935"/>
      <c r="E126" s="935"/>
      <c r="F126" s="755">
        <v>0</v>
      </c>
      <c r="G126" s="755">
        <v>0</v>
      </c>
      <c r="H126" s="755">
        <v>0</v>
      </c>
      <c r="I126" s="756">
        <f t="shared" si="5"/>
        <v>0</v>
      </c>
    </row>
    <row r="127" spans="1:9" s="344" customFormat="1" ht="12.75" customHeight="1" hidden="1">
      <c r="A127" s="754"/>
      <c r="B127" s="754" t="s">
        <v>368</v>
      </c>
      <c r="C127" s="935" t="s">
        <v>369</v>
      </c>
      <c r="D127" s="935"/>
      <c r="E127" s="935"/>
      <c r="F127" s="755">
        <f>92678-1740+15+287+1200+1769+36+7630+1+10+53+1876+2196</f>
        <v>106011</v>
      </c>
      <c r="G127" s="755">
        <v>95</v>
      </c>
      <c r="H127" s="755">
        <f>43+71</f>
        <v>114</v>
      </c>
      <c r="I127" s="756">
        <f t="shared" si="5"/>
        <v>106220</v>
      </c>
    </row>
    <row r="128" spans="1:9" ht="12.75" customHeight="1" hidden="1">
      <c r="A128" s="752" t="s">
        <v>271</v>
      </c>
      <c r="B128" s="932" t="s">
        <v>270</v>
      </c>
      <c r="C128" s="933"/>
      <c r="D128" s="933"/>
      <c r="E128" s="934"/>
      <c r="F128" s="753">
        <f>SUM(F129:F132)</f>
        <v>5429</v>
      </c>
      <c r="G128" s="753">
        <f>SUM(G129:G132)</f>
        <v>0</v>
      </c>
      <c r="H128" s="753">
        <f>SUM(H129:H132)</f>
        <v>667</v>
      </c>
      <c r="I128" s="753">
        <f aca="true" t="shared" si="6" ref="I128:I134">SUM(F128:H128)</f>
        <v>6096</v>
      </c>
    </row>
    <row r="129" spans="1:9" ht="12.75" customHeight="1" hidden="1">
      <c r="A129" s="754"/>
      <c r="B129" s="754" t="s">
        <v>370</v>
      </c>
      <c r="C129" s="935" t="s">
        <v>371</v>
      </c>
      <c r="D129" s="935"/>
      <c r="E129" s="935"/>
      <c r="F129" s="755">
        <f>969-237+1772+1772</f>
        <v>4276</v>
      </c>
      <c r="G129" s="755">
        <v>0</v>
      </c>
      <c r="H129" s="755">
        <v>525</v>
      </c>
      <c r="I129" s="756">
        <f t="shared" si="6"/>
        <v>4801</v>
      </c>
    </row>
    <row r="130" spans="1:9" ht="12" customHeight="1">
      <c r="A130" s="754"/>
      <c r="B130" s="754" t="s">
        <v>372</v>
      </c>
      <c r="C130" s="935" t="s">
        <v>373</v>
      </c>
      <c r="D130" s="935"/>
      <c r="E130" s="935"/>
      <c r="F130" s="755">
        <v>0</v>
      </c>
      <c r="G130" s="755">
        <v>0</v>
      </c>
      <c r="H130" s="755">
        <v>0</v>
      </c>
      <c r="I130" s="756">
        <f t="shared" si="6"/>
        <v>0</v>
      </c>
    </row>
    <row r="131" spans="1:9" ht="12.75" customHeight="1" hidden="1">
      <c r="A131" s="754" t="s">
        <v>359</v>
      </c>
      <c r="B131" s="754" t="s">
        <v>374</v>
      </c>
      <c r="C131" s="935" t="s">
        <v>375</v>
      </c>
      <c r="D131" s="935"/>
      <c r="E131" s="935"/>
      <c r="F131" s="755">
        <v>0</v>
      </c>
      <c r="G131" s="755">
        <v>0</v>
      </c>
      <c r="H131" s="755">
        <v>0</v>
      </c>
      <c r="I131" s="756">
        <f t="shared" si="6"/>
        <v>0</v>
      </c>
    </row>
    <row r="132" spans="1:9" ht="12.75" customHeight="1" hidden="1">
      <c r="A132" s="754"/>
      <c r="B132" s="754" t="s">
        <v>376</v>
      </c>
      <c r="C132" s="935" t="s">
        <v>377</v>
      </c>
      <c r="D132" s="935"/>
      <c r="E132" s="935"/>
      <c r="F132" s="755">
        <f>261-64+478+478</f>
        <v>1153</v>
      </c>
      <c r="G132" s="755">
        <v>0</v>
      </c>
      <c r="H132" s="755">
        <v>142</v>
      </c>
      <c r="I132" s="756">
        <f t="shared" si="6"/>
        <v>1295</v>
      </c>
    </row>
    <row r="133" spans="1:9" ht="12.75" customHeight="1" hidden="1">
      <c r="A133" s="752" t="s">
        <v>273</v>
      </c>
      <c r="B133" s="932" t="s">
        <v>272</v>
      </c>
      <c r="C133" s="933"/>
      <c r="D133" s="933"/>
      <c r="E133" s="934"/>
      <c r="F133" s="753">
        <f>SUM(F134:F142)</f>
        <v>12290</v>
      </c>
      <c r="G133" s="753">
        <f>SUM(G134:G142)</f>
        <v>0</v>
      </c>
      <c r="H133" s="753">
        <f>SUM(H134:H142)</f>
        <v>0</v>
      </c>
      <c r="I133" s="753">
        <f t="shared" si="6"/>
        <v>12290</v>
      </c>
    </row>
    <row r="134" spans="1:9" ht="12.75" customHeight="1" hidden="1">
      <c r="A134" s="754"/>
      <c r="B134" s="754" t="s">
        <v>378</v>
      </c>
      <c r="C134" s="935" t="s">
        <v>379</v>
      </c>
      <c r="D134" s="935"/>
      <c r="E134" s="935"/>
      <c r="F134" s="755">
        <v>0</v>
      </c>
      <c r="G134" s="755">
        <v>0</v>
      </c>
      <c r="H134" s="755">
        <v>0</v>
      </c>
      <c r="I134" s="756">
        <f t="shared" si="6"/>
        <v>0</v>
      </c>
    </row>
    <row r="135" spans="1:9" ht="12.75" customHeight="1" hidden="1">
      <c r="A135" s="754"/>
      <c r="B135" s="754" t="s">
        <v>380</v>
      </c>
      <c r="C135" s="935" t="s">
        <v>381</v>
      </c>
      <c r="D135" s="935"/>
      <c r="E135" s="935"/>
      <c r="F135" s="755">
        <v>0</v>
      </c>
      <c r="G135" s="755">
        <v>0</v>
      </c>
      <c r="H135" s="755">
        <v>0</v>
      </c>
      <c r="I135" s="756">
        <f aca="true" t="shared" si="7" ref="I135:I156">SUM(F135:H135)</f>
        <v>0</v>
      </c>
    </row>
    <row r="136" spans="1:9" ht="12.75" customHeight="1" hidden="1">
      <c r="A136" s="754" t="s">
        <v>359</v>
      </c>
      <c r="B136" s="754" t="s">
        <v>382</v>
      </c>
      <c r="C136" s="935" t="s">
        <v>383</v>
      </c>
      <c r="D136" s="935"/>
      <c r="E136" s="935"/>
      <c r="F136" s="755">
        <v>0</v>
      </c>
      <c r="G136" s="755">
        <v>0</v>
      </c>
      <c r="H136" s="755">
        <v>0</v>
      </c>
      <c r="I136" s="756">
        <f t="shared" si="7"/>
        <v>0</v>
      </c>
    </row>
    <row r="137" spans="1:9" ht="12.75" customHeight="1" hidden="1">
      <c r="A137" s="754"/>
      <c r="B137" s="754" t="s">
        <v>384</v>
      </c>
      <c r="C137" s="935" t="s">
        <v>385</v>
      </c>
      <c r="D137" s="935"/>
      <c r="E137" s="935"/>
      <c r="F137" s="755">
        <v>0</v>
      </c>
      <c r="G137" s="755">
        <v>0</v>
      </c>
      <c r="H137" s="755">
        <v>0</v>
      </c>
      <c r="I137" s="756">
        <f t="shared" si="7"/>
        <v>0</v>
      </c>
    </row>
    <row r="138" spans="1:9" ht="12.75" customHeight="1" hidden="1">
      <c r="A138" s="754"/>
      <c r="B138" s="754" t="s">
        <v>386</v>
      </c>
      <c r="C138" s="935" t="s">
        <v>387</v>
      </c>
      <c r="D138" s="935"/>
      <c r="E138" s="935"/>
      <c r="F138" s="755">
        <v>0</v>
      </c>
      <c r="G138" s="755">
        <v>0</v>
      </c>
      <c r="H138" s="755">
        <v>0</v>
      </c>
      <c r="I138" s="756">
        <f t="shared" si="7"/>
        <v>0</v>
      </c>
    </row>
    <row r="139" spans="1:9" ht="12.75" customHeight="1" hidden="1">
      <c r="A139" s="754"/>
      <c r="B139" s="754" t="s">
        <v>388</v>
      </c>
      <c r="C139" s="935" t="s">
        <v>389</v>
      </c>
      <c r="D139" s="935"/>
      <c r="E139" s="935"/>
      <c r="F139" s="755">
        <v>0</v>
      </c>
      <c r="G139" s="755">
        <v>0</v>
      </c>
      <c r="H139" s="755">
        <v>0</v>
      </c>
      <c r="I139" s="756">
        <f t="shared" si="7"/>
        <v>0</v>
      </c>
    </row>
    <row r="140" spans="1:9" ht="12.75" customHeight="1" hidden="1">
      <c r="A140" s="754"/>
      <c r="B140" s="754" t="s">
        <v>390</v>
      </c>
      <c r="C140" s="935" t="s">
        <v>391</v>
      </c>
      <c r="D140" s="935"/>
      <c r="E140" s="935"/>
      <c r="F140" s="755">
        <v>0</v>
      </c>
      <c r="G140" s="755">
        <v>0</v>
      </c>
      <c r="H140" s="755">
        <v>0</v>
      </c>
      <c r="I140" s="756">
        <f t="shared" si="7"/>
        <v>0</v>
      </c>
    </row>
    <row r="141" spans="1:9" ht="12.75" customHeight="1" hidden="1">
      <c r="A141" s="754"/>
      <c r="B141" s="754" t="s">
        <v>392</v>
      </c>
      <c r="C141" s="935" t="s">
        <v>1075</v>
      </c>
      <c r="D141" s="935"/>
      <c r="E141" s="935"/>
      <c r="F141" s="755">
        <v>0</v>
      </c>
      <c r="G141" s="755">
        <v>0</v>
      </c>
      <c r="H141" s="755">
        <v>0</v>
      </c>
      <c r="I141" s="756">
        <f>SUM(F141:H141)</f>
        <v>0</v>
      </c>
    </row>
    <row r="142" spans="1:9" ht="12.75" customHeight="1" hidden="1">
      <c r="A142" s="754"/>
      <c r="B142" s="754" t="s">
        <v>1074</v>
      </c>
      <c r="C142" s="935" t="s">
        <v>393</v>
      </c>
      <c r="D142" s="935"/>
      <c r="E142" s="935"/>
      <c r="F142" s="755">
        <f>SUM(F143:F152)</f>
        <v>12290</v>
      </c>
      <c r="G142" s="755">
        <f>SUM(G143:G152)</f>
        <v>0</v>
      </c>
      <c r="H142" s="755">
        <f>SUM(H143:H152)</f>
        <v>0</v>
      </c>
      <c r="I142" s="756">
        <f t="shared" si="7"/>
        <v>12290</v>
      </c>
    </row>
    <row r="143" spans="1:9" ht="12.75" customHeight="1" hidden="1">
      <c r="A143" s="772"/>
      <c r="B143" s="772"/>
      <c r="C143" s="765" t="s">
        <v>21</v>
      </c>
      <c r="D143" s="765" t="s">
        <v>308</v>
      </c>
      <c r="E143" s="765" t="s">
        <v>335</v>
      </c>
      <c r="F143" s="771">
        <v>0</v>
      </c>
      <c r="G143" s="771">
        <v>0</v>
      </c>
      <c r="H143" s="771">
        <v>0</v>
      </c>
      <c r="I143" s="756">
        <f t="shared" si="7"/>
        <v>0</v>
      </c>
    </row>
    <row r="144" spans="1:9" ht="12.75" customHeight="1" hidden="1">
      <c r="A144" s="772"/>
      <c r="B144" s="772"/>
      <c r="C144" s="765"/>
      <c r="D144" s="765" t="s">
        <v>310</v>
      </c>
      <c r="E144" s="765" t="s">
        <v>1069</v>
      </c>
      <c r="F144" s="771">
        <v>399</v>
      </c>
      <c r="G144" s="771"/>
      <c r="H144" s="771"/>
      <c r="I144" s="756">
        <f t="shared" si="7"/>
        <v>399</v>
      </c>
    </row>
    <row r="145" spans="1:9" ht="12.75" customHeight="1" hidden="1">
      <c r="A145" s="772"/>
      <c r="B145" s="772"/>
      <c r="C145" s="765"/>
      <c r="D145" s="765" t="s">
        <v>312</v>
      </c>
      <c r="E145" s="765" t="s">
        <v>336</v>
      </c>
      <c r="F145" s="771">
        <v>0</v>
      </c>
      <c r="G145" s="771">
        <v>0</v>
      </c>
      <c r="H145" s="771">
        <v>0</v>
      </c>
      <c r="I145" s="756">
        <f t="shared" si="7"/>
        <v>0</v>
      </c>
    </row>
    <row r="146" spans="1:9" ht="12.75" customHeight="1" hidden="1">
      <c r="A146" s="772"/>
      <c r="B146" s="772"/>
      <c r="C146" s="765"/>
      <c r="D146" s="765" t="s">
        <v>314</v>
      </c>
      <c r="E146" s="765" t="s">
        <v>337</v>
      </c>
      <c r="F146" s="771">
        <v>0</v>
      </c>
      <c r="G146" s="771">
        <v>0</v>
      </c>
      <c r="H146" s="771">
        <v>0</v>
      </c>
      <c r="I146" s="756">
        <f t="shared" si="7"/>
        <v>0</v>
      </c>
    </row>
    <row r="147" spans="1:9" ht="12.75" customHeight="1" hidden="1">
      <c r="A147" s="772"/>
      <c r="B147" s="772"/>
      <c r="C147" s="765"/>
      <c r="D147" s="765" t="s">
        <v>316</v>
      </c>
      <c r="E147" s="765" t="s">
        <v>338</v>
      </c>
      <c r="F147" s="771">
        <v>0</v>
      </c>
      <c r="G147" s="771">
        <v>0</v>
      </c>
      <c r="H147" s="771">
        <v>0</v>
      </c>
      <c r="I147" s="756">
        <f t="shared" si="7"/>
        <v>0</v>
      </c>
    </row>
    <row r="148" spans="1:9" s="344" customFormat="1" ht="12.75" customHeight="1" hidden="1">
      <c r="A148" s="772"/>
      <c r="B148" s="772"/>
      <c r="C148" s="765"/>
      <c r="D148" s="765" t="s">
        <v>318</v>
      </c>
      <c r="E148" s="765" t="s">
        <v>339</v>
      </c>
      <c r="F148" s="771">
        <v>0</v>
      </c>
      <c r="G148" s="771">
        <v>0</v>
      </c>
      <c r="H148" s="771">
        <v>0</v>
      </c>
      <c r="I148" s="756">
        <f t="shared" si="7"/>
        <v>0</v>
      </c>
    </row>
    <row r="149" spans="1:9" ht="12.75" customHeight="1" hidden="1">
      <c r="A149" s="772"/>
      <c r="B149" s="772"/>
      <c r="C149" s="765"/>
      <c r="D149" s="765" t="s">
        <v>320</v>
      </c>
      <c r="E149" s="765" t="s">
        <v>340</v>
      </c>
      <c r="F149" s="771">
        <v>500</v>
      </c>
      <c r="G149" s="771">
        <v>0</v>
      </c>
      <c r="H149" s="771">
        <v>0</v>
      </c>
      <c r="I149" s="756">
        <f t="shared" si="7"/>
        <v>500</v>
      </c>
    </row>
    <row r="150" spans="1:9" ht="12" customHeight="1">
      <c r="A150" s="772"/>
      <c r="B150" s="772"/>
      <c r="C150" s="765"/>
      <c r="D150" s="765" t="s">
        <v>322</v>
      </c>
      <c r="E150" s="765" t="s">
        <v>341</v>
      </c>
      <c r="F150" s="771">
        <v>0</v>
      </c>
      <c r="G150" s="771">
        <v>0</v>
      </c>
      <c r="H150" s="771">
        <v>0</v>
      </c>
      <c r="I150" s="756">
        <f t="shared" si="7"/>
        <v>0</v>
      </c>
    </row>
    <row r="151" spans="1:9" ht="12.75" customHeight="1" hidden="1">
      <c r="A151" s="772"/>
      <c r="B151" s="772"/>
      <c r="C151" s="765"/>
      <c r="D151" s="765" t="s">
        <v>324</v>
      </c>
      <c r="E151" s="765" t="s">
        <v>343</v>
      </c>
      <c r="F151" s="771">
        <v>0</v>
      </c>
      <c r="G151" s="771">
        <v>0</v>
      </c>
      <c r="H151" s="771">
        <v>0</v>
      </c>
      <c r="I151" s="756">
        <f t="shared" si="7"/>
        <v>0</v>
      </c>
    </row>
    <row r="152" spans="1:9" s="346" customFormat="1" ht="15" customHeight="1" hidden="1">
      <c r="A152" s="772"/>
      <c r="B152" s="772"/>
      <c r="C152" s="765"/>
      <c r="D152" s="765" t="s">
        <v>326</v>
      </c>
      <c r="E152" s="765" t="s">
        <v>344</v>
      </c>
      <c r="F152" s="771">
        <f>1830+9561</f>
        <v>11391</v>
      </c>
      <c r="G152" s="771">
        <v>0</v>
      </c>
      <c r="H152" s="771">
        <v>0</v>
      </c>
      <c r="I152" s="756">
        <f t="shared" si="7"/>
        <v>11391</v>
      </c>
    </row>
    <row r="153" spans="1:9" ht="12.75" customHeight="1" hidden="1">
      <c r="A153" s="752" t="s">
        <v>275</v>
      </c>
      <c r="B153" s="932" t="s">
        <v>274</v>
      </c>
      <c r="C153" s="933"/>
      <c r="D153" s="933"/>
      <c r="E153" s="934"/>
      <c r="F153" s="753">
        <f>SUM(F154:F156)</f>
        <v>16238</v>
      </c>
      <c r="G153" s="753">
        <f>SUM(G154:G156)</f>
        <v>0</v>
      </c>
      <c r="H153" s="753">
        <f>SUM(H154:H156)</f>
        <v>0</v>
      </c>
      <c r="I153" s="753">
        <f>SUM(F153:H153)</f>
        <v>16238</v>
      </c>
    </row>
    <row r="154" spans="1:9" ht="12.75">
      <c r="A154" s="754"/>
      <c r="B154" s="754" t="s">
        <v>394</v>
      </c>
      <c r="C154" s="935" t="s">
        <v>395</v>
      </c>
      <c r="D154" s="935"/>
      <c r="E154" s="935"/>
      <c r="F154" s="755">
        <v>16238</v>
      </c>
      <c r="G154" s="755">
        <v>0</v>
      </c>
      <c r="H154" s="755">
        <v>0</v>
      </c>
      <c r="I154" s="756">
        <f t="shared" si="7"/>
        <v>16238</v>
      </c>
    </row>
    <row r="155" spans="1:9" ht="12.75">
      <c r="A155" s="754"/>
      <c r="B155" s="754" t="s">
        <v>396</v>
      </c>
      <c r="C155" s="935" t="s">
        <v>397</v>
      </c>
      <c r="D155" s="935"/>
      <c r="E155" s="935"/>
      <c r="F155" s="755">
        <v>0</v>
      </c>
      <c r="G155" s="755">
        <v>0</v>
      </c>
      <c r="H155" s="755">
        <v>0</v>
      </c>
      <c r="I155" s="756">
        <f t="shared" si="7"/>
        <v>0</v>
      </c>
    </row>
    <row r="156" spans="1:9" ht="12.75">
      <c r="A156" s="754"/>
      <c r="B156" s="754" t="s">
        <v>398</v>
      </c>
      <c r="C156" s="935" t="s">
        <v>399</v>
      </c>
      <c r="D156" s="935"/>
      <c r="E156" s="935"/>
      <c r="F156" s="755">
        <v>0</v>
      </c>
      <c r="G156" s="755">
        <v>0</v>
      </c>
      <c r="H156" s="755">
        <v>0</v>
      </c>
      <c r="I156" s="756">
        <f t="shared" si="7"/>
        <v>0</v>
      </c>
    </row>
    <row r="157" spans="1:9" ht="12.75">
      <c r="A157" s="775"/>
      <c r="B157" s="776"/>
      <c r="C157" s="776"/>
      <c r="D157" s="776"/>
      <c r="E157" s="776"/>
      <c r="F157" s="787"/>
      <c r="G157" s="788"/>
      <c r="H157" s="788"/>
      <c r="I157" s="789"/>
    </row>
    <row r="158" spans="1:9" ht="15.75">
      <c r="A158" s="936" t="s">
        <v>400</v>
      </c>
      <c r="B158" s="937"/>
      <c r="C158" s="937"/>
      <c r="D158" s="937"/>
      <c r="E158" s="938"/>
      <c r="F158" s="777">
        <f>SUM(F7+F22+F28+F56+F76+F120+F128+F133+F153)</f>
        <v>2363068</v>
      </c>
      <c r="G158" s="777">
        <f>SUM(G7+G22+G28+G56+G76+G120+G128+G133+G153)</f>
        <v>184450</v>
      </c>
      <c r="H158" s="777">
        <f>SUM(H7+H22+H28+H56+H76+H120+H128+H133+H153)</f>
        <v>209519</v>
      </c>
      <c r="I158" s="777">
        <f>SUM(I7+I22+I28+I56+I76+I120+I128+I133+I153)</f>
        <v>2757037</v>
      </c>
    </row>
    <row r="159" spans="1:9" ht="15.75">
      <c r="A159" s="836"/>
      <c r="B159" s="836"/>
      <c r="C159" s="836"/>
      <c r="D159" s="836"/>
      <c r="E159" s="836"/>
      <c r="F159" s="837"/>
      <c r="G159" s="837"/>
      <c r="H159" s="837"/>
      <c r="I159" s="837"/>
    </row>
    <row r="160" ht="14.25">
      <c r="A160" s="835" t="s">
        <v>1104</v>
      </c>
    </row>
    <row r="161" spans="1:3" ht="15">
      <c r="A161" s="834" t="s">
        <v>1105</v>
      </c>
      <c r="B161" s="833"/>
      <c r="C161" s="833"/>
    </row>
  </sheetData>
  <sheetProtection/>
  <mergeCells count="76">
    <mergeCell ref="C125:E125"/>
    <mergeCell ref="B120:E120"/>
    <mergeCell ref="C155:E155"/>
    <mergeCell ref="C130:E130"/>
    <mergeCell ref="C140:E140"/>
    <mergeCell ref="C141:E141"/>
    <mergeCell ref="C154:E154"/>
    <mergeCell ref="C136:E136"/>
    <mergeCell ref="C129:E129"/>
    <mergeCell ref="C131:E131"/>
    <mergeCell ref="B22:E22"/>
    <mergeCell ref="C122:E122"/>
    <mergeCell ref="D93:E93"/>
    <mergeCell ref="D94:E94"/>
    <mergeCell ref="C57:E57"/>
    <mergeCell ref="C35:E35"/>
    <mergeCell ref="C49:E49"/>
    <mergeCell ref="D99:E99"/>
    <mergeCell ref="D100:E100"/>
    <mergeCell ref="D111:E111"/>
    <mergeCell ref="A5:E5"/>
    <mergeCell ref="B7:E7"/>
    <mergeCell ref="C8:E8"/>
    <mergeCell ref="C18:E18"/>
    <mergeCell ref="B6:E6"/>
    <mergeCell ref="D20:E20"/>
    <mergeCell ref="D21:E21"/>
    <mergeCell ref="D69:E69"/>
    <mergeCell ref="B28:E28"/>
    <mergeCell ref="C29:E29"/>
    <mergeCell ref="C32:E32"/>
    <mergeCell ref="D61:E61"/>
    <mergeCell ref="D59:E59"/>
    <mergeCell ref="D60:E60"/>
    <mergeCell ref="C52:E52"/>
    <mergeCell ref="B56:E56"/>
    <mergeCell ref="C63:E63"/>
    <mergeCell ref="D64:E64"/>
    <mergeCell ref="D65:E65"/>
    <mergeCell ref="C66:E66"/>
    <mergeCell ref="D67:E67"/>
    <mergeCell ref="C62:E62"/>
    <mergeCell ref="D81:E81"/>
    <mergeCell ref="A3:I3"/>
    <mergeCell ref="C71:E71"/>
    <mergeCell ref="D72:E72"/>
    <mergeCell ref="D73:E73"/>
    <mergeCell ref="D74:E74"/>
    <mergeCell ref="D75:E75"/>
    <mergeCell ref="B76:E76"/>
    <mergeCell ref="C70:E70"/>
    <mergeCell ref="C58:E58"/>
    <mergeCell ref="A1:I1"/>
    <mergeCell ref="C124:E124"/>
    <mergeCell ref="C121:E121"/>
    <mergeCell ref="C123:E123"/>
    <mergeCell ref="D82:E82"/>
    <mergeCell ref="D98:E98"/>
    <mergeCell ref="D79:E79"/>
    <mergeCell ref="D80:E80"/>
    <mergeCell ref="D97:E97"/>
    <mergeCell ref="C68:E68"/>
    <mergeCell ref="C126:E126"/>
    <mergeCell ref="C127:E127"/>
    <mergeCell ref="B128:E128"/>
    <mergeCell ref="C132:E132"/>
    <mergeCell ref="B133:E133"/>
    <mergeCell ref="C142:E142"/>
    <mergeCell ref="B153:E153"/>
    <mergeCell ref="C156:E156"/>
    <mergeCell ref="A158:E158"/>
    <mergeCell ref="C138:E138"/>
    <mergeCell ref="C134:E134"/>
    <mergeCell ref="C135:E135"/>
    <mergeCell ref="C137:E137"/>
    <mergeCell ref="C139:E139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zoomScalePageLayoutView="0" workbookViewId="0" topLeftCell="A1">
      <selection activeCell="A55" sqref="A55"/>
    </sheetView>
  </sheetViews>
  <sheetFormatPr defaultColWidth="9.00390625" defaultRowHeight="12.75"/>
  <cols>
    <col min="1" max="1" width="4.125" style="139" bestFit="1" customWidth="1"/>
    <col min="2" max="2" width="55.125" style="69" bestFit="1" customWidth="1"/>
    <col min="3" max="5" width="9.00390625" style="69" customWidth="1"/>
    <col min="6" max="6" width="53.875" style="69" bestFit="1" customWidth="1"/>
    <col min="7" max="7" width="9.00390625" style="69" customWidth="1"/>
    <col min="8" max="9" width="10.125" style="69" bestFit="1" customWidth="1"/>
    <col min="10" max="16384" width="9.125" style="69" customWidth="1"/>
  </cols>
  <sheetData>
    <row r="1" spans="6:10" ht="18">
      <c r="F1" s="966" t="s">
        <v>1109</v>
      </c>
      <c r="G1" s="967"/>
      <c r="H1" s="967"/>
      <c r="I1" s="967"/>
      <c r="J1" s="121"/>
    </row>
    <row r="2" spans="2:9" ht="15.75">
      <c r="B2" s="968" t="s">
        <v>939</v>
      </c>
      <c r="C2" s="968"/>
      <c r="D2" s="968"/>
      <c r="E2" s="968"/>
      <c r="F2" s="968"/>
      <c r="G2" s="968"/>
      <c r="H2" s="968"/>
      <c r="I2" s="968"/>
    </row>
    <row r="4" spans="1:9" s="70" customFormat="1" ht="15.75">
      <c r="A4" s="970" t="s">
        <v>732</v>
      </c>
      <c r="B4" s="969" t="s">
        <v>740</v>
      </c>
      <c r="C4" s="969"/>
      <c r="D4" s="969"/>
      <c r="E4" s="969"/>
      <c r="F4" s="969" t="s">
        <v>637</v>
      </c>
      <c r="G4" s="969"/>
      <c r="H4" s="969"/>
      <c r="I4" s="969"/>
    </row>
    <row r="5" spans="1:9" s="73" customFormat="1" ht="14.25">
      <c r="A5" s="970"/>
      <c r="B5" s="71" t="s">
        <v>636</v>
      </c>
      <c r="C5" s="72" t="s">
        <v>591</v>
      </c>
      <c r="D5" s="72" t="s">
        <v>590</v>
      </c>
      <c r="E5" s="72" t="s">
        <v>589</v>
      </c>
      <c r="F5" s="71" t="s">
        <v>636</v>
      </c>
      <c r="G5" s="72" t="s">
        <v>591</v>
      </c>
      <c r="H5" s="72" t="s">
        <v>590</v>
      </c>
      <c r="I5" s="72" t="s">
        <v>589</v>
      </c>
    </row>
    <row r="6" spans="1:9" s="138" customFormat="1" ht="12">
      <c r="A6" s="970"/>
      <c r="B6" s="137" t="s">
        <v>726</v>
      </c>
      <c r="C6" s="137" t="s">
        <v>727</v>
      </c>
      <c r="D6" s="137" t="s">
        <v>728</v>
      </c>
      <c r="E6" s="137" t="s">
        <v>729</v>
      </c>
      <c r="F6" s="137" t="s">
        <v>730</v>
      </c>
      <c r="G6" s="137" t="s">
        <v>731</v>
      </c>
      <c r="H6" s="137" t="s">
        <v>734</v>
      </c>
      <c r="I6" s="137" t="s">
        <v>735</v>
      </c>
    </row>
    <row r="7" spans="1:9" s="95" customFormat="1" ht="14.25">
      <c r="A7" s="137">
        <v>1</v>
      </c>
      <c r="B7" s="94" t="s">
        <v>902</v>
      </c>
      <c r="C7" s="112">
        <f>SUM(C8)</f>
        <v>1323367</v>
      </c>
      <c r="D7" s="112">
        <f>SUM(D32,D8)</f>
        <v>1293891</v>
      </c>
      <c r="E7" s="112">
        <f aca="true" t="shared" si="0" ref="E7:E30">SUM(C7:D7)</f>
        <v>2617258</v>
      </c>
      <c r="F7" s="94" t="s">
        <v>903</v>
      </c>
      <c r="G7" s="112">
        <f>SUM(G8,G32)</f>
        <v>1400788</v>
      </c>
      <c r="H7" s="112">
        <f>SUM(H8,H32)</f>
        <v>1340011</v>
      </c>
      <c r="I7" s="112">
        <f aca="true" t="shared" si="1" ref="I7:I12">SUM(G7:H7)</f>
        <v>2740799</v>
      </c>
    </row>
    <row r="8" spans="1:9" s="104" customFormat="1" ht="12.75">
      <c r="A8" s="140">
        <v>2</v>
      </c>
      <c r="B8" s="101" t="s">
        <v>764</v>
      </c>
      <c r="C8" s="102">
        <f>SUM(C28+C18+C14+C9)</f>
        <v>1323367</v>
      </c>
      <c r="D8" s="102">
        <f>SUM(D28+D18+D14+D9)</f>
        <v>0</v>
      </c>
      <c r="E8" s="102">
        <f t="shared" si="0"/>
        <v>1323367</v>
      </c>
      <c r="F8" s="103" t="s">
        <v>770</v>
      </c>
      <c r="G8" s="102">
        <f>SUM(G9:G13)</f>
        <v>1400788</v>
      </c>
      <c r="H8" s="102">
        <f>SUM(H9:H13)</f>
        <v>44987</v>
      </c>
      <c r="I8" s="102">
        <f t="shared" si="1"/>
        <v>1445775</v>
      </c>
    </row>
    <row r="9" spans="1:9" s="76" customFormat="1" ht="12.75">
      <c r="A9" s="140">
        <v>3</v>
      </c>
      <c r="B9" s="110" t="s">
        <v>96</v>
      </c>
      <c r="C9" s="91">
        <f>SUM(C10:C13)</f>
        <v>701115</v>
      </c>
      <c r="D9" s="91">
        <v>0</v>
      </c>
      <c r="E9" s="91">
        <f t="shared" si="0"/>
        <v>701115</v>
      </c>
      <c r="F9" s="111" t="s">
        <v>771</v>
      </c>
      <c r="G9" s="91">
        <f>354028-1478+96+251+3+75649-732-480-50-75649+20648-20648+787+47+54+55+21+428+664+298+197+28+121+135+1243+97+1048</f>
        <v>356861</v>
      </c>
      <c r="H9" s="91">
        <v>0</v>
      </c>
      <c r="I9" s="91">
        <f t="shared" si="1"/>
        <v>356861</v>
      </c>
    </row>
    <row r="10" spans="1:9" s="76" customFormat="1" ht="12.75">
      <c r="A10" s="137">
        <v>4</v>
      </c>
      <c r="B10" s="88" t="s">
        <v>97</v>
      </c>
      <c r="C10" s="93">
        <f>525185+1721+1589+520+4960+416</f>
        <v>534391</v>
      </c>
      <c r="D10" s="93">
        <v>0</v>
      </c>
      <c r="E10" s="93">
        <f t="shared" si="0"/>
        <v>534391</v>
      </c>
      <c r="F10" s="111" t="s">
        <v>125</v>
      </c>
      <c r="G10" s="91">
        <f>92921-396+26+69+10213-198-10213+5467-5467+403+13+15+15+6+116+179+80+53+8+62+36+335+26+283</f>
        <v>94052</v>
      </c>
      <c r="H10" s="91">
        <v>0</v>
      </c>
      <c r="I10" s="91">
        <f t="shared" si="1"/>
        <v>94052</v>
      </c>
    </row>
    <row r="11" spans="1:9" s="76" customFormat="1" ht="12.75">
      <c r="A11" s="140">
        <v>5</v>
      </c>
      <c r="B11" s="88" t="s">
        <v>98</v>
      </c>
      <c r="C11" s="93">
        <v>842</v>
      </c>
      <c r="D11" s="93">
        <v>0</v>
      </c>
      <c r="E11" s="93">
        <f t="shared" si="0"/>
        <v>842</v>
      </c>
      <c r="F11" s="111" t="s">
        <v>126</v>
      </c>
      <c r="G11" s="91">
        <f>607831-911-763-500+11330-221-40-80-50-50-30-50-40-50-30-100-50-500-50-50-35-12-50-50-10-11330+250+150-150-6+6+1589+4810+5105+5+2+850+14+146+7982-183+127+77</f>
        <v>624883</v>
      </c>
      <c r="H11" s="91">
        <v>0</v>
      </c>
      <c r="I11" s="91">
        <f t="shared" si="1"/>
        <v>624883</v>
      </c>
    </row>
    <row r="12" spans="1:9" s="76" customFormat="1" ht="12.75">
      <c r="A12" s="140">
        <v>6</v>
      </c>
      <c r="B12" s="88" t="s">
        <v>99</v>
      </c>
      <c r="C12" s="93">
        <f>253834-96734-5429+1428</f>
        <v>153099</v>
      </c>
      <c r="D12" s="93">
        <v>0</v>
      </c>
      <c r="E12" s="93">
        <f t="shared" si="0"/>
        <v>153099</v>
      </c>
      <c r="F12" s="111" t="s">
        <v>127</v>
      </c>
      <c r="G12" s="91">
        <f>57589+2580</f>
        <v>60169</v>
      </c>
      <c r="H12" s="91">
        <v>0</v>
      </c>
      <c r="I12" s="91">
        <f t="shared" si="1"/>
        <v>60169</v>
      </c>
    </row>
    <row r="13" spans="1:9" s="76" customFormat="1" ht="12.75">
      <c r="A13" s="137">
        <v>7</v>
      </c>
      <c r="B13" s="88" t="s">
        <v>1118</v>
      </c>
      <c r="C13" s="93">
        <v>12783</v>
      </c>
      <c r="D13" s="93">
        <v>0</v>
      </c>
      <c r="E13" s="93">
        <f t="shared" si="0"/>
        <v>12783</v>
      </c>
      <c r="F13" s="115" t="s">
        <v>130</v>
      </c>
      <c r="G13" s="91">
        <f>SUM(G14:G19)</f>
        <v>264823</v>
      </c>
      <c r="H13" s="91">
        <f>SUM(H14:H19)</f>
        <v>44987</v>
      </c>
      <c r="I13" s="91">
        <f aca="true" t="shared" si="2" ref="I13:I19">SUM(G13:H13)</f>
        <v>309810</v>
      </c>
    </row>
    <row r="14" spans="1:9" s="77" customFormat="1" ht="12.75">
      <c r="A14" s="140">
        <v>8</v>
      </c>
      <c r="B14" s="110" t="s">
        <v>103</v>
      </c>
      <c r="C14" s="91">
        <f>SUM(C15:C17)</f>
        <v>170970</v>
      </c>
      <c r="D14" s="91">
        <f>SUM(D15:D17)</f>
        <v>0</v>
      </c>
      <c r="E14" s="91">
        <f t="shared" si="0"/>
        <v>170970</v>
      </c>
      <c r="F14" s="90" t="s">
        <v>128</v>
      </c>
      <c r="G14" s="93">
        <f>250+186</f>
        <v>436</v>
      </c>
      <c r="H14" s="93">
        <v>0</v>
      </c>
      <c r="I14" s="93">
        <f t="shared" si="2"/>
        <v>436</v>
      </c>
    </row>
    <row r="15" spans="1:9" s="77" customFormat="1" ht="12.75">
      <c r="A15" s="140">
        <v>9</v>
      </c>
      <c r="B15" s="88" t="s">
        <v>246</v>
      </c>
      <c r="C15" s="93">
        <f>147200+1970</f>
        <v>149170</v>
      </c>
      <c r="D15" s="93">
        <v>0</v>
      </c>
      <c r="E15" s="93">
        <f t="shared" si="0"/>
        <v>149170</v>
      </c>
      <c r="F15" s="90" t="s">
        <v>1025</v>
      </c>
      <c r="G15" s="93">
        <f>14668+7000</f>
        <v>21668</v>
      </c>
      <c r="H15" s="93">
        <v>0</v>
      </c>
      <c r="I15" s="93">
        <f t="shared" si="2"/>
        <v>21668</v>
      </c>
    </row>
    <row r="16" spans="1:9" s="77" customFormat="1" ht="12.75">
      <c r="A16" s="137">
        <v>10</v>
      </c>
      <c r="B16" s="89" t="s">
        <v>137</v>
      </c>
      <c r="C16" s="93">
        <v>20000</v>
      </c>
      <c r="D16" s="93">
        <v>0</v>
      </c>
      <c r="E16" s="93">
        <f t="shared" si="0"/>
        <v>20000</v>
      </c>
      <c r="F16" s="90" t="s">
        <v>129</v>
      </c>
      <c r="G16" s="93">
        <f>220969-8000-1650+3650-5230-650-3540-7-682-803-5000+5487+100-5429+14274-14274+3+1407+416</f>
        <v>201041</v>
      </c>
      <c r="H16" s="93">
        <v>0</v>
      </c>
      <c r="I16" s="93">
        <f t="shared" si="2"/>
        <v>201041</v>
      </c>
    </row>
    <row r="17" spans="1:9" s="77" customFormat="1" ht="12.75">
      <c r="A17" s="140">
        <v>11</v>
      </c>
      <c r="B17" s="88" t="s">
        <v>104</v>
      </c>
      <c r="C17" s="93">
        <v>1800</v>
      </c>
      <c r="D17" s="93">
        <v>0</v>
      </c>
      <c r="E17" s="93">
        <f t="shared" si="0"/>
        <v>1800</v>
      </c>
      <c r="F17" s="90" t="s">
        <v>1119</v>
      </c>
      <c r="G17" s="93">
        <f>13962+18</f>
        <v>13980</v>
      </c>
      <c r="H17" s="93">
        <v>0</v>
      </c>
      <c r="I17" s="93">
        <f t="shared" si="2"/>
        <v>13980</v>
      </c>
    </row>
    <row r="18" spans="1:9" s="76" customFormat="1" ht="12.75">
      <c r="A18" s="140">
        <v>12</v>
      </c>
      <c r="B18" s="110" t="s">
        <v>105</v>
      </c>
      <c r="C18" s="91">
        <f>SUM(C19:C27)</f>
        <v>429614</v>
      </c>
      <c r="D18" s="91">
        <f>SUM(D19:D27)</f>
        <v>0</v>
      </c>
      <c r="E18" s="91">
        <f t="shared" si="0"/>
        <v>429614</v>
      </c>
      <c r="F18" s="90" t="s">
        <v>1120</v>
      </c>
      <c r="G18" s="93">
        <f>3234+9549</f>
        <v>12783</v>
      </c>
      <c r="H18" s="93">
        <v>0</v>
      </c>
      <c r="I18" s="93">
        <f t="shared" si="2"/>
        <v>12783</v>
      </c>
    </row>
    <row r="19" spans="1:9" s="76" customFormat="1" ht="12.75">
      <c r="A19" s="137">
        <v>13</v>
      </c>
      <c r="B19" s="88" t="s">
        <v>1080</v>
      </c>
      <c r="C19" s="93">
        <v>8037</v>
      </c>
      <c r="D19" s="93">
        <v>0</v>
      </c>
      <c r="E19" s="93">
        <f t="shared" si="0"/>
        <v>8037</v>
      </c>
      <c r="F19" s="90" t="s">
        <v>1121</v>
      </c>
      <c r="G19" s="93">
        <f>1000+200+1000+1519+3000-323-3517-100-859+720+3517-250+10-70-350-1000-2250-2250-6000+53177-13962-5976+714-714-146-3-7982+2900-2900+2611-2611-16238-18+12783-1000+410-127+3234-3234+9549-9549</f>
        <v>14915</v>
      </c>
      <c r="H19" s="93">
        <f>195+40540-882-8489+68969-35894-9122-4252+4252-10330</f>
        <v>44987</v>
      </c>
      <c r="I19" s="93">
        <f t="shared" si="2"/>
        <v>59902</v>
      </c>
    </row>
    <row r="20" spans="1:9" s="76" customFormat="1" ht="12.75">
      <c r="A20" s="140">
        <v>14</v>
      </c>
      <c r="B20" s="88" t="s">
        <v>106</v>
      </c>
      <c r="C20" s="93">
        <v>85516</v>
      </c>
      <c r="D20" s="93">
        <v>0</v>
      </c>
      <c r="E20" s="93">
        <f t="shared" si="0"/>
        <v>85516</v>
      </c>
      <c r="F20" s="90"/>
      <c r="G20" s="93"/>
      <c r="H20" s="93"/>
      <c r="I20" s="93"/>
    </row>
    <row r="21" spans="1:9" s="76" customFormat="1" ht="12.75">
      <c r="A21" s="140">
        <v>15</v>
      </c>
      <c r="B21" s="88" t="s">
        <v>107</v>
      </c>
      <c r="C21" s="93">
        <v>10835</v>
      </c>
      <c r="D21" s="93">
        <v>0</v>
      </c>
      <c r="E21" s="93">
        <f t="shared" si="0"/>
        <v>10835</v>
      </c>
      <c r="F21" s="90"/>
      <c r="G21" s="93"/>
      <c r="H21" s="93"/>
      <c r="I21" s="93"/>
    </row>
    <row r="22" spans="1:9" s="76" customFormat="1" ht="12.75">
      <c r="A22" s="137">
        <v>16</v>
      </c>
      <c r="B22" s="88" t="s">
        <v>955</v>
      </c>
      <c r="C22" s="93">
        <v>695</v>
      </c>
      <c r="D22" s="93">
        <v>0</v>
      </c>
      <c r="E22" s="93">
        <f t="shared" si="0"/>
        <v>695</v>
      </c>
      <c r="F22" s="90"/>
      <c r="G22" s="93"/>
      <c r="H22" s="93"/>
      <c r="I22" s="93"/>
    </row>
    <row r="23" spans="1:9" s="76" customFormat="1" ht="12.75">
      <c r="A23" s="140">
        <v>17</v>
      </c>
      <c r="B23" s="88" t="s">
        <v>108</v>
      </c>
      <c r="C23" s="93">
        <v>10183</v>
      </c>
      <c r="D23" s="93">
        <v>0</v>
      </c>
      <c r="E23" s="93">
        <f t="shared" si="0"/>
        <v>10183</v>
      </c>
      <c r="F23" s="90"/>
      <c r="G23" s="93"/>
      <c r="H23" s="93"/>
      <c r="I23" s="93"/>
    </row>
    <row r="24" spans="1:9" s="76" customFormat="1" ht="12.75">
      <c r="A24" s="140">
        <v>18</v>
      </c>
      <c r="B24" s="88" t="s">
        <v>109</v>
      </c>
      <c r="C24" s="93">
        <v>23714</v>
      </c>
      <c r="D24" s="93">
        <v>0</v>
      </c>
      <c r="E24" s="93">
        <f t="shared" si="0"/>
        <v>23714</v>
      </c>
      <c r="F24" s="75"/>
      <c r="G24" s="93"/>
      <c r="H24" s="92"/>
      <c r="I24" s="92"/>
    </row>
    <row r="25" spans="1:9" s="76" customFormat="1" ht="12.75">
      <c r="A25" s="140">
        <v>19</v>
      </c>
      <c r="B25" s="88" t="s">
        <v>527</v>
      </c>
      <c r="C25" s="93">
        <f>284628+4762+77</f>
        <v>289467</v>
      </c>
      <c r="D25" s="93"/>
      <c r="E25" s="93">
        <f t="shared" si="0"/>
        <v>289467</v>
      </c>
      <c r="F25" s="75"/>
      <c r="G25" s="93"/>
      <c r="H25" s="92"/>
      <c r="I25" s="92"/>
    </row>
    <row r="26" spans="1:9" s="74" customFormat="1" ht="12.75">
      <c r="A26" s="137">
        <v>20</v>
      </c>
      <c r="B26" s="88" t="s">
        <v>110</v>
      </c>
      <c r="C26" s="93">
        <v>487</v>
      </c>
      <c r="D26" s="93">
        <v>0</v>
      </c>
      <c r="E26" s="93">
        <f t="shared" si="0"/>
        <v>487</v>
      </c>
      <c r="F26" s="75"/>
      <c r="G26" s="93"/>
      <c r="H26" s="92"/>
      <c r="I26" s="92"/>
    </row>
    <row r="27" spans="1:9" s="74" customFormat="1" ht="12.75">
      <c r="A27" s="140">
        <v>21</v>
      </c>
      <c r="B27" s="88" t="s">
        <v>111</v>
      </c>
      <c r="C27" s="93">
        <f>270+410</f>
        <v>680</v>
      </c>
      <c r="D27" s="93">
        <v>0</v>
      </c>
      <c r="E27" s="93">
        <f t="shared" si="0"/>
        <v>680</v>
      </c>
      <c r="F27" s="75"/>
      <c r="G27" s="92"/>
      <c r="H27" s="92"/>
      <c r="I27" s="92"/>
    </row>
    <row r="28" spans="1:9" s="74" customFormat="1" ht="12.75">
      <c r="A28" s="140">
        <v>22</v>
      </c>
      <c r="B28" s="110" t="s">
        <v>117</v>
      </c>
      <c r="C28" s="91">
        <f>SUM(C29:C30)</f>
        <v>21668</v>
      </c>
      <c r="D28" s="91"/>
      <c r="E28" s="91">
        <f t="shared" si="0"/>
        <v>21668</v>
      </c>
      <c r="F28" s="75"/>
      <c r="G28" s="92"/>
      <c r="H28" s="92"/>
      <c r="I28" s="92"/>
    </row>
    <row r="29" spans="1:9" s="74" customFormat="1" ht="12.75">
      <c r="A29" s="137">
        <v>23</v>
      </c>
      <c r="B29" s="88" t="s">
        <v>118</v>
      </c>
      <c r="C29" s="93">
        <f>14668+7000</f>
        <v>21668</v>
      </c>
      <c r="D29" s="93">
        <v>0</v>
      </c>
      <c r="E29" s="93">
        <f t="shared" si="0"/>
        <v>21668</v>
      </c>
      <c r="F29" s="75"/>
      <c r="G29" s="92"/>
      <c r="H29" s="92"/>
      <c r="I29" s="92"/>
    </row>
    <row r="30" spans="1:9" s="74" customFormat="1" ht="12.75">
      <c r="A30" s="140">
        <v>24</v>
      </c>
      <c r="B30" s="88" t="s">
        <v>119</v>
      </c>
      <c r="C30" s="93">
        <v>0</v>
      </c>
      <c r="D30" s="93">
        <v>0</v>
      </c>
      <c r="E30" s="93">
        <f t="shared" si="0"/>
        <v>0</v>
      </c>
      <c r="F30" s="75"/>
      <c r="G30" s="92"/>
      <c r="H30" s="92"/>
      <c r="I30" s="92"/>
    </row>
    <row r="31" spans="1:9" s="104" customFormat="1" ht="12.75">
      <c r="A31" s="140">
        <v>25</v>
      </c>
      <c r="B31" s="88"/>
      <c r="C31" s="93"/>
      <c r="D31" s="93"/>
      <c r="E31" s="93"/>
      <c r="F31" s="75"/>
      <c r="G31" s="92"/>
      <c r="H31" s="92"/>
      <c r="I31" s="92"/>
    </row>
    <row r="32" spans="1:9" s="74" customFormat="1" ht="12.75">
      <c r="A32" s="137">
        <v>26</v>
      </c>
      <c r="B32" s="105" t="s">
        <v>769</v>
      </c>
      <c r="C32" s="102">
        <f>SUM(C41+C36+C33)</f>
        <v>0</v>
      </c>
      <c r="D32" s="102">
        <f>SUM(D41+D36+D33)</f>
        <v>1293891</v>
      </c>
      <c r="E32" s="102">
        <f>SUM(D32:D32)</f>
        <v>1293891</v>
      </c>
      <c r="F32" s="103" t="s">
        <v>586</v>
      </c>
      <c r="G32" s="102">
        <f>SUM(G33:G35)</f>
        <v>0</v>
      </c>
      <c r="H32" s="102">
        <f>SUM(H33:H35)</f>
        <v>1295024</v>
      </c>
      <c r="I32" s="102">
        <f aca="true" t="shared" si="3" ref="I32:I40">SUM(G32:H32)</f>
        <v>1295024</v>
      </c>
    </row>
    <row r="33" spans="1:9" s="74" customFormat="1" ht="12.75">
      <c r="A33" s="140">
        <v>27</v>
      </c>
      <c r="B33" s="110" t="s">
        <v>100</v>
      </c>
      <c r="C33" s="91">
        <f>SUM(C34:C35)</f>
        <v>0</v>
      </c>
      <c r="D33" s="91">
        <f>SUM(D34:D35)</f>
        <v>1034151</v>
      </c>
      <c r="E33" s="91">
        <f>SUM(D33:D33)</f>
        <v>1034151</v>
      </c>
      <c r="F33" s="111" t="s">
        <v>131</v>
      </c>
      <c r="G33" s="91">
        <v>0</v>
      </c>
      <c r="H33" s="91">
        <f>1206490-7620+6000+430+156+8184-50-8184+70+1350+5644+8489+35888+6+9122+10330+333</f>
        <v>1276638</v>
      </c>
      <c r="I33" s="91">
        <f t="shared" si="3"/>
        <v>1276638</v>
      </c>
    </row>
    <row r="34" spans="1:9" s="74" customFormat="1" ht="12.75">
      <c r="A34" s="140">
        <v>28</v>
      </c>
      <c r="B34" s="88" t="s">
        <v>101</v>
      </c>
      <c r="C34" s="93">
        <v>0</v>
      </c>
      <c r="D34" s="93">
        <v>0</v>
      </c>
      <c r="E34" s="93">
        <f aca="true" t="shared" si="4" ref="E34:E43">SUM(D34:D34)</f>
        <v>0</v>
      </c>
      <c r="F34" s="111" t="s">
        <v>132</v>
      </c>
      <c r="G34" s="91">
        <v>0</v>
      </c>
      <c r="H34" s="91">
        <f>929+301-301+2250+2250+667</f>
        <v>6096</v>
      </c>
      <c r="I34" s="91">
        <f t="shared" si="3"/>
        <v>6096</v>
      </c>
    </row>
    <row r="35" spans="1:9" s="74" customFormat="1" ht="12.75">
      <c r="A35" s="137">
        <v>29</v>
      </c>
      <c r="B35" s="88" t="s">
        <v>102</v>
      </c>
      <c r="C35" s="93">
        <v>0</v>
      </c>
      <c r="D35" s="93">
        <f>1032834-8223+9540</f>
        <v>1034151</v>
      </c>
      <c r="E35" s="93">
        <f t="shared" si="4"/>
        <v>1034151</v>
      </c>
      <c r="F35" s="111" t="s">
        <v>133</v>
      </c>
      <c r="G35" s="91">
        <f>SUM(G36:G40)</f>
        <v>0</v>
      </c>
      <c r="H35" s="91">
        <f>SUM(H36:H40)</f>
        <v>12290</v>
      </c>
      <c r="I35" s="91">
        <f t="shared" si="3"/>
        <v>12290</v>
      </c>
    </row>
    <row r="36" spans="1:9" s="74" customFormat="1" ht="12.75">
      <c r="A36" s="140">
        <v>30</v>
      </c>
      <c r="B36" s="110" t="s">
        <v>112</v>
      </c>
      <c r="C36" s="91">
        <f>SUM(C37:C40)</f>
        <v>0</v>
      </c>
      <c r="D36" s="91">
        <f>SUM(D37:D40)</f>
        <v>43282</v>
      </c>
      <c r="E36" s="91">
        <f t="shared" si="4"/>
        <v>43282</v>
      </c>
      <c r="F36" s="90" t="s">
        <v>134</v>
      </c>
      <c r="G36" s="93">
        <v>0</v>
      </c>
      <c r="H36" s="93">
        <v>0</v>
      </c>
      <c r="I36" s="93">
        <f t="shared" si="3"/>
        <v>0</v>
      </c>
    </row>
    <row r="37" spans="1:9" s="76" customFormat="1" ht="12.75">
      <c r="A37" s="140">
        <v>31</v>
      </c>
      <c r="B37" s="88" t="s">
        <v>113</v>
      </c>
      <c r="C37" s="93">
        <v>0</v>
      </c>
      <c r="D37" s="93">
        <v>0</v>
      </c>
      <c r="E37" s="93">
        <f t="shared" si="4"/>
        <v>0</v>
      </c>
      <c r="F37" s="90" t="s">
        <v>135</v>
      </c>
      <c r="G37" s="93">
        <v>0</v>
      </c>
      <c r="H37" s="93">
        <v>0</v>
      </c>
      <c r="I37" s="93">
        <f t="shared" si="3"/>
        <v>0</v>
      </c>
    </row>
    <row r="38" spans="1:9" s="76" customFormat="1" ht="12.75">
      <c r="A38" s="137">
        <v>32</v>
      </c>
      <c r="B38" s="88" t="s">
        <v>114</v>
      </c>
      <c r="C38" s="93">
        <f>SUM(C39:C40)</f>
        <v>0</v>
      </c>
      <c r="D38" s="93">
        <f>16000+10000+17272</f>
        <v>43272</v>
      </c>
      <c r="E38" s="93">
        <f t="shared" si="4"/>
        <v>43272</v>
      </c>
      <c r="F38" s="90" t="s">
        <v>136</v>
      </c>
      <c r="G38" s="93">
        <v>0</v>
      </c>
      <c r="H38" s="93">
        <v>0</v>
      </c>
      <c r="I38" s="93">
        <f t="shared" si="3"/>
        <v>0</v>
      </c>
    </row>
    <row r="39" spans="1:9" s="78" customFormat="1" ht="13.5">
      <c r="A39" s="140">
        <v>33</v>
      </c>
      <c r="B39" s="88" t="s">
        <v>115</v>
      </c>
      <c r="C39" s="93">
        <v>0</v>
      </c>
      <c r="D39" s="93">
        <v>0</v>
      </c>
      <c r="E39" s="93">
        <f t="shared" si="4"/>
        <v>0</v>
      </c>
      <c r="F39" s="90" t="s">
        <v>138</v>
      </c>
      <c r="G39" s="93">
        <v>0</v>
      </c>
      <c r="H39" s="93">
        <v>0</v>
      </c>
      <c r="I39" s="93">
        <f t="shared" si="3"/>
        <v>0</v>
      </c>
    </row>
    <row r="40" spans="1:9" s="78" customFormat="1" ht="13.5">
      <c r="A40" s="140">
        <v>34</v>
      </c>
      <c r="B40" s="88" t="s">
        <v>116</v>
      </c>
      <c r="C40" s="93">
        <v>0</v>
      </c>
      <c r="D40" s="93">
        <v>10</v>
      </c>
      <c r="E40" s="93">
        <f t="shared" si="4"/>
        <v>10</v>
      </c>
      <c r="F40" s="90" t="s">
        <v>139</v>
      </c>
      <c r="G40" s="93">
        <v>0</v>
      </c>
      <c r="H40" s="93">
        <f>2729+9561</f>
        <v>12290</v>
      </c>
      <c r="I40" s="93">
        <f t="shared" si="3"/>
        <v>12290</v>
      </c>
    </row>
    <row r="41" spans="1:9" s="78" customFormat="1" ht="13.5">
      <c r="A41" s="137">
        <v>35</v>
      </c>
      <c r="B41" s="110" t="s">
        <v>120</v>
      </c>
      <c r="C41" s="91">
        <f>SUM(C42:C43)</f>
        <v>0</v>
      </c>
      <c r="D41" s="91">
        <f>SUM(D42:D43)</f>
        <v>216458</v>
      </c>
      <c r="E41" s="91">
        <f t="shared" si="4"/>
        <v>216458</v>
      </c>
      <c r="F41" s="90"/>
      <c r="G41" s="93"/>
      <c r="H41" s="93"/>
      <c r="I41" s="93"/>
    </row>
    <row r="42" spans="1:9" s="78" customFormat="1" ht="13.5">
      <c r="A42" s="140">
        <v>36</v>
      </c>
      <c r="B42" s="88" t="s">
        <v>121</v>
      </c>
      <c r="C42" s="93">
        <v>0</v>
      </c>
      <c r="D42" s="93">
        <v>40540</v>
      </c>
      <c r="E42" s="93">
        <f t="shared" si="4"/>
        <v>40540</v>
      </c>
      <c r="F42" s="79"/>
      <c r="G42" s="93"/>
      <c r="H42" s="93"/>
      <c r="I42" s="93"/>
    </row>
    <row r="43" spans="1:9" s="80" customFormat="1" ht="15">
      <c r="A43" s="140">
        <v>37</v>
      </c>
      <c r="B43" s="88" t="s">
        <v>122</v>
      </c>
      <c r="C43" s="93">
        <v>0</v>
      </c>
      <c r="D43" s="93">
        <f>172401+3517</f>
        <v>175918</v>
      </c>
      <c r="E43" s="93">
        <f t="shared" si="4"/>
        <v>175918</v>
      </c>
      <c r="F43" s="79"/>
      <c r="G43" s="93"/>
      <c r="H43" s="93"/>
      <c r="I43" s="93"/>
    </row>
    <row r="44" spans="1:9" s="80" customFormat="1" ht="15">
      <c r="A44" s="958"/>
      <c r="B44" s="959"/>
      <c r="C44" s="959"/>
      <c r="D44" s="959"/>
      <c r="E44" s="959"/>
      <c r="F44" s="959"/>
      <c r="G44" s="959"/>
      <c r="H44" s="959"/>
      <c r="I44" s="960"/>
    </row>
    <row r="45" spans="1:9" s="80" customFormat="1" ht="15">
      <c r="A45" s="140">
        <v>38</v>
      </c>
      <c r="B45" s="961" t="s">
        <v>904</v>
      </c>
      <c r="C45" s="962"/>
      <c r="D45" s="962"/>
      <c r="E45" s="962"/>
      <c r="F45" s="962"/>
      <c r="G45" s="252">
        <f>C7-G7</f>
        <v>-77421</v>
      </c>
      <c r="H45" s="252">
        <f>D7-H7</f>
        <v>-46120</v>
      </c>
      <c r="I45" s="252">
        <f>SUM(G45:H45)</f>
        <v>-123541</v>
      </c>
    </row>
    <row r="46" spans="1:9" s="98" customFormat="1" ht="15">
      <c r="A46" s="963"/>
      <c r="B46" s="964"/>
      <c r="C46" s="964"/>
      <c r="D46" s="964"/>
      <c r="E46" s="964"/>
      <c r="F46" s="964"/>
      <c r="G46" s="964"/>
      <c r="H46" s="964"/>
      <c r="I46" s="965"/>
    </row>
    <row r="47" spans="1:9" s="107" customFormat="1" ht="28.5">
      <c r="A47" s="140">
        <v>39</v>
      </c>
      <c r="B47" s="94" t="s">
        <v>587</v>
      </c>
      <c r="C47" s="96">
        <f>SUM(C48)</f>
        <v>70810</v>
      </c>
      <c r="D47" s="96">
        <f>SUM(D48)</f>
        <v>68969</v>
      </c>
      <c r="E47" s="96">
        <f aca="true" t="shared" si="5" ref="E47:E53">SUM(C47:D47)</f>
        <v>139779</v>
      </c>
      <c r="F47" s="97"/>
      <c r="G47" s="96"/>
      <c r="H47" s="96"/>
      <c r="I47" s="96"/>
    </row>
    <row r="48" spans="1:9" s="98" customFormat="1" ht="25.5">
      <c r="A48" s="137">
        <v>40</v>
      </c>
      <c r="B48" s="108" t="s">
        <v>1122</v>
      </c>
      <c r="C48" s="102">
        <f>3569+1281+2116+51061+3234+9549</f>
        <v>70810</v>
      </c>
      <c r="D48" s="102">
        <v>68969</v>
      </c>
      <c r="E48" s="102">
        <f t="shared" si="5"/>
        <v>139779</v>
      </c>
      <c r="F48" s="103"/>
      <c r="G48" s="102"/>
      <c r="H48" s="102"/>
      <c r="I48" s="102"/>
    </row>
    <row r="49" spans="1:9" s="107" customFormat="1" ht="15">
      <c r="A49" s="140">
        <v>41</v>
      </c>
      <c r="B49" s="94" t="s">
        <v>1123</v>
      </c>
      <c r="C49" s="96">
        <f>SUM(C50:C52)</f>
        <v>0</v>
      </c>
      <c r="D49" s="96">
        <f>SUM(D50:D52)</f>
        <v>0</v>
      </c>
      <c r="E49" s="96">
        <f t="shared" si="5"/>
        <v>0</v>
      </c>
      <c r="F49" s="113" t="s">
        <v>588</v>
      </c>
      <c r="G49" s="96">
        <f>SUM(G50:G52)</f>
        <v>16238</v>
      </c>
      <c r="H49" s="96">
        <f>SUM(H50:H52)</f>
        <v>0</v>
      </c>
      <c r="I49" s="96">
        <f>SUM(G49:H49)</f>
        <v>16238</v>
      </c>
    </row>
    <row r="50" spans="1:9" s="109" customFormat="1" ht="12.75">
      <c r="A50" s="140">
        <v>42</v>
      </c>
      <c r="B50" s="106" t="s">
        <v>124</v>
      </c>
      <c r="C50" s="102">
        <v>0</v>
      </c>
      <c r="D50" s="102">
        <v>0</v>
      </c>
      <c r="E50" s="102">
        <f t="shared" si="5"/>
        <v>0</v>
      </c>
      <c r="F50" s="103" t="s">
        <v>1124</v>
      </c>
      <c r="G50" s="102">
        <v>0</v>
      </c>
      <c r="H50" s="102">
        <v>0</v>
      </c>
      <c r="I50" s="102">
        <f>SUM(G50:H50)</f>
        <v>0</v>
      </c>
    </row>
    <row r="51" spans="1:9" s="100" customFormat="1" ht="15">
      <c r="A51" s="140">
        <v>43</v>
      </c>
      <c r="B51" s="106" t="s">
        <v>123</v>
      </c>
      <c r="C51" s="102">
        <v>0</v>
      </c>
      <c r="D51" s="102">
        <v>0</v>
      </c>
      <c r="E51" s="102">
        <f t="shared" si="5"/>
        <v>0</v>
      </c>
      <c r="F51" s="103" t="s">
        <v>1125</v>
      </c>
      <c r="G51" s="102">
        <v>0</v>
      </c>
      <c r="H51" s="102">
        <v>0</v>
      </c>
      <c r="I51" s="102">
        <f>SUM(G51:H51)</f>
        <v>0</v>
      </c>
    </row>
    <row r="52" spans="1:9" ht="15">
      <c r="A52" s="140">
        <v>44</v>
      </c>
      <c r="B52" s="103" t="s">
        <v>1126</v>
      </c>
      <c r="C52" s="102">
        <v>0</v>
      </c>
      <c r="D52" s="102">
        <v>0</v>
      </c>
      <c r="E52" s="102">
        <f t="shared" si="5"/>
        <v>0</v>
      </c>
      <c r="F52" s="103" t="s">
        <v>1127</v>
      </c>
      <c r="G52" s="102">
        <v>16238</v>
      </c>
      <c r="H52" s="102">
        <v>0</v>
      </c>
      <c r="I52" s="102">
        <f>SUM(G52:H52)</f>
        <v>16238</v>
      </c>
    </row>
    <row r="53" spans="1:9" ht="15.75">
      <c r="A53" s="140">
        <v>45</v>
      </c>
      <c r="B53" s="99" t="s">
        <v>741</v>
      </c>
      <c r="C53" s="114">
        <f>SUM(C7,C47,C49)</f>
        <v>1394177</v>
      </c>
      <c r="D53" s="114">
        <f>SUM(D7,D47,D49)</f>
        <v>1362860</v>
      </c>
      <c r="E53" s="114">
        <f t="shared" si="5"/>
        <v>2757037</v>
      </c>
      <c r="F53" s="99" t="s">
        <v>600</v>
      </c>
      <c r="G53" s="114">
        <f>SUM(G7,G49)</f>
        <v>1417026</v>
      </c>
      <c r="H53" s="114">
        <f>SUM(H7,H49)</f>
        <v>1340011</v>
      </c>
      <c r="I53" s="114">
        <f>SUM(G53:H53)</f>
        <v>2757037</v>
      </c>
    </row>
    <row r="54" spans="2:5" ht="15">
      <c r="B54" s="838"/>
      <c r="C54" s="838"/>
      <c r="D54" s="838"/>
      <c r="E54" s="838"/>
    </row>
    <row r="55" spans="1:5" ht="15">
      <c r="A55" s="835" t="s">
        <v>1229</v>
      </c>
      <c r="B55"/>
      <c r="C55"/>
      <c r="D55"/>
      <c r="E55"/>
    </row>
    <row r="56" ht="15">
      <c r="A56" s="838" t="s">
        <v>1108</v>
      </c>
    </row>
    <row r="58" ht="15">
      <c r="B58" s="81"/>
    </row>
  </sheetData>
  <sheetProtection/>
  <mergeCells count="8">
    <mergeCell ref="A44:I44"/>
    <mergeCell ref="B45:F45"/>
    <mergeCell ref="A46:I46"/>
    <mergeCell ref="F1:I1"/>
    <mergeCell ref="B2:I2"/>
    <mergeCell ref="B4:E4"/>
    <mergeCell ref="F4:I4"/>
    <mergeCell ref="A4:A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8"/>
  <sheetViews>
    <sheetView zoomScale="95" zoomScaleNormal="95" zoomScalePageLayoutView="0" workbookViewId="0" topLeftCell="G1">
      <pane ySplit="7" topLeftCell="A8" activePane="bottomLeft" state="frozen"/>
      <selection pane="topLeft" activeCell="A1" sqref="A1"/>
      <selection pane="bottomLeft" activeCell="C1" sqref="C1:C16384"/>
    </sheetView>
  </sheetViews>
  <sheetFormatPr defaultColWidth="8.875" defaultRowHeight="12.75"/>
  <cols>
    <col min="1" max="1" width="1.37890625" style="26" hidden="1" customWidth="1"/>
    <col min="2" max="2" width="8.00390625" style="38" hidden="1" customWidth="1"/>
    <col min="3" max="3" width="8.00390625" style="1275" customWidth="1"/>
    <col min="4" max="4" width="4.625" style="149" bestFit="1" customWidth="1"/>
    <col min="5" max="5" width="30.375" style="26" customWidth="1"/>
    <col min="6" max="6" width="9.25390625" style="145" hidden="1" customWidth="1"/>
    <col min="7" max="7" width="8.375" style="26" customWidth="1"/>
    <col min="8" max="8" width="7.875" style="26" customWidth="1"/>
    <col min="9" max="9" width="8.125" style="26" customWidth="1"/>
    <col min="10" max="10" width="8.75390625" style="26" customWidth="1"/>
    <col min="11" max="11" width="8.375" style="26" customWidth="1"/>
    <col min="12" max="12" width="9.875" style="26" customWidth="1"/>
    <col min="13" max="18" width="8.25390625" style="26" customWidth="1"/>
    <col min="19" max="19" width="9.625" style="26" bestFit="1" customWidth="1"/>
    <col min="20" max="20" width="9.625" style="26" customWidth="1"/>
    <col min="21" max="21" width="9.625" style="26" bestFit="1" customWidth="1"/>
    <col min="22" max="22" width="7.625" style="26" customWidth="1"/>
    <col min="23" max="23" width="9.25390625" style="26" customWidth="1"/>
    <col min="24" max="24" width="9.375" style="36" customWidth="1"/>
    <col min="25" max="25" width="14.375" style="26" customWidth="1"/>
    <col min="26" max="26" width="8.875" style="26" customWidth="1"/>
    <col min="27" max="27" width="10.625" style="26" customWidth="1"/>
    <col min="28" max="16384" width="8.875" style="26" customWidth="1"/>
  </cols>
  <sheetData>
    <row r="1" spans="3:24" ht="18">
      <c r="C1" s="1274"/>
      <c r="N1" s="27"/>
      <c r="O1" s="27"/>
      <c r="P1" s="27"/>
      <c r="Q1" s="27"/>
      <c r="R1" s="27"/>
      <c r="S1" s="966" t="s">
        <v>1111</v>
      </c>
      <c r="T1" s="966"/>
      <c r="U1" s="967"/>
      <c r="V1" s="967"/>
      <c r="W1" s="967"/>
      <c r="X1" s="967"/>
    </row>
    <row r="2" spans="1:27" ht="15.75">
      <c r="A2" s="28"/>
      <c r="B2" s="39"/>
      <c r="C2" s="1274"/>
      <c r="D2" s="39"/>
      <c r="E2" s="982" t="s">
        <v>1112</v>
      </c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</row>
    <row r="3" spans="24:27" ht="12.75" thickBot="1">
      <c r="X3" s="26"/>
      <c r="AA3" s="29"/>
    </row>
    <row r="4" spans="2:27" s="30" customFormat="1" ht="12.75" customHeight="1">
      <c r="B4" s="40"/>
      <c r="C4" s="1276"/>
      <c r="D4" s="984" t="s">
        <v>732</v>
      </c>
      <c r="E4" s="987" t="s">
        <v>636</v>
      </c>
      <c r="F4" s="979" t="s">
        <v>644</v>
      </c>
      <c r="G4" s="992" t="s">
        <v>645</v>
      </c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4"/>
      <c r="AA4" s="971" t="s">
        <v>646</v>
      </c>
    </row>
    <row r="5" spans="2:27" s="31" customFormat="1" ht="12" customHeight="1">
      <c r="B5" s="41"/>
      <c r="C5" s="1277"/>
      <c r="D5" s="985"/>
      <c r="E5" s="988"/>
      <c r="F5" s="980"/>
      <c r="G5" s="976" t="s">
        <v>599</v>
      </c>
      <c r="H5" s="976" t="s">
        <v>598</v>
      </c>
      <c r="I5" s="976" t="s">
        <v>638</v>
      </c>
      <c r="J5" s="976" t="s">
        <v>88</v>
      </c>
      <c r="K5" s="976" t="s">
        <v>265</v>
      </c>
      <c r="L5" s="976" t="s">
        <v>267</v>
      </c>
      <c r="M5" s="976" t="s">
        <v>266</v>
      </c>
      <c r="N5" s="976" t="s">
        <v>1113</v>
      </c>
      <c r="O5" s="976" t="s">
        <v>725</v>
      </c>
      <c r="P5" s="976" t="s">
        <v>738</v>
      </c>
      <c r="Q5" s="976" t="s">
        <v>773</v>
      </c>
      <c r="R5" s="976" t="s">
        <v>982</v>
      </c>
      <c r="S5" s="976" t="s">
        <v>1114</v>
      </c>
      <c r="T5" s="976" t="s">
        <v>1094</v>
      </c>
      <c r="U5" s="976" t="s">
        <v>140</v>
      </c>
      <c r="V5" s="976" t="s">
        <v>983</v>
      </c>
      <c r="W5" s="974" t="s">
        <v>594</v>
      </c>
      <c r="X5" s="974" t="s">
        <v>647</v>
      </c>
      <c r="Y5" s="976" t="s">
        <v>268</v>
      </c>
      <c r="Z5" s="976" t="s">
        <v>274</v>
      </c>
      <c r="AA5" s="972"/>
    </row>
    <row r="6" spans="2:27" s="31" customFormat="1" ht="30.75" customHeight="1">
      <c r="B6" s="41"/>
      <c r="C6" s="1277"/>
      <c r="D6" s="985"/>
      <c r="E6" s="989"/>
      <c r="F6" s="981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  <c r="U6" s="977"/>
      <c r="V6" s="977"/>
      <c r="W6" s="975"/>
      <c r="X6" s="975"/>
      <c r="Y6" s="977"/>
      <c r="Z6" s="977"/>
      <c r="AA6" s="973"/>
    </row>
    <row r="7" spans="2:27" s="780" customFormat="1" ht="12">
      <c r="B7" s="781"/>
      <c r="C7" s="1278"/>
      <c r="D7" s="986"/>
      <c r="E7" s="660" t="s">
        <v>726</v>
      </c>
      <c r="F7" s="661" t="s">
        <v>727</v>
      </c>
      <c r="G7" s="662" t="s">
        <v>727</v>
      </c>
      <c r="H7" s="662" t="s">
        <v>728</v>
      </c>
      <c r="I7" s="663" t="s">
        <v>729</v>
      </c>
      <c r="J7" s="660" t="s">
        <v>730</v>
      </c>
      <c r="K7" s="660" t="s">
        <v>731</v>
      </c>
      <c r="L7" s="663" t="s">
        <v>734</v>
      </c>
      <c r="M7" s="663" t="s">
        <v>735</v>
      </c>
      <c r="N7" s="663"/>
      <c r="O7" s="663" t="s">
        <v>671</v>
      </c>
      <c r="P7" s="663" t="s">
        <v>672</v>
      </c>
      <c r="Q7" s="663" t="s">
        <v>673</v>
      </c>
      <c r="R7" s="663" t="s">
        <v>674</v>
      </c>
      <c r="S7" s="662"/>
      <c r="T7" s="662"/>
      <c r="U7" s="662" t="s">
        <v>675</v>
      </c>
      <c r="V7" s="662"/>
      <c r="W7" s="663" t="s">
        <v>676</v>
      </c>
      <c r="X7" s="663" t="s">
        <v>677</v>
      </c>
      <c r="Y7" s="664" t="s">
        <v>678</v>
      </c>
      <c r="Z7" s="664" t="s">
        <v>678</v>
      </c>
      <c r="AA7" s="696" t="s">
        <v>708</v>
      </c>
    </row>
    <row r="8" spans="1:27" s="34" customFormat="1" ht="24">
      <c r="A8" s="26"/>
      <c r="B8" s="38"/>
      <c r="C8" s="1275" t="s">
        <v>153</v>
      </c>
      <c r="D8" s="779" t="s">
        <v>679</v>
      </c>
      <c r="E8" s="179" t="s">
        <v>154</v>
      </c>
      <c r="F8" s="146"/>
      <c r="G8" s="42">
        <f>127+20648</f>
        <v>20775</v>
      </c>
      <c r="H8" s="42">
        <f>2476+5467</f>
        <v>7943</v>
      </c>
      <c r="I8" s="43">
        <f>10943+105-6</f>
        <v>11042</v>
      </c>
      <c r="J8" s="43">
        <v>0</v>
      </c>
      <c r="K8" s="43">
        <v>186</v>
      </c>
      <c r="L8" s="43">
        <f>3650+100</f>
        <v>3750</v>
      </c>
      <c r="M8" s="43">
        <f>14668+7000</f>
        <v>21668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2">
        <v>0</v>
      </c>
      <c r="W8" s="42">
        <f>3000+1350+8489</f>
        <v>12839</v>
      </c>
      <c r="X8" s="43">
        <v>0</v>
      </c>
      <c r="Y8" s="43">
        <v>0</v>
      </c>
      <c r="Z8" s="43">
        <v>0</v>
      </c>
      <c r="AA8" s="37">
        <f aca="true" t="shared" si="0" ref="AA8:AA52">SUM(G8:Z8)</f>
        <v>78203</v>
      </c>
    </row>
    <row r="9" spans="1:27" s="34" customFormat="1" ht="12">
      <c r="A9" s="26"/>
      <c r="B9" s="38"/>
      <c r="C9" s="1275" t="s">
        <v>153</v>
      </c>
      <c r="D9" s="150" t="s">
        <v>680</v>
      </c>
      <c r="E9" s="180" t="s">
        <v>155</v>
      </c>
      <c r="F9" s="147"/>
      <c r="G9" s="32">
        <v>4663</v>
      </c>
      <c r="H9" s="32">
        <v>1155</v>
      </c>
      <c r="I9" s="33">
        <v>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2">
        <v>0</v>
      </c>
      <c r="W9" s="32">
        <v>0</v>
      </c>
      <c r="X9" s="33">
        <v>0</v>
      </c>
      <c r="Y9" s="33">
        <v>0</v>
      </c>
      <c r="Z9" s="33">
        <v>0</v>
      </c>
      <c r="AA9" s="37">
        <f t="shared" si="0"/>
        <v>5820</v>
      </c>
    </row>
    <row r="10" spans="1:27" s="34" customFormat="1" ht="24">
      <c r="A10" s="26"/>
      <c r="B10" s="38"/>
      <c r="C10" s="1275" t="s">
        <v>969</v>
      </c>
      <c r="D10" s="150" t="s">
        <v>681</v>
      </c>
      <c r="E10" s="180" t="s">
        <v>970</v>
      </c>
      <c r="F10" s="147"/>
      <c r="G10" s="32">
        <v>0</v>
      </c>
      <c r="H10" s="32">
        <v>0</v>
      </c>
      <c r="I10" s="33">
        <v>0</v>
      </c>
      <c r="J10" s="33">
        <v>0</v>
      </c>
      <c r="K10" s="33">
        <v>0</v>
      </c>
      <c r="L10" s="33">
        <v>100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2">
        <v>0</v>
      </c>
      <c r="W10" s="32">
        <v>0</v>
      </c>
      <c r="X10" s="33">
        <v>0</v>
      </c>
      <c r="Y10" s="33">
        <v>0</v>
      </c>
      <c r="Z10" s="33">
        <v>0</v>
      </c>
      <c r="AA10" s="37">
        <f t="shared" si="0"/>
        <v>100</v>
      </c>
    </row>
    <row r="11" spans="1:27" s="34" customFormat="1" ht="24">
      <c r="A11" s="26"/>
      <c r="B11" s="38" t="s">
        <v>144</v>
      </c>
      <c r="C11" s="1275" t="s">
        <v>148</v>
      </c>
      <c r="D11" s="150" t="s">
        <v>682</v>
      </c>
      <c r="E11" s="180" t="s">
        <v>149</v>
      </c>
      <c r="F11" s="147"/>
      <c r="G11" s="32">
        <v>0</v>
      </c>
      <c r="H11" s="32">
        <v>0</v>
      </c>
      <c r="I11" s="33">
        <f>25982+5105</f>
        <v>31087</v>
      </c>
      <c r="J11" s="33">
        <v>0</v>
      </c>
      <c r="K11" s="33">
        <v>0</v>
      </c>
      <c r="L11" s="33">
        <f>42597-1650+6774-14274</f>
        <v>33447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2">
        <v>0</v>
      </c>
      <c r="W11" s="32">
        <v>6000</v>
      </c>
      <c r="X11" s="33">
        <v>579</v>
      </c>
      <c r="Y11" s="33">
        <v>399</v>
      </c>
      <c r="Z11" s="33">
        <v>0</v>
      </c>
      <c r="AA11" s="37">
        <f t="shared" si="0"/>
        <v>71512</v>
      </c>
    </row>
    <row r="12" spans="1:27" s="34" customFormat="1" ht="36">
      <c r="A12" s="26"/>
      <c r="B12" s="38" t="s">
        <v>146</v>
      </c>
      <c r="C12" s="1275" t="s">
        <v>150</v>
      </c>
      <c r="D12" s="150" t="s">
        <v>683</v>
      </c>
      <c r="E12" s="180" t="s">
        <v>963</v>
      </c>
      <c r="F12" s="147"/>
      <c r="G12" s="32">
        <f>17665-1472+55+298</f>
        <v>16546</v>
      </c>
      <c r="H12" s="32">
        <f>4770-398+15+80</f>
        <v>4467</v>
      </c>
      <c r="I12" s="33">
        <f>17356-93+147</f>
        <v>17410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2">
        <v>0</v>
      </c>
      <c r="W12" s="32">
        <v>0</v>
      </c>
      <c r="X12" s="33">
        <v>0</v>
      </c>
      <c r="Y12" s="33">
        <v>0</v>
      </c>
      <c r="Z12" s="33">
        <v>0</v>
      </c>
      <c r="AA12" s="37">
        <f t="shared" si="0"/>
        <v>38423</v>
      </c>
    </row>
    <row r="13" spans="1:27" s="34" customFormat="1" ht="24">
      <c r="A13" s="26"/>
      <c r="B13" s="38" t="s">
        <v>147</v>
      </c>
      <c r="C13" s="1275" t="s">
        <v>156</v>
      </c>
      <c r="D13" s="150" t="s">
        <v>684</v>
      </c>
      <c r="E13" s="180" t="s">
        <v>658</v>
      </c>
      <c r="F13" s="147"/>
      <c r="G13" s="32">
        <f>787+121</f>
        <v>908</v>
      </c>
      <c r="H13" s="32">
        <f>403+62</f>
        <v>465</v>
      </c>
      <c r="I13" s="33">
        <f>950+250+6+4810-183</f>
        <v>5833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2">
        <v>0</v>
      </c>
      <c r="W13" s="32">
        <v>0</v>
      </c>
      <c r="X13" s="33">
        <v>0</v>
      </c>
      <c r="Y13" s="33">
        <v>0</v>
      </c>
      <c r="Z13" s="33">
        <v>0</v>
      </c>
      <c r="AA13" s="37">
        <f t="shared" si="0"/>
        <v>7206</v>
      </c>
    </row>
    <row r="14" spans="1:27" s="34" customFormat="1" ht="12">
      <c r="A14" s="26">
        <v>20215</v>
      </c>
      <c r="B14" s="38" t="s">
        <v>148</v>
      </c>
      <c r="C14" s="1275" t="s">
        <v>160</v>
      </c>
      <c r="D14" s="150" t="s">
        <v>685</v>
      </c>
      <c r="E14" s="180" t="s">
        <v>1115</v>
      </c>
      <c r="F14" s="147"/>
      <c r="G14" s="32"/>
      <c r="H14" s="32"/>
      <c r="I14" s="33"/>
      <c r="J14" s="33"/>
      <c r="K14" s="33"/>
      <c r="L14" s="33"/>
      <c r="M14" s="33"/>
      <c r="N14" s="33">
        <f>13962+18</f>
        <v>13980</v>
      </c>
      <c r="O14" s="33"/>
      <c r="P14" s="33"/>
      <c r="Q14" s="33"/>
      <c r="R14" s="33"/>
      <c r="S14" s="33"/>
      <c r="T14" s="33"/>
      <c r="U14" s="33"/>
      <c r="V14" s="32"/>
      <c r="W14" s="32"/>
      <c r="X14" s="33"/>
      <c r="Y14" s="33"/>
      <c r="Z14" s="33">
        <v>16238</v>
      </c>
      <c r="AA14" s="37">
        <f t="shared" si="0"/>
        <v>30218</v>
      </c>
    </row>
    <row r="15" spans="1:27" ht="24">
      <c r="A15" s="26">
        <v>452025</v>
      </c>
      <c r="B15" s="38" t="s">
        <v>150</v>
      </c>
      <c r="C15" s="1275" t="s">
        <v>957</v>
      </c>
      <c r="D15" s="150" t="s">
        <v>686</v>
      </c>
      <c r="E15" s="180" t="s">
        <v>161</v>
      </c>
      <c r="F15" s="147"/>
      <c r="G15" s="32">
        <f>26191-1478+21+197</f>
        <v>24931</v>
      </c>
      <c r="H15" s="32">
        <f>7054-396+6+53</f>
        <v>6717</v>
      </c>
      <c r="I15" s="33">
        <f>7674-763-911+146</f>
        <v>6146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2">
        <v>0</v>
      </c>
      <c r="W15" s="32">
        <v>161</v>
      </c>
      <c r="X15" s="33">
        <v>0</v>
      </c>
      <c r="Y15" s="33">
        <v>0</v>
      </c>
      <c r="Z15" s="33">
        <v>0</v>
      </c>
      <c r="AA15" s="37">
        <f t="shared" si="0"/>
        <v>37955</v>
      </c>
    </row>
    <row r="16" spans="2:27" ht="12">
      <c r="B16" s="38" t="s">
        <v>152</v>
      </c>
      <c r="C16" s="1275" t="s">
        <v>958</v>
      </c>
      <c r="D16" s="150" t="s">
        <v>687</v>
      </c>
      <c r="E16" s="180" t="s">
        <v>964</v>
      </c>
      <c r="F16" s="147"/>
      <c r="G16" s="32">
        <v>303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2">
        <v>0</v>
      </c>
      <c r="W16" s="32">
        <v>0</v>
      </c>
      <c r="X16" s="33">
        <v>0</v>
      </c>
      <c r="Y16" s="33">
        <v>0</v>
      </c>
      <c r="Z16" s="33">
        <v>0</v>
      </c>
      <c r="AA16" s="37">
        <f t="shared" si="0"/>
        <v>303</v>
      </c>
    </row>
    <row r="17" spans="3:27" ht="36">
      <c r="C17" s="1275" t="s">
        <v>958</v>
      </c>
      <c r="D17" s="150" t="s">
        <v>688</v>
      </c>
      <c r="E17" s="180" t="s">
        <v>1077</v>
      </c>
      <c r="F17" s="147"/>
      <c r="G17" s="32">
        <v>21456</v>
      </c>
      <c r="H17" s="33">
        <v>2897</v>
      </c>
      <c r="I17" s="33">
        <v>14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5">
        <v>0</v>
      </c>
      <c r="W17" s="33">
        <v>0</v>
      </c>
      <c r="X17" s="33">
        <v>0</v>
      </c>
      <c r="Y17" s="33">
        <v>0</v>
      </c>
      <c r="Z17" s="33">
        <v>0</v>
      </c>
      <c r="AA17" s="37">
        <f t="shared" si="0"/>
        <v>24367</v>
      </c>
    </row>
    <row r="18" spans="2:27" ht="24">
      <c r="B18" s="38" t="s">
        <v>153</v>
      </c>
      <c r="C18" s="1275" t="s">
        <v>959</v>
      </c>
      <c r="D18" s="150" t="s">
        <v>689</v>
      </c>
      <c r="E18" s="180" t="s">
        <v>965</v>
      </c>
      <c r="F18" s="147"/>
      <c r="G18" s="32">
        <v>21811</v>
      </c>
      <c r="H18" s="33">
        <v>2945</v>
      </c>
      <c r="I18" s="33">
        <v>0</v>
      </c>
      <c r="J18" s="33">
        <v>0</v>
      </c>
      <c r="K18" s="33">
        <v>0</v>
      </c>
      <c r="L18" s="33">
        <v>5487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5">
        <v>0</v>
      </c>
      <c r="W18" s="33">
        <v>0</v>
      </c>
      <c r="X18" s="33">
        <v>0</v>
      </c>
      <c r="Y18" s="33">
        <v>0</v>
      </c>
      <c r="Z18" s="33">
        <v>0</v>
      </c>
      <c r="AA18" s="37">
        <f t="shared" si="0"/>
        <v>30243</v>
      </c>
    </row>
    <row r="19" spans="3:27" ht="24">
      <c r="C19" s="1275" t="s">
        <v>971</v>
      </c>
      <c r="D19" s="150" t="s">
        <v>690</v>
      </c>
      <c r="E19" s="180" t="s">
        <v>966</v>
      </c>
      <c r="F19" s="147"/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f>15817-8000</f>
        <v>7817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2250</v>
      </c>
      <c r="Y19" s="33">
        <v>0</v>
      </c>
      <c r="Z19" s="33">
        <v>0</v>
      </c>
      <c r="AA19" s="37">
        <f t="shared" si="0"/>
        <v>10067</v>
      </c>
    </row>
    <row r="20" spans="2:27" ht="24">
      <c r="B20" s="38" t="s">
        <v>153</v>
      </c>
      <c r="C20" s="1275" t="s">
        <v>146</v>
      </c>
      <c r="D20" s="150" t="s">
        <v>691</v>
      </c>
      <c r="E20" s="180" t="s">
        <v>968</v>
      </c>
      <c r="F20" s="147"/>
      <c r="G20" s="32">
        <v>0</v>
      </c>
      <c r="H20" s="32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5">
        <v>0</v>
      </c>
      <c r="W20" s="33">
        <v>250</v>
      </c>
      <c r="X20" s="33">
        <v>0</v>
      </c>
      <c r="Y20" s="33">
        <v>0</v>
      </c>
      <c r="Z20" s="33">
        <v>0</v>
      </c>
      <c r="AA20" s="37">
        <f t="shared" si="0"/>
        <v>250</v>
      </c>
    </row>
    <row r="21" spans="3:27" ht="24">
      <c r="C21" s="1275" t="s">
        <v>967</v>
      </c>
      <c r="D21" s="150" t="s">
        <v>692</v>
      </c>
      <c r="E21" s="180" t="s">
        <v>163</v>
      </c>
      <c r="F21" s="147"/>
      <c r="G21" s="32">
        <v>0</v>
      </c>
      <c r="H21" s="32">
        <v>0</v>
      </c>
      <c r="I21" s="33">
        <v>1000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5">
        <v>0</v>
      </c>
      <c r="W21" s="33">
        <v>0</v>
      </c>
      <c r="X21" s="33">
        <v>0</v>
      </c>
      <c r="Y21" s="33">
        <v>0</v>
      </c>
      <c r="Z21" s="33">
        <v>0</v>
      </c>
      <c r="AA21" s="37">
        <f t="shared" si="0"/>
        <v>1000</v>
      </c>
    </row>
    <row r="22" spans="2:27" ht="36">
      <c r="B22" s="38" t="s">
        <v>156</v>
      </c>
      <c r="C22" s="1275" t="s">
        <v>162</v>
      </c>
      <c r="D22" s="150" t="s">
        <v>693</v>
      </c>
      <c r="E22" s="180" t="s">
        <v>142</v>
      </c>
      <c r="F22" s="182"/>
      <c r="G22" s="33">
        <v>0</v>
      </c>
      <c r="H22" s="32">
        <v>0</v>
      </c>
      <c r="I22" s="33">
        <v>760</v>
      </c>
      <c r="J22" s="33">
        <v>0</v>
      </c>
      <c r="K22" s="33">
        <v>0</v>
      </c>
      <c r="L22" s="33">
        <v>1090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5">
        <v>0</v>
      </c>
      <c r="W22" s="33">
        <v>0</v>
      </c>
      <c r="X22" s="33">
        <v>0</v>
      </c>
      <c r="Y22" s="33">
        <v>0</v>
      </c>
      <c r="Z22" s="33">
        <v>0</v>
      </c>
      <c r="AA22" s="37">
        <f t="shared" si="0"/>
        <v>1850</v>
      </c>
    </row>
    <row r="23" spans="1:27" ht="24">
      <c r="A23" s="26">
        <v>751791</v>
      </c>
      <c r="B23" s="38" t="s">
        <v>157</v>
      </c>
      <c r="C23" s="1275" t="s">
        <v>141</v>
      </c>
      <c r="D23" s="150" t="s">
        <v>694</v>
      </c>
      <c r="E23" s="180" t="s">
        <v>655</v>
      </c>
      <c r="F23" s="147"/>
      <c r="G23" s="32">
        <v>0</v>
      </c>
      <c r="H23" s="32">
        <v>0</v>
      </c>
      <c r="I23" s="33">
        <f>9998-122</f>
        <v>9876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5">
        <v>0</v>
      </c>
      <c r="W23" s="33">
        <v>0</v>
      </c>
      <c r="X23" s="33">
        <v>0</v>
      </c>
      <c r="Y23" s="33">
        <v>0</v>
      </c>
      <c r="Z23" s="33">
        <v>0</v>
      </c>
      <c r="AA23" s="37">
        <f t="shared" si="0"/>
        <v>9876</v>
      </c>
    </row>
    <row r="24" spans="1:27" ht="24">
      <c r="A24" s="26">
        <v>751834</v>
      </c>
      <c r="B24" s="38" t="s">
        <v>158</v>
      </c>
      <c r="C24" s="1275" t="s">
        <v>143</v>
      </c>
      <c r="D24" s="150" t="s">
        <v>695</v>
      </c>
      <c r="E24" s="180" t="s">
        <v>145</v>
      </c>
      <c r="F24" s="147"/>
      <c r="G24" s="32">
        <v>0</v>
      </c>
      <c r="H24" s="33">
        <v>0</v>
      </c>
      <c r="I24" s="33">
        <f>284829+850</f>
        <v>285679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2">
        <v>0</v>
      </c>
      <c r="W24" s="32">
        <f>768006+35888</f>
        <v>803894</v>
      </c>
      <c r="X24" s="33">
        <v>0</v>
      </c>
      <c r="Y24" s="33">
        <v>0</v>
      </c>
      <c r="Z24" s="33">
        <v>0</v>
      </c>
      <c r="AA24" s="37">
        <f t="shared" si="0"/>
        <v>1089573</v>
      </c>
    </row>
    <row r="25" spans="1:27" ht="12">
      <c r="A25" s="26">
        <v>751845</v>
      </c>
      <c r="B25" s="38" t="s">
        <v>159</v>
      </c>
      <c r="C25" s="1275" t="s">
        <v>144</v>
      </c>
      <c r="D25" s="150" t="s">
        <v>696</v>
      </c>
      <c r="E25" s="180" t="s">
        <v>1116</v>
      </c>
      <c r="F25" s="147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2"/>
      <c r="W25" s="32">
        <v>248</v>
      </c>
      <c r="X25" s="33"/>
      <c r="Y25" s="33"/>
      <c r="Z25" s="33"/>
      <c r="AA25" s="37">
        <f t="shared" si="0"/>
        <v>248</v>
      </c>
    </row>
    <row r="26" spans="1:27" ht="12">
      <c r="A26" s="26">
        <v>751966</v>
      </c>
      <c r="B26" s="38" t="s">
        <v>160</v>
      </c>
      <c r="C26" s="1275" t="s">
        <v>157</v>
      </c>
      <c r="D26" s="150" t="s">
        <v>697</v>
      </c>
      <c r="E26" s="180" t="s">
        <v>659</v>
      </c>
      <c r="F26" s="147"/>
      <c r="G26" s="32">
        <v>0</v>
      </c>
      <c r="H26" s="33">
        <v>0</v>
      </c>
      <c r="I26" s="33">
        <f>30048-8000+1749</f>
        <v>23797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2">
        <v>0</v>
      </c>
      <c r="W26" s="32">
        <v>0</v>
      </c>
      <c r="X26" s="33">
        <v>0</v>
      </c>
      <c r="Y26" s="33">
        <v>0</v>
      </c>
      <c r="Z26" s="33">
        <v>0</v>
      </c>
      <c r="AA26" s="37">
        <f t="shared" si="0"/>
        <v>23797</v>
      </c>
    </row>
    <row r="27" spans="1:27" ht="12">
      <c r="A27" s="26">
        <v>751999</v>
      </c>
      <c r="B27" s="38" t="s">
        <v>162</v>
      </c>
      <c r="C27" s="1275" t="s">
        <v>152</v>
      </c>
      <c r="D27" s="150" t="s">
        <v>698</v>
      </c>
      <c r="E27" s="180" t="s">
        <v>972</v>
      </c>
      <c r="F27" s="147"/>
      <c r="G27" s="32">
        <v>0</v>
      </c>
      <c r="H27" s="32">
        <v>0</v>
      </c>
      <c r="I27" s="33">
        <v>150</v>
      </c>
      <c r="J27" s="33">
        <v>0</v>
      </c>
      <c r="K27" s="33">
        <v>0</v>
      </c>
      <c r="L27" s="33">
        <f>20503+5500</f>
        <v>26003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/>
      <c r="S27" s="33"/>
      <c r="T27" s="33"/>
      <c r="U27" s="33">
        <v>0</v>
      </c>
      <c r="V27" s="32"/>
      <c r="W27" s="32">
        <v>0</v>
      </c>
      <c r="X27" s="33">
        <v>0</v>
      </c>
      <c r="Y27" s="33">
        <v>0</v>
      </c>
      <c r="Z27" s="33">
        <v>0</v>
      </c>
      <c r="AA27" s="37">
        <f t="shared" si="0"/>
        <v>26153</v>
      </c>
    </row>
    <row r="28" spans="2:27" ht="24">
      <c r="B28" s="38" t="s">
        <v>164</v>
      </c>
      <c r="C28" s="1275" t="s">
        <v>158</v>
      </c>
      <c r="D28" s="150" t="s">
        <v>699</v>
      </c>
      <c r="E28" s="180" t="s">
        <v>973</v>
      </c>
      <c r="F28" s="147"/>
      <c r="G28" s="32">
        <v>192</v>
      </c>
      <c r="H28" s="32">
        <v>47</v>
      </c>
      <c r="I28" s="33">
        <f>4813-150+150+167+1</f>
        <v>4981</v>
      </c>
      <c r="J28" s="33">
        <v>0</v>
      </c>
      <c r="K28" s="33">
        <v>0</v>
      </c>
      <c r="L28" s="33">
        <f>16201-5230-650+2000</f>
        <v>12321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2">
        <v>0</v>
      </c>
      <c r="W28" s="32">
        <f>420421+430+156+6+8825</f>
        <v>429838</v>
      </c>
      <c r="X28" s="33">
        <v>350</v>
      </c>
      <c r="Y28" s="33">
        <v>0</v>
      </c>
      <c r="Z28" s="33">
        <v>0</v>
      </c>
      <c r="AA28" s="37">
        <f t="shared" si="0"/>
        <v>447729</v>
      </c>
    </row>
    <row r="29" spans="2:27" ht="15" customHeight="1">
      <c r="B29" s="38" t="s">
        <v>165</v>
      </c>
      <c r="C29" s="1275" t="s">
        <v>165</v>
      </c>
      <c r="D29" s="978" t="s">
        <v>1078</v>
      </c>
      <c r="E29" s="180" t="s">
        <v>661</v>
      </c>
      <c r="F29" s="354"/>
      <c r="G29" s="33">
        <v>0</v>
      </c>
      <c r="H29" s="33">
        <v>0</v>
      </c>
      <c r="I29" s="33">
        <v>479</v>
      </c>
      <c r="J29" s="33">
        <v>0</v>
      </c>
      <c r="K29" s="33">
        <v>0</v>
      </c>
      <c r="L29" s="33">
        <f>9130-5429+3</f>
        <v>3704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7">
        <f t="shared" si="0"/>
        <v>4183</v>
      </c>
    </row>
    <row r="30" spans="2:27" ht="14.25" customHeight="1">
      <c r="B30" s="38" t="s">
        <v>166</v>
      </c>
      <c r="C30" s="1275" t="s">
        <v>166</v>
      </c>
      <c r="D30" s="978"/>
      <c r="E30" s="180" t="s">
        <v>662</v>
      </c>
      <c r="F30" s="354"/>
      <c r="G30" s="33">
        <f>11367+96+54+664</f>
        <v>12181</v>
      </c>
      <c r="H30" s="33">
        <f>3068+26+15+179</f>
        <v>3288</v>
      </c>
      <c r="I30" s="33">
        <f>16182+205</f>
        <v>16387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127</v>
      </c>
      <c r="X30" s="33">
        <v>0</v>
      </c>
      <c r="Y30" s="33">
        <v>0</v>
      </c>
      <c r="Z30" s="33">
        <v>0</v>
      </c>
      <c r="AA30" s="37">
        <f t="shared" si="0"/>
        <v>31983</v>
      </c>
    </row>
    <row r="31" spans="1:27" ht="12" customHeight="1">
      <c r="A31" s="26">
        <v>851286</v>
      </c>
      <c r="B31" s="38" t="s">
        <v>167</v>
      </c>
      <c r="C31" s="1275" t="s">
        <v>167</v>
      </c>
      <c r="D31" s="978"/>
      <c r="E31" s="180" t="s">
        <v>663</v>
      </c>
      <c r="F31" s="354"/>
      <c r="G31" s="33">
        <v>0</v>
      </c>
      <c r="H31" s="33">
        <v>0</v>
      </c>
      <c r="I31" s="33">
        <v>120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7">
        <f t="shared" si="0"/>
        <v>120</v>
      </c>
    </row>
    <row r="32" spans="1:27" s="34" customFormat="1" ht="24">
      <c r="A32" s="26">
        <v>851297</v>
      </c>
      <c r="B32" s="38" t="s">
        <v>168</v>
      </c>
      <c r="C32" s="1275" t="s">
        <v>168</v>
      </c>
      <c r="D32" s="978"/>
      <c r="E32" s="180" t="s">
        <v>737</v>
      </c>
      <c r="F32" s="354"/>
      <c r="G32" s="33">
        <f>11031+251+3+47+428</f>
        <v>11760</v>
      </c>
      <c r="H32" s="33">
        <f>2979+69+13+116</f>
        <v>3177</v>
      </c>
      <c r="I32" s="33">
        <f>1981+127</f>
        <v>2108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490</v>
      </c>
      <c r="X32" s="33">
        <v>0</v>
      </c>
      <c r="Y32" s="33">
        <v>0</v>
      </c>
      <c r="Z32" s="33">
        <v>0</v>
      </c>
      <c r="AA32" s="37">
        <f t="shared" si="0"/>
        <v>17535</v>
      </c>
    </row>
    <row r="33" spans="1:27" s="34" customFormat="1" ht="24" customHeight="1">
      <c r="A33" s="26">
        <v>853322</v>
      </c>
      <c r="B33" s="38" t="s">
        <v>169</v>
      </c>
      <c r="C33" s="1275" t="s">
        <v>187</v>
      </c>
      <c r="D33" s="150" t="s">
        <v>818</v>
      </c>
      <c r="E33" s="180" t="s">
        <v>188</v>
      </c>
      <c r="F33" s="355"/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f>28917-5000</f>
        <v>23917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70</v>
      </c>
      <c r="X33" s="33">
        <v>2250</v>
      </c>
      <c r="Y33" s="33">
        <v>0</v>
      </c>
      <c r="Z33" s="33">
        <v>0</v>
      </c>
      <c r="AA33" s="37">
        <f t="shared" si="0"/>
        <v>26237</v>
      </c>
    </row>
    <row r="34" spans="1:27" s="34" customFormat="1" ht="24">
      <c r="A34" s="26"/>
      <c r="B34" s="38" t="s">
        <v>170</v>
      </c>
      <c r="C34" s="1275" t="s">
        <v>147</v>
      </c>
      <c r="D34" s="150" t="s">
        <v>820</v>
      </c>
      <c r="E34" s="181" t="s">
        <v>974</v>
      </c>
      <c r="F34" s="355"/>
      <c r="G34" s="33">
        <v>0</v>
      </c>
      <c r="H34" s="33">
        <v>0</v>
      </c>
      <c r="I34" s="33">
        <v>0</v>
      </c>
      <c r="J34" s="33">
        <v>0</v>
      </c>
      <c r="K34" s="33">
        <v>250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7">
        <f t="shared" si="0"/>
        <v>250</v>
      </c>
    </row>
    <row r="35" spans="1:27" s="34" customFormat="1" ht="36">
      <c r="A35" s="26"/>
      <c r="B35" s="38" t="s">
        <v>172</v>
      </c>
      <c r="C35" s="1275" t="s">
        <v>960</v>
      </c>
      <c r="D35" s="150" t="s">
        <v>822</v>
      </c>
      <c r="E35" s="181" t="s">
        <v>975</v>
      </c>
      <c r="F35" s="355"/>
      <c r="G35" s="33">
        <v>570</v>
      </c>
      <c r="H35" s="33">
        <v>154</v>
      </c>
      <c r="I35" s="33">
        <f>387+5</f>
        <v>392</v>
      </c>
      <c r="J35" s="33">
        <v>0</v>
      </c>
      <c r="K35" s="33">
        <v>0</v>
      </c>
      <c r="L35" s="33">
        <f>999+1407</f>
        <v>2406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f>1830+9561</f>
        <v>11391</v>
      </c>
      <c r="Z35" s="33">
        <v>0</v>
      </c>
      <c r="AA35" s="37">
        <f t="shared" si="0"/>
        <v>14913</v>
      </c>
    </row>
    <row r="36" spans="1:27" s="34" customFormat="1" ht="24">
      <c r="A36" s="26"/>
      <c r="B36" s="38" t="s">
        <v>174</v>
      </c>
      <c r="C36" s="1275" t="s">
        <v>961</v>
      </c>
      <c r="D36" s="150" t="s">
        <v>772</v>
      </c>
      <c r="E36" s="181" t="s">
        <v>976</v>
      </c>
      <c r="F36" s="355"/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1070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7">
        <f t="shared" si="0"/>
        <v>1070</v>
      </c>
    </row>
    <row r="37" spans="1:27" s="34" customFormat="1" ht="15.75" customHeight="1">
      <c r="A37" s="26"/>
      <c r="B37" s="38" t="s">
        <v>176</v>
      </c>
      <c r="C37" s="1275" t="s">
        <v>183</v>
      </c>
      <c r="D37" s="150" t="s">
        <v>825</v>
      </c>
      <c r="E37" s="181" t="s">
        <v>664</v>
      </c>
      <c r="F37" s="355"/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f>8032-7+416</f>
        <v>8441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7">
        <f t="shared" si="0"/>
        <v>8441</v>
      </c>
    </row>
    <row r="38" spans="1:27" ht="25.5" customHeight="1">
      <c r="A38" s="26">
        <v>853333</v>
      </c>
      <c r="B38" s="38" t="s">
        <v>178</v>
      </c>
      <c r="C38" s="1275" t="s">
        <v>184</v>
      </c>
      <c r="D38" s="150" t="s">
        <v>701</v>
      </c>
      <c r="E38" s="181" t="s">
        <v>193</v>
      </c>
      <c r="F38" s="354"/>
      <c r="G38" s="33">
        <v>0</v>
      </c>
      <c r="H38" s="33">
        <v>0</v>
      </c>
      <c r="I38" s="33">
        <v>47</v>
      </c>
      <c r="J38" s="33">
        <v>0</v>
      </c>
      <c r="K38" s="33">
        <v>0</v>
      </c>
      <c r="L38" s="197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7">
        <f t="shared" si="0"/>
        <v>47</v>
      </c>
    </row>
    <row r="39" spans="2:27" ht="36">
      <c r="B39" s="38" t="s">
        <v>179</v>
      </c>
      <c r="C39" s="1275" t="s">
        <v>185</v>
      </c>
      <c r="D39" s="150" t="s">
        <v>702</v>
      </c>
      <c r="E39" s="180" t="s">
        <v>977</v>
      </c>
      <c r="F39" s="354"/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97">
        <f>9148-682</f>
        <v>8466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f>49+10330</f>
        <v>10379</v>
      </c>
      <c r="X39" s="33">
        <v>0</v>
      </c>
      <c r="Y39" s="33">
        <v>500</v>
      </c>
      <c r="Z39" s="33">
        <v>0</v>
      </c>
      <c r="AA39" s="37">
        <f t="shared" si="0"/>
        <v>19345</v>
      </c>
    </row>
    <row r="40" spans="2:27" ht="24">
      <c r="B40" s="38" t="s">
        <v>180</v>
      </c>
      <c r="C40" s="1275" t="s">
        <v>164</v>
      </c>
      <c r="D40" s="150" t="s">
        <v>703</v>
      </c>
      <c r="E40" s="180" t="s">
        <v>978</v>
      </c>
      <c r="F40" s="354"/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197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5500</v>
      </c>
      <c r="X40" s="33">
        <v>0</v>
      </c>
      <c r="Y40" s="33">
        <v>0</v>
      </c>
      <c r="Z40" s="33">
        <v>0</v>
      </c>
      <c r="AA40" s="37">
        <f t="shared" si="0"/>
        <v>5500</v>
      </c>
    </row>
    <row r="41" spans="2:27" ht="24" customHeight="1">
      <c r="B41" s="38" t="s">
        <v>181</v>
      </c>
      <c r="C41" s="1275" t="s">
        <v>169</v>
      </c>
      <c r="D41" s="990" t="s">
        <v>981</v>
      </c>
      <c r="E41" s="180" t="s">
        <v>979</v>
      </c>
      <c r="F41" s="354"/>
      <c r="G41" s="33">
        <v>0</v>
      </c>
      <c r="H41" s="33">
        <v>0</v>
      </c>
      <c r="I41" s="33">
        <v>16500</v>
      </c>
      <c r="J41" s="33">
        <v>0</v>
      </c>
      <c r="K41" s="33">
        <v>0</v>
      </c>
      <c r="L41" s="33">
        <f>19453-3540</f>
        <v>15913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7">
        <f t="shared" si="0"/>
        <v>32413</v>
      </c>
    </row>
    <row r="42" spans="2:27" ht="24">
      <c r="B42" s="38" t="s">
        <v>182</v>
      </c>
      <c r="C42" s="1275" t="s">
        <v>172</v>
      </c>
      <c r="D42" s="991"/>
      <c r="E42" s="180" t="s">
        <v>173</v>
      </c>
      <c r="F42" s="354"/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197">
        <v>6501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7">
        <f t="shared" si="0"/>
        <v>6501</v>
      </c>
    </row>
    <row r="43" spans="3:27" ht="12.75" customHeight="1">
      <c r="C43" s="1275" t="s">
        <v>174</v>
      </c>
      <c r="D43" s="991"/>
      <c r="E43" s="180" t="s">
        <v>175</v>
      </c>
      <c r="F43" s="354"/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97">
        <f>18174</f>
        <v>18174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7">
        <f t="shared" si="0"/>
        <v>18174</v>
      </c>
    </row>
    <row r="44" spans="3:27" ht="12">
      <c r="C44" s="1275" t="s">
        <v>170</v>
      </c>
      <c r="D44" s="991"/>
      <c r="E44" s="180" t="s">
        <v>171</v>
      </c>
      <c r="F44" s="354"/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1509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7">
        <f t="shared" si="0"/>
        <v>1509</v>
      </c>
    </row>
    <row r="45" spans="3:27" ht="12">
      <c r="C45" s="1275" t="s">
        <v>176</v>
      </c>
      <c r="D45" s="991"/>
      <c r="E45" s="180" t="s">
        <v>177</v>
      </c>
      <c r="F45" s="354"/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3405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7">
        <f t="shared" si="0"/>
        <v>3405</v>
      </c>
    </row>
    <row r="46" spans="2:27" ht="12">
      <c r="B46" s="38" t="s">
        <v>183</v>
      </c>
      <c r="C46" s="1275" t="s">
        <v>178</v>
      </c>
      <c r="D46" s="991"/>
      <c r="E46" s="180" t="s">
        <v>767</v>
      </c>
      <c r="F46" s="354"/>
      <c r="G46" s="33">
        <v>0</v>
      </c>
      <c r="H46" s="33">
        <v>0</v>
      </c>
      <c r="I46" s="33">
        <f>2350-500</f>
        <v>1850</v>
      </c>
      <c r="J46" s="33">
        <v>0</v>
      </c>
      <c r="K46" s="33">
        <v>0</v>
      </c>
      <c r="L46" s="33">
        <v>5324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7">
        <f t="shared" si="0"/>
        <v>7174</v>
      </c>
    </row>
    <row r="47" spans="2:27" ht="12">
      <c r="B47" s="38" t="s">
        <v>184</v>
      </c>
      <c r="C47" s="1275" t="s">
        <v>179</v>
      </c>
      <c r="D47" s="991"/>
      <c r="E47" s="180" t="s">
        <v>768</v>
      </c>
      <c r="F47" s="354"/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3017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7">
        <f t="shared" si="0"/>
        <v>3017</v>
      </c>
    </row>
    <row r="48" spans="2:27" ht="13.5" customHeight="1">
      <c r="B48" s="38" t="s">
        <v>185</v>
      </c>
      <c r="C48" s="1275" t="s">
        <v>180</v>
      </c>
      <c r="D48" s="991"/>
      <c r="E48" s="180" t="s">
        <v>766</v>
      </c>
      <c r="F48" s="354"/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9179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7">
        <f t="shared" si="0"/>
        <v>9179</v>
      </c>
    </row>
    <row r="49" spans="2:27" ht="24">
      <c r="B49" s="38" t="s">
        <v>187</v>
      </c>
      <c r="C49" s="1275" t="s">
        <v>182</v>
      </c>
      <c r="D49" s="734" t="s">
        <v>704</v>
      </c>
      <c r="E49" s="180" t="s">
        <v>980</v>
      </c>
      <c r="F49" s="354"/>
      <c r="G49" s="33">
        <v>0</v>
      </c>
      <c r="H49" s="33">
        <v>0</v>
      </c>
      <c r="I49" s="33">
        <v>0</v>
      </c>
      <c r="J49" s="33">
        <v>2800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7">
        <f t="shared" si="0"/>
        <v>2800</v>
      </c>
    </row>
    <row r="50" spans="3:27" ht="24">
      <c r="C50" s="1275" t="s">
        <v>159</v>
      </c>
      <c r="D50" s="734" t="s">
        <v>736</v>
      </c>
      <c r="E50" s="180" t="s">
        <v>660</v>
      </c>
      <c r="F50" s="736"/>
      <c r="G50" s="737">
        <v>0</v>
      </c>
      <c r="H50" s="738">
        <v>0</v>
      </c>
      <c r="I50" s="738">
        <v>0</v>
      </c>
      <c r="J50" s="738">
        <v>0</v>
      </c>
      <c r="K50" s="738">
        <v>0</v>
      </c>
      <c r="L50" s="738">
        <v>0</v>
      </c>
      <c r="M50" s="738">
        <v>0</v>
      </c>
      <c r="N50" s="738">
        <v>0</v>
      </c>
      <c r="O50" s="738">
        <f>1000-1000</f>
        <v>0</v>
      </c>
      <c r="P50" s="738">
        <f>200+2611</f>
        <v>2811</v>
      </c>
      <c r="Q50" s="738">
        <f>1000-3517-100-859+720+3517-250+10-70-350-2250-2250-6000+12783-1000+410</f>
        <v>1794</v>
      </c>
      <c r="R50" s="738">
        <f>1519-323+714+2900-127</f>
        <v>4683</v>
      </c>
      <c r="S50" s="738">
        <f>-882-8489+122146-13962-41870-714-146-3-7982-9122-2900-2611-4252-16238-18-10330</f>
        <v>2627</v>
      </c>
      <c r="T50" s="738">
        <v>3000</v>
      </c>
      <c r="U50" s="738">
        <f>195+4252</f>
        <v>4447</v>
      </c>
      <c r="V50" s="738">
        <v>40540</v>
      </c>
      <c r="W50" s="738">
        <v>0</v>
      </c>
      <c r="X50" s="738">
        <v>0</v>
      </c>
      <c r="Y50" s="738">
        <v>0</v>
      </c>
      <c r="Z50" s="738">
        <v>0</v>
      </c>
      <c r="AA50" s="37">
        <f t="shared" si="0"/>
        <v>59902</v>
      </c>
    </row>
    <row r="51" spans="3:27" ht="24">
      <c r="C51" s="1279" t="s">
        <v>962</v>
      </c>
      <c r="D51" s="734" t="s">
        <v>831</v>
      </c>
      <c r="E51" s="735" t="s">
        <v>1117</v>
      </c>
      <c r="F51" s="736"/>
      <c r="G51" s="737">
        <v>0</v>
      </c>
      <c r="H51" s="738">
        <v>0</v>
      </c>
      <c r="I51" s="738">
        <f>7683+1039</f>
        <v>8722</v>
      </c>
      <c r="J51" s="738">
        <v>0</v>
      </c>
      <c r="K51" s="738">
        <v>0</v>
      </c>
      <c r="L51" s="738">
        <v>0</v>
      </c>
      <c r="M51" s="738">
        <v>0</v>
      </c>
      <c r="N51" s="738">
        <v>0</v>
      </c>
      <c r="O51" s="738">
        <v>0</v>
      </c>
      <c r="P51" s="738">
        <v>0</v>
      </c>
      <c r="Q51" s="738">
        <v>0</v>
      </c>
      <c r="R51" s="738">
        <v>0</v>
      </c>
      <c r="S51" s="738">
        <v>0</v>
      </c>
      <c r="T51" s="738">
        <v>0</v>
      </c>
      <c r="U51" s="738">
        <v>0</v>
      </c>
      <c r="V51" s="738">
        <v>0</v>
      </c>
      <c r="W51" s="738">
        <v>0</v>
      </c>
      <c r="X51" s="738">
        <v>0</v>
      </c>
      <c r="Y51" s="738">
        <v>0</v>
      </c>
      <c r="Z51" s="738">
        <v>0</v>
      </c>
      <c r="AA51" s="37">
        <f t="shared" si="0"/>
        <v>8722</v>
      </c>
    </row>
    <row r="52" spans="1:27" s="183" customFormat="1" ht="12.75">
      <c r="A52" s="183">
        <v>999997</v>
      </c>
      <c r="B52" s="184"/>
      <c r="C52" s="1280"/>
      <c r="D52" s="734" t="s">
        <v>832</v>
      </c>
      <c r="E52" s="735" t="s">
        <v>619</v>
      </c>
      <c r="F52" s="736"/>
      <c r="G52" s="737">
        <f>26525+1472+28</f>
        <v>28025</v>
      </c>
      <c r="H52" s="738">
        <f>7152+398+8</f>
        <v>7558</v>
      </c>
      <c r="I52" s="738">
        <f>97956+93+1589+4674</f>
        <v>104312</v>
      </c>
      <c r="J52" s="738">
        <v>0</v>
      </c>
      <c r="K52" s="738">
        <v>0</v>
      </c>
      <c r="L52" s="738">
        <v>0</v>
      </c>
      <c r="M52" s="738">
        <v>0</v>
      </c>
      <c r="N52" s="738">
        <v>0</v>
      </c>
      <c r="O52" s="738">
        <v>0</v>
      </c>
      <c r="P52" s="738">
        <v>0</v>
      </c>
      <c r="Q52" s="738">
        <v>0</v>
      </c>
      <c r="R52" s="738">
        <v>0</v>
      </c>
      <c r="S52" s="738">
        <v>0</v>
      </c>
      <c r="T52" s="738">
        <v>0</v>
      </c>
      <c r="U52" s="738">
        <v>0</v>
      </c>
      <c r="V52" s="738">
        <v>0</v>
      </c>
      <c r="W52" s="738">
        <f>7836-7620+5644</f>
        <v>5860</v>
      </c>
      <c r="X52" s="738">
        <v>0</v>
      </c>
      <c r="Y52" s="738">
        <v>0</v>
      </c>
      <c r="Z52" s="738">
        <v>0</v>
      </c>
      <c r="AA52" s="37">
        <f t="shared" si="0"/>
        <v>145755</v>
      </c>
    </row>
    <row r="53" spans="4:27" ht="13.5" thickBot="1">
      <c r="D53" s="185" t="s">
        <v>833</v>
      </c>
      <c r="E53" s="186" t="s">
        <v>640</v>
      </c>
      <c r="F53" s="187">
        <f>SUM(F8:F49)</f>
        <v>0</v>
      </c>
      <c r="G53" s="188">
        <f>SUM(G8:G52)</f>
        <v>164121</v>
      </c>
      <c r="H53" s="188">
        <f aca="true" t="shared" si="1" ref="H53:AA53">SUM(H8:H52)</f>
        <v>40813</v>
      </c>
      <c r="I53" s="188">
        <f t="shared" si="1"/>
        <v>548694</v>
      </c>
      <c r="J53" s="188">
        <f t="shared" si="1"/>
        <v>2800</v>
      </c>
      <c r="K53" s="188">
        <f t="shared" si="1"/>
        <v>436</v>
      </c>
      <c r="L53" s="188">
        <f t="shared" si="1"/>
        <v>201041</v>
      </c>
      <c r="M53" s="188">
        <f t="shared" si="1"/>
        <v>21668</v>
      </c>
      <c r="N53" s="188">
        <f t="shared" si="1"/>
        <v>13980</v>
      </c>
      <c r="O53" s="188">
        <f t="shared" si="1"/>
        <v>0</v>
      </c>
      <c r="P53" s="188">
        <f t="shared" si="1"/>
        <v>2811</v>
      </c>
      <c r="Q53" s="188">
        <f t="shared" si="1"/>
        <v>1794</v>
      </c>
      <c r="R53" s="188">
        <f t="shared" si="1"/>
        <v>4683</v>
      </c>
      <c r="S53" s="188">
        <f t="shared" si="1"/>
        <v>2627</v>
      </c>
      <c r="T53" s="188">
        <f t="shared" si="1"/>
        <v>3000</v>
      </c>
      <c r="U53" s="188">
        <f t="shared" si="1"/>
        <v>4447</v>
      </c>
      <c r="V53" s="188">
        <f t="shared" si="1"/>
        <v>40540</v>
      </c>
      <c r="W53" s="188">
        <f t="shared" si="1"/>
        <v>1275656</v>
      </c>
      <c r="X53" s="188">
        <f t="shared" si="1"/>
        <v>5429</v>
      </c>
      <c r="Y53" s="188">
        <f t="shared" si="1"/>
        <v>12290</v>
      </c>
      <c r="Z53" s="188">
        <f t="shared" si="1"/>
        <v>16238</v>
      </c>
      <c r="AA53" s="189">
        <f t="shared" si="1"/>
        <v>2363068</v>
      </c>
    </row>
    <row r="54" spans="4:27" ht="12.75">
      <c r="D54" s="839"/>
      <c r="E54" s="840"/>
      <c r="F54" s="841"/>
      <c r="G54" s="842"/>
      <c r="H54" s="842"/>
      <c r="I54" s="842"/>
      <c r="J54" s="842"/>
      <c r="K54" s="842"/>
      <c r="L54" s="842"/>
      <c r="M54" s="842"/>
      <c r="N54" s="842"/>
      <c r="O54" s="842"/>
      <c r="P54" s="842"/>
      <c r="Q54" s="842"/>
      <c r="R54" s="842"/>
      <c r="S54" s="842"/>
      <c r="T54" s="842"/>
      <c r="U54" s="842"/>
      <c r="V54" s="842"/>
      <c r="W54" s="842"/>
      <c r="X54" s="842"/>
      <c r="Y54" s="842"/>
      <c r="Z54" s="842"/>
      <c r="AA54" s="842"/>
    </row>
    <row r="55" spans="4:12" ht="13.5">
      <c r="D55" s="983" t="s">
        <v>1128</v>
      </c>
      <c r="E55" s="983"/>
      <c r="F55" s="983"/>
      <c r="G55" s="983"/>
      <c r="H55" s="983"/>
      <c r="I55" s="983"/>
      <c r="J55" s="983"/>
      <c r="K55" s="983"/>
      <c r="L55" s="983"/>
    </row>
    <row r="56" spans="4:6" ht="13.5">
      <c r="D56" s="838" t="s">
        <v>1110</v>
      </c>
      <c r="E56" s="838"/>
      <c r="F56" s="838"/>
    </row>
    <row r="58" ht="12">
      <c r="F58" s="148"/>
    </row>
  </sheetData>
  <sheetProtection/>
  <mergeCells count="31">
    <mergeCell ref="L5:L6"/>
    <mergeCell ref="W5:W6"/>
    <mergeCell ref="N5:N6"/>
    <mergeCell ref="S5:S6"/>
    <mergeCell ref="D55:L55"/>
    <mergeCell ref="D4:D7"/>
    <mergeCell ref="G5:G6"/>
    <mergeCell ref="H5:H6"/>
    <mergeCell ref="K5:K6"/>
    <mergeCell ref="E4:E6"/>
    <mergeCell ref="J5:J6"/>
    <mergeCell ref="D41:D48"/>
    <mergeCell ref="G4:Z4"/>
    <mergeCell ref="I5:I6"/>
    <mergeCell ref="C1:C2"/>
    <mergeCell ref="R5:R6"/>
    <mergeCell ref="T5:T6"/>
    <mergeCell ref="S1:X1"/>
    <mergeCell ref="D29:D32"/>
    <mergeCell ref="M5:M6"/>
    <mergeCell ref="U5:U6"/>
    <mergeCell ref="F4:F6"/>
    <mergeCell ref="Q5:Q6"/>
    <mergeCell ref="E2:AA2"/>
    <mergeCell ref="AA4:AA6"/>
    <mergeCell ref="X5:X6"/>
    <mergeCell ref="Y5:Y6"/>
    <mergeCell ref="Z5:Z6"/>
    <mergeCell ref="P5:P6"/>
    <mergeCell ref="O5:O6"/>
    <mergeCell ref="V5:V6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73" r:id="rId1"/>
  <rowBreaks count="1" manualBreakCount="1">
    <brk id="28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9"/>
  <sheetViews>
    <sheetView workbookViewId="0" topLeftCell="A1">
      <selection activeCell="B79" sqref="B79"/>
    </sheetView>
  </sheetViews>
  <sheetFormatPr defaultColWidth="9.00390625" defaultRowHeight="12.75"/>
  <cols>
    <col min="1" max="1" width="5.125" style="0" customWidth="1"/>
    <col min="2" max="2" width="31.75390625" style="0" customWidth="1"/>
    <col min="3" max="3" width="14.375" style="0" customWidth="1"/>
    <col min="4" max="6" width="13.75390625" style="0" bestFit="1" customWidth="1"/>
    <col min="7" max="11" width="12.875" style="0" customWidth="1"/>
    <col min="12" max="12" width="15.00390625" style="0" customWidth="1"/>
    <col min="13" max="13" width="17.00390625" style="0" bestFit="1" customWidth="1"/>
  </cols>
  <sheetData>
    <row r="1" spans="1:21" ht="15.75">
      <c r="A1" s="233"/>
      <c r="B1" s="234"/>
      <c r="C1" s="235"/>
      <c r="D1" s="235"/>
      <c r="E1" s="235"/>
      <c r="F1" s="235"/>
      <c r="G1" s="1021" t="s">
        <v>1131</v>
      </c>
      <c r="H1" s="1021"/>
      <c r="I1" s="1022"/>
      <c r="J1" s="1022"/>
      <c r="K1" s="1022"/>
      <c r="L1" s="1022"/>
      <c r="M1" s="1022"/>
      <c r="N1" s="234"/>
      <c r="O1" s="234"/>
      <c r="P1" s="234"/>
      <c r="Q1" s="234"/>
      <c r="R1" s="238"/>
      <c r="S1" s="238"/>
      <c r="T1" s="238"/>
      <c r="U1" s="234"/>
    </row>
    <row r="2" spans="1:21" ht="12.75">
      <c r="A2" s="233"/>
      <c r="B2" s="234"/>
      <c r="C2" s="235"/>
      <c r="D2" s="235"/>
      <c r="E2" s="235"/>
      <c r="F2" s="235"/>
      <c r="G2" s="236"/>
      <c r="H2" s="236"/>
      <c r="I2" s="237"/>
      <c r="J2" s="237"/>
      <c r="K2" s="237"/>
      <c r="L2" s="237"/>
      <c r="M2" s="237"/>
      <c r="N2" s="234"/>
      <c r="O2" s="234"/>
      <c r="P2" s="234"/>
      <c r="Q2" s="234"/>
      <c r="R2" s="238"/>
      <c r="S2" s="238"/>
      <c r="T2" s="238"/>
      <c r="U2" s="234"/>
    </row>
    <row r="3" spans="1:27" ht="15.75" customHeight="1">
      <c r="A3" s="1026" t="s">
        <v>940</v>
      </c>
      <c r="B3" s="1026"/>
      <c r="C3" s="1026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3.5" thickBot="1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</row>
    <row r="5" spans="1:27" ht="16.5" thickBot="1">
      <c r="A5" s="1004" t="s">
        <v>732</v>
      </c>
      <c r="B5" s="1001" t="s">
        <v>636</v>
      </c>
      <c r="C5" s="1007" t="s">
        <v>805</v>
      </c>
      <c r="D5" s="1007"/>
      <c r="E5" s="1007"/>
      <c r="F5" s="1007"/>
      <c r="G5" s="1007"/>
      <c r="H5" s="1007"/>
      <c r="I5" s="1007"/>
      <c r="J5" s="1007"/>
      <c r="K5" s="1007"/>
      <c r="L5" s="1007"/>
      <c r="M5" s="1008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41"/>
    </row>
    <row r="6" spans="1:13" ht="12.75" customHeight="1">
      <c r="A6" s="1005"/>
      <c r="B6" s="1002"/>
      <c r="C6" s="1027" t="s">
        <v>806</v>
      </c>
      <c r="D6" s="995" t="s">
        <v>807</v>
      </c>
      <c r="E6" s="996"/>
      <c r="F6" s="997"/>
      <c r="G6" s="995" t="s">
        <v>808</v>
      </c>
      <c r="H6" s="996"/>
      <c r="I6" s="997"/>
      <c r="J6" s="995" t="s">
        <v>809</v>
      </c>
      <c r="K6" s="996"/>
      <c r="L6" s="997"/>
      <c r="M6" s="1023" t="s">
        <v>646</v>
      </c>
    </row>
    <row r="7" spans="1:13" ht="12.75" customHeight="1">
      <c r="A7" s="1005"/>
      <c r="B7" s="1002"/>
      <c r="C7" s="1028"/>
      <c r="D7" s="998"/>
      <c r="E7" s="999"/>
      <c r="F7" s="1000"/>
      <c r="G7" s="998"/>
      <c r="H7" s="999"/>
      <c r="I7" s="1000"/>
      <c r="J7" s="998"/>
      <c r="K7" s="999"/>
      <c r="L7" s="1000"/>
      <c r="M7" s="1024"/>
    </row>
    <row r="8" spans="1:13" ht="24" customHeight="1" thickBot="1">
      <c r="A8" s="1006"/>
      <c r="B8" s="1003"/>
      <c r="C8" s="1029"/>
      <c r="D8" s="676" t="s">
        <v>194</v>
      </c>
      <c r="E8" s="677" t="s">
        <v>195</v>
      </c>
      <c r="F8" s="380" t="s">
        <v>196</v>
      </c>
      <c r="G8" s="678" t="s">
        <v>194</v>
      </c>
      <c r="H8" s="677" t="s">
        <v>195</v>
      </c>
      <c r="I8" s="380" t="s">
        <v>196</v>
      </c>
      <c r="J8" s="678" t="s">
        <v>194</v>
      </c>
      <c r="K8" s="677" t="s">
        <v>195</v>
      </c>
      <c r="L8" s="380" t="s">
        <v>196</v>
      </c>
      <c r="M8" s="1025"/>
    </row>
    <row r="9" spans="1:13" ht="13.5" thickBot="1">
      <c r="A9" s="673"/>
      <c r="B9" s="1009" t="s">
        <v>810</v>
      </c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1"/>
    </row>
    <row r="10" spans="1:13" ht="29.25" customHeight="1">
      <c r="A10" s="674" t="s">
        <v>679</v>
      </c>
      <c r="B10" s="675" t="s">
        <v>154</v>
      </c>
      <c r="C10" s="359" t="s">
        <v>816</v>
      </c>
      <c r="D10" s="666">
        <f>28214+7000+3650+186+105+100+20648+5467-6</f>
        <v>65364</v>
      </c>
      <c r="E10" s="667">
        <f>3000+1350+8489</f>
        <v>12839</v>
      </c>
      <c r="F10" s="362">
        <f aca="true" t="shared" si="0" ref="F10:F44">SUM(D10:E10)</f>
        <v>78203</v>
      </c>
      <c r="G10" s="783"/>
      <c r="H10" s="667"/>
      <c r="I10" s="362">
        <f aca="true" t="shared" si="1" ref="I10:I55">SUM(G10:H10)</f>
        <v>0</v>
      </c>
      <c r="J10" s="668"/>
      <c r="K10" s="669"/>
      <c r="L10" s="362">
        <f aca="true" t="shared" si="2" ref="L10:L55">SUM(J10:K10)</f>
        <v>0</v>
      </c>
      <c r="M10" s="681">
        <f aca="true" t="shared" si="3" ref="M10:M24">SUM(F10+I10+L10)</f>
        <v>78203</v>
      </c>
    </row>
    <row r="11" spans="1:13" ht="29.25" customHeight="1">
      <c r="A11" s="782" t="s">
        <v>680</v>
      </c>
      <c r="B11" s="665" t="s">
        <v>155</v>
      </c>
      <c r="C11" s="379"/>
      <c r="D11" s="666"/>
      <c r="E11" s="667"/>
      <c r="F11" s="362">
        <f t="shared" si="0"/>
        <v>0</v>
      </c>
      <c r="G11" s="783">
        <f>5818+2</f>
        <v>5820</v>
      </c>
      <c r="H11" s="667">
        <v>0</v>
      </c>
      <c r="I11" s="362">
        <f t="shared" si="1"/>
        <v>5820</v>
      </c>
      <c r="J11" s="668"/>
      <c r="K11" s="669"/>
      <c r="L11" s="362">
        <f t="shared" si="2"/>
        <v>0</v>
      </c>
      <c r="M11" s="681">
        <f t="shared" si="3"/>
        <v>5820</v>
      </c>
    </row>
    <row r="12" spans="1:13" ht="29.25" customHeight="1">
      <c r="A12" s="782" t="s">
        <v>681</v>
      </c>
      <c r="B12" s="665" t="s">
        <v>984</v>
      </c>
      <c r="C12" s="379" t="s">
        <v>813</v>
      </c>
      <c r="D12" s="666">
        <v>100</v>
      </c>
      <c r="E12" s="667"/>
      <c r="F12" s="362">
        <f t="shared" si="0"/>
        <v>100</v>
      </c>
      <c r="G12" s="783"/>
      <c r="H12" s="667"/>
      <c r="I12" s="362">
        <f t="shared" si="1"/>
        <v>0</v>
      </c>
      <c r="J12" s="668"/>
      <c r="K12" s="669"/>
      <c r="L12" s="362">
        <f t="shared" si="2"/>
        <v>0</v>
      </c>
      <c r="M12" s="681">
        <f t="shared" si="3"/>
        <v>100</v>
      </c>
    </row>
    <row r="13" spans="1:13" ht="29.25" customHeight="1">
      <c r="A13" s="782" t="s">
        <v>682</v>
      </c>
      <c r="B13" s="665" t="s">
        <v>149</v>
      </c>
      <c r="C13" s="379" t="s">
        <v>815</v>
      </c>
      <c r="D13" s="666">
        <f>68579-1650+6774-14274+5105</f>
        <v>64534</v>
      </c>
      <c r="E13" s="667">
        <f>978+6000</f>
        <v>6978</v>
      </c>
      <c r="F13" s="362">
        <f t="shared" si="0"/>
        <v>71512</v>
      </c>
      <c r="G13" s="783"/>
      <c r="H13" s="667"/>
      <c r="I13" s="362">
        <f t="shared" si="1"/>
        <v>0</v>
      </c>
      <c r="J13" s="668"/>
      <c r="K13" s="669"/>
      <c r="L13" s="362">
        <f t="shared" si="2"/>
        <v>0</v>
      </c>
      <c r="M13" s="681">
        <f t="shared" si="3"/>
        <v>71512</v>
      </c>
    </row>
    <row r="14" spans="1:13" ht="29.25" customHeight="1">
      <c r="A14" s="782" t="s">
        <v>683</v>
      </c>
      <c r="B14" s="665" t="s">
        <v>151</v>
      </c>
      <c r="C14" s="379" t="s">
        <v>815</v>
      </c>
      <c r="D14" s="666">
        <f>39791-1963+147+55+15+298+80</f>
        <v>38423</v>
      </c>
      <c r="E14" s="667"/>
      <c r="F14" s="362">
        <f t="shared" si="0"/>
        <v>38423</v>
      </c>
      <c r="G14" s="783"/>
      <c r="H14" s="667"/>
      <c r="I14" s="362">
        <f t="shared" si="1"/>
        <v>0</v>
      </c>
      <c r="J14" s="668"/>
      <c r="K14" s="669"/>
      <c r="L14" s="362">
        <f t="shared" si="2"/>
        <v>0</v>
      </c>
      <c r="M14" s="681">
        <f t="shared" si="3"/>
        <v>38423</v>
      </c>
    </row>
    <row r="15" spans="1:13" ht="29.25" customHeight="1">
      <c r="A15" s="782" t="s">
        <v>684</v>
      </c>
      <c r="B15" s="665" t="s">
        <v>658</v>
      </c>
      <c r="C15" s="672"/>
      <c r="D15" s="666"/>
      <c r="E15" s="667"/>
      <c r="F15" s="362">
        <f t="shared" si="0"/>
        <v>0</v>
      </c>
      <c r="G15" s="783">
        <f>950+250+6+787+403+4810+121+62-183</f>
        <v>7206</v>
      </c>
      <c r="H15" s="667"/>
      <c r="I15" s="362">
        <f t="shared" si="1"/>
        <v>7206</v>
      </c>
      <c r="J15" s="668"/>
      <c r="K15" s="669"/>
      <c r="L15" s="362">
        <f t="shared" si="2"/>
        <v>0</v>
      </c>
      <c r="M15" s="681">
        <f t="shared" si="3"/>
        <v>7206</v>
      </c>
    </row>
    <row r="16" spans="1:13" ht="29.25" customHeight="1">
      <c r="A16" s="782" t="s">
        <v>685</v>
      </c>
      <c r="B16" s="665" t="s">
        <v>1115</v>
      </c>
      <c r="C16" s="379" t="s">
        <v>1132</v>
      </c>
      <c r="D16" s="666">
        <f>13962+16238+18</f>
        <v>30218</v>
      </c>
      <c r="E16" s="667"/>
      <c r="F16" s="362">
        <f t="shared" si="0"/>
        <v>30218</v>
      </c>
      <c r="G16" s="783"/>
      <c r="H16" s="667"/>
      <c r="I16" s="362">
        <f t="shared" si="1"/>
        <v>0</v>
      </c>
      <c r="J16" s="668"/>
      <c r="K16" s="669"/>
      <c r="L16" s="362">
        <f t="shared" si="2"/>
        <v>0</v>
      </c>
      <c r="M16" s="681">
        <f t="shared" si="3"/>
        <v>30218</v>
      </c>
    </row>
    <row r="17" spans="1:13" ht="29.25" customHeight="1">
      <c r="A17" s="782" t="s">
        <v>686</v>
      </c>
      <c r="B17" s="665" t="s">
        <v>161</v>
      </c>
      <c r="C17" s="379" t="s">
        <v>199</v>
      </c>
      <c r="D17" s="666"/>
      <c r="E17" s="667"/>
      <c r="F17" s="362">
        <f t="shared" si="0"/>
        <v>0</v>
      </c>
      <c r="G17" s="783"/>
      <c r="H17" s="667"/>
      <c r="I17" s="362">
        <f t="shared" si="1"/>
        <v>0</v>
      </c>
      <c r="J17" s="668">
        <f>40919-911-1478-396-763+21+6+197+53+146</f>
        <v>37794</v>
      </c>
      <c r="K17" s="669">
        <v>161</v>
      </c>
      <c r="L17" s="362">
        <f t="shared" si="2"/>
        <v>37955</v>
      </c>
      <c r="M17" s="681">
        <f t="shared" si="3"/>
        <v>37955</v>
      </c>
    </row>
    <row r="18" spans="1:13" ht="34.5" customHeight="1">
      <c r="A18" s="782" t="s">
        <v>687</v>
      </c>
      <c r="B18" s="665" t="s">
        <v>964</v>
      </c>
      <c r="C18" s="1012" t="s">
        <v>840</v>
      </c>
      <c r="D18" s="666">
        <v>303</v>
      </c>
      <c r="E18" s="667"/>
      <c r="F18" s="362">
        <f t="shared" si="0"/>
        <v>303</v>
      </c>
      <c r="G18" s="783"/>
      <c r="H18" s="667"/>
      <c r="I18" s="362">
        <f t="shared" si="1"/>
        <v>0</v>
      </c>
      <c r="J18" s="668"/>
      <c r="K18" s="669"/>
      <c r="L18" s="362">
        <f t="shared" si="2"/>
        <v>0</v>
      </c>
      <c r="M18" s="681">
        <f t="shared" si="3"/>
        <v>303</v>
      </c>
    </row>
    <row r="19" spans="1:13" ht="34.5" customHeight="1">
      <c r="A19" s="782" t="s">
        <v>688</v>
      </c>
      <c r="B19" s="665" t="s">
        <v>1076</v>
      </c>
      <c r="C19" s="1013"/>
      <c r="D19" s="666">
        <f>24353+14</f>
        <v>24367</v>
      </c>
      <c r="E19" s="667"/>
      <c r="F19" s="362">
        <f t="shared" si="0"/>
        <v>24367</v>
      </c>
      <c r="G19" s="783"/>
      <c r="H19" s="667"/>
      <c r="I19" s="362">
        <f t="shared" si="1"/>
        <v>0</v>
      </c>
      <c r="J19" s="668"/>
      <c r="K19" s="669"/>
      <c r="L19" s="362">
        <f t="shared" si="2"/>
        <v>0</v>
      </c>
      <c r="M19" s="681">
        <f t="shared" si="3"/>
        <v>24367</v>
      </c>
    </row>
    <row r="20" spans="1:13" ht="29.25" customHeight="1">
      <c r="A20" s="782" t="s">
        <v>689</v>
      </c>
      <c r="B20" s="665" t="s">
        <v>1079</v>
      </c>
      <c r="C20" s="1013"/>
      <c r="D20" s="666">
        <f>75649+10213+11330-75649-10213-11330</f>
        <v>0</v>
      </c>
      <c r="E20" s="667">
        <f>8184+301-8184-301</f>
        <v>0</v>
      </c>
      <c r="F20" s="362">
        <f t="shared" si="0"/>
        <v>0</v>
      </c>
      <c r="G20" s="783"/>
      <c r="H20" s="667"/>
      <c r="I20" s="362">
        <f t="shared" si="1"/>
        <v>0</v>
      </c>
      <c r="J20" s="668"/>
      <c r="K20" s="669"/>
      <c r="L20" s="362">
        <f t="shared" si="2"/>
        <v>0</v>
      </c>
      <c r="M20" s="681">
        <f t="shared" si="3"/>
        <v>0</v>
      </c>
    </row>
    <row r="21" spans="1:13" ht="29.25" customHeight="1">
      <c r="A21" s="782" t="s">
        <v>690</v>
      </c>
      <c r="B21" s="665" t="s">
        <v>965</v>
      </c>
      <c r="C21" s="1014"/>
      <c r="D21" s="666">
        <f>24756+5487</f>
        <v>30243</v>
      </c>
      <c r="E21" s="667"/>
      <c r="F21" s="362">
        <f t="shared" si="0"/>
        <v>30243</v>
      </c>
      <c r="G21" s="783"/>
      <c r="H21" s="667"/>
      <c r="I21" s="362">
        <f t="shared" si="1"/>
        <v>0</v>
      </c>
      <c r="J21" s="668"/>
      <c r="K21" s="669"/>
      <c r="L21" s="362">
        <f t="shared" si="2"/>
        <v>0</v>
      </c>
      <c r="M21" s="681">
        <f t="shared" si="3"/>
        <v>30243</v>
      </c>
    </row>
    <row r="22" spans="1:13" ht="29.25" customHeight="1">
      <c r="A22" s="782" t="s">
        <v>691</v>
      </c>
      <c r="B22" s="665" t="s">
        <v>597</v>
      </c>
      <c r="C22" s="379" t="s">
        <v>813</v>
      </c>
      <c r="D22" s="666">
        <f>15817-8000</f>
        <v>7817</v>
      </c>
      <c r="E22" s="667">
        <v>2250</v>
      </c>
      <c r="F22" s="362">
        <f t="shared" si="0"/>
        <v>10067</v>
      </c>
      <c r="G22" s="783"/>
      <c r="H22" s="667"/>
      <c r="I22" s="362">
        <f t="shared" si="1"/>
        <v>0</v>
      </c>
      <c r="J22" s="668"/>
      <c r="K22" s="669"/>
      <c r="L22" s="362">
        <f t="shared" si="2"/>
        <v>0</v>
      </c>
      <c r="M22" s="681">
        <f t="shared" si="3"/>
        <v>10067</v>
      </c>
    </row>
    <row r="23" spans="1:13" ht="29.25" customHeight="1">
      <c r="A23" s="782" t="s">
        <v>692</v>
      </c>
      <c r="B23" s="665" t="s">
        <v>968</v>
      </c>
      <c r="C23" s="379" t="s">
        <v>813</v>
      </c>
      <c r="D23" s="666"/>
      <c r="E23" s="667">
        <v>250</v>
      </c>
      <c r="F23" s="362">
        <f t="shared" si="0"/>
        <v>250</v>
      </c>
      <c r="G23" s="783"/>
      <c r="H23" s="667"/>
      <c r="I23" s="362">
        <f t="shared" si="1"/>
        <v>0</v>
      </c>
      <c r="J23" s="668"/>
      <c r="K23" s="669"/>
      <c r="L23" s="362">
        <f t="shared" si="2"/>
        <v>0</v>
      </c>
      <c r="M23" s="681">
        <f t="shared" si="3"/>
        <v>250</v>
      </c>
    </row>
    <row r="24" spans="1:13" ht="29.25" customHeight="1">
      <c r="A24" s="782" t="s">
        <v>693</v>
      </c>
      <c r="B24" s="665" t="s">
        <v>163</v>
      </c>
      <c r="C24" s="379" t="s">
        <v>817</v>
      </c>
      <c r="D24" s="666">
        <v>1000</v>
      </c>
      <c r="E24" s="667"/>
      <c r="F24" s="362">
        <f t="shared" si="0"/>
        <v>1000</v>
      </c>
      <c r="G24" s="783"/>
      <c r="H24" s="667"/>
      <c r="I24" s="362">
        <f t="shared" si="1"/>
        <v>0</v>
      </c>
      <c r="J24" s="668"/>
      <c r="K24" s="669"/>
      <c r="L24" s="362">
        <f t="shared" si="2"/>
        <v>0</v>
      </c>
      <c r="M24" s="681">
        <f t="shared" si="3"/>
        <v>1000</v>
      </c>
    </row>
    <row r="25" spans="1:13" ht="39.75" customHeight="1">
      <c r="A25" s="242" t="s">
        <v>694</v>
      </c>
      <c r="B25" s="665" t="s">
        <v>142</v>
      </c>
      <c r="C25" s="379" t="s">
        <v>811</v>
      </c>
      <c r="D25" s="360">
        <v>1850</v>
      </c>
      <c r="E25" s="361"/>
      <c r="F25" s="362">
        <f t="shared" si="0"/>
        <v>1850</v>
      </c>
      <c r="G25" s="369"/>
      <c r="H25" s="361"/>
      <c r="I25" s="362">
        <f t="shared" si="1"/>
        <v>0</v>
      </c>
      <c r="J25" s="244"/>
      <c r="K25" s="245"/>
      <c r="L25" s="362">
        <f t="shared" si="2"/>
        <v>0</v>
      </c>
      <c r="M25" s="681">
        <f>SUM(F25+I25+L25)</f>
        <v>1850</v>
      </c>
    </row>
    <row r="26" spans="1:13" ht="31.5" customHeight="1">
      <c r="A26" s="242" t="s">
        <v>695</v>
      </c>
      <c r="B26" s="665" t="s">
        <v>655</v>
      </c>
      <c r="C26" s="379" t="s">
        <v>812</v>
      </c>
      <c r="D26" s="360">
        <f>9998-122</f>
        <v>9876</v>
      </c>
      <c r="E26" s="361"/>
      <c r="F26" s="362">
        <f t="shared" si="0"/>
        <v>9876</v>
      </c>
      <c r="G26" s="369"/>
      <c r="H26" s="361"/>
      <c r="I26" s="362">
        <f t="shared" si="1"/>
        <v>0</v>
      </c>
      <c r="J26" s="244"/>
      <c r="K26" s="245"/>
      <c r="L26" s="362">
        <f t="shared" si="2"/>
        <v>0</v>
      </c>
      <c r="M26" s="681">
        <f aca="true" t="shared" si="4" ref="M26:M55">SUM(F26+I26+L26)</f>
        <v>9876</v>
      </c>
    </row>
    <row r="27" spans="1:13" ht="30" customHeight="1">
      <c r="A27" s="242" t="s">
        <v>696</v>
      </c>
      <c r="B27" s="665" t="s">
        <v>1116</v>
      </c>
      <c r="C27" s="379" t="s">
        <v>1133</v>
      </c>
      <c r="D27" s="360"/>
      <c r="E27" s="361">
        <v>248</v>
      </c>
      <c r="F27" s="362">
        <f t="shared" si="0"/>
        <v>248</v>
      </c>
      <c r="G27" s="369"/>
      <c r="H27" s="361"/>
      <c r="I27" s="362">
        <f t="shared" si="1"/>
        <v>0</v>
      </c>
      <c r="J27" s="244"/>
      <c r="K27" s="245"/>
      <c r="L27" s="362">
        <f t="shared" si="2"/>
        <v>0</v>
      </c>
      <c r="M27" s="681">
        <f t="shared" si="4"/>
        <v>248</v>
      </c>
    </row>
    <row r="28" spans="1:13" ht="29.25" customHeight="1">
      <c r="A28" s="242" t="s">
        <v>697</v>
      </c>
      <c r="B28" s="665" t="s">
        <v>145</v>
      </c>
      <c r="C28" s="379" t="s">
        <v>817</v>
      </c>
      <c r="D28" s="360">
        <f>284829+850</f>
        <v>285679</v>
      </c>
      <c r="E28" s="361">
        <f>768006+35888</f>
        <v>803894</v>
      </c>
      <c r="F28" s="362">
        <f t="shared" si="0"/>
        <v>1089573</v>
      </c>
      <c r="G28" s="369"/>
      <c r="H28" s="361"/>
      <c r="I28" s="362">
        <f t="shared" si="1"/>
        <v>0</v>
      </c>
      <c r="J28" s="244"/>
      <c r="K28" s="245"/>
      <c r="L28" s="362">
        <f t="shared" si="2"/>
        <v>0</v>
      </c>
      <c r="M28" s="681">
        <f t="shared" si="4"/>
        <v>1089573</v>
      </c>
    </row>
    <row r="29" spans="1:13" ht="29.25" customHeight="1">
      <c r="A29" s="242" t="s">
        <v>698</v>
      </c>
      <c r="B29" s="665" t="s">
        <v>659</v>
      </c>
      <c r="C29" s="379" t="s">
        <v>813</v>
      </c>
      <c r="D29" s="360">
        <f>30048-8000+1749</f>
        <v>23797</v>
      </c>
      <c r="E29" s="361"/>
      <c r="F29" s="362">
        <f t="shared" si="0"/>
        <v>23797</v>
      </c>
      <c r="G29" s="369"/>
      <c r="H29" s="361"/>
      <c r="I29" s="362">
        <f t="shared" si="1"/>
        <v>0</v>
      </c>
      <c r="J29" s="244"/>
      <c r="K29" s="245"/>
      <c r="L29" s="362">
        <f t="shared" si="2"/>
        <v>0</v>
      </c>
      <c r="M29" s="681">
        <f t="shared" si="4"/>
        <v>23797</v>
      </c>
    </row>
    <row r="30" spans="1:13" ht="29.25" customHeight="1">
      <c r="A30" s="242" t="s">
        <v>699</v>
      </c>
      <c r="B30" s="665" t="s">
        <v>657</v>
      </c>
      <c r="C30" s="379" t="s">
        <v>813</v>
      </c>
      <c r="D30" s="360">
        <f>20653+5500</f>
        <v>26153</v>
      </c>
      <c r="E30" s="361"/>
      <c r="F30" s="362">
        <f t="shared" si="0"/>
        <v>26153</v>
      </c>
      <c r="G30" s="369"/>
      <c r="H30" s="361"/>
      <c r="I30" s="362">
        <f t="shared" si="1"/>
        <v>0</v>
      </c>
      <c r="J30" s="244"/>
      <c r="K30" s="245"/>
      <c r="L30" s="362">
        <f t="shared" si="2"/>
        <v>0</v>
      </c>
      <c r="M30" s="681">
        <f t="shared" si="4"/>
        <v>26153</v>
      </c>
    </row>
    <row r="31" spans="1:13" ht="29.25" customHeight="1">
      <c r="A31" s="242" t="s">
        <v>700</v>
      </c>
      <c r="B31" s="665" t="s">
        <v>189</v>
      </c>
      <c r="C31" s="379" t="s">
        <v>197</v>
      </c>
      <c r="D31" s="360">
        <f>21253-5230-650+2000+167+1</f>
        <v>17541</v>
      </c>
      <c r="E31" s="361">
        <f>350+430+156</f>
        <v>936</v>
      </c>
      <c r="F31" s="362">
        <f t="shared" si="0"/>
        <v>18477</v>
      </c>
      <c r="G31" s="369"/>
      <c r="H31" s="361">
        <f>420421+6+8825</f>
        <v>429252</v>
      </c>
      <c r="I31" s="362">
        <f t="shared" si="1"/>
        <v>429252</v>
      </c>
      <c r="J31" s="244"/>
      <c r="K31" s="245"/>
      <c r="L31" s="362">
        <f t="shared" si="2"/>
        <v>0</v>
      </c>
      <c r="M31" s="681">
        <f t="shared" si="4"/>
        <v>447729</v>
      </c>
    </row>
    <row r="32" spans="1:13" ht="29.25" customHeight="1">
      <c r="A32" s="242" t="s">
        <v>818</v>
      </c>
      <c r="B32" s="670" t="s">
        <v>661</v>
      </c>
      <c r="C32" s="379" t="s">
        <v>819</v>
      </c>
      <c r="D32" s="360">
        <f>9609-5429+3</f>
        <v>4183</v>
      </c>
      <c r="E32" s="361"/>
      <c r="F32" s="362">
        <f t="shared" si="0"/>
        <v>4183</v>
      </c>
      <c r="G32" s="369"/>
      <c r="H32" s="361"/>
      <c r="I32" s="362">
        <f t="shared" si="1"/>
        <v>0</v>
      </c>
      <c r="J32" s="244"/>
      <c r="K32" s="245"/>
      <c r="L32" s="362">
        <f t="shared" si="2"/>
        <v>0</v>
      </c>
      <c r="M32" s="681">
        <f t="shared" si="4"/>
        <v>4183</v>
      </c>
    </row>
    <row r="33" spans="1:13" ht="29.25" customHeight="1">
      <c r="A33" s="242" t="s">
        <v>820</v>
      </c>
      <c r="B33" s="665" t="s">
        <v>662</v>
      </c>
      <c r="C33" s="379" t="s">
        <v>821</v>
      </c>
      <c r="D33" s="360">
        <f>30617+96+26+205+54+15+664+179</f>
        <v>31856</v>
      </c>
      <c r="E33" s="361">
        <v>127</v>
      </c>
      <c r="F33" s="362">
        <f t="shared" si="0"/>
        <v>31983</v>
      </c>
      <c r="G33" s="369"/>
      <c r="H33" s="361"/>
      <c r="I33" s="362">
        <f t="shared" si="1"/>
        <v>0</v>
      </c>
      <c r="J33" s="244"/>
      <c r="K33" s="245"/>
      <c r="L33" s="362">
        <f t="shared" si="2"/>
        <v>0</v>
      </c>
      <c r="M33" s="681">
        <f t="shared" si="4"/>
        <v>31983</v>
      </c>
    </row>
    <row r="34" spans="1:13" ht="29.25" customHeight="1">
      <c r="A34" s="242" t="s">
        <v>822</v>
      </c>
      <c r="B34" s="665" t="s">
        <v>663</v>
      </c>
      <c r="C34" s="379" t="s">
        <v>823</v>
      </c>
      <c r="D34" s="360">
        <v>120</v>
      </c>
      <c r="E34" s="361"/>
      <c r="F34" s="362">
        <f t="shared" si="0"/>
        <v>120</v>
      </c>
      <c r="G34" s="369"/>
      <c r="H34" s="361"/>
      <c r="I34" s="362">
        <f t="shared" si="1"/>
        <v>0</v>
      </c>
      <c r="J34" s="244"/>
      <c r="K34" s="245"/>
      <c r="L34" s="362">
        <f t="shared" si="2"/>
        <v>0</v>
      </c>
      <c r="M34" s="681">
        <f t="shared" si="4"/>
        <v>120</v>
      </c>
    </row>
    <row r="35" spans="1:13" ht="29.25" customHeight="1">
      <c r="A35" s="242" t="s">
        <v>772</v>
      </c>
      <c r="B35" s="665" t="s">
        <v>737</v>
      </c>
      <c r="C35" s="379" t="s">
        <v>824</v>
      </c>
      <c r="D35" s="360">
        <f>15991+251+3+69+47+13+428+116+127</f>
        <v>17045</v>
      </c>
      <c r="E35" s="361">
        <v>490</v>
      </c>
      <c r="F35" s="362">
        <f t="shared" si="0"/>
        <v>17535</v>
      </c>
      <c r="G35" s="369"/>
      <c r="H35" s="361"/>
      <c r="I35" s="362">
        <f t="shared" si="1"/>
        <v>0</v>
      </c>
      <c r="J35" s="244"/>
      <c r="K35" s="245"/>
      <c r="L35" s="362">
        <f t="shared" si="2"/>
        <v>0</v>
      </c>
      <c r="M35" s="681">
        <f t="shared" si="4"/>
        <v>17535</v>
      </c>
    </row>
    <row r="36" spans="1:13" ht="29.25" customHeight="1">
      <c r="A36" s="242" t="s">
        <v>825</v>
      </c>
      <c r="B36" s="670" t="s">
        <v>188</v>
      </c>
      <c r="C36" s="362" t="s">
        <v>843</v>
      </c>
      <c r="D36" s="360">
        <f>28917-5000</f>
        <v>23917</v>
      </c>
      <c r="E36" s="361">
        <v>2250</v>
      </c>
      <c r="F36" s="362">
        <f t="shared" si="0"/>
        <v>26167</v>
      </c>
      <c r="G36" s="369"/>
      <c r="H36" s="361">
        <v>70</v>
      </c>
      <c r="I36" s="362">
        <f t="shared" si="1"/>
        <v>70</v>
      </c>
      <c r="J36" s="244"/>
      <c r="K36" s="245"/>
      <c r="L36" s="362">
        <f t="shared" si="2"/>
        <v>0</v>
      </c>
      <c r="M36" s="681">
        <f t="shared" si="4"/>
        <v>26237</v>
      </c>
    </row>
    <row r="37" spans="1:13" ht="29.25" customHeight="1">
      <c r="A37" s="242" t="s">
        <v>701</v>
      </c>
      <c r="B37" s="665" t="s">
        <v>656</v>
      </c>
      <c r="C37" s="671"/>
      <c r="D37" s="360"/>
      <c r="E37" s="361"/>
      <c r="F37" s="362">
        <f t="shared" si="0"/>
        <v>0</v>
      </c>
      <c r="G37" s="369">
        <v>250</v>
      </c>
      <c r="H37" s="361"/>
      <c r="I37" s="362">
        <f t="shared" si="1"/>
        <v>250</v>
      </c>
      <c r="J37" s="244"/>
      <c r="K37" s="245"/>
      <c r="L37" s="362">
        <f t="shared" si="2"/>
        <v>0</v>
      </c>
      <c r="M37" s="681">
        <f t="shared" si="4"/>
        <v>250</v>
      </c>
    </row>
    <row r="38" spans="1:13" ht="29.25" customHeight="1">
      <c r="A38" s="242" t="s">
        <v>702</v>
      </c>
      <c r="B38" s="670" t="s">
        <v>985</v>
      </c>
      <c r="C38" s="362"/>
      <c r="D38" s="360"/>
      <c r="E38" s="361"/>
      <c r="F38" s="362">
        <f t="shared" si="0"/>
        <v>0</v>
      </c>
      <c r="G38" s="369">
        <f>2110+5+1407</f>
        <v>3522</v>
      </c>
      <c r="H38" s="361">
        <f>1830+9561</f>
        <v>11391</v>
      </c>
      <c r="I38" s="362">
        <f t="shared" si="1"/>
        <v>14913</v>
      </c>
      <c r="J38" s="244"/>
      <c r="K38" s="245"/>
      <c r="L38" s="362">
        <f t="shared" si="2"/>
        <v>0</v>
      </c>
      <c r="M38" s="681">
        <f t="shared" si="4"/>
        <v>14913</v>
      </c>
    </row>
    <row r="39" spans="1:13" ht="29.25" customHeight="1">
      <c r="A39" s="242" t="s">
        <v>703</v>
      </c>
      <c r="B39" s="670" t="s">
        <v>976</v>
      </c>
      <c r="C39" s="379" t="s">
        <v>841</v>
      </c>
      <c r="D39" s="360">
        <v>1070</v>
      </c>
      <c r="E39" s="361"/>
      <c r="F39" s="362">
        <f t="shared" si="0"/>
        <v>1070</v>
      </c>
      <c r="G39" s="369"/>
      <c r="H39" s="361"/>
      <c r="I39" s="362">
        <f t="shared" si="1"/>
        <v>0</v>
      </c>
      <c r="J39" s="244"/>
      <c r="K39" s="245"/>
      <c r="L39" s="362">
        <f t="shared" si="2"/>
        <v>0</v>
      </c>
      <c r="M39" s="681">
        <f t="shared" si="4"/>
        <v>1070</v>
      </c>
    </row>
    <row r="40" spans="1:13" ht="29.25" customHeight="1">
      <c r="A40" s="242" t="s">
        <v>827</v>
      </c>
      <c r="B40" s="665" t="s">
        <v>664</v>
      </c>
      <c r="C40" s="379" t="s">
        <v>841</v>
      </c>
      <c r="D40" s="360">
        <f>8032-7+416</f>
        <v>8441</v>
      </c>
      <c r="E40" s="361"/>
      <c r="F40" s="362">
        <f t="shared" si="0"/>
        <v>8441</v>
      </c>
      <c r="G40" s="369"/>
      <c r="H40" s="361"/>
      <c r="I40" s="362">
        <f t="shared" si="1"/>
        <v>0</v>
      </c>
      <c r="J40" s="244"/>
      <c r="K40" s="245"/>
      <c r="L40" s="362">
        <f t="shared" si="2"/>
        <v>0</v>
      </c>
      <c r="M40" s="681">
        <f t="shared" si="4"/>
        <v>8441</v>
      </c>
    </row>
    <row r="41" spans="1:13" ht="12.75">
      <c r="A41" s="242" t="s">
        <v>704</v>
      </c>
      <c r="B41" s="665" t="s">
        <v>193</v>
      </c>
      <c r="C41" s="785" t="s">
        <v>201</v>
      </c>
      <c r="D41" s="360"/>
      <c r="E41" s="361"/>
      <c r="F41" s="362">
        <f t="shared" si="0"/>
        <v>0</v>
      </c>
      <c r="G41" s="369">
        <v>47</v>
      </c>
      <c r="H41" s="361"/>
      <c r="I41" s="362">
        <f t="shared" si="1"/>
        <v>47</v>
      </c>
      <c r="J41" s="244"/>
      <c r="K41" s="245"/>
      <c r="L41" s="362">
        <f t="shared" si="2"/>
        <v>0</v>
      </c>
      <c r="M41" s="681">
        <f t="shared" si="4"/>
        <v>47</v>
      </c>
    </row>
    <row r="42" spans="1:13" ht="33.75">
      <c r="A42" s="242" t="s">
        <v>736</v>
      </c>
      <c r="B42" s="665" t="s">
        <v>186</v>
      </c>
      <c r="C42" s="379" t="s">
        <v>842</v>
      </c>
      <c r="D42" s="363">
        <f>9148-682</f>
        <v>8466</v>
      </c>
      <c r="E42" s="364">
        <f>500</f>
        <v>500</v>
      </c>
      <c r="F42" s="362">
        <f t="shared" si="0"/>
        <v>8966</v>
      </c>
      <c r="G42" s="370"/>
      <c r="H42" s="364">
        <f>49+10330</f>
        <v>10379</v>
      </c>
      <c r="I42" s="362">
        <f t="shared" si="1"/>
        <v>10379</v>
      </c>
      <c r="J42" s="244"/>
      <c r="K42" s="245"/>
      <c r="L42" s="362">
        <f t="shared" si="2"/>
        <v>0</v>
      </c>
      <c r="M42" s="681">
        <f t="shared" si="4"/>
        <v>19345</v>
      </c>
    </row>
    <row r="43" spans="1:13" ht="24">
      <c r="A43" s="242" t="s">
        <v>831</v>
      </c>
      <c r="B43" s="665" t="s">
        <v>978</v>
      </c>
      <c r="C43" s="379" t="s">
        <v>852</v>
      </c>
      <c r="D43" s="363"/>
      <c r="E43" s="364">
        <v>5500</v>
      </c>
      <c r="F43" s="362">
        <f t="shared" si="0"/>
        <v>5500</v>
      </c>
      <c r="G43" s="370"/>
      <c r="H43" s="364"/>
      <c r="I43" s="362">
        <f t="shared" si="1"/>
        <v>0</v>
      </c>
      <c r="J43" s="244"/>
      <c r="K43" s="245"/>
      <c r="L43" s="362">
        <f t="shared" si="2"/>
        <v>0</v>
      </c>
      <c r="M43" s="681">
        <f t="shared" si="4"/>
        <v>5500</v>
      </c>
    </row>
    <row r="44" spans="1:13" ht="27" customHeight="1">
      <c r="A44" s="242" t="s">
        <v>832</v>
      </c>
      <c r="B44" s="665" t="s">
        <v>190</v>
      </c>
      <c r="C44" s="785"/>
      <c r="D44" s="363"/>
      <c r="E44" s="364"/>
      <c r="F44" s="362">
        <f t="shared" si="0"/>
        <v>0</v>
      </c>
      <c r="G44" s="370">
        <f>35953-3540</f>
        <v>32413</v>
      </c>
      <c r="H44" s="364"/>
      <c r="I44" s="362">
        <f t="shared" si="1"/>
        <v>32413</v>
      </c>
      <c r="J44" s="244"/>
      <c r="K44" s="245"/>
      <c r="L44" s="362">
        <f t="shared" si="2"/>
        <v>0</v>
      </c>
      <c r="M44" s="681">
        <f t="shared" si="4"/>
        <v>32413</v>
      </c>
    </row>
    <row r="45" spans="1:13" ht="31.5" customHeight="1">
      <c r="A45" s="242" t="s">
        <v>833</v>
      </c>
      <c r="B45" s="665" t="s">
        <v>173</v>
      </c>
      <c r="C45" s="671" t="s">
        <v>828</v>
      </c>
      <c r="D45" s="365">
        <v>6501</v>
      </c>
      <c r="E45" s="366"/>
      <c r="F45" s="362">
        <f aca="true" t="shared" si="5" ref="F45:F55">SUM(D45:E45)</f>
        <v>6501</v>
      </c>
      <c r="G45" s="371"/>
      <c r="H45" s="366">
        <v>0</v>
      </c>
      <c r="I45" s="362">
        <f t="shared" si="1"/>
        <v>0</v>
      </c>
      <c r="J45" s="244"/>
      <c r="K45" s="245"/>
      <c r="L45" s="362">
        <f t="shared" si="2"/>
        <v>0</v>
      </c>
      <c r="M45" s="681">
        <f t="shared" si="4"/>
        <v>6501</v>
      </c>
    </row>
    <row r="46" spans="1:13" ht="33.75" customHeight="1">
      <c r="A46" s="242" t="s">
        <v>834</v>
      </c>
      <c r="B46" s="784" t="s">
        <v>765</v>
      </c>
      <c r="C46" s="379" t="s">
        <v>826</v>
      </c>
      <c r="D46" s="360">
        <f>18174</f>
        <v>18174</v>
      </c>
      <c r="E46" s="361"/>
      <c r="F46" s="362">
        <f t="shared" si="5"/>
        <v>18174</v>
      </c>
      <c r="G46" s="369"/>
      <c r="H46" s="361"/>
      <c r="I46" s="362">
        <f t="shared" si="1"/>
        <v>0</v>
      </c>
      <c r="J46" s="244"/>
      <c r="K46" s="245"/>
      <c r="L46" s="362">
        <f t="shared" si="2"/>
        <v>0</v>
      </c>
      <c r="M46" s="681">
        <f t="shared" si="4"/>
        <v>18174</v>
      </c>
    </row>
    <row r="47" spans="1:13" ht="21.75" customHeight="1">
      <c r="A47" s="242" t="s">
        <v>835</v>
      </c>
      <c r="B47" s="784" t="s">
        <v>191</v>
      </c>
      <c r="C47" s="785" t="s">
        <v>200</v>
      </c>
      <c r="D47" s="360"/>
      <c r="E47" s="361"/>
      <c r="F47" s="362">
        <f t="shared" si="5"/>
        <v>0</v>
      </c>
      <c r="G47" s="369">
        <v>1509</v>
      </c>
      <c r="H47" s="361"/>
      <c r="I47" s="362">
        <f t="shared" si="1"/>
        <v>1509</v>
      </c>
      <c r="J47" s="244"/>
      <c r="K47" s="245"/>
      <c r="L47" s="362">
        <f t="shared" si="2"/>
        <v>0</v>
      </c>
      <c r="M47" s="681">
        <f t="shared" si="4"/>
        <v>1509</v>
      </c>
    </row>
    <row r="48" spans="1:13" ht="28.5" customHeight="1">
      <c r="A48" s="242" t="s">
        <v>836</v>
      </c>
      <c r="B48" s="784" t="s">
        <v>177</v>
      </c>
      <c r="C48" s="785" t="s">
        <v>200</v>
      </c>
      <c r="D48" s="360"/>
      <c r="E48" s="361"/>
      <c r="F48" s="362">
        <f t="shared" si="5"/>
        <v>0</v>
      </c>
      <c r="G48" s="369">
        <v>3405</v>
      </c>
      <c r="H48" s="361"/>
      <c r="I48" s="362">
        <f t="shared" si="1"/>
        <v>3405</v>
      </c>
      <c r="J48" s="244"/>
      <c r="K48" s="245"/>
      <c r="L48" s="362">
        <f t="shared" si="2"/>
        <v>0</v>
      </c>
      <c r="M48" s="681">
        <f t="shared" si="4"/>
        <v>3405</v>
      </c>
    </row>
    <row r="49" spans="1:13" ht="20.25" customHeight="1">
      <c r="A49" s="242" t="s">
        <v>837</v>
      </c>
      <c r="B49" s="665" t="s">
        <v>767</v>
      </c>
      <c r="C49" s="671" t="s">
        <v>829</v>
      </c>
      <c r="D49" s="360">
        <f>7674-500</f>
        <v>7174</v>
      </c>
      <c r="E49" s="361"/>
      <c r="F49" s="362">
        <f t="shared" si="5"/>
        <v>7174</v>
      </c>
      <c r="G49" s="369"/>
      <c r="H49" s="361"/>
      <c r="I49" s="362">
        <f t="shared" si="1"/>
        <v>0</v>
      </c>
      <c r="J49" s="244"/>
      <c r="K49" s="245"/>
      <c r="L49" s="362">
        <f t="shared" si="2"/>
        <v>0</v>
      </c>
      <c r="M49" s="681">
        <f t="shared" si="4"/>
        <v>7174</v>
      </c>
    </row>
    <row r="50" spans="1:13" ht="27" customHeight="1">
      <c r="A50" s="242" t="s">
        <v>838</v>
      </c>
      <c r="B50" s="665" t="s">
        <v>768</v>
      </c>
      <c r="C50" s="671" t="s">
        <v>830</v>
      </c>
      <c r="D50" s="360">
        <v>3017</v>
      </c>
      <c r="E50" s="361"/>
      <c r="F50" s="362">
        <f t="shared" si="5"/>
        <v>3017</v>
      </c>
      <c r="G50" s="369"/>
      <c r="H50" s="361"/>
      <c r="I50" s="362">
        <f t="shared" si="1"/>
        <v>0</v>
      </c>
      <c r="J50" s="244"/>
      <c r="K50" s="245"/>
      <c r="L50" s="362">
        <f t="shared" si="2"/>
        <v>0</v>
      </c>
      <c r="M50" s="681">
        <f t="shared" si="4"/>
        <v>3017</v>
      </c>
    </row>
    <row r="51" spans="1:13" ht="38.25" customHeight="1">
      <c r="A51" s="242" t="s">
        <v>839</v>
      </c>
      <c r="B51" s="784" t="s">
        <v>766</v>
      </c>
      <c r="C51" s="671" t="s">
        <v>828</v>
      </c>
      <c r="D51" s="363">
        <v>9179</v>
      </c>
      <c r="E51" s="367"/>
      <c r="F51" s="362">
        <f t="shared" si="5"/>
        <v>9179</v>
      </c>
      <c r="G51" s="370"/>
      <c r="H51" s="367"/>
      <c r="I51" s="362">
        <f t="shared" si="1"/>
        <v>0</v>
      </c>
      <c r="J51" s="244"/>
      <c r="K51" s="245"/>
      <c r="L51" s="362">
        <f t="shared" si="2"/>
        <v>0</v>
      </c>
      <c r="M51" s="681">
        <f t="shared" si="4"/>
        <v>9179</v>
      </c>
    </row>
    <row r="52" spans="1:13" s="119" customFormat="1" ht="27.75" customHeight="1">
      <c r="A52" s="242" t="s">
        <v>528</v>
      </c>
      <c r="B52" s="665" t="s">
        <v>202</v>
      </c>
      <c r="C52" s="362" t="s">
        <v>192</v>
      </c>
      <c r="D52" s="360">
        <v>2800</v>
      </c>
      <c r="E52" s="361"/>
      <c r="F52" s="362">
        <f t="shared" si="5"/>
        <v>2800</v>
      </c>
      <c r="G52" s="369"/>
      <c r="H52" s="361"/>
      <c r="I52" s="362">
        <f t="shared" si="1"/>
        <v>0</v>
      </c>
      <c r="J52" s="244"/>
      <c r="K52" s="245"/>
      <c r="L52" s="362">
        <f t="shared" si="2"/>
        <v>0</v>
      </c>
      <c r="M52" s="681">
        <f t="shared" si="4"/>
        <v>2800</v>
      </c>
    </row>
    <row r="53" spans="1:13" ht="23.25" customHeight="1">
      <c r="A53" s="356" t="s">
        <v>987</v>
      </c>
      <c r="B53" s="665" t="s">
        <v>660</v>
      </c>
      <c r="C53" s="379" t="s">
        <v>198</v>
      </c>
      <c r="D53" s="376">
        <f>6719-323-3517-100-859+720+3517-250+10-70-350-1000-2250-2250-6000+53177-13962-5976+714-714-146-3-7982+2900-2900+2611-2611-16238-18+12783-1000+410-127</f>
        <v>14915</v>
      </c>
      <c r="E53" s="377">
        <f>40735-882-8489+68969-35894-9122+4252-4252-10330</f>
        <v>44987</v>
      </c>
      <c r="F53" s="362">
        <f t="shared" si="5"/>
        <v>59902</v>
      </c>
      <c r="G53" s="373"/>
      <c r="H53" s="368"/>
      <c r="I53" s="362">
        <f t="shared" si="1"/>
        <v>0</v>
      </c>
      <c r="J53" s="248"/>
      <c r="K53" s="248"/>
      <c r="L53" s="362">
        <f t="shared" si="2"/>
        <v>0</v>
      </c>
      <c r="M53" s="681">
        <f t="shared" si="4"/>
        <v>59902</v>
      </c>
    </row>
    <row r="54" spans="1:13" s="119" customFormat="1" ht="24">
      <c r="A54" s="356" t="s">
        <v>1134</v>
      </c>
      <c r="B54" s="665" t="s">
        <v>1135</v>
      </c>
      <c r="C54" s="778"/>
      <c r="D54" s="666"/>
      <c r="E54" s="667"/>
      <c r="F54" s="362">
        <f>SUM(D54:E54)</f>
        <v>0</v>
      </c>
      <c r="G54" s="783">
        <f>7683+1039</f>
        <v>8722</v>
      </c>
      <c r="H54" s="667"/>
      <c r="I54" s="362">
        <f t="shared" si="1"/>
        <v>8722</v>
      </c>
      <c r="J54" s="668"/>
      <c r="K54" s="669"/>
      <c r="L54" s="362">
        <f t="shared" si="2"/>
        <v>0</v>
      </c>
      <c r="M54" s="681">
        <f>SUM(F54+I54+L54)</f>
        <v>8722</v>
      </c>
    </row>
    <row r="55" spans="1:13" ht="30.75" customHeight="1" thickBot="1">
      <c r="A55" s="242" t="s">
        <v>1136</v>
      </c>
      <c r="B55" s="665" t="s">
        <v>619</v>
      </c>
      <c r="C55" s="786" t="s">
        <v>814</v>
      </c>
      <c r="D55" s="363">
        <f>131633+1963+1589+4674+28+8</f>
        <v>139895</v>
      </c>
      <c r="E55" s="364">
        <f>7836-7620+5644</f>
        <v>5860</v>
      </c>
      <c r="F55" s="362">
        <f t="shared" si="5"/>
        <v>145755</v>
      </c>
      <c r="G55" s="372"/>
      <c r="H55" s="367"/>
      <c r="I55" s="362">
        <f t="shared" si="1"/>
        <v>0</v>
      </c>
      <c r="J55" s="244"/>
      <c r="K55" s="244"/>
      <c r="L55" s="362">
        <f t="shared" si="2"/>
        <v>0</v>
      </c>
      <c r="M55" s="681">
        <f t="shared" si="4"/>
        <v>145755</v>
      </c>
    </row>
    <row r="56" spans="1:13" ht="13.5" thickBot="1">
      <c r="A56" s="1015" t="s">
        <v>844</v>
      </c>
      <c r="B56" s="1016"/>
      <c r="C56" s="1017"/>
      <c r="D56" s="378">
        <f aca="true" t="shared" si="6" ref="D56:M56">SUM(D10:D55)</f>
        <v>924018</v>
      </c>
      <c r="E56" s="378">
        <f t="shared" si="6"/>
        <v>887109</v>
      </c>
      <c r="F56" s="378">
        <f t="shared" si="6"/>
        <v>1811127</v>
      </c>
      <c r="G56" s="378">
        <f t="shared" si="6"/>
        <v>62894</v>
      </c>
      <c r="H56" s="378">
        <f t="shared" si="6"/>
        <v>451092</v>
      </c>
      <c r="I56" s="378">
        <f t="shared" si="6"/>
        <v>513986</v>
      </c>
      <c r="J56" s="378">
        <f t="shared" si="6"/>
        <v>37794</v>
      </c>
      <c r="K56" s="378">
        <f t="shared" si="6"/>
        <v>161</v>
      </c>
      <c r="L56" s="378">
        <f t="shared" si="6"/>
        <v>37955</v>
      </c>
      <c r="M56" s="739">
        <f t="shared" si="6"/>
        <v>2363068</v>
      </c>
    </row>
    <row r="57" spans="1:13" ht="24">
      <c r="A57" s="242" t="s">
        <v>679</v>
      </c>
      <c r="B57" s="665" t="s">
        <v>154</v>
      </c>
      <c r="C57" s="359" t="s">
        <v>816</v>
      </c>
      <c r="D57" s="357">
        <f>147768-20648-5467+135+36+1243+335+3234</f>
        <v>126636</v>
      </c>
      <c r="E57" s="358">
        <v>445</v>
      </c>
      <c r="F57" s="362">
        <f>SUM(D57:E57)</f>
        <v>127081</v>
      </c>
      <c r="G57" s="357"/>
      <c r="H57" s="358"/>
      <c r="I57" s="359">
        <f>SUM(G57:H57)</f>
        <v>0</v>
      </c>
      <c r="J57" s="357"/>
      <c r="K57" s="358"/>
      <c r="L57" s="359">
        <f>SUM(J57:K57)</f>
        <v>0</v>
      </c>
      <c r="M57" s="681">
        <f>SUM(L57,I57,F57)</f>
        <v>127081</v>
      </c>
    </row>
    <row r="58" spans="1:13" ht="22.5">
      <c r="A58" s="242" t="s">
        <v>680</v>
      </c>
      <c r="B58" s="246" t="s">
        <v>206</v>
      </c>
      <c r="C58" s="243" t="s">
        <v>845</v>
      </c>
      <c r="D58" s="360">
        <f>26959+2580</f>
        <v>29539</v>
      </c>
      <c r="E58" s="361"/>
      <c r="F58" s="362">
        <f>SUM(D58:E58)</f>
        <v>29539</v>
      </c>
      <c r="G58" s="360"/>
      <c r="H58" s="361"/>
      <c r="I58" s="362">
        <f>SUM(G58:H58)</f>
        <v>0</v>
      </c>
      <c r="J58" s="360"/>
      <c r="K58" s="361"/>
      <c r="L58" s="362">
        <f>SUM(J58:K58)</f>
        <v>0</v>
      </c>
      <c r="M58" s="681">
        <f>SUM(L58,I58,F58)</f>
        <v>29539</v>
      </c>
    </row>
    <row r="59" spans="1:13" ht="24">
      <c r="A59" s="242" t="s">
        <v>681</v>
      </c>
      <c r="B59" s="246" t="s">
        <v>203</v>
      </c>
      <c r="C59" s="243" t="s">
        <v>846</v>
      </c>
      <c r="D59" s="360">
        <v>14669</v>
      </c>
      <c r="E59" s="361"/>
      <c r="F59" s="362">
        <f>SUM(D59:E59)</f>
        <v>14669</v>
      </c>
      <c r="G59" s="360"/>
      <c r="H59" s="361"/>
      <c r="I59" s="362">
        <f>SUM(G59:H59)</f>
        <v>0</v>
      </c>
      <c r="J59" s="360"/>
      <c r="K59" s="361"/>
      <c r="L59" s="362">
        <f>SUM(J59:K59)</f>
        <v>0</v>
      </c>
      <c r="M59" s="681">
        <f>SUM(L59,I59,F59)</f>
        <v>14669</v>
      </c>
    </row>
    <row r="60" spans="1:13" s="119" customFormat="1" ht="48">
      <c r="A60" s="242" t="s">
        <v>682</v>
      </c>
      <c r="B60" s="246" t="s">
        <v>204</v>
      </c>
      <c r="C60" s="250" t="s">
        <v>205</v>
      </c>
      <c r="D60" s="360">
        <v>12626</v>
      </c>
      <c r="E60" s="361"/>
      <c r="F60" s="362">
        <f>SUM(D60:E60)</f>
        <v>12626</v>
      </c>
      <c r="G60" s="360"/>
      <c r="H60" s="361"/>
      <c r="I60" s="362">
        <f>SUM(G60:H60)</f>
        <v>0</v>
      </c>
      <c r="J60" s="360"/>
      <c r="K60" s="361"/>
      <c r="L60" s="362">
        <f>SUM(J60:K60)</f>
        <v>0</v>
      </c>
      <c r="M60" s="681">
        <f>SUM(L60,I60,F60)</f>
        <v>12626</v>
      </c>
    </row>
    <row r="61" spans="1:13" ht="24.75" thickBot="1">
      <c r="A61" s="242" t="s">
        <v>683</v>
      </c>
      <c r="B61" s="246" t="s">
        <v>986</v>
      </c>
      <c r="C61" s="243" t="s">
        <v>848</v>
      </c>
      <c r="D61" s="382">
        <v>520</v>
      </c>
      <c r="E61" s="383"/>
      <c r="F61" s="384">
        <f>SUM(D61:E61)</f>
        <v>520</v>
      </c>
      <c r="G61" s="382"/>
      <c r="H61" s="383"/>
      <c r="I61" s="362">
        <f>SUM(G61:H61)</f>
        <v>0</v>
      </c>
      <c r="J61" s="382">
        <v>15</v>
      </c>
      <c r="K61" s="383"/>
      <c r="L61" s="362">
        <f>SUM(J61:K61)</f>
        <v>15</v>
      </c>
      <c r="M61" s="681">
        <f>SUM(L61,I61,F61)</f>
        <v>535</v>
      </c>
    </row>
    <row r="62" spans="1:13" ht="13.5" thickBot="1">
      <c r="A62" s="1015" t="s">
        <v>849</v>
      </c>
      <c r="B62" s="1016"/>
      <c r="C62" s="1017"/>
      <c r="D62" s="385">
        <f aca="true" t="shared" si="7" ref="D62:M62">SUM(D57:D61)</f>
        <v>183990</v>
      </c>
      <c r="E62" s="385">
        <f t="shared" si="7"/>
        <v>445</v>
      </c>
      <c r="F62" s="385">
        <f t="shared" si="7"/>
        <v>184435</v>
      </c>
      <c r="G62" s="385">
        <f t="shared" si="7"/>
        <v>0</v>
      </c>
      <c r="H62" s="385">
        <f t="shared" si="7"/>
        <v>0</v>
      </c>
      <c r="I62" s="385">
        <f t="shared" si="7"/>
        <v>0</v>
      </c>
      <c r="J62" s="385">
        <f t="shared" si="7"/>
        <v>15</v>
      </c>
      <c r="K62" s="385">
        <f t="shared" si="7"/>
        <v>0</v>
      </c>
      <c r="L62" s="385">
        <f t="shared" si="7"/>
        <v>15</v>
      </c>
      <c r="M62" s="680">
        <f t="shared" si="7"/>
        <v>184450</v>
      </c>
    </row>
    <row r="63" spans="1:13" ht="15.75" customHeight="1">
      <c r="A63" s="242" t="s">
        <v>679</v>
      </c>
      <c r="B63" s="246" t="s">
        <v>850</v>
      </c>
      <c r="C63" s="247" t="s">
        <v>814</v>
      </c>
      <c r="D63" s="386">
        <f>32865-221</f>
        <v>32644</v>
      </c>
      <c r="E63" s="387"/>
      <c r="F63" s="359">
        <f>SUM(D63:E63)</f>
        <v>32644</v>
      </c>
      <c r="G63" s="386"/>
      <c r="H63" s="387"/>
      <c r="I63" s="375">
        <f>SUM(G63:H63)</f>
        <v>0</v>
      </c>
      <c r="J63" s="386"/>
      <c r="K63" s="387"/>
      <c r="L63" s="359">
        <f>SUM(J63:K63)</f>
        <v>0</v>
      </c>
      <c r="M63" s="681">
        <f>SUM(L63,I63,F63)</f>
        <v>32644</v>
      </c>
    </row>
    <row r="64" spans="1:13" ht="15.75" customHeight="1">
      <c r="A64" s="242" t="s">
        <v>680</v>
      </c>
      <c r="B64" s="246" t="s">
        <v>851</v>
      </c>
      <c r="C64" s="243" t="s">
        <v>852</v>
      </c>
      <c r="D64" s="360">
        <f>149459-2787+97+26+1048+283+77+9549</f>
        <v>157752</v>
      </c>
      <c r="E64" s="361">
        <f>254-50+333+667</f>
        <v>1204</v>
      </c>
      <c r="F64" s="362">
        <f>SUM(D64:E64)</f>
        <v>158956</v>
      </c>
      <c r="G64" s="360"/>
      <c r="H64" s="361"/>
      <c r="I64" s="384">
        <f>SUM(G64:H64)</f>
        <v>0</v>
      </c>
      <c r="J64" s="360"/>
      <c r="K64" s="361"/>
      <c r="L64" s="362">
        <f>SUM(J64:K64)</f>
        <v>0</v>
      </c>
      <c r="M64" s="681">
        <f>SUM(L64,I64,F64)</f>
        <v>158956</v>
      </c>
    </row>
    <row r="65" spans="1:13" ht="12.75">
      <c r="A65" s="381" t="s">
        <v>681</v>
      </c>
      <c r="B65" s="249" t="s">
        <v>853</v>
      </c>
      <c r="C65" s="362" t="s">
        <v>852</v>
      </c>
      <c r="D65" s="382">
        <v>11674</v>
      </c>
      <c r="E65" s="383"/>
      <c r="F65" s="384">
        <f>SUM(D65:E65)</f>
        <v>11674</v>
      </c>
      <c r="G65" s="382"/>
      <c r="H65" s="383"/>
      <c r="I65" s="384">
        <f>SUM(G65:H65)</f>
        <v>0</v>
      </c>
      <c r="J65" s="382"/>
      <c r="K65" s="383"/>
      <c r="L65" s="384">
        <f>SUM(J65:K65)</f>
        <v>0</v>
      </c>
      <c r="M65" s="681">
        <f>SUM(L65,I65,F65)</f>
        <v>11674</v>
      </c>
    </row>
    <row r="66" spans="1:13" s="825" customFormat="1" ht="15.75" thickBot="1">
      <c r="A66" s="381" t="s">
        <v>682</v>
      </c>
      <c r="B66" s="249" t="s">
        <v>988</v>
      </c>
      <c r="C66" s="374"/>
      <c r="D66" s="382"/>
      <c r="E66" s="383"/>
      <c r="F66" s="384">
        <f>SUM(D66:E66)</f>
        <v>0</v>
      </c>
      <c r="G66" s="382">
        <v>6245</v>
      </c>
      <c r="H66" s="383"/>
      <c r="I66" s="384">
        <f>SUM(G66:H66)</f>
        <v>6245</v>
      </c>
      <c r="J66" s="382"/>
      <c r="K66" s="383"/>
      <c r="L66" s="384">
        <f>SUM(J66:K66)</f>
        <v>0</v>
      </c>
      <c r="M66" s="681">
        <f>SUM(L66,I66,F66)</f>
        <v>6245</v>
      </c>
    </row>
    <row r="67" spans="1:13" ht="13.5" thickBot="1">
      <c r="A67" s="1015" t="s">
        <v>1137</v>
      </c>
      <c r="B67" s="1016"/>
      <c r="C67" s="1017"/>
      <c r="D67" s="389">
        <f>SUM(D63:D66)</f>
        <v>202070</v>
      </c>
      <c r="E67" s="389">
        <f aca="true" t="shared" si="8" ref="E67:L67">SUM(E63:E66)</f>
        <v>1204</v>
      </c>
      <c r="F67" s="389">
        <f t="shared" si="8"/>
        <v>203274</v>
      </c>
      <c r="G67" s="389">
        <f t="shared" si="8"/>
        <v>6245</v>
      </c>
      <c r="H67" s="389">
        <f t="shared" si="8"/>
        <v>0</v>
      </c>
      <c r="I67" s="389">
        <f t="shared" si="8"/>
        <v>6245</v>
      </c>
      <c r="J67" s="389">
        <f t="shared" si="8"/>
        <v>0</v>
      </c>
      <c r="K67" s="389">
        <f t="shared" si="8"/>
        <v>0</v>
      </c>
      <c r="L67" s="389">
        <f t="shared" si="8"/>
        <v>0</v>
      </c>
      <c r="M67" s="680">
        <f>SUM(M63:M66)</f>
        <v>209519</v>
      </c>
    </row>
    <row r="68" spans="1:13" ht="15.75" thickBot="1">
      <c r="A68" s="1018" t="s">
        <v>854</v>
      </c>
      <c r="B68" s="1019"/>
      <c r="C68" s="1020"/>
      <c r="D68" s="388">
        <f aca="true" t="shared" si="9" ref="D68:M68">D56+D62+D67</f>
        <v>1310078</v>
      </c>
      <c r="E68" s="388">
        <f t="shared" si="9"/>
        <v>888758</v>
      </c>
      <c r="F68" s="388">
        <f t="shared" si="9"/>
        <v>2198836</v>
      </c>
      <c r="G68" s="388">
        <f t="shared" si="9"/>
        <v>69139</v>
      </c>
      <c r="H68" s="388">
        <f t="shared" si="9"/>
        <v>451092</v>
      </c>
      <c r="I68" s="388">
        <f t="shared" si="9"/>
        <v>520231</v>
      </c>
      <c r="J68" s="388">
        <f t="shared" si="9"/>
        <v>37809</v>
      </c>
      <c r="K68" s="388">
        <f t="shared" si="9"/>
        <v>161</v>
      </c>
      <c r="L68" s="679">
        <f t="shared" si="9"/>
        <v>37970</v>
      </c>
      <c r="M68" s="682">
        <f t="shared" si="9"/>
        <v>2757037</v>
      </c>
    </row>
    <row r="69" spans="1:13" ht="15">
      <c r="A69" s="844"/>
      <c r="B69" s="844"/>
      <c r="C69" s="844"/>
      <c r="D69" s="845"/>
      <c r="E69" s="845"/>
      <c r="F69" s="845"/>
      <c r="G69" s="845"/>
      <c r="H69" s="845"/>
      <c r="I69" s="845"/>
      <c r="J69" s="845"/>
      <c r="K69" s="845"/>
      <c r="L69" s="845"/>
      <c r="M69" s="845"/>
    </row>
    <row r="70" spans="1:2" ht="12.75">
      <c r="A70" t="s">
        <v>855</v>
      </c>
      <c r="B70" t="s">
        <v>856</v>
      </c>
    </row>
    <row r="71" spans="1:2" ht="12.75">
      <c r="A71" t="s">
        <v>857</v>
      </c>
      <c r="B71" t="s">
        <v>858</v>
      </c>
    </row>
    <row r="72" spans="1:2" ht="12.75">
      <c r="A72" t="s">
        <v>859</v>
      </c>
      <c r="B72" t="s">
        <v>860</v>
      </c>
    </row>
    <row r="73" spans="1:2" ht="12.75">
      <c r="A73" t="s">
        <v>861</v>
      </c>
      <c r="B73" t="s">
        <v>862</v>
      </c>
    </row>
    <row r="74" spans="1:2" ht="12.75">
      <c r="A74" t="s">
        <v>863</v>
      </c>
      <c r="B74" t="s">
        <v>864</v>
      </c>
    </row>
    <row r="75" spans="1:2" ht="12.75">
      <c r="A75" t="s">
        <v>865</v>
      </c>
      <c r="B75" t="s">
        <v>866</v>
      </c>
    </row>
    <row r="76" spans="1:2" ht="12.75">
      <c r="A76" t="s">
        <v>867</v>
      </c>
      <c r="B76" t="s">
        <v>868</v>
      </c>
    </row>
    <row r="78" spans="2:4" ht="14.25">
      <c r="B78" s="826" t="s">
        <v>1129</v>
      </c>
      <c r="C78" s="826"/>
      <c r="D78" s="826"/>
    </row>
    <row r="79" ht="13.5">
      <c r="B79" s="843" t="s">
        <v>1130</v>
      </c>
    </row>
  </sheetData>
  <sheetProtection/>
  <mergeCells count="16">
    <mergeCell ref="C18:C21"/>
    <mergeCell ref="A56:C56"/>
    <mergeCell ref="A62:C62"/>
    <mergeCell ref="A67:C67"/>
    <mergeCell ref="A68:C68"/>
    <mergeCell ref="G1:M1"/>
    <mergeCell ref="M6:M8"/>
    <mergeCell ref="A3:M4"/>
    <mergeCell ref="C6:C8"/>
    <mergeCell ref="G6:I7"/>
    <mergeCell ref="J6:L7"/>
    <mergeCell ref="D6:F7"/>
    <mergeCell ref="B5:B8"/>
    <mergeCell ref="A5:A8"/>
    <mergeCell ref="C5:M5"/>
    <mergeCell ref="B9:M9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O94"/>
  <sheetViews>
    <sheetView zoomScalePageLayoutView="0" workbookViewId="0" topLeftCell="A1">
      <selection activeCell="H77" sqref="H77"/>
    </sheetView>
  </sheetViews>
  <sheetFormatPr defaultColWidth="9.00390625" defaultRowHeight="12.75"/>
  <cols>
    <col min="3" max="3" width="19.125" style="0" customWidth="1"/>
    <col min="4" max="5" width="13.875" style="0" bestFit="1" customWidth="1"/>
    <col min="6" max="6" width="13.375" style="0" customWidth="1"/>
    <col min="7" max="7" width="12.625" style="0" customWidth="1"/>
    <col min="8" max="8" width="18.875" style="0" customWidth="1"/>
    <col min="9" max="9" width="9.25390625" style="0" bestFit="1" customWidth="1"/>
    <col min="10" max="10" width="10.125" style="0" bestFit="1" customWidth="1"/>
    <col min="11" max="11" width="19.25390625" style="0" customWidth="1"/>
    <col min="12" max="12" width="9.75390625" style="0" customWidth="1"/>
    <col min="14" max="14" width="12.625" style="0" customWidth="1"/>
    <col min="15" max="15" width="8.125" style="0" customWidth="1"/>
    <col min="16" max="16" width="9.75390625" style="0" bestFit="1" customWidth="1"/>
    <col min="17" max="17" width="11.75390625" style="0" customWidth="1"/>
    <col min="21" max="21" width="9.875" style="0" customWidth="1"/>
    <col min="22" max="22" width="10.125" style="0" bestFit="1" customWidth="1"/>
    <col min="23" max="23" width="13.875" style="0" customWidth="1"/>
    <col min="24" max="24" width="14.75390625" style="253" bestFit="1" customWidth="1"/>
    <col min="25" max="25" width="13.875" style="253" customWidth="1"/>
    <col min="26" max="26" width="14.75390625" style="253" bestFit="1" customWidth="1"/>
    <col min="27" max="27" width="13.125" style="253" bestFit="1" customWidth="1"/>
    <col min="28" max="28" width="12.625" style="253" bestFit="1" customWidth="1"/>
    <col min="29" max="29" width="13.125" style="253" bestFit="1" customWidth="1"/>
    <col min="30" max="223" width="9.125" style="253" customWidth="1"/>
  </cols>
  <sheetData>
    <row r="1" spans="1:28" ht="16.5">
      <c r="A1" s="233"/>
      <c r="B1" s="234"/>
      <c r="C1" s="235"/>
      <c r="H1" s="234"/>
      <c r="I1" s="234"/>
      <c r="J1" s="234"/>
      <c r="K1" s="238"/>
      <c r="L1" s="238"/>
      <c r="M1" s="238"/>
      <c r="N1" s="234"/>
      <c r="T1" s="1053" t="s">
        <v>1151</v>
      </c>
      <c r="U1" s="1054"/>
      <c r="V1" s="1054"/>
      <c r="W1" s="1054"/>
      <c r="X1" s="1055"/>
      <c r="Y1" s="1055"/>
      <c r="Z1" s="1055"/>
      <c r="AA1" s="1055"/>
      <c r="AB1" s="1055"/>
    </row>
    <row r="2" spans="1:14" ht="12.75">
      <c r="A2" s="233"/>
      <c r="B2" s="234"/>
      <c r="C2" s="235"/>
      <c r="D2" s="236"/>
      <c r="E2" s="237"/>
      <c r="F2" s="237"/>
      <c r="G2" s="237"/>
      <c r="H2" s="234"/>
      <c r="I2" s="234"/>
      <c r="J2" s="234"/>
      <c r="K2" s="238"/>
      <c r="L2" s="238"/>
      <c r="M2" s="238"/>
      <c r="N2" s="234"/>
    </row>
    <row r="3" spans="1:24" ht="15.75" customHeight="1">
      <c r="A3" s="1061" t="s">
        <v>1140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1061"/>
    </row>
    <row r="4" spans="1:24" ht="13.5" customHeight="1" thickBot="1">
      <c r="A4" s="1062"/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</row>
    <row r="5" spans="1:223" s="254" customFormat="1" ht="15" customHeight="1" thickBot="1" thickTop="1">
      <c r="A5" s="1063" t="s">
        <v>207</v>
      </c>
      <c r="B5" s="1064"/>
      <c r="C5" s="1064"/>
      <c r="D5" s="1042" t="s">
        <v>637</v>
      </c>
      <c r="E5" s="1043"/>
      <c r="F5" s="1044"/>
      <c r="G5" s="1045" t="s">
        <v>869</v>
      </c>
      <c r="H5" s="1046"/>
      <c r="I5" s="1046"/>
      <c r="J5" s="1046"/>
      <c r="K5" s="1047"/>
      <c r="L5" s="1067" t="s">
        <v>870</v>
      </c>
      <c r="M5" s="1068"/>
      <c r="N5" s="1068"/>
      <c r="O5" s="1068"/>
      <c r="P5" s="1068"/>
      <c r="Q5" s="1069"/>
      <c r="R5" s="1067" t="s">
        <v>871</v>
      </c>
      <c r="S5" s="1068"/>
      <c r="T5" s="1068"/>
      <c r="U5" s="1068"/>
      <c r="V5" s="1068"/>
      <c r="W5" s="1068"/>
      <c r="X5" s="1056" t="s">
        <v>872</v>
      </c>
      <c r="Y5" s="1057"/>
      <c r="Z5" s="1057"/>
      <c r="AA5" s="1058" t="s">
        <v>208</v>
      </c>
      <c r="AB5" s="1059"/>
      <c r="AC5" s="1060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</row>
    <row r="6" spans="1:29" s="253" customFormat="1" ht="16.5" customHeight="1" thickBot="1">
      <c r="A6" s="1065"/>
      <c r="B6" s="1066"/>
      <c r="C6" s="1066"/>
      <c r="D6" s="391" t="s">
        <v>209</v>
      </c>
      <c r="E6" s="392" t="s">
        <v>195</v>
      </c>
      <c r="F6" s="393" t="s">
        <v>210</v>
      </c>
      <c r="G6" s="1048"/>
      <c r="H6" s="1049"/>
      <c r="I6" s="1049"/>
      <c r="J6" s="1049"/>
      <c r="K6" s="1050"/>
      <c r="L6" s="1070"/>
      <c r="M6" s="1071"/>
      <c r="N6" s="1071"/>
      <c r="O6" s="1071"/>
      <c r="P6" s="1071"/>
      <c r="Q6" s="1072"/>
      <c r="R6" s="1070"/>
      <c r="S6" s="1071"/>
      <c r="T6" s="1071"/>
      <c r="U6" s="1071"/>
      <c r="V6" s="1071"/>
      <c r="W6" s="1071"/>
      <c r="X6" s="394" t="s">
        <v>209</v>
      </c>
      <c r="Y6" s="395" t="s">
        <v>195</v>
      </c>
      <c r="Z6" s="396" t="s">
        <v>210</v>
      </c>
      <c r="AA6" s="397" t="s">
        <v>209</v>
      </c>
      <c r="AB6" s="398" t="s">
        <v>195</v>
      </c>
      <c r="AC6" s="399" t="s">
        <v>210</v>
      </c>
    </row>
    <row r="7" spans="1:29" s="255" customFormat="1" ht="26.25" customHeight="1">
      <c r="A7" s="400"/>
      <c r="B7" s="401"/>
      <c r="C7" s="402"/>
      <c r="D7" s="403"/>
      <c r="E7" s="401"/>
      <c r="F7" s="404"/>
      <c r="G7" s="1073" t="s">
        <v>873</v>
      </c>
      <c r="H7" s="1074"/>
      <c r="I7" s="1074"/>
      <c r="J7" s="408">
        <v>80739</v>
      </c>
      <c r="K7" s="1051">
        <f>SUM(J7:J22)</f>
        <v>213331</v>
      </c>
      <c r="L7" s="1037" t="s">
        <v>234</v>
      </c>
      <c r="M7" s="1038"/>
      <c r="N7" s="1038"/>
      <c r="O7" s="1038"/>
      <c r="P7" s="405">
        <v>1365</v>
      </c>
      <c r="Q7" s="1097">
        <f>SUM(P7:P22)</f>
        <v>110740</v>
      </c>
      <c r="R7" s="1033" t="s">
        <v>874</v>
      </c>
      <c r="S7" s="1034"/>
      <c r="T7" s="1034"/>
      <c r="U7" s="1034"/>
      <c r="V7" s="408">
        <v>248</v>
      </c>
      <c r="W7" s="1099">
        <f>SUM(V7:V22)</f>
        <v>644526</v>
      </c>
      <c r="X7" s="409"/>
      <c r="Y7" s="410"/>
      <c r="Z7" s="411"/>
      <c r="AA7" s="412"/>
      <c r="AB7" s="413"/>
      <c r="AC7" s="414"/>
    </row>
    <row r="8" spans="1:29" s="255" customFormat="1" ht="30.75" customHeight="1">
      <c r="A8" s="400"/>
      <c r="B8" s="401"/>
      <c r="C8" s="403"/>
      <c r="D8" s="403"/>
      <c r="E8" s="401"/>
      <c r="F8" s="404"/>
      <c r="G8" s="1041" t="s">
        <v>877</v>
      </c>
      <c r="H8" s="1040"/>
      <c r="I8" s="1040"/>
      <c r="J8" s="408">
        <v>7276</v>
      </c>
      <c r="K8" s="1052"/>
      <c r="L8" s="1032" t="s">
        <v>875</v>
      </c>
      <c r="M8" s="1031"/>
      <c r="N8" s="1031"/>
      <c r="O8" s="1031"/>
      <c r="P8" s="408">
        <v>2960</v>
      </c>
      <c r="Q8" s="1098"/>
      <c r="R8" s="1032" t="s">
        <v>876</v>
      </c>
      <c r="S8" s="1031"/>
      <c r="T8" s="1031"/>
      <c r="U8" s="1031"/>
      <c r="V8" s="408">
        <v>1007</v>
      </c>
      <c r="W8" s="1100"/>
      <c r="X8" s="415"/>
      <c r="Y8" s="410"/>
      <c r="Z8" s="416"/>
      <c r="AA8" s="400"/>
      <c r="AB8" s="417"/>
      <c r="AC8" s="418"/>
    </row>
    <row r="9" spans="1:29" s="255" customFormat="1" ht="24.75" customHeight="1">
      <c r="A9" s="419"/>
      <c r="B9" s="420"/>
      <c r="C9" s="421" t="s">
        <v>807</v>
      </c>
      <c r="D9" s="422">
        <v>924018</v>
      </c>
      <c r="E9" s="423">
        <v>887109</v>
      </c>
      <c r="F9" s="424">
        <f>SUM(D9:E9)</f>
        <v>1811127</v>
      </c>
      <c r="G9" s="1030" t="s">
        <v>880</v>
      </c>
      <c r="H9" s="1031"/>
      <c r="I9" s="1031"/>
      <c r="J9" s="408">
        <v>10499</v>
      </c>
      <c r="K9" s="1052"/>
      <c r="L9" s="1033" t="s">
        <v>878</v>
      </c>
      <c r="M9" s="1034"/>
      <c r="N9" s="1034"/>
      <c r="O9" s="1034"/>
      <c r="P9" s="408">
        <v>12792</v>
      </c>
      <c r="Q9" s="1098"/>
      <c r="R9" s="1033" t="s">
        <v>879</v>
      </c>
      <c r="S9" s="1034"/>
      <c r="T9" s="1034"/>
      <c r="U9" s="1034"/>
      <c r="V9" s="408">
        <v>97395</v>
      </c>
      <c r="W9" s="1100"/>
      <c r="X9" s="425"/>
      <c r="Y9" s="426"/>
      <c r="Z9" s="416"/>
      <c r="AA9" s="427"/>
      <c r="AB9" s="428"/>
      <c r="AC9" s="429"/>
    </row>
    <row r="10" spans="1:29" s="255" customFormat="1" ht="28.5" customHeight="1">
      <c r="A10" s="430"/>
      <c r="B10" s="431"/>
      <c r="C10" s="432"/>
      <c r="D10" s="432"/>
      <c r="E10" s="401"/>
      <c r="F10" s="404"/>
      <c r="G10" s="1031" t="s">
        <v>992</v>
      </c>
      <c r="H10" s="1031"/>
      <c r="I10" s="1031"/>
      <c r="J10" s="408">
        <v>14804</v>
      </c>
      <c r="K10" s="1052"/>
      <c r="L10" s="1032" t="s">
        <v>881</v>
      </c>
      <c r="M10" s="1031"/>
      <c r="N10" s="1031"/>
      <c r="O10" s="1031"/>
      <c r="P10" s="408">
        <v>18000</v>
      </c>
      <c r="Q10" s="1098"/>
      <c r="R10" s="1033" t="s">
        <v>882</v>
      </c>
      <c r="S10" s="1034"/>
      <c r="T10" s="1034"/>
      <c r="U10" s="1034"/>
      <c r="V10" s="408">
        <v>4943</v>
      </c>
      <c r="W10" s="1100"/>
      <c r="X10" s="425"/>
      <c r="Y10" s="426"/>
      <c r="Z10" s="416"/>
      <c r="AA10" s="427"/>
      <c r="AB10" s="428"/>
      <c r="AC10" s="429"/>
    </row>
    <row r="11" spans="1:29" s="255" customFormat="1" ht="24.75" customHeight="1">
      <c r="A11" s="430"/>
      <c r="B11" s="431"/>
      <c r="C11" s="432"/>
      <c r="D11" s="432"/>
      <c r="E11" s="401"/>
      <c r="F11" s="404"/>
      <c r="G11" s="1030" t="s">
        <v>515</v>
      </c>
      <c r="H11" s="1031"/>
      <c r="I11" s="1031"/>
      <c r="J11" s="408">
        <v>25652</v>
      </c>
      <c r="K11" s="1052"/>
      <c r="L11" s="1032" t="s">
        <v>999</v>
      </c>
      <c r="M11" s="1031"/>
      <c r="N11" s="1031"/>
      <c r="O11" s="1031"/>
      <c r="P11" s="408">
        <v>303</v>
      </c>
      <c r="Q11" s="1098"/>
      <c r="R11" s="1032" t="s">
        <v>883</v>
      </c>
      <c r="S11" s="1031"/>
      <c r="T11" s="1031"/>
      <c r="U11" s="1031"/>
      <c r="V11" s="408">
        <f>168900+1970</f>
        <v>170870</v>
      </c>
      <c r="W11" s="1100"/>
      <c r="X11" s="425"/>
      <c r="Y11" s="426"/>
      <c r="Z11" s="416"/>
      <c r="AA11" s="427"/>
      <c r="AB11" s="428"/>
      <c r="AC11" s="429"/>
    </row>
    <row r="12" spans="1:29" s="255" customFormat="1" ht="25.5" customHeight="1">
      <c r="A12" s="430"/>
      <c r="B12" s="431"/>
      <c r="C12" s="432"/>
      <c r="D12" s="432"/>
      <c r="E12" s="401"/>
      <c r="F12" s="434"/>
      <c r="G12" s="1034" t="s">
        <v>991</v>
      </c>
      <c r="H12" s="1034"/>
      <c r="I12" s="1034"/>
      <c r="J12" s="408">
        <v>70079</v>
      </c>
      <c r="K12" s="1052"/>
      <c r="L12" s="1032" t="s">
        <v>1000</v>
      </c>
      <c r="M12" s="1031"/>
      <c r="N12" s="1031"/>
      <c r="O12" s="1031"/>
      <c r="P12" s="408">
        <v>24353</v>
      </c>
      <c r="Q12" s="1098"/>
      <c r="R12" s="1032" t="s">
        <v>235</v>
      </c>
      <c r="S12" s="1031"/>
      <c r="T12" s="1031"/>
      <c r="U12" s="1031"/>
      <c r="V12" s="408">
        <f>5550+500</f>
        <v>6050</v>
      </c>
      <c r="W12" s="1100"/>
      <c r="X12" s="435">
        <f>SUM(W7,Q7,K7)</f>
        <v>968597</v>
      </c>
      <c r="Y12" s="436">
        <f>SUM(Q23,W23,K23)</f>
        <v>888834</v>
      </c>
      <c r="Z12" s="437">
        <f>SUM(Y12,X12)</f>
        <v>1857431</v>
      </c>
      <c r="AA12" s="435">
        <f>X12-D9</f>
        <v>44579</v>
      </c>
      <c r="AB12" s="436">
        <f>Y12-E9</f>
        <v>1725</v>
      </c>
      <c r="AC12" s="438">
        <f>SUM(AA12:AB12)</f>
        <v>46304</v>
      </c>
    </row>
    <row r="13" spans="1:29" s="253" customFormat="1" ht="27.75" customHeight="1">
      <c r="A13" s="439"/>
      <c r="B13" s="440"/>
      <c r="C13" s="441"/>
      <c r="D13" s="441"/>
      <c r="E13" s="442"/>
      <c r="F13" s="443"/>
      <c r="G13" s="1030" t="s">
        <v>1141</v>
      </c>
      <c r="H13" s="1031"/>
      <c r="I13" s="1031"/>
      <c r="J13" s="408">
        <v>1589</v>
      </c>
      <c r="K13" s="1052"/>
      <c r="L13" s="1032" t="s">
        <v>1001</v>
      </c>
      <c r="M13" s="1031"/>
      <c r="N13" s="1031"/>
      <c r="O13" s="1031"/>
      <c r="P13" s="408">
        <v>24756</v>
      </c>
      <c r="Q13" s="1098"/>
      <c r="R13" s="1033" t="s">
        <v>884</v>
      </c>
      <c r="S13" s="1034"/>
      <c r="T13" s="1034"/>
      <c r="U13" s="1034"/>
      <c r="V13" s="444">
        <v>512</v>
      </c>
      <c r="W13" s="1100"/>
      <c r="X13" s="425"/>
      <c r="Y13" s="426"/>
      <c r="Z13" s="416"/>
      <c r="AA13" s="427"/>
      <c r="AB13" s="428"/>
      <c r="AC13" s="429"/>
    </row>
    <row r="14" spans="1:29" s="253" customFormat="1" ht="16.5" customHeight="1">
      <c r="A14" s="439"/>
      <c r="B14" s="440"/>
      <c r="C14" s="441"/>
      <c r="D14" s="441"/>
      <c r="E14" s="442"/>
      <c r="F14" s="443"/>
      <c r="G14" s="1030" t="s">
        <v>1142</v>
      </c>
      <c r="H14" s="1031"/>
      <c r="I14" s="1031"/>
      <c r="J14" s="408">
        <v>226</v>
      </c>
      <c r="K14" s="1052"/>
      <c r="L14" s="1032" t="s">
        <v>241</v>
      </c>
      <c r="M14" s="1031"/>
      <c r="N14" s="1031"/>
      <c r="O14" s="1031"/>
      <c r="P14" s="408"/>
      <c r="Q14" s="1098"/>
      <c r="R14" s="1033" t="s">
        <v>896</v>
      </c>
      <c r="S14" s="1034"/>
      <c r="T14" s="1034"/>
      <c r="U14" s="1034"/>
      <c r="V14" s="444">
        <v>447</v>
      </c>
      <c r="W14" s="1100"/>
      <c r="X14" s="425"/>
      <c r="Y14" s="426"/>
      <c r="Z14" s="416"/>
      <c r="AA14" s="427"/>
      <c r="AB14" s="428"/>
      <c r="AC14" s="429"/>
    </row>
    <row r="15" spans="1:29" s="253" customFormat="1" ht="12.75" customHeight="1">
      <c r="A15" s="439"/>
      <c r="B15" s="440"/>
      <c r="C15" s="441"/>
      <c r="D15" s="441"/>
      <c r="E15" s="442"/>
      <c r="F15" s="443"/>
      <c r="G15" s="1030" t="s">
        <v>1143</v>
      </c>
      <c r="H15" s="1031"/>
      <c r="I15" s="1031"/>
      <c r="J15" s="408">
        <v>2051</v>
      </c>
      <c r="K15" s="1052"/>
      <c r="L15" s="1033" t="s">
        <v>993</v>
      </c>
      <c r="M15" s="1034"/>
      <c r="N15" s="1034"/>
      <c r="O15" s="1034"/>
      <c r="P15" s="445">
        <v>842</v>
      </c>
      <c r="Q15" s="1098"/>
      <c r="R15" s="1033" t="s">
        <v>212</v>
      </c>
      <c r="S15" s="1034"/>
      <c r="T15" s="1034"/>
      <c r="U15" s="1034"/>
      <c r="V15" s="444">
        <v>127</v>
      </c>
      <c r="W15" s="1100"/>
      <c r="X15" s="425"/>
      <c r="Y15" s="426"/>
      <c r="Z15" s="416"/>
      <c r="AA15" s="427"/>
      <c r="AB15" s="428"/>
      <c r="AC15" s="429"/>
    </row>
    <row r="16" spans="1:29" s="253" customFormat="1" ht="12.75" customHeight="1">
      <c r="A16" s="439"/>
      <c r="B16" s="440"/>
      <c r="C16" s="441"/>
      <c r="D16" s="441"/>
      <c r="E16" s="442"/>
      <c r="F16" s="443"/>
      <c r="G16" s="1030" t="s">
        <v>1144</v>
      </c>
      <c r="H16" s="1031"/>
      <c r="I16" s="1031"/>
      <c r="J16" s="408">
        <v>416</v>
      </c>
      <c r="K16" s="1052"/>
      <c r="L16" s="1033" t="s">
        <v>994</v>
      </c>
      <c r="M16" s="1034"/>
      <c r="N16" s="1034"/>
      <c r="O16" s="1034"/>
      <c r="P16" s="467">
        <v>14668</v>
      </c>
      <c r="Q16" s="1098"/>
      <c r="R16" s="1033" t="s">
        <v>1003</v>
      </c>
      <c r="S16" s="1034"/>
      <c r="T16" s="1034"/>
      <c r="U16" s="1034"/>
      <c r="V16" s="444">
        <v>364</v>
      </c>
      <c r="W16" s="1100"/>
      <c r="X16" s="425"/>
      <c r="Y16" s="426"/>
      <c r="Z16" s="416"/>
      <c r="AA16" s="427"/>
      <c r="AB16" s="428"/>
      <c r="AC16" s="429"/>
    </row>
    <row r="17" spans="1:29" s="253" customFormat="1" ht="12.75" customHeight="1">
      <c r="A17" s="439"/>
      <c r="B17" s="440"/>
      <c r="C17" s="441"/>
      <c r="D17" s="441"/>
      <c r="E17" s="442"/>
      <c r="F17" s="443"/>
      <c r="G17" s="1078"/>
      <c r="H17" s="1079"/>
      <c r="I17" s="1079"/>
      <c r="J17" s="593"/>
      <c r="K17" s="1052"/>
      <c r="L17" s="1033" t="s">
        <v>998</v>
      </c>
      <c r="M17" s="1034"/>
      <c r="N17" s="1034"/>
      <c r="O17" s="1034"/>
      <c r="P17" s="467">
        <f>9130-5429</f>
        <v>3701</v>
      </c>
      <c r="Q17" s="1098"/>
      <c r="R17" s="1033" t="s">
        <v>886</v>
      </c>
      <c r="S17" s="1034"/>
      <c r="T17" s="1034"/>
      <c r="U17" s="1034"/>
      <c r="V17" s="444">
        <v>270</v>
      </c>
      <c r="W17" s="1100"/>
      <c r="X17" s="425"/>
      <c r="Y17" s="426"/>
      <c r="Z17" s="416"/>
      <c r="AA17" s="427"/>
      <c r="AB17" s="428"/>
      <c r="AC17" s="429"/>
    </row>
    <row r="18" spans="1:29" s="253" customFormat="1" ht="26.25" customHeight="1">
      <c r="A18" s="439"/>
      <c r="B18" s="440"/>
      <c r="C18" s="441"/>
      <c r="D18" s="441"/>
      <c r="E18" s="442"/>
      <c r="F18" s="443"/>
      <c r="G18" s="595"/>
      <c r="H18" s="594"/>
      <c r="I18" s="594"/>
      <c r="J18" s="593"/>
      <c r="K18" s="1052"/>
      <c r="L18" s="1032" t="s">
        <v>1081</v>
      </c>
      <c r="M18" s="1031"/>
      <c r="N18" s="1031"/>
      <c r="O18" s="1031"/>
      <c r="P18" s="467">
        <v>7000</v>
      </c>
      <c r="Q18" s="1098"/>
      <c r="R18" s="1032" t="s">
        <v>236</v>
      </c>
      <c r="S18" s="1031"/>
      <c r="T18" s="1031"/>
      <c r="U18" s="1031"/>
      <c r="V18" s="445">
        <v>2964</v>
      </c>
      <c r="W18" s="1100"/>
      <c r="X18" s="425"/>
      <c r="Y18" s="426"/>
      <c r="Z18" s="416"/>
      <c r="AA18" s="427"/>
      <c r="AB18" s="428"/>
      <c r="AC18" s="429"/>
    </row>
    <row r="19" spans="1:29" s="253" customFormat="1" ht="14.25" customHeight="1">
      <c r="A19" s="439"/>
      <c r="B19" s="440"/>
      <c r="C19" s="441"/>
      <c r="D19" s="441"/>
      <c r="E19" s="442"/>
      <c r="F19" s="443"/>
      <c r="G19" s="595"/>
      <c r="H19" s="594"/>
      <c r="I19" s="594"/>
      <c r="J19" s="593"/>
      <c r="K19" s="1052"/>
      <c r="L19" s="1039" t="s">
        <v>1082</v>
      </c>
      <c r="M19" s="1040"/>
      <c r="N19" s="1040"/>
      <c r="O19" s="1040"/>
      <c r="P19" s="1101">
        <f>96734-96734</f>
        <v>0</v>
      </c>
      <c r="Q19" s="1098"/>
      <c r="R19" s="1032" t="s">
        <v>1145</v>
      </c>
      <c r="S19" s="1031"/>
      <c r="T19" s="1031"/>
      <c r="U19" s="1031"/>
      <c r="V19" s="445">
        <v>410</v>
      </c>
      <c r="W19" s="1100"/>
      <c r="X19" s="425"/>
      <c r="Y19" s="426"/>
      <c r="Z19" s="416"/>
      <c r="AA19" s="427"/>
      <c r="AB19" s="428"/>
      <c r="AC19" s="429"/>
    </row>
    <row r="20" spans="1:29" s="253" customFormat="1" ht="14.25" customHeight="1">
      <c r="A20" s="439"/>
      <c r="B20" s="440"/>
      <c r="C20" s="441"/>
      <c r="D20" s="441"/>
      <c r="E20" s="442"/>
      <c r="F20" s="443"/>
      <c r="G20" s="595"/>
      <c r="H20" s="594"/>
      <c r="I20" s="594"/>
      <c r="J20" s="593"/>
      <c r="K20" s="1052"/>
      <c r="L20" s="1039"/>
      <c r="M20" s="1040"/>
      <c r="N20" s="1040"/>
      <c r="O20" s="1040"/>
      <c r="P20" s="1101"/>
      <c r="Q20" s="1098"/>
      <c r="R20" s="406" t="s">
        <v>1146</v>
      </c>
      <c r="S20" s="407"/>
      <c r="T20" s="407"/>
      <c r="U20" s="407"/>
      <c r="V20" s="445">
        <f>284628+4762</f>
        <v>289390</v>
      </c>
      <c r="W20" s="1100"/>
      <c r="X20" s="425"/>
      <c r="Y20" s="426"/>
      <c r="Z20" s="416"/>
      <c r="AA20" s="427"/>
      <c r="AB20" s="428"/>
      <c r="AC20" s="429"/>
    </row>
    <row r="21" spans="1:29" s="253" customFormat="1" ht="12.75" customHeight="1">
      <c r="A21" s="439"/>
      <c r="B21" s="440"/>
      <c r="C21" s="441"/>
      <c r="D21" s="441"/>
      <c r="E21" s="442"/>
      <c r="F21" s="443"/>
      <c r="G21" s="595"/>
      <c r="H21" s="594"/>
      <c r="I21" s="594"/>
      <c r="J21" s="593"/>
      <c r="K21" s="1052"/>
      <c r="Q21" s="1098"/>
      <c r="R21" s="406" t="s">
        <v>1147</v>
      </c>
      <c r="S21" s="407"/>
      <c r="T21" s="407"/>
      <c r="U21" s="407"/>
      <c r="V21" s="445">
        <v>12783</v>
      </c>
      <c r="W21" s="1100"/>
      <c r="X21" s="425"/>
      <c r="Y21" s="426"/>
      <c r="Z21" s="416"/>
      <c r="AA21" s="427"/>
      <c r="AB21" s="428"/>
      <c r="AC21" s="429"/>
    </row>
    <row r="22" spans="1:29" s="253" customFormat="1" ht="12.75" customHeight="1" thickBot="1">
      <c r="A22" s="439"/>
      <c r="B22" s="440"/>
      <c r="C22" s="441"/>
      <c r="D22" s="441"/>
      <c r="E22" s="442"/>
      <c r="F22" s="443"/>
      <c r="G22" s="595"/>
      <c r="H22" s="594"/>
      <c r="I22" s="594"/>
      <c r="J22" s="593"/>
      <c r="K22" s="1052"/>
      <c r="Q22" s="1098"/>
      <c r="R22" s="1032" t="s">
        <v>1148</v>
      </c>
      <c r="S22" s="1031"/>
      <c r="T22" s="1031"/>
      <c r="U22" s="1031"/>
      <c r="V22" s="445">
        <f>3569+53177</f>
        <v>56746</v>
      </c>
      <c r="W22" s="1100"/>
      <c r="X22" s="425"/>
      <c r="Y22" s="426"/>
      <c r="Z22" s="416"/>
      <c r="AA22" s="427"/>
      <c r="AB22" s="428"/>
      <c r="AC22" s="429"/>
    </row>
    <row r="23" spans="1:29" s="253" customFormat="1" ht="12.75" customHeight="1">
      <c r="A23" s="439"/>
      <c r="B23" s="440"/>
      <c r="C23" s="441"/>
      <c r="D23" s="441"/>
      <c r="E23" s="446" t="s">
        <v>213</v>
      </c>
      <c r="F23" s="443"/>
      <c r="G23" s="1102"/>
      <c r="H23" s="1103"/>
      <c r="I23" s="1103"/>
      <c r="J23" s="596"/>
      <c r="K23" s="1051">
        <f>SUM(J23:J28)</f>
        <v>0</v>
      </c>
      <c r="L23" s="1037" t="s">
        <v>995</v>
      </c>
      <c r="M23" s="1038"/>
      <c r="N23" s="1038"/>
      <c r="O23" s="1038"/>
      <c r="P23" s="447">
        <v>40540</v>
      </c>
      <c r="Q23" s="1051">
        <f>SUM(P23:P28)</f>
        <v>776583</v>
      </c>
      <c r="R23" s="1037" t="s">
        <v>214</v>
      </c>
      <c r="S23" s="1038"/>
      <c r="T23" s="1038"/>
      <c r="U23" s="1038"/>
      <c r="V23" s="448">
        <f>16000+10000+17272</f>
        <v>43272</v>
      </c>
      <c r="W23" s="1099">
        <f>SUM(V23:V28)</f>
        <v>112251</v>
      </c>
      <c r="X23" s="425"/>
      <c r="Y23" s="426"/>
      <c r="Z23" s="416"/>
      <c r="AA23" s="427"/>
      <c r="AB23" s="428"/>
      <c r="AC23" s="429"/>
    </row>
    <row r="24" spans="1:29" s="253" customFormat="1" ht="13.5" customHeight="1" thickBot="1">
      <c r="A24" s="439"/>
      <c r="B24" s="440"/>
      <c r="C24" s="441"/>
      <c r="D24" s="441"/>
      <c r="E24" s="442"/>
      <c r="F24" s="443"/>
      <c r="G24" s="1078"/>
      <c r="H24" s="1079"/>
      <c r="I24" s="1079"/>
      <c r="J24" s="597"/>
      <c r="K24" s="1052"/>
      <c r="L24" s="1033" t="s">
        <v>529</v>
      </c>
      <c r="M24" s="1034"/>
      <c r="N24" s="1034"/>
      <c r="O24" s="1034"/>
      <c r="P24" s="467">
        <v>172401</v>
      </c>
      <c r="Q24" s="1104"/>
      <c r="R24" s="1033" t="s">
        <v>507</v>
      </c>
      <c r="S24" s="1034"/>
      <c r="T24" s="1034"/>
      <c r="U24" s="1034"/>
      <c r="V24" s="445">
        <v>10</v>
      </c>
      <c r="W24" s="1105"/>
      <c r="X24" s="425"/>
      <c r="Y24" s="426"/>
      <c r="Z24" s="416"/>
      <c r="AA24" s="427"/>
      <c r="AB24" s="428"/>
      <c r="AC24" s="429"/>
    </row>
    <row r="25" spans="1:223" s="257" customFormat="1" ht="15.75" customHeight="1">
      <c r="A25" s="439"/>
      <c r="B25" s="440"/>
      <c r="C25" s="441"/>
      <c r="D25" s="441"/>
      <c r="E25" s="442"/>
      <c r="F25" s="443"/>
      <c r="G25" s="598"/>
      <c r="H25" s="599"/>
      <c r="I25" s="599"/>
      <c r="J25" s="599"/>
      <c r="K25" s="1052"/>
      <c r="L25" s="1033" t="s">
        <v>530</v>
      </c>
      <c r="M25" s="1034"/>
      <c r="N25" s="1034"/>
      <c r="O25" s="1034"/>
      <c r="P25" s="467">
        <v>560125</v>
      </c>
      <c r="Q25" s="1104"/>
      <c r="R25" s="1032" t="s">
        <v>1149</v>
      </c>
      <c r="S25" s="1031"/>
      <c r="T25" s="1031"/>
      <c r="U25" s="1031"/>
      <c r="V25" s="445">
        <v>68969</v>
      </c>
      <c r="W25" s="1105"/>
      <c r="X25" s="425"/>
      <c r="Y25" s="426"/>
      <c r="Z25" s="416"/>
      <c r="AA25" s="427"/>
      <c r="AB25" s="428"/>
      <c r="AC25" s="429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</row>
    <row r="26" spans="1:223" s="258" customFormat="1" ht="24.75" customHeight="1" thickBot="1">
      <c r="A26" s="439"/>
      <c r="B26" s="440"/>
      <c r="C26" s="441"/>
      <c r="D26" s="441"/>
      <c r="E26" s="442"/>
      <c r="F26" s="443"/>
      <c r="G26" s="449"/>
      <c r="H26" s="442"/>
      <c r="I26" s="442"/>
      <c r="J26" s="442"/>
      <c r="K26" s="1052"/>
      <c r="L26" s="1032" t="s">
        <v>1083</v>
      </c>
      <c r="M26" s="1031"/>
      <c r="N26" s="1031"/>
      <c r="O26" s="1031"/>
      <c r="P26" s="1077">
        <f>8223-8223</f>
        <v>0</v>
      </c>
      <c r="Q26" s="1104"/>
      <c r="R26" s="1106"/>
      <c r="S26" s="1079"/>
      <c r="T26" s="1079"/>
      <c r="U26" s="1079"/>
      <c r="V26" s="600"/>
      <c r="W26" s="1105"/>
      <c r="X26" s="425"/>
      <c r="Y26" s="426"/>
      <c r="Z26" s="416"/>
      <c r="AA26" s="427"/>
      <c r="AB26" s="428"/>
      <c r="AC26" s="429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</row>
    <row r="27" spans="1:29" ht="19.5" customHeight="1" thickTop="1">
      <c r="A27" s="439"/>
      <c r="B27" s="440"/>
      <c r="C27" s="441"/>
      <c r="D27" s="441"/>
      <c r="E27" s="442"/>
      <c r="F27" s="443"/>
      <c r="G27" s="449"/>
      <c r="H27" s="450"/>
      <c r="I27" s="450"/>
      <c r="J27" s="442"/>
      <c r="K27" s="1052"/>
      <c r="L27" s="1032"/>
      <c r="M27" s="1031"/>
      <c r="N27" s="1031"/>
      <c r="O27" s="1031"/>
      <c r="P27" s="1077"/>
      <c r="Q27" s="1104"/>
      <c r="R27" s="613"/>
      <c r="S27" s="253"/>
      <c r="T27" s="253"/>
      <c r="U27" s="253"/>
      <c r="V27" s="274"/>
      <c r="W27" s="1105"/>
      <c r="X27" s="425"/>
      <c r="Y27" s="426"/>
      <c r="Z27" s="416"/>
      <c r="AA27" s="427"/>
      <c r="AB27" s="428"/>
      <c r="AC27" s="429"/>
    </row>
    <row r="28" spans="1:29" ht="24.75" customHeight="1" thickBot="1">
      <c r="A28" s="439"/>
      <c r="B28" s="440"/>
      <c r="C28" s="441"/>
      <c r="D28" s="441"/>
      <c r="E28" s="442"/>
      <c r="F28" s="443"/>
      <c r="G28" s="449"/>
      <c r="H28" s="450"/>
      <c r="I28" s="450"/>
      <c r="J28" s="442"/>
      <c r="K28" s="1052"/>
      <c r="L28" s="1113" t="s">
        <v>1095</v>
      </c>
      <c r="M28" s="1114"/>
      <c r="N28" s="1114"/>
      <c r="O28" s="1114"/>
      <c r="P28" s="442">
        <v>3517</v>
      </c>
      <c r="Q28" s="1052"/>
      <c r="R28" s="609"/>
      <c r="S28" s="594"/>
      <c r="T28" s="594"/>
      <c r="U28" s="594"/>
      <c r="V28" s="611"/>
      <c r="W28" s="1100"/>
      <c r="X28" s="425"/>
      <c r="Y28" s="426"/>
      <c r="Z28" s="416"/>
      <c r="AA28" s="427"/>
      <c r="AB28" s="428"/>
      <c r="AC28" s="429"/>
    </row>
    <row r="29" spans="1:29" ht="22.5" customHeight="1" thickBot="1" thickTop="1">
      <c r="A29" s="451"/>
      <c r="B29" s="1107" t="s">
        <v>215</v>
      </c>
      <c r="C29" s="1108"/>
      <c r="D29" s="452">
        <v>37794</v>
      </c>
      <c r="E29" s="453">
        <v>161</v>
      </c>
      <c r="F29" s="454">
        <f>SUM(D29:E29)</f>
        <v>37955</v>
      </c>
      <c r="G29" s="1109"/>
      <c r="H29" s="1110"/>
      <c r="I29" s="1110"/>
      <c r="J29" s="608"/>
      <c r="K29" s="455">
        <f>SUM(J29)</f>
        <v>0</v>
      </c>
      <c r="L29" s="1035" t="s">
        <v>888</v>
      </c>
      <c r="M29" s="1036"/>
      <c r="N29" s="1036"/>
      <c r="O29" s="1036"/>
      <c r="P29" s="456">
        <v>29532</v>
      </c>
      <c r="Q29" s="455">
        <f>SUM(P29)</f>
        <v>29532</v>
      </c>
      <c r="R29" s="1035"/>
      <c r="S29" s="1036"/>
      <c r="T29" s="1036"/>
      <c r="U29" s="1036"/>
      <c r="V29" s="458"/>
      <c r="W29" s="459">
        <f>SUM(V29)</f>
        <v>0</v>
      </c>
      <c r="X29" s="460">
        <f>SUM(W29,Q29,K29)</f>
        <v>29532</v>
      </c>
      <c r="Y29" s="461">
        <v>0</v>
      </c>
      <c r="Z29" s="462">
        <f>SUM(X29:Y29)</f>
        <v>29532</v>
      </c>
      <c r="AA29" s="460">
        <f>X29-D29</f>
        <v>-8262</v>
      </c>
      <c r="AB29" s="461">
        <f>Y29-E29</f>
        <v>-161</v>
      </c>
      <c r="AC29" s="463">
        <f>SUM(AA29:AB29)</f>
        <v>-8423</v>
      </c>
    </row>
    <row r="30" spans="1:29" ht="27" customHeight="1" thickTop="1">
      <c r="A30" s="464"/>
      <c r="B30" s="442"/>
      <c r="C30" s="465"/>
      <c r="D30" s="466"/>
      <c r="E30" s="466"/>
      <c r="F30" s="443"/>
      <c r="G30" s="595"/>
      <c r="H30" s="594"/>
      <c r="I30" s="594"/>
      <c r="J30" s="684"/>
      <c r="K30" s="1111">
        <f>SUM(J30:J31)</f>
        <v>0</v>
      </c>
      <c r="L30" s="1033" t="s">
        <v>239</v>
      </c>
      <c r="M30" s="1034"/>
      <c r="N30" s="1034"/>
      <c r="O30" s="1034"/>
      <c r="P30" s="408">
        <v>12456</v>
      </c>
      <c r="Q30" s="1111">
        <f>SUM(P30:P31)</f>
        <v>16816</v>
      </c>
      <c r="R30" s="1032" t="s">
        <v>1004</v>
      </c>
      <c r="S30" s="1031"/>
      <c r="T30" s="1031"/>
      <c r="U30" s="1031"/>
      <c r="V30" s="445">
        <v>7937</v>
      </c>
      <c r="W30" s="1117">
        <f>SUM(V30:V31)</f>
        <v>7937</v>
      </c>
      <c r="X30" s="468"/>
      <c r="Y30" s="469"/>
      <c r="Z30" s="620"/>
      <c r="AA30" s="468"/>
      <c r="AB30" s="469"/>
      <c r="AC30" s="470"/>
    </row>
    <row r="31" spans="1:29" ht="27" customHeight="1" thickBot="1">
      <c r="A31" s="464"/>
      <c r="B31" s="442"/>
      <c r="C31" s="465"/>
      <c r="D31" s="466"/>
      <c r="E31" s="442"/>
      <c r="F31" s="443"/>
      <c r="G31" s="433"/>
      <c r="H31" s="407"/>
      <c r="I31" s="407"/>
      <c r="J31" s="467"/>
      <c r="K31" s="1112"/>
      <c r="L31" s="1033" t="s">
        <v>531</v>
      </c>
      <c r="M31" s="1034"/>
      <c r="N31" s="1034"/>
      <c r="O31" s="1034"/>
      <c r="P31" s="408">
        <f>2932+1428</f>
        <v>4360</v>
      </c>
      <c r="Q31" s="1112"/>
      <c r="R31" s="1115"/>
      <c r="S31" s="1116"/>
      <c r="T31" s="1116"/>
      <c r="U31" s="1116"/>
      <c r="V31" s="610"/>
      <c r="W31" s="1118"/>
      <c r="X31" s="471">
        <f>SUM(W30,Q30,K30)</f>
        <v>24753</v>
      </c>
      <c r="Y31" s="436">
        <f>SUM(Q32,W32,K32)</f>
        <v>474026</v>
      </c>
      <c r="Z31" s="437">
        <f>SUM(X31:Y31)</f>
        <v>498779</v>
      </c>
      <c r="AA31" s="435">
        <f>X31-D32</f>
        <v>-38141</v>
      </c>
      <c r="AB31" s="436">
        <f>Y31-E32</f>
        <v>22934</v>
      </c>
      <c r="AC31" s="438">
        <f>SUM(AA31:AB31)</f>
        <v>-15207</v>
      </c>
    </row>
    <row r="32" spans="1:29" ht="27" customHeight="1">
      <c r="A32" s="1081" t="s">
        <v>808</v>
      </c>
      <c r="B32" s="1082"/>
      <c r="C32" s="1083"/>
      <c r="D32" s="473">
        <v>62894</v>
      </c>
      <c r="E32" s="423">
        <v>451092</v>
      </c>
      <c r="F32" s="424">
        <f>SUM(D32:E32)</f>
        <v>513986</v>
      </c>
      <c r="G32" s="601"/>
      <c r="H32" s="602"/>
      <c r="I32" s="602"/>
      <c r="J32" s="603"/>
      <c r="K32" s="1051">
        <f>SUM(J32:J35)</f>
        <v>0</v>
      </c>
      <c r="L32" s="1037" t="s">
        <v>996</v>
      </c>
      <c r="M32" s="1038"/>
      <c r="N32" s="1038"/>
      <c r="O32" s="1038"/>
      <c r="P32" s="447">
        <v>65850</v>
      </c>
      <c r="Q32" s="1051">
        <f>SUM(P32:P35)</f>
        <v>474026</v>
      </c>
      <c r="R32" s="1033"/>
      <c r="S32" s="1034"/>
      <c r="T32" s="1034"/>
      <c r="U32" s="1034"/>
      <c r="V32" s="445"/>
      <c r="W32" s="1051">
        <f>SUM(V32:V35)</f>
        <v>0</v>
      </c>
      <c r="X32" s="474"/>
      <c r="Y32" s="472"/>
      <c r="Z32" s="437"/>
      <c r="AA32" s="435"/>
      <c r="AB32" s="436"/>
      <c r="AC32" s="429"/>
    </row>
    <row r="33" spans="1:29" ht="16.5" customHeight="1">
      <c r="A33" s="590"/>
      <c r="B33" s="420"/>
      <c r="C33" s="421"/>
      <c r="D33" s="473"/>
      <c r="E33" s="423"/>
      <c r="F33" s="424"/>
      <c r="G33" s="595"/>
      <c r="H33" s="594"/>
      <c r="I33" s="594"/>
      <c r="J33" s="607"/>
      <c r="K33" s="1052"/>
      <c r="L33" s="1032" t="s">
        <v>237</v>
      </c>
      <c r="M33" s="1031"/>
      <c r="N33" s="1031"/>
      <c r="O33" s="1031"/>
      <c r="P33" s="467">
        <v>373150</v>
      </c>
      <c r="Q33" s="1052"/>
      <c r="R33" s="1032"/>
      <c r="S33" s="1031"/>
      <c r="T33" s="1031"/>
      <c r="U33" s="1031"/>
      <c r="V33" s="444"/>
      <c r="W33" s="1052"/>
      <c r="X33" s="474"/>
      <c r="Y33" s="472"/>
      <c r="Z33" s="437"/>
      <c r="AA33" s="435"/>
      <c r="AB33" s="436"/>
      <c r="AC33" s="429"/>
    </row>
    <row r="34" spans="1:29" ht="25.5" customHeight="1">
      <c r="A34" s="590"/>
      <c r="B34" s="420"/>
      <c r="C34" s="421"/>
      <c r="D34" s="473"/>
      <c r="E34" s="423"/>
      <c r="F34" s="424"/>
      <c r="G34" s="595"/>
      <c r="H34" s="594"/>
      <c r="I34" s="594"/>
      <c r="J34" s="607"/>
      <c r="K34" s="1052"/>
      <c r="L34" s="1032" t="s">
        <v>243</v>
      </c>
      <c r="M34" s="1031"/>
      <c r="N34" s="1031"/>
      <c r="O34" s="1031"/>
      <c r="P34" s="467">
        <v>11195</v>
      </c>
      <c r="Q34" s="1052"/>
      <c r="R34" s="733"/>
      <c r="S34" s="733"/>
      <c r="T34" s="733"/>
      <c r="U34" s="733"/>
      <c r="V34" s="444"/>
      <c r="W34" s="1052"/>
      <c r="X34" s="474"/>
      <c r="Y34" s="472"/>
      <c r="Z34" s="437"/>
      <c r="AA34" s="435"/>
      <c r="AB34" s="436"/>
      <c r="AC34" s="429"/>
    </row>
    <row r="35" spans="1:29" ht="27.75" customHeight="1" thickBot="1">
      <c r="A35" s="475"/>
      <c r="B35" s="476"/>
      <c r="C35" s="477"/>
      <c r="D35" s="478"/>
      <c r="E35" s="479"/>
      <c r="F35" s="480"/>
      <c r="G35" s="655"/>
      <c r="H35" s="654"/>
      <c r="I35" s="654"/>
      <c r="J35" s="610"/>
      <c r="K35" s="1119"/>
      <c r="L35" s="1033" t="s">
        <v>1002</v>
      </c>
      <c r="M35" s="1034"/>
      <c r="N35" s="1034"/>
      <c r="O35" s="1034"/>
      <c r="P35" s="467">
        <f>14291+9540</f>
        <v>23831</v>
      </c>
      <c r="Q35" s="1119"/>
      <c r="R35" s="442"/>
      <c r="S35" s="442"/>
      <c r="T35" s="442"/>
      <c r="U35" s="442"/>
      <c r="V35" s="442"/>
      <c r="W35" s="1119"/>
      <c r="X35" s="474"/>
      <c r="Y35" s="472"/>
      <c r="Z35" s="416"/>
      <c r="AA35" s="427"/>
      <c r="AB35" s="428"/>
      <c r="AC35" s="481"/>
    </row>
    <row r="36" spans="1:223" s="259" customFormat="1" ht="18.75" customHeight="1" thickBot="1" thickTop="1">
      <c r="A36" s="1086" t="s">
        <v>216</v>
      </c>
      <c r="B36" s="1087"/>
      <c r="C36" s="1088"/>
      <c r="D36" s="482">
        <f>SUM(D8:D35)</f>
        <v>1024706</v>
      </c>
      <c r="E36" s="483">
        <f>SUM(E7:E35)</f>
        <v>1338362</v>
      </c>
      <c r="F36" s="484">
        <f>SUM(F7:F35)</f>
        <v>2363068</v>
      </c>
      <c r="G36" s="485"/>
      <c r="H36" s="1089" t="s">
        <v>217</v>
      </c>
      <c r="I36" s="1090"/>
      <c r="J36" s="1091"/>
      <c r="K36" s="486">
        <f>SUM(K7:K35)</f>
        <v>213331</v>
      </c>
      <c r="L36" s="489"/>
      <c r="M36" s="1084" t="s">
        <v>218</v>
      </c>
      <c r="N36" s="1084"/>
      <c r="O36" s="1084"/>
      <c r="P36" s="1085"/>
      <c r="Q36" s="488">
        <f>SUM(Q7:Q35)</f>
        <v>1407697</v>
      </c>
      <c r="R36" s="489"/>
      <c r="S36" s="1084" t="s">
        <v>219</v>
      </c>
      <c r="T36" s="1084"/>
      <c r="U36" s="1084"/>
      <c r="V36" s="1085"/>
      <c r="W36" s="490">
        <f>SUM(W7:W35)</f>
        <v>764714</v>
      </c>
      <c r="X36" s="491">
        <f>SUM(X7:X35)</f>
        <v>1022882</v>
      </c>
      <c r="Y36" s="492">
        <f>SUM(Y7:Y35)</f>
        <v>1362860</v>
      </c>
      <c r="Z36" s="493">
        <f>SUM(X36:Y36)</f>
        <v>2385742</v>
      </c>
      <c r="AA36" s="494">
        <f>SUM(AA10:AA35)</f>
        <v>-1824</v>
      </c>
      <c r="AB36" s="495">
        <f>SUM(AB9:AB35)</f>
        <v>24498</v>
      </c>
      <c r="AC36" s="619">
        <f>SUM(AA36:AB36)</f>
        <v>22674</v>
      </c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</row>
    <row r="37" spans="1:29" ht="12.75" customHeight="1" thickBot="1" thickTop="1">
      <c r="A37" s="1063" t="s">
        <v>220</v>
      </c>
      <c r="B37" s="1120"/>
      <c r="C37" s="1121"/>
      <c r="D37" s="1042" t="s">
        <v>637</v>
      </c>
      <c r="E37" s="1043"/>
      <c r="F37" s="1044"/>
      <c r="G37" s="1045" t="s">
        <v>869</v>
      </c>
      <c r="H37" s="1120"/>
      <c r="I37" s="1120"/>
      <c r="J37" s="1120"/>
      <c r="K37" s="1125"/>
      <c r="L37" s="1067" t="s">
        <v>870</v>
      </c>
      <c r="M37" s="1120"/>
      <c r="N37" s="1120"/>
      <c r="O37" s="1120"/>
      <c r="P37" s="1120"/>
      <c r="Q37" s="1125"/>
      <c r="R37" s="1067" t="s">
        <v>871</v>
      </c>
      <c r="S37" s="1120"/>
      <c r="T37" s="1120"/>
      <c r="U37" s="1120"/>
      <c r="V37" s="1120"/>
      <c r="W37" s="1129"/>
      <c r="X37" s="1131" t="s">
        <v>872</v>
      </c>
      <c r="Y37" s="1057"/>
      <c r="Z37" s="1132"/>
      <c r="AA37" s="1163" t="s">
        <v>208</v>
      </c>
      <c r="AB37" s="1059"/>
      <c r="AC37" s="1060"/>
    </row>
    <row r="38" spans="1:29" ht="12.75" customHeight="1" thickBot="1">
      <c r="A38" s="1122"/>
      <c r="B38" s="1123"/>
      <c r="C38" s="1124"/>
      <c r="D38" s="391" t="s">
        <v>209</v>
      </c>
      <c r="E38" s="392" t="s">
        <v>195</v>
      </c>
      <c r="F38" s="393" t="s">
        <v>210</v>
      </c>
      <c r="G38" s="1122"/>
      <c r="H38" s="1123"/>
      <c r="I38" s="1123"/>
      <c r="J38" s="1126"/>
      <c r="K38" s="1127"/>
      <c r="L38" s="1128"/>
      <c r="M38" s="1123"/>
      <c r="N38" s="1123"/>
      <c r="O38" s="1123"/>
      <c r="P38" s="1123"/>
      <c r="Q38" s="1127"/>
      <c r="R38" s="1128"/>
      <c r="S38" s="1123"/>
      <c r="T38" s="1123"/>
      <c r="U38" s="1123"/>
      <c r="V38" s="1123"/>
      <c r="W38" s="1130"/>
      <c r="X38" s="496" t="s">
        <v>209</v>
      </c>
      <c r="Y38" s="497" t="s">
        <v>195</v>
      </c>
      <c r="Z38" s="498" t="s">
        <v>210</v>
      </c>
      <c r="AA38" s="499" t="s">
        <v>209</v>
      </c>
      <c r="AB38" s="398" t="s">
        <v>195</v>
      </c>
      <c r="AC38" s="399" t="s">
        <v>210</v>
      </c>
    </row>
    <row r="39" spans="1:29" ht="12.75" customHeight="1">
      <c r="A39" s="400"/>
      <c r="B39" s="442"/>
      <c r="C39" s="442"/>
      <c r="D39" s="466"/>
      <c r="E39" s="442"/>
      <c r="F39" s="404"/>
      <c r="G39" s="1133" t="s">
        <v>778</v>
      </c>
      <c r="H39" s="1038"/>
      <c r="I39" s="1038"/>
      <c r="J39" s="790">
        <v>123156</v>
      </c>
      <c r="K39" s="1134">
        <f>SUM(J39:J49)</f>
        <v>169124</v>
      </c>
      <c r="L39" s="1080" t="s">
        <v>242</v>
      </c>
      <c r="M39" s="1074"/>
      <c r="N39" s="1074"/>
      <c r="O39" s="1074"/>
      <c r="P39" s="1076">
        <v>12000</v>
      </c>
      <c r="Q39" s="1051">
        <f>SUM(P39:P49)</f>
        <v>12276</v>
      </c>
      <c r="R39" s="1032" t="s">
        <v>890</v>
      </c>
      <c r="S39" s="1031"/>
      <c r="T39" s="1031"/>
      <c r="U39" s="1031"/>
      <c r="V39" s="408">
        <v>50</v>
      </c>
      <c r="W39" s="1099">
        <f>SUM(V39:V49)</f>
        <v>12664</v>
      </c>
      <c r="X39" s="500"/>
      <c r="Y39" s="501"/>
      <c r="Z39" s="502"/>
      <c r="AA39" s="400"/>
      <c r="AB39" s="417"/>
      <c r="AC39" s="418"/>
    </row>
    <row r="40" spans="1:29" ht="20.25" customHeight="1">
      <c r="A40" s="449"/>
      <c r="B40" s="440"/>
      <c r="C40" s="440"/>
      <c r="D40" s="503"/>
      <c r="E40" s="442"/>
      <c r="F40" s="443"/>
      <c r="G40" s="1092" t="s">
        <v>889</v>
      </c>
      <c r="H40" s="1034"/>
      <c r="I40" s="1034"/>
      <c r="J40" s="695">
        <f>21869+1721</f>
        <v>23590</v>
      </c>
      <c r="K40" s="1052"/>
      <c r="L40" s="1032"/>
      <c r="M40" s="1031"/>
      <c r="N40" s="1031"/>
      <c r="O40" s="1031"/>
      <c r="P40" s="1077"/>
      <c r="Q40" s="1052"/>
      <c r="R40" s="1033" t="s">
        <v>891</v>
      </c>
      <c r="S40" s="1034"/>
      <c r="T40" s="1034"/>
      <c r="U40" s="1034"/>
      <c r="V40" s="408">
        <v>50</v>
      </c>
      <c r="W40" s="1100"/>
      <c r="X40" s="504"/>
      <c r="Y40" s="426"/>
      <c r="Z40" s="416"/>
      <c r="AA40" s="427"/>
      <c r="AB40" s="428"/>
      <c r="AC40" s="429"/>
    </row>
    <row r="41" spans="1:29" ht="14.25" customHeight="1">
      <c r="A41" s="449"/>
      <c r="B41" s="1082" t="s">
        <v>807</v>
      </c>
      <c r="C41" s="1083"/>
      <c r="D41" s="473">
        <v>183990</v>
      </c>
      <c r="E41" s="423">
        <v>445</v>
      </c>
      <c r="F41" s="424">
        <f>SUM(D41:E41)</f>
        <v>184435</v>
      </c>
      <c r="G41" s="407" t="s">
        <v>892</v>
      </c>
      <c r="H41" s="407"/>
      <c r="I41" s="407"/>
      <c r="J41" s="695">
        <v>13202</v>
      </c>
      <c r="K41" s="1052"/>
      <c r="L41" s="1032" t="s">
        <v>240</v>
      </c>
      <c r="M41" s="1031"/>
      <c r="N41" s="1031"/>
      <c r="O41" s="1031"/>
      <c r="P41" s="1077">
        <v>276</v>
      </c>
      <c r="Q41" s="1052"/>
      <c r="R41" s="1033" t="s">
        <v>893</v>
      </c>
      <c r="S41" s="1034"/>
      <c r="T41" s="1034"/>
      <c r="U41" s="1034"/>
      <c r="V41" s="614">
        <v>120</v>
      </c>
      <c r="W41" s="1100"/>
      <c r="X41" s="504">
        <f>SUM(W39,Q39,K39)</f>
        <v>194064</v>
      </c>
      <c r="Y41" s="426">
        <v>0</v>
      </c>
      <c r="Z41" s="437">
        <f>SUM(Y41,X41)</f>
        <v>194064</v>
      </c>
      <c r="AA41" s="435">
        <f>X41-D41</f>
        <v>10074</v>
      </c>
      <c r="AB41" s="436">
        <f>Y41-E41</f>
        <v>-445</v>
      </c>
      <c r="AC41" s="429">
        <f>SUM(AA41:AB41)</f>
        <v>9629</v>
      </c>
    </row>
    <row r="42" spans="1:29" ht="12.75" customHeight="1">
      <c r="A42" s="449"/>
      <c r="B42" s="440"/>
      <c r="C42" s="440"/>
      <c r="D42" s="505"/>
      <c r="E42" s="506"/>
      <c r="F42" s="507"/>
      <c r="G42" s="407" t="s">
        <v>895</v>
      </c>
      <c r="H42" s="407"/>
      <c r="I42" s="407"/>
      <c r="J42" s="792">
        <v>350</v>
      </c>
      <c r="K42" s="1052"/>
      <c r="L42" s="1032"/>
      <c r="M42" s="1031"/>
      <c r="N42" s="1031"/>
      <c r="O42" s="1031"/>
      <c r="P42" s="1077"/>
      <c r="Q42" s="1052"/>
      <c r="R42" s="1033" t="s">
        <v>894</v>
      </c>
      <c r="S42" s="1034"/>
      <c r="T42" s="1034"/>
      <c r="U42" s="1034"/>
      <c r="V42" s="408">
        <v>7599</v>
      </c>
      <c r="W42" s="1100"/>
      <c r="X42" s="504"/>
      <c r="Y42" s="426"/>
      <c r="Z42" s="416"/>
      <c r="AA42" s="427"/>
      <c r="AB42" s="428"/>
      <c r="AC42" s="429"/>
    </row>
    <row r="43" spans="1:29" ht="12.75" customHeight="1">
      <c r="A43" s="449"/>
      <c r="B43" s="440"/>
      <c r="C43" s="440"/>
      <c r="D43" s="505"/>
      <c r="E43" s="506"/>
      <c r="F43" s="507"/>
      <c r="G43" s="1034" t="s">
        <v>991</v>
      </c>
      <c r="H43" s="1034"/>
      <c r="I43" s="1034"/>
      <c r="J43" s="792">
        <v>7077</v>
      </c>
      <c r="K43" s="1052"/>
      <c r="L43" s="406"/>
      <c r="M43" s="407"/>
      <c r="N43" s="407"/>
      <c r="O43" s="407"/>
      <c r="P43" s="408"/>
      <c r="Q43" s="1052"/>
      <c r="R43" s="1033" t="s">
        <v>244</v>
      </c>
      <c r="S43" s="1034"/>
      <c r="T43" s="1034"/>
      <c r="U43" s="1034"/>
      <c r="V43" s="408">
        <v>1596</v>
      </c>
      <c r="W43" s="1100"/>
      <c r="X43" s="504"/>
      <c r="Y43" s="426"/>
      <c r="Z43" s="416"/>
      <c r="AA43" s="427"/>
      <c r="AB43" s="428"/>
      <c r="AC43" s="429"/>
    </row>
    <row r="44" spans="1:29" ht="13.5" customHeight="1">
      <c r="A44" s="449"/>
      <c r="B44" s="440"/>
      <c r="C44" s="440"/>
      <c r="D44" s="505"/>
      <c r="E44" s="506"/>
      <c r="F44" s="507"/>
      <c r="G44" s="1030" t="s">
        <v>1142</v>
      </c>
      <c r="H44" s="1031"/>
      <c r="I44" s="1031"/>
      <c r="J44" s="408">
        <v>171</v>
      </c>
      <c r="K44" s="1052"/>
      <c r="L44" s="406"/>
      <c r="M44" s="407" t="s">
        <v>213</v>
      </c>
      <c r="N44" s="407"/>
      <c r="O44" s="407"/>
      <c r="P44" s="408"/>
      <c r="Q44" s="1052"/>
      <c r="R44" s="1033" t="s">
        <v>896</v>
      </c>
      <c r="S44" s="1034"/>
      <c r="T44" s="1034"/>
      <c r="U44" s="1034"/>
      <c r="V44" s="444">
        <v>15</v>
      </c>
      <c r="W44" s="1100"/>
      <c r="X44" s="504"/>
      <c r="Y44" s="426"/>
      <c r="Z44" s="416"/>
      <c r="AA44" s="427"/>
      <c r="AB44" s="428"/>
      <c r="AC44" s="429"/>
    </row>
    <row r="45" spans="1:29" ht="15" customHeight="1">
      <c r="A45" s="449"/>
      <c r="B45" s="440"/>
      <c r="C45" s="440"/>
      <c r="D45" s="505"/>
      <c r="E45" s="506"/>
      <c r="F45" s="507"/>
      <c r="G45" s="1030" t="s">
        <v>1143</v>
      </c>
      <c r="H45" s="1031"/>
      <c r="I45" s="1031"/>
      <c r="J45" s="408">
        <v>1578</v>
      </c>
      <c r="K45" s="1052"/>
      <c r="L45" s="406"/>
      <c r="M45" s="407"/>
      <c r="N45" s="407"/>
      <c r="O45" s="407"/>
      <c r="P45" s="408"/>
      <c r="Q45" s="1052"/>
      <c r="R45" s="1032" t="s">
        <v>1148</v>
      </c>
      <c r="S45" s="1031"/>
      <c r="T45" s="1031"/>
      <c r="U45" s="1031"/>
      <c r="V45" s="401">
        <v>3234</v>
      </c>
      <c r="W45" s="1100"/>
      <c r="X45" s="408"/>
      <c r="Y45" s="428"/>
      <c r="Z45" s="416"/>
      <c r="AA45" s="427"/>
      <c r="AB45" s="428"/>
      <c r="AC45" s="429"/>
    </row>
    <row r="46" spans="1:29" ht="15" customHeight="1">
      <c r="A46" s="449"/>
      <c r="B46" s="440"/>
      <c r="C46" s="440"/>
      <c r="D46" s="505"/>
      <c r="E46" s="506"/>
      <c r="F46" s="507"/>
      <c r="K46" s="1052"/>
      <c r="L46" s="406"/>
      <c r="M46" s="407"/>
      <c r="N46" s="407"/>
      <c r="O46" s="407"/>
      <c r="P46" s="408"/>
      <c r="Q46" s="1052"/>
      <c r="R46" s="1106"/>
      <c r="S46" s="1079"/>
      <c r="T46" s="1079"/>
      <c r="U46" s="1079"/>
      <c r="V46" s="597"/>
      <c r="W46" s="1100"/>
      <c r="X46" s="427"/>
      <c r="Y46" s="428"/>
      <c r="Z46" s="416"/>
      <c r="AA46" s="427"/>
      <c r="AB46" s="428"/>
      <c r="AC46" s="429"/>
    </row>
    <row r="47" spans="1:29" ht="15.75" customHeight="1">
      <c r="A47" s="449"/>
      <c r="B47" s="440"/>
      <c r="C47" s="440"/>
      <c r="D47" s="505"/>
      <c r="E47" s="506"/>
      <c r="F47" s="507"/>
      <c r="K47" s="1052"/>
      <c r="L47" s="406"/>
      <c r="M47" s="407"/>
      <c r="N47" s="407"/>
      <c r="O47" s="407"/>
      <c r="P47" s="408"/>
      <c r="Q47" s="1052"/>
      <c r="R47" s="1106"/>
      <c r="S47" s="1079"/>
      <c r="T47" s="1079"/>
      <c r="U47" s="1079"/>
      <c r="V47" s="597"/>
      <c r="W47" s="1100"/>
      <c r="X47" s="427"/>
      <c r="Y47" s="428"/>
      <c r="Z47" s="416"/>
      <c r="AA47" s="427"/>
      <c r="AB47" s="428"/>
      <c r="AC47" s="429"/>
    </row>
    <row r="48" spans="1:29" ht="15.75" customHeight="1">
      <c r="A48" s="449"/>
      <c r="B48" s="440"/>
      <c r="C48" s="440"/>
      <c r="D48" s="505"/>
      <c r="E48" s="506"/>
      <c r="F48" s="507"/>
      <c r="J48" s="593"/>
      <c r="K48" s="1052"/>
      <c r="L48" s="406"/>
      <c r="M48" s="407"/>
      <c r="N48" s="407"/>
      <c r="O48" s="407"/>
      <c r="P48" s="408"/>
      <c r="Q48" s="1052"/>
      <c r="R48" s="407"/>
      <c r="S48" s="407"/>
      <c r="T48" s="407"/>
      <c r="U48" s="407"/>
      <c r="V48" s="401"/>
      <c r="W48" s="1100"/>
      <c r="X48" s="408"/>
      <c r="Y48" s="428"/>
      <c r="Z48" s="416"/>
      <c r="AA48" s="427"/>
      <c r="AB48" s="428"/>
      <c r="AC48" s="429"/>
    </row>
    <row r="49" spans="1:29" ht="16.5" thickBot="1">
      <c r="A49" s="449"/>
      <c r="B49" s="440"/>
      <c r="C49" s="440"/>
      <c r="D49" s="505"/>
      <c r="E49" s="506"/>
      <c r="F49" s="508"/>
      <c r="G49" s="595"/>
      <c r="H49" s="594"/>
      <c r="I49" s="594"/>
      <c r="J49" s="593"/>
      <c r="K49" s="1112"/>
      <c r="L49" s="406"/>
      <c r="M49" s="407"/>
      <c r="N49" s="407"/>
      <c r="O49" s="407"/>
      <c r="P49" s="408"/>
      <c r="Q49" s="1112"/>
      <c r="R49" s="440"/>
      <c r="S49" s="251"/>
      <c r="T49" s="442"/>
      <c r="U49" s="442"/>
      <c r="V49" s="442"/>
      <c r="W49" s="1135"/>
      <c r="X49" s="509"/>
      <c r="Y49" s="510"/>
      <c r="Z49" s="511"/>
      <c r="AA49" s="512"/>
      <c r="AB49" s="510"/>
      <c r="AC49" s="429"/>
    </row>
    <row r="50" spans="1:29" ht="16.5" thickBot="1">
      <c r="A50" s="513"/>
      <c r="B50" s="1136" t="s">
        <v>887</v>
      </c>
      <c r="C50" s="1137"/>
      <c r="D50" s="514">
        <v>15</v>
      </c>
      <c r="E50" s="515">
        <v>0</v>
      </c>
      <c r="F50" s="516">
        <f>SUM(D50:E50)</f>
        <v>15</v>
      </c>
      <c r="G50" s="1138" t="s">
        <v>897</v>
      </c>
      <c r="H50" s="1138"/>
      <c r="I50" s="1138"/>
      <c r="J50" s="517">
        <v>15</v>
      </c>
      <c r="K50" s="518">
        <f>SUM(J50)</f>
        <v>15</v>
      </c>
      <c r="L50" s="519"/>
      <c r="M50" s="520"/>
      <c r="N50" s="520"/>
      <c r="O50" s="520"/>
      <c r="P50" s="521"/>
      <c r="Q50" s="518">
        <v>0</v>
      </c>
      <c r="R50" s="520"/>
      <c r="S50" s="520"/>
      <c r="T50" s="520"/>
      <c r="U50" s="520"/>
      <c r="V50" s="522"/>
      <c r="W50" s="523">
        <v>0</v>
      </c>
      <c r="X50" s="524">
        <f>SUM(W50,Q50,K50)</f>
        <v>15</v>
      </c>
      <c r="Y50" s="525">
        <v>0</v>
      </c>
      <c r="Z50" s="526">
        <f>SUM(X50:Y50)</f>
        <v>15</v>
      </c>
      <c r="AA50" s="527">
        <f>X50-D50</f>
        <v>0</v>
      </c>
      <c r="AB50" s="528">
        <v>0</v>
      </c>
      <c r="AC50" s="529">
        <v>0</v>
      </c>
    </row>
    <row r="51" spans="1:29" ht="15.75">
      <c r="A51" s="449"/>
      <c r="B51" s="420"/>
      <c r="C51" s="420"/>
      <c r="D51" s="473"/>
      <c r="E51" s="423"/>
      <c r="F51" s="507"/>
      <c r="G51" s="407"/>
      <c r="H51" s="407"/>
      <c r="I51" s="407"/>
      <c r="J51" s="530"/>
      <c r="K51" s="531"/>
      <c r="L51" s="464"/>
      <c r="M51" s="442"/>
      <c r="N51" s="442"/>
      <c r="O51" s="442"/>
      <c r="P51" s="532"/>
      <c r="Q51" s="531"/>
      <c r="R51" s="442"/>
      <c r="S51" s="442"/>
      <c r="T51" s="442"/>
      <c r="U51" s="442"/>
      <c r="V51" s="442"/>
      <c r="W51" s="533"/>
      <c r="X51" s="534"/>
      <c r="Y51" s="472"/>
      <c r="Z51" s="416"/>
      <c r="AA51" s="427"/>
      <c r="AB51" s="428"/>
      <c r="AC51" s="429"/>
    </row>
    <row r="52" spans="1:29" ht="16.5" thickBot="1">
      <c r="A52" s="1086" t="s">
        <v>221</v>
      </c>
      <c r="B52" s="1087"/>
      <c r="C52" s="1088"/>
      <c r="D52" s="482">
        <f>SUM(D39:D51)</f>
        <v>184005</v>
      </c>
      <c r="E52" s="483">
        <f>SUM(E39:E51)</f>
        <v>445</v>
      </c>
      <c r="F52" s="484">
        <f>SUM(F39:F51)</f>
        <v>184450</v>
      </c>
      <c r="G52" s="535"/>
      <c r="H52" s="1089" t="s">
        <v>217</v>
      </c>
      <c r="I52" s="1090"/>
      <c r="J52" s="1091"/>
      <c r="K52" s="488">
        <f>SUM(K39:K50)</f>
        <v>169139</v>
      </c>
      <c r="L52" s="487"/>
      <c r="M52" s="1093" t="s">
        <v>218</v>
      </c>
      <c r="N52" s="1093"/>
      <c r="O52" s="1093"/>
      <c r="P52" s="1094"/>
      <c r="Q52" s="488">
        <f>SUM(Q39:Q50)</f>
        <v>12276</v>
      </c>
      <c r="R52" s="485"/>
      <c r="S52" s="1093" t="s">
        <v>219</v>
      </c>
      <c r="T52" s="1093"/>
      <c r="U52" s="1093"/>
      <c r="V52" s="1094"/>
      <c r="W52" s="536">
        <f>SUM(W39:W50)</f>
        <v>12664</v>
      </c>
      <c r="X52" s="537">
        <f>SUM(X39:X50)</f>
        <v>194079</v>
      </c>
      <c r="Y52" s="538">
        <v>0</v>
      </c>
      <c r="Z52" s="539">
        <f>SUM(X52:Y52)</f>
        <v>194079</v>
      </c>
      <c r="AA52" s="540">
        <f>X52-D52</f>
        <v>10074</v>
      </c>
      <c r="AB52" s="541">
        <f>Y52-E52</f>
        <v>-445</v>
      </c>
      <c r="AC52" s="542">
        <f>SUM(AA52:AB52)</f>
        <v>9629</v>
      </c>
    </row>
    <row r="53" spans="1:29" ht="19.5" customHeight="1" thickBot="1" thickTop="1">
      <c r="A53" s="543"/>
      <c r="B53" s="544"/>
      <c r="C53" s="544"/>
      <c r="D53" s="545"/>
      <c r="E53" s="546"/>
      <c r="F53" s="547"/>
      <c r="G53" s="546"/>
      <c r="H53" s="546"/>
      <c r="I53" s="548"/>
      <c r="J53" s="548"/>
      <c r="K53" s="549"/>
      <c r="L53" s="550"/>
      <c r="M53" s="546"/>
      <c r="N53" s="546"/>
      <c r="O53" s="546"/>
      <c r="P53" s="546"/>
      <c r="Q53" s="549"/>
      <c r="R53" s="546"/>
      <c r="S53" s="546"/>
      <c r="T53" s="546"/>
      <c r="U53" s="546"/>
      <c r="V53" s="546"/>
      <c r="W53" s="551"/>
      <c r="X53" s="552"/>
      <c r="Y53" s="553"/>
      <c r="Z53" s="554"/>
      <c r="AA53" s="543"/>
      <c r="AB53" s="555"/>
      <c r="AC53" s="556"/>
    </row>
    <row r="54" spans="1:29" ht="15.75" customHeight="1" thickBot="1" thickTop="1">
      <c r="A54" s="1063" t="s">
        <v>905</v>
      </c>
      <c r="B54" s="1064"/>
      <c r="C54" s="1064"/>
      <c r="D54" s="1042" t="s">
        <v>637</v>
      </c>
      <c r="E54" s="1043"/>
      <c r="F54" s="1044"/>
      <c r="G54" s="1045" t="s">
        <v>869</v>
      </c>
      <c r="H54" s="1142"/>
      <c r="I54" s="1142"/>
      <c r="J54" s="1142"/>
      <c r="K54" s="1143"/>
      <c r="L54" s="1067" t="s">
        <v>870</v>
      </c>
      <c r="M54" s="1068"/>
      <c r="N54" s="1068"/>
      <c r="O54" s="1068"/>
      <c r="P54" s="1068"/>
      <c r="Q54" s="1069"/>
      <c r="R54" s="1067" t="s">
        <v>871</v>
      </c>
      <c r="S54" s="1068"/>
      <c r="T54" s="1068"/>
      <c r="U54" s="1068"/>
      <c r="V54" s="1068"/>
      <c r="W54" s="1095"/>
      <c r="X54" s="1131" t="s">
        <v>872</v>
      </c>
      <c r="Y54" s="1057"/>
      <c r="Z54" s="1057"/>
      <c r="AA54" s="1058" t="s">
        <v>208</v>
      </c>
      <c r="AB54" s="1059"/>
      <c r="AC54" s="1060"/>
    </row>
    <row r="55" spans="1:29" ht="25.5" customHeight="1" thickBot="1">
      <c r="A55" s="1065"/>
      <c r="B55" s="1066"/>
      <c r="C55" s="1066"/>
      <c r="D55" s="391" t="s">
        <v>209</v>
      </c>
      <c r="E55" s="392" t="s">
        <v>195</v>
      </c>
      <c r="F55" s="393" t="s">
        <v>210</v>
      </c>
      <c r="G55" s="1144"/>
      <c r="H55" s="1145"/>
      <c r="I55" s="1145"/>
      <c r="J55" s="1145"/>
      <c r="K55" s="1146"/>
      <c r="L55" s="1070"/>
      <c r="M55" s="1071"/>
      <c r="N55" s="1071"/>
      <c r="O55" s="1071"/>
      <c r="P55" s="1071"/>
      <c r="Q55" s="1072"/>
      <c r="R55" s="1070"/>
      <c r="S55" s="1071"/>
      <c r="T55" s="1071"/>
      <c r="U55" s="1071"/>
      <c r="V55" s="1071"/>
      <c r="W55" s="1096"/>
      <c r="X55" s="496" t="s">
        <v>209</v>
      </c>
      <c r="Y55" s="395" t="s">
        <v>195</v>
      </c>
      <c r="Z55" s="396" t="s">
        <v>210</v>
      </c>
      <c r="AA55" s="394" t="s">
        <v>209</v>
      </c>
      <c r="AB55" s="398" t="s">
        <v>195</v>
      </c>
      <c r="AC55" s="399" t="s">
        <v>210</v>
      </c>
    </row>
    <row r="56" spans="1:29" ht="28.5" customHeight="1">
      <c r="A56" s="449"/>
      <c r="B56" s="442"/>
      <c r="C56" s="442"/>
      <c r="D56" s="466"/>
      <c r="E56" s="557"/>
      <c r="F56" s="443"/>
      <c r="G56" s="1092" t="s">
        <v>791</v>
      </c>
      <c r="H56" s="1034"/>
      <c r="I56" s="1034"/>
      <c r="J56" s="467">
        <v>15143</v>
      </c>
      <c r="K56" s="1051">
        <f>SUM(J56:J62)</f>
        <v>151921</v>
      </c>
      <c r="L56" s="464"/>
      <c r="M56" s="442"/>
      <c r="N56" s="442"/>
      <c r="O56" s="442"/>
      <c r="P56" s="442"/>
      <c r="Q56" s="558"/>
      <c r="R56" s="557"/>
      <c r="S56" s="557"/>
      <c r="T56" s="557"/>
      <c r="U56" s="557"/>
      <c r="V56" s="557"/>
      <c r="W56" s="1147">
        <f>SUM(V57:V62)</f>
        <v>19050</v>
      </c>
      <c r="X56" s="442"/>
      <c r="Y56" s="466"/>
      <c r="Z56" s="559"/>
      <c r="AA56" s="449"/>
      <c r="AB56" s="466"/>
      <c r="AC56" s="418"/>
    </row>
    <row r="57" spans="1:29" ht="14.25" customHeight="1">
      <c r="A57" s="449"/>
      <c r="B57" s="442"/>
      <c r="C57" s="442"/>
      <c r="D57" s="466"/>
      <c r="E57" s="557"/>
      <c r="F57" s="443"/>
      <c r="G57" s="1031" t="s">
        <v>238</v>
      </c>
      <c r="H57" s="1031"/>
      <c r="I57" s="1031"/>
      <c r="J57" s="467">
        <v>7408</v>
      </c>
      <c r="K57" s="1052"/>
      <c r="L57" s="1150"/>
      <c r="M57" s="1151"/>
      <c r="N57" s="1151"/>
      <c r="O57" s="1151"/>
      <c r="P57" s="593"/>
      <c r="Q57" s="1052">
        <f>SUM(P57)</f>
        <v>0</v>
      </c>
      <c r="R57" s="1032" t="s">
        <v>898</v>
      </c>
      <c r="S57" s="1075"/>
      <c r="T57" s="1075"/>
      <c r="U57" s="1075"/>
      <c r="V57" s="615">
        <f>8722-712</f>
        <v>8010</v>
      </c>
      <c r="W57" s="1148"/>
      <c r="X57" s="408"/>
      <c r="Y57" s="428"/>
      <c r="Z57" s="416"/>
      <c r="AA57" s="427"/>
      <c r="AB57" s="428"/>
      <c r="AC57" s="429"/>
    </row>
    <row r="58" spans="1:29" ht="25.5" customHeight="1">
      <c r="A58" s="1139" t="s">
        <v>807</v>
      </c>
      <c r="B58" s="1140"/>
      <c r="C58" s="1141"/>
      <c r="D58" s="473">
        <v>202070</v>
      </c>
      <c r="E58" s="423">
        <v>1204</v>
      </c>
      <c r="F58" s="424">
        <f>SUM(D58:E58)</f>
        <v>203274</v>
      </c>
      <c r="G58" s="1030" t="s">
        <v>786</v>
      </c>
      <c r="H58" s="1031"/>
      <c r="I58" s="1031"/>
      <c r="J58" s="467">
        <v>110979</v>
      </c>
      <c r="K58" s="1052"/>
      <c r="L58" s="464"/>
      <c r="M58" s="442"/>
      <c r="N58" s="442"/>
      <c r="O58" s="442"/>
      <c r="P58" s="442"/>
      <c r="Q58" s="1052"/>
      <c r="R58" s="1033" t="s">
        <v>899</v>
      </c>
      <c r="S58" s="1034"/>
      <c r="T58" s="1034"/>
      <c r="U58" s="1034"/>
      <c r="V58" s="615">
        <v>108</v>
      </c>
      <c r="W58" s="1148"/>
      <c r="X58" s="560">
        <f>SUM(W56+Q57+K56)</f>
        <v>170971</v>
      </c>
      <c r="Y58" s="436">
        <v>0</v>
      </c>
      <c r="Z58" s="437">
        <f>SUM(X58:Y58)</f>
        <v>170971</v>
      </c>
      <c r="AA58" s="561">
        <f>X58-D58</f>
        <v>-31099</v>
      </c>
      <c r="AB58" s="436">
        <f>Y58-E58</f>
        <v>-1204</v>
      </c>
      <c r="AC58" s="438">
        <f>SUM(AA58:AB58)</f>
        <v>-32303</v>
      </c>
    </row>
    <row r="59" spans="1:29" ht="15" customHeight="1">
      <c r="A59" s="419"/>
      <c r="B59" s="390"/>
      <c r="C59" s="256"/>
      <c r="D59" s="473"/>
      <c r="E59" s="423"/>
      <c r="F59" s="424"/>
      <c r="G59" s="1031" t="s">
        <v>516</v>
      </c>
      <c r="H59" s="1031"/>
      <c r="I59" s="1031"/>
      <c r="J59" s="467">
        <v>12835</v>
      </c>
      <c r="K59" s="1052"/>
      <c r="L59" s="464"/>
      <c r="M59" s="442"/>
      <c r="N59" s="442"/>
      <c r="O59" s="442"/>
      <c r="P59" s="562"/>
      <c r="Q59" s="1052"/>
      <c r="R59" s="1033" t="s">
        <v>896</v>
      </c>
      <c r="S59" s="1034"/>
      <c r="T59" s="1034"/>
      <c r="U59" s="1034"/>
      <c r="V59" s="616">
        <v>25</v>
      </c>
      <c r="W59" s="1148"/>
      <c r="X59" s="504"/>
      <c r="Y59" s="426"/>
      <c r="Z59" s="437"/>
      <c r="AA59" s="435"/>
      <c r="AB59" s="436"/>
      <c r="AC59" s="429"/>
    </row>
    <row r="60" spans="1:29" ht="15" customHeight="1">
      <c r="A60" s="419"/>
      <c r="B60" s="390"/>
      <c r="C60" s="256"/>
      <c r="D60" s="473"/>
      <c r="E60" s="423"/>
      <c r="F60" s="424"/>
      <c r="G60" s="1030" t="s">
        <v>990</v>
      </c>
      <c r="H60" s="1031"/>
      <c r="I60" s="1031"/>
      <c r="J60" s="791">
        <v>4102</v>
      </c>
      <c r="K60" s="1052"/>
      <c r="L60" s="464"/>
      <c r="M60" s="442"/>
      <c r="N60" s="442"/>
      <c r="O60" s="442"/>
      <c r="P60" s="562"/>
      <c r="Q60" s="1052"/>
      <c r="R60" s="1032" t="s">
        <v>1148</v>
      </c>
      <c r="S60" s="1031"/>
      <c r="T60" s="1031"/>
      <c r="U60" s="1031"/>
      <c r="V60" s="616">
        <f>1281+9549</f>
        <v>10830</v>
      </c>
      <c r="W60" s="1148"/>
      <c r="X60" s="504"/>
      <c r="Y60" s="426"/>
      <c r="Z60" s="437"/>
      <c r="AA60" s="435"/>
      <c r="AB60" s="436"/>
      <c r="AC60" s="429"/>
    </row>
    <row r="61" spans="1:29" ht="15.75" customHeight="1">
      <c r="A61" s="419"/>
      <c r="B61" s="390"/>
      <c r="C61" s="256"/>
      <c r="D61" s="473"/>
      <c r="E61" s="423"/>
      <c r="F61" s="424"/>
      <c r="G61" s="1030" t="s">
        <v>1142</v>
      </c>
      <c r="H61" s="1031"/>
      <c r="I61" s="1031"/>
      <c r="J61" s="408">
        <v>123</v>
      </c>
      <c r="K61" s="1052"/>
      <c r="L61" s="464"/>
      <c r="M61" s="442"/>
      <c r="N61" s="442"/>
      <c r="O61" s="442"/>
      <c r="P61" s="562"/>
      <c r="Q61" s="831"/>
      <c r="R61" s="1032" t="s">
        <v>1150</v>
      </c>
      <c r="S61" s="1031"/>
      <c r="T61" s="1031"/>
      <c r="U61" s="1031"/>
      <c r="V61" s="401">
        <v>77</v>
      </c>
      <c r="W61" s="1148"/>
      <c r="X61" s="504"/>
      <c r="Y61" s="426"/>
      <c r="Z61" s="437"/>
      <c r="AA61" s="435"/>
      <c r="AB61" s="436"/>
      <c r="AC61" s="429"/>
    </row>
    <row r="62" spans="1:29" ht="16.5" customHeight="1" thickBot="1">
      <c r="A62" s="419"/>
      <c r="B62" s="390"/>
      <c r="C62" s="256"/>
      <c r="D62" s="473"/>
      <c r="E62" s="423"/>
      <c r="F62" s="424"/>
      <c r="G62" s="1030" t="s">
        <v>1143</v>
      </c>
      <c r="H62" s="1031"/>
      <c r="I62" s="1031"/>
      <c r="J62" s="408">
        <v>1331</v>
      </c>
      <c r="K62" s="1112"/>
      <c r="L62" s="442"/>
      <c r="M62" s="442"/>
      <c r="N62" s="442"/>
      <c r="O62" s="442"/>
      <c r="P62" s="562"/>
      <c r="Q62" s="831"/>
      <c r="R62" s="832"/>
      <c r="S62" s="830"/>
      <c r="T62" s="830"/>
      <c r="U62" s="830"/>
      <c r="V62" s="846"/>
      <c r="W62" s="1149"/>
      <c r="X62" s="504"/>
      <c r="Y62" s="426"/>
      <c r="Z62" s="437"/>
      <c r="AA62" s="435"/>
      <c r="AB62" s="436"/>
      <c r="AC62" s="429"/>
    </row>
    <row r="63" spans="1:29" ht="47.25" customHeight="1">
      <c r="A63" s="707"/>
      <c r="B63" s="708"/>
      <c r="C63" s="708"/>
      <c r="D63" s="709"/>
      <c r="E63" s="710"/>
      <c r="F63" s="711"/>
      <c r="G63" s="1133"/>
      <c r="H63" s="1038"/>
      <c r="I63" s="1038"/>
      <c r="J63" s="793"/>
      <c r="K63" s="1051">
        <f>SUM(J63:J66)</f>
        <v>0</v>
      </c>
      <c r="L63" s="1133" t="s">
        <v>997</v>
      </c>
      <c r="M63" s="1038"/>
      <c r="N63" s="1038"/>
      <c r="O63" s="1038"/>
      <c r="P63" s="793">
        <v>6245</v>
      </c>
      <c r="Q63" s="1051">
        <f>SUM(P63:P66)</f>
        <v>6245</v>
      </c>
      <c r="R63" s="557"/>
      <c r="S63" s="557"/>
      <c r="T63" s="557"/>
      <c r="U63" s="557"/>
      <c r="V63" s="557"/>
      <c r="W63" s="563"/>
      <c r="X63" s="701"/>
      <c r="Y63" s="702"/>
      <c r="Z63" s="703"/>
      <c r="AA63" s="704"/>
      <c r="AB63" s="705"/>
      <c r="AC63" s="706"/>
    </row>
    <row r="64" spans="1:29" ht="15.75">
      <c r="A64" s="1081" t="s">
        <v>808</v>
      </c>
      <c r="B64" s="1082"/>
      <c r="C64" s="1083"/>
      <c r="D64" s="473">
        <v>6245</v>
      </c>
      <c r="E64" s="423">
        <v>0</v>
      </c>
      <c r="F64" s="424">
        <f>SUM(D64:E64)</f>
        <v>6245</v>
      </c>
      <c r="G64" s="595"/>
      <c r="H64" s="594"/>
      <c r="I64" s="594"/>
      <c r="J64" s="683"/>
      <c r="K64" s="1052"/>
      <c r="L64" s="1033"/>
      <c r="M64" s="1034"/>
      <c r="N64" s="1034"/>
      <c r="O64" s="1034"/>
      <c r="P64" s="408"/>
      <c r="Q64" s="1052"/>
      <c r="R64" s="1106"/>
      <c r="S64" s="1079"/>
      <c r="T64" s="1079"/>
      <c r="U64" s="1079"/>
      <c r="V64" s="612"/>
      <c r="W64" s="563">
        <f>SUM(V64)</f>
        <v>0</v>
      </c>
      <c r="X64" s="504">
        <f>SUM(K64+Q63+W66)</f>
        <v>6245</v>
      </c>
      <c r="Y64" s="426">
        <v>0</v>
      </c>
      <c r="Z64" s="437">
        <f>SUM(X64:Y64)</f>
        <v>6245</v>
      </c>
      <c r="AA64" s="561">
        <f>X64-D64</f>
        <v>0</v>
      </c>
      <c r="AB64" s="436">
        <f>Y64-E64</f>
        <v>0</v>
      </c>
      <c r="AC64" s="438">
        <f>SUM(AA64:AB64)</f>
        <v>0</v>
      </c>
    </row>
    <row r="65" spans="1:29" ht="15.75">
      <c r="A65" s="419"/>
      <c r="B65" s="390"/>
      <c r="C65" s="256"/>
      <c r="D65" s="473"/>
      <c r="E65" s="423"/>
      <c r="F65" s="424"/>
      <c r="G65" s="595"/>
      <c r="H65" s="594"/>
      <c r="I65" s="594"/>
      <c r="J65" s="683"/>
      <c r="K65" s="1052"/>
      <c r="L65" s="464"/>
      <c r="M65" s="442"/>
      <c r="N65" s="442"/>
      <c r="O65" s="442"/>
      <c r="P65" s="442"/>
      <c r="Q65" s="1052"/>
      <c r="R65" s="594"/>
      <c r="S65" s="594"/>
      <c r="T65" s="594"/>
      <c r="U65" s="594"/>
      <c r="V65" s="612"/>
      <c r="W65" s="563"/>
      <c r="X65" s="504"/>
      <c r="Y65" s="426"/>
      <c r="Z65" s="437"/>
      <c r="AA65" s="435"/>
      <c r="AB65" s="436"/>
      <c r="AC65" s="429"/>
    </row>
    <row r="66" spans="1:29" ht="16.5" thickBot="1">
      <c r="A66" s="430"/>
      <c r="B66" s="431"/>
      <c r="C66" s="431"/>
      <c r="D66" s="505"/>
      <c r="E66" s="506"/>
      <c r="F66" s="564"/>
      <c r="G66" s="604"/>
      <c r="H66" s="605"/>
      <c r="I66" s="605"/>
      <c r="J66" s="606"/>
      <c r="K66" s="1112"/>
      <c r="L66" s="464"/>
      <c r="M66" s="442"/>
      <c r="N66" s="442"/>
      <c r="O66" s="442"/>
      <c r="P66" s="442"/>
      <c r="Q66" s="1052"/>
      <c r="R66" s="557"/>
      <c r="S66" s="557"/>
      <c r="T66" s="557"/>
      <c r="U66" s="557"/>
      <c r="V66" s="557"/>
      <c r="W66" s="565"/>
      <c r="X66" s="566"/>
      <c r="Y66" s="567"/>
      <c r="Z66" s="526"/>
      <c r="AA66" s="568"/>
      <c r="AB66" s="569"/>
      <c r="AC66" s="481"/>
    </row>
    <row r="67" spans="1:29" ht="17.25" customHeight="1" thickBot="1" thickTop="1">
      <c r="A67" s="1152" t="s">
        <v>222</v>
      </c>
      <c r="B67" s="1153"/>
      <c r="C67" s="1154"/>
      <c r="D67" s="591">
        <f>SUM(D57:D66)</f>
        <v>208315</v>
      </c>
      <c r="E67" s="592">
        <f>SUM(E57:E66)</f>
        <v>1204</v>
      </c>
      <c r="F67" s="570">
        <f>SUM(D67:E67)</f>
        <v>209519</v>
      </c>
      <c r="G67" s="571"/>
      <c r="H67" s="1089" t="s">
        <v>217</v>
      </c>
      <c r="I67" s="1090"/>
      <c r="J67" s="1091"/>
      <c r="K67" s="572">
        <f>SUM(K56:K66)</f>
        <v>151921</v>
      </c>
      <c r="L67" s="489"/>
      <c r="M67" s="1084" t="s">
        <v>218</v>
      </c>
      <c r="N67" s="1084"/>
      <c r="O67" s="1084"/>
      <c r="P67" s="1085"/>
      <c r="Q67" s="617">
        <f>SUM(Q57:Q66)</f>
        <v>6245</v>
      </c>
      <c r="R67" s="618"/>
      <c r="S67" s="1084" t="s">
        <v>219</v>
      </c>
      <c r="T67" s="1084"/>
      <c r="U67" s="1084"/>
      <c r="V67" s="1085"/>
      <c r="W67" s="573">
        <f>SUM(W56:W66)</f>
        <v>19050</v>
      </c>
      <c r="X67" s="574">
        <f>SUM(X55:X66)</f>
        <v>177216</v>
      </c>
      <c r="Y67" s="575">
        <f>SUM(Y55:Y66)</f>
        <v>0</v>
      </c>
      <c r="Z67" s="576">
        <f>SUM(X67:Y67)</f>
        <v>177216</v>
      </c>
      <c r="AA67" s="574">
        <f>X67-D67</f>
        <v>-31099</v>
      </c>
      <c r="AB67" s="577">
        <f>Y67-E67</f>
        <v>-1204</v>
      </c>
      <c r="AC67" s="576">
        <f>SUM(AA67:AB67)</f>
        <v>-32303</v>
      </c>
    </row>
    <row r="68" spans="1:29" ht="20.25" thickBot="1" thickTop="1">
      <c r="A68" s="1155" t="s">
        <v>640</v>
      </c>
      <c r="B68" s="1156"/>
      <c r="C68" s="1157"/>
      <c r="D68" s="578">
        <f>SUM(D67,D52,D36)</f>
        <v>1417026</v>
      </c>
      <c r="E68" s="579">
        <f>SUM(E67,E52,E36)</f>
        <v>1340011</v>
      </c>
      <c r="F68" s="580">
        <f>SUM(D68:E68)</f>
        <v>2757037</v>
      </c>
      <c r="G68" s="457"/>
      <c r="H68" s="1158" t="s">
        <v>223</v>
      </c>
      <c r="I68" s="1159"/>
      <c r="J68" s="1160"/>
      <c r="K68" s="581">
        <f>SUM(K67,K52,K36)</f>
        <v>534391</v>
      </c>
      <c r="L68" s="582"/>
      <c r="M68" s="1161" t="s">
        <v>224</v>
      </c>
      <c r="N68" s="1161"/>
      <c r="O68" s="1161"/>
      <c r="P68" s="1162"/>
      <c r="Q68" s="455">
        <f>SUM(Q67,Q52,Q36)</f>
        <v>1426218</v>
      </c>
      <c r="R68" s="583"/>
      <c r="S68" s="1161" t="s">
        <v>225</v>
      </c>
      <c r="T68" s="1161"/>
      <c r="U68" s="1161"/>
      <c r="V68" s="1162"/>
      <c r="W68" s="459">
        <f>SUM(W67,W52,W36)</f>
        <v>796428</v>
      </c>
      <c r="X68" s="697">
        <f>SUM(X67,X52,X36)</f>
        <v>1394177</v>
      </c>
      <c r="Y68" s="698">
        <f>SUM(Y67,Y52,Y36)</f>
        <v>1362860</v>
      </c>
      <c r="Z68" s="699">
        <f>SUM(W68+Q68+K68)</f>
        <v>2757037</v>
      </c>
      <c r="AA68" s="585">
        <f>SUM(AA67,AA52,AA36)</f>
        <v>-22849</v>
      </c>
      <c r="AB68" s="584">
        <f>SUM(AB67,AB52,AB36)</f>
        <v>22849</v>
      </c>
      <c r="AC68" s="586">
        <f>SUM(AC67,AC52,AC36)</f>
        <v>0</v>
      </c>
    </row>
    <row r="69" spans="1:29" ht="16.5" thickTop="1">
      <c r="A69" s="557"/>
      <c r="B69" s="557"/>
      <c r="C69" s="557"/>
      <c r="D69" s="557"/>
      <c r="E69" s="557"/>
      <c r="F69" s="557"/>
      <c r="G69" s="587"/>
      <c r="H69" s="587"/>
      <c r="I69" s="587"/>
      <c r="J69" s="588"/>
      <c r="K69" s="500"/>
      <c r="L69" s="589"/>
      <c r="M69" s="442"/>
      <c r="N69" s="442"/>
      <c r="O69" s="442"/>
      <c r="P69" s="442"/>
      <c r="Q69" s="442"/>
      <c r="R69" s="589"/>
      <c r="S69" s="557"/>
      <c r="T69" s="557"/>
      <c r="U69" s="557"/>
      <c r="V69" s="557"/>
      <c r="W69" s="557"/>
      <c r="X69" s="557"/>
      <c r="Y69" s="557"/>
      <c r="Z69" s="557"/>
      <c r="AA69" s="557"/>
      <c r="AB69" s="557"/>
      <c r="AC69" s="589"/>
    </row>
    <row r="70" spans="1:223" s="1291" customFormat="1" ht="15.75">
      <c r="A70" s="1281"/>
      <c r="B70" s="1281"/>
      <c r="C70" s="1281"/>
      <c r="D70" s="1282" t="s">
        <v>805</v>
      </c>
      <c r="E70" s="1283"/>
      <c r="F70" s="1283"/>
      <c r="G70" s="1284"/>
      <c r="H70" s="1284"/>
      <c r="I70" s="1284"/>
      <c r="J70" s="1285"/>
      <c r="K70" s="1286"/>
      <c r="L70" s="1287"/>
      <c r="M70" s="1287"/>
      <c r="N70" s="1287"/>
      <c r="O70" s="1287"/>
      <c r="P70" s="1287"/>
      <c r="Q70" s="1287"/>
      <c r="R70" s="1287"/>
      <c r="S70" s="1281"/>
      <c r="T70" s="1281"/>
      <c r="U70" s="1281"/>
      <c r="V70" s="1281"/>
      <c r="W70" s="1282" t="s">
        <v>226</v>
      </c>
      <c r="X70" s="1288"/>
      <c r="Y70" s="1288"/>
      <c r="Z70" s="1289"/>
      <c r="AA70" s="1282" t="s">
        <v>208</v>
      </c>
      <c r="AB70" s="1288"/>
      <c r="AC70" s="1288"/>
      <c r="AD70" s="1290"/>
      <c r="AE70" s="1290"/>
      <c r="AF70" s="1290"/>
      <c r="AG70" s="1290"/>
      <c r="AH70" s="1290"/>
      <c r="AI70" s="1290"/>
      <c r="AJ70" s="1290"/>
      <c r="AK70" s="1290"/>
      <c r="AL70" s="1290"/>
      <c r="AM70" s="1290"/>
      <c r="AN70" s="1290"/>
      <c r="AO70" s="1290"/>
      <c r="AP70" s="1290"/>
      <c r="AQ70" s="1290"/>
      <c r="AR70" s="1290"/>
      <c r="AS70" s="1290"/>
      <c r="AT70" s="1290"/>
      <c r="AU70" s="1290"/>
      <c r="AV70" s="1290"/>
      <c r="AW70" s="1290"/>
      <c r="AX70" s="1290"/>
      <c r="AY70" s="1290"/>
      <c r="AZ70" s="1290"/>
      <c r="BA70" s="1290"/>
      <c r="BB70" s="1290"/>
      <c r="BC70" s="1290"/>
      <c r="BD70" s="1290"/>
      <c r="BE70" s="1290"/>
      <c r="BF70" s="1290"/>
      <c r="BG70" s="1290"/>
      <c r="BH70" s="1290"/>
      <c r="BI70" s="1290"/>
      <c r="BJ70" s="1290"/>
      <c r="BK70" s="1290"/>
      <c r="BL70" s="1290"/>
      <c r="BM70" s="1290"/>
      <c r="BN70" s="1290"/>
      <c r="BO70" s="1290"/>
      <c r="BP70" s="1290"/>
      <c r="BQ70" s="1290"/>
      <c r="BR70" s="1290"/>
      <c r="BS70" s="1290"/>
      <c r="BT70" s="1290"/>
      <c r="BU70" s="1290"/>
      <c r="BV70" s="1290"/>
      <c r="BW70" s="1290"/>
      <c r="BX70" s="1290"/>
      <c r="BY70" s="1290"/>
      <c r="BZ70" s="1290"/>
      <c r="CA70" s="1290"/>
      <c r="CB70" s="1290"/>
      <c r="CC70" s="1290"/>
      <c r="CD70" s="1290"/>
      <c r="CE70" s="1290"/>
      <c r="CF70" s="1290"/>
      <c r="CG70" s="1290"/>
      <c r="CH70" s="1290"/>
      <c r="CI70" s="1290"/>
      <c r="CJ70" s="1290"/>
      <c r="CK70" s="1290"/>
      <c r="CL70" s="1290"/>
      <c r="CM70" s="1290"/>
      <c r="CN70" s="1290"/>
      <c r="CO70" s="1290"/>
      <c r="CP70" s="1290"/>
      <c r="CQ70" s="1290"/>
      <c r="CR70" s="1290"/>
      <c r="CS70" s="1290"/>
      <c r="CT70" s="1290"/>
      <c r="CU70" s="1290"/>
      <c r="CV70" s="1290"/>
      <c r="CW70" s="1290"/>
      <c r="CX70" s="1290"/>
      <c r="CY70" s="1290"/>
      <c r="CZ70" s="1290"/>
      <c r="DA70" s="1290"/>
      <c r="DB70" s="1290"/>
      <c r="DC70" s="1290"/>
      <c r="DD70" s="1290"/>
      <c r="DE70" s="1290"/>
      <c r="DF70" s="1290"/>
      <c r="DG70" s="1290"/>
      <c r="DH70" s="1290"/>
      <c r="DI70" s="1290"/>
      <c r="DJ70" s="1290"/>
      <c r="DK70" s="1290"/>
      <c r="DL70" s="1290"/>
      <c r="DM70" s="1290"/>
      <c r="DN70" s="1290"/>
      <c r="DO70" s="1290"/>
      <c r="DP70" s="1290"/>
      <c r="DQ70" s="1290"/>
      <c r="DR70" s="1290"/>
      <c r="DS70" s="1290"/>
      <c r="DT70" s="1290"/>
      <c r="DU70" s="1290"/>
      <c r="DV70" s="1290"/>
      <c r="DW70" s="1290"/>
      <c r="DX70" s="1290"/>
      <c r="DY70" s="1290"/>
      <c r="DZ70" s="1290"/>
      <c r="EA70" s="1290"/>
      <c r="EB70" s="1290"/>
      <c r="EC70" s="1290"/>
      <c r="ED70" s="1290"/>
      <c r="EE70" s="1290"/>
      <c r="EF70" s="1290"/>
      <c r="EG70" s="1290"/>
      <c r="EH70" s="1290"/>
      <c r="EI70" s="1290"/>
      <c r="EJ70" s="1290"/>
      <c r="EK70" s="1290"/>
      <c r="EL70" s="1290"/>
      <c r="EM70" s="1290"/>
      <c r="EN70" s="1290"/>
      <c r="EO70" s="1290"/>
      <c r="EP70" s="1290"/>
      <c r="EQ70" s="1290"/>
      <c r="ER70" s="1290"/>
      <c r="ES70" s="1290"/>
      <c r="ET70" s="1290"/>
      <c r="EU70" s="1290"/>
      <c r="EV70" s="1290"/>
      <c r="EW70" s="1290"/>
      <c r="EX70" s="1290"/>
      <c r="EY70" s="1290"/>
      <c r="EZ70" s="1290"/>
      <c r="FA70" s="1290"/>
      <c r="FB70" s="1290"/>
      <c r="FC70" s="1290"/>
      <c r="FD70" s="1290"/>
      <c r="FE70" s="1290"/>
      <c r="FF70" s="1290"/>
      <c r="FG70" s="1290"/>
      <c r="FH70" s="1290"/>
      <c r="FI70" s="1290"/>
      <c r="FJ70" s="1290"/>
      <c r="FK70" s="1290"/>
      <c r="FL70" s="1290"/>
      <c r="FM70" s="1290"/>
      <c r="FN70" s="1290"/>
      <c r="FO70" s="1290"/>
      <c r="FP70" s="1290"/>
      <c r="FQ70" s="1290"/>
      <c r="FR70" s="1290"/>
      <c r="FS70" s="1290"/>
      <c r="FT70" s="1290"/>
      <c r="FU70" s="1290"/>
      <c r="FV70" s="1290"/>
      <c r="FW70" s="1290"/>
      <c r="FX70" s="1290"/>
      <c r="FY70" s="1290"/>
      <c r="FZ70" s="1290"/>
      <c r="GA70" s="1290"/>
      <c r="GB70" s="1290"/>
      <c r="GC70" s="1290"/>
      <c r="GD70" s="1290"/>
      <c r="GE70" s="1290"/>
      <c r="GF70" s="1290"/>
      <c r="GG70" s="1290"/>
      <c r="GH70" s="1290"/>
      <c r="GI70" s="1290"/>
      <c r="GJ70" s="1290"/>
      <c r="GK70" s="1290"/>
      <c r="GL70" s="1290"/>
      <c r="GM70" s="1290"/>
      <c r="GN70" s="1290"/>
      <c r="GO70" s="1290"/>
      <c r="GP70" s="1290"/>
      <c r="GQ70" s="1290"/>
      <c r="GR70" s="1290"/>
      <c r="GS70" s="1290"/>
      <c r="GT70" s="1290"/>
      <c r="GU70" s="1290"/>
      <c r="GV70" s="1290"/>
      <c r="GW70" s="1290"/>
      <c r="GX70" s="1290"/>
      <c r="GY70" s="1290"/>
      <c r="GZ70" s="1290"/>
      <c r="HA70" s="1290"/>
      <c r="HB70" s="1290"/>
      <c r="HC70" s="1290"/>
      <c r="HD70" s="1290"/>
      <c r="HE70" s="1290"/>
      <c r="HF70" s="1290"/>
      <c r="HG70" s="1290"/>
      <c r="HH70" s="1290"/>
      <c r="HI70" s="1290"/>
      <c r="HJ70" s="1290"/>
      <c r="HK70" s="1290"/>
      <c r="HL70" s="1290"/>
      <c r="HM70" s="1290"/>
      <c r="HN70" s="1290"/>
      <c r="HO70" s="1290"/>
    </row>
    <row r="71" spans="1:223" s="1291" customFormat="1" ht="15.75">
      <c r="A71" s="1281"/>
      <c r="B71" s="1281"/>
      <c r="C71" s="1281"/>
      <c r="D71" s="1292" t="s">
        <v>209</v>
      </c>
      <c r="E71" s="1292" t="s">
        <v>227</v>
      </c>
      <c r="F71" s="1292" t="s">
        <v>210</v>
      </c>
      <c r="G71" s="1284"/>
      <c r="H71" s="1284"/>
      <c r="I71" s="1284"/>
      <c r="J71" s="1285"/>
      <c r="K71" s="1286"/>
      <c r="L71" s="1287"/>
      <c r="M71" s="1287"/>
      <c r="N71" s="1287"/>
      <c r="O71" s="1287"/>
      <c r="P71" s="1287"/>
      <c r="Q71" s="1287"/>
      <c r="R71" s="1287"/>
      <c r="S71" s="1293"/>
      <c r="T71" s="1293"/>
      <c r="U71" s="1293"/>
      <c r="V71" s="1293"/>
      <c r="W71" s="1292" t="s">
        <v>209</v>
      </c>
      <c r="X71" s="1292" t="s">
        <v>227</v>
      </c>
      <c r="Y71" s="1292" t="s">
        <v>210</v>
      </c>
      <c r="Z71" s="1294"/>
      <c r="AA71" s="1292" t="s">
        <v>209</v>
      </c>
      <c r="AB71" s="1292" t="s">
        <v>227</v>
      </c>
      <c r="AC71" s="1292" t="s">
        <v>210</v>
      </c>
      <c r="AD71" s="1290"/>
      <c r="AE71" s="1290"/>
      <c r="AF71" s="1290"/>
      <c r="AG71" s="1290"/>
      <c r="AH71" s="1290"/>
      <c r="AI71" s="1290"/>
      <c r="AJ71" s="1290"/>
      <c r="AK71" s="1290"/>
      <c r="AL71" s="1290"/>
      <c r="AM71" s="1290"/>
      <c r="AN71" s="1290"/>
      <c r="AO71" s="1290"/>
      <c r="AP71" s="1290"/>
      <c r="AQ71" s="1290"/>
      <c r="AR71" s="1290"/>
      <c r="AS71" s="1290"/>
      <c r="AT71" s="1290"/>
      <c r="AU71" s="1290"/>
      <c r="AV71" s="1290"/>
      <c r="AW71" s="1290"/>
      <c r="AX71" s="1290"/>
      <c r="AY71" s="1290"/>
      <c r="AZ71" s="1290"/>
      <c r="BA71" s="1290"/>
      <c r="BB71" s="1290"/>
      <c r="BC71" s="1290"/>
      <c r="BD71" s="1290"/>
      <c r="BE71" s="1290"/>
      <c r="BF71" s="1290"/>
      <c r="BG71" s="1290"/>
      <c r="BH71" s="1290"/>
      <c r="BI71" s="1290"/>
      <c r="BJ71" s="1290"/>
      <c r="BK71" s="1290"/>
      <c r="BL71" s="1290"/>
      <c r="BM71" s="1290"/>
      <c r="BN71" s="1290"/>
      <c r="BO71" s="1290"/>
      <c r="BP71" s="1290"/>
      <c r="BQ71" s="1290"/>
      <c r="BR71" s="1290"/>
      <c r="BS71" s="1290"/>
      <c r="BT71" s="1290"/>
      <c r="BU71" s="1290"/>
      <c r="BV71" s="1290"/>
      <c r="BW71" s="1290"/>
      <c r="BX71" s="1290"/>
      <c r="BY71" s="1290"/>
      <c r="BZ71" s="1290"/>
      <c r="CA71" s="1290"/>
      <c r="CB71" s="1290"/>
      <c r="CC71" s="1290"/>
      <c r="CD71" s="1290"/>
      <c r="CE71" s="1290"/>
      <c r="CF71" s="1290"/>
      <c r="CG71" s="1290"/>
      <c r="CH71" s="1290"/>
      <c r="CI71" s="1290"/>
      <c r="CJ71" s="1290"/>
      <c r="CK71" s="1290"/>
      <c r="CL71" s="1290"/>
      <c r="CM71" s="1290"/>
      <c r="CN71" s="1290"/>
      <c r="CO71" s="1290"/>
      <c r="CP71" s="1290"/>
      <c r="CQ71" s="1290"/>
      <c r="CR71" s="1290"/>
      <c r="CS71" s="1290"/>
      <c r="CT71" s="1290"/>
      <c r="CU71" s="1290"/>
      <c r="CV71" s="1290"/>
      <c r="CW71" s="1290"/>
      <c r="CX71" s="1290"/>
      <c r="CY71" s="1290"/>
      <c r="CZ71" s="1290"/>
      <c r="DA71" s="1290"/>
      <c r="DB71" s="1290"/>
      <c r="DC71" s="1290"/>
      <c r="DD71" s="1290"/>
      <c r="DE71" s="1290"/>
      <c r="DF71" s="1290"/>
      <c r="DG71" s="1290"/>
      <c r="DH71" s="1290"/>
      <c r="DI71" s="1290"/>
      <c r="DJ71" s="1290"/>
      <c r="DK71" s="1290"/>
      <c r="DL71" s="1290"/>
      <c r="DM71" s="1290"/>
      <c r="DN71" s="1290"/>
      <c r="DO71" s="1290"/>
      <c r="DP71" s="1290"/>
      <c r="DQ71" s="1290"/>
      <c r="DR71" s="1290"/>
      <c r="DS71" s="1290"/>
      <c r="DT71" s="1290"/>
      <c r="DU71" s="1290"/>
      <c r="DV71" s="1290"/>
      <c r="DW71" s="1290"/>
      <c r="DX71" s="1290"/>
      <c r="DY71" s="1290"/>
      <c r="DZ71" s="1290"/>
      <c r="EA71" s="1290"/>
      <c r="EB71" s="1290"/>
      <c r="EC71" s="1290"/>
      <c r="ED71" s="1290"/>
      <c r="EE71" s="1290"/>
      <c r="EF71" s="1290"/>
      <c r="EG71" s="1290"/>
      <c r="EH71" s="1290"/>
      <c r="EI71" s="1290"/>
      <c r="EJ71" s="1290"/>
      <c r="EK71" s="1290"/>
      <c r="EL71" s="1290"/>
      <c r="EM71" s="1290"/>
      <c r="EN71" s="1290"/>
      <c r="EO71" s="1290"/>
      <c r="EP71" s="1290"/>
      <c r="EQ71" s="1290"/>
      <c r="ER71" s="1290"/>
      <c r="ES71" s="1290"/>
      <c r="ET71" s="1290"/>
      <c r="EU71" s="1290"/>
      <c r="EV71" s="1290"/>
      <c r="EW71" s="1290"/>
      <c r="EX71" s="1290"/>
      <c r="EY71" s="1290"/>
      <c r="EZ71" s="1290"/>
      <c r="FA71" s="1290"/>
      <c r="FB71" s="1290"/>
      <c r="FC71" s="1290"/>
      <c r="FD71" s="1290"/>
      <c r="FE71" s="1290"/>
      <c r="FF71" s="1290"/>
      <c r="FG71" s="1290"/>
      <c r="FH71" s="1290"/>
      <c r="FI71" s="1290"/>
      <c r="FJ71" s="1290"/>
      <c r="FK71" s="1290"/>
      <c r="FL71" s="1290"/>
      <c r="FM71" s="1290"/>
      <c r="FN71" s="1290"/>
      <c r="FO71" s="1290"/>
      <c r="FP71" s="1290"/>
      <c r="FQ71" s="1290"/>
      <c r="FR71" s="1290"/>
      <c r="FS71" s="1290"/>
      <c r="FT71" s="1290"/>
      <c r="FU71" s="1290"/>
      <c r="FV71" s="1290"/>
      <c r="FW71" s="1290"/>
      <c r="FX71" s="1290"/>
      <c r="FY71" s="1290"/>
      <c r="FZ71" s="1290"/>
      <c r="GA71" s="1290"/>
      <c r="GB71" s="1290"/>
      <c r="GC71" s="1290"/>
      <c r="GD71" s="1290"/>
      <c r="GE71" s="1290"/>
      <c r="GF71" s="1290"/>
      <c r="GG71" s="1290"/>
      <c r="GH71" s="1290"/>
      <c r="GI71" s="1290"/>
      <c r="GJ71" s="1290"/>
      <c r="GK71" s="1290"/>
      <c r="GL71" s="1290"/>
      <c r="GM71" s="1290"/>
      <c r="GN71" s="1290"/>
      <c r="GO71" s="1290"/>
      <c r="GP71" s="1290"/>
      <c r="GQ71" s="1290"/>
      <c r="GR71" s="1290"/>
      <c r="GS71" s="1290"/>
      <c r="GT71" s="1290"/>
      <c r="GU71" s="1290"/>
      <c r="GV71" s="1290"/>
      <c r="GW71" s="1290"/>
      <c r="GX71" s="1290"/>
      <c r="GY71" s="1290"/>
      <c r="GZ71" s="1290"/>
      <c r="HA71" s="1290"/>
      <c r="HB71" s="1290"/>
      <c r="HC71" s="1290"/>
      <c r="HD71" s="1290"/>
      <c r="HE71" s="1290"/>
      <c r="HF71" s="1290"/>
      <c r="HG71" s="1290"/>
      <c r="HH71" s="1290"/>
      <c r="HI71" s="1290"/>
      <c r="HJ71" s="1290"/>
      <c r="HK71" s="1290"/>
      <c r="HL71" s="1290"/>
      <c r="HM71" s="1290"/>
      <c r="HN71" s="1290"/>
      <c r="HO71" s="1290"/>
    </row>
    <row r="72" spans="1:223" s="1291" customFormat="1" ht="15.75">
      <c r="A72" s="1281"/>
      <c r="B72" s="1281"/>
      <c r="C72" s="1295" t="s">
        <v>228</v>
      </c>
      <c r="D72" s="1281"/>
      <c r="E72" s="1281"/>
      <c r="F72" s="1281"/>
      <c r="G72" s="1284"/>
      <c r="H72" s="1284"/>
      <c r="I72" s="1284"/>
      <c r="J72" s="1285"/>
      <c r="K72" s="1286"/>
      <c r="L72" s="1287"/>
      <c r="M72" s="1287"/>
      <c r="N72" s="1287"/>
      <c r="O72" s="1287"/>
      <c r="P72" s="1287"/>
      <c r="Q72" s="1287"/>
      <c r="R72" s="1287"/>
      <c r="S72" s="1281"/>
      <c r="T72" s="1295" t="s">
        <v>228</v>
      </c>
      <c r="U72" s="1281"/>
      <c r="V72" s="1282"/>
      <c r="W72" s="1288"/>
      <c r="X72" s="1281"/>
      <c r="Y72" s="1281"/>
      <c r="Z72" s="1281"/>
      <c r="AA72" s="1281"/>
      <c r="AB72" s="1281"/>
      <c r="AC72" s="1287"/>
      <c r="AD72" s="1290"/>
      <c r="AE72" s="1290"/>
      <c r="AF72" s="1290"/>
      <c r="AG72" s="1290"/>
      <c r="AH72" s="1290"/>
      <c r="AI72" s="1290"/>
      <c r="AJ72" s="1290"/>
      <c r="AK72" s="1290"/>
      <c r="AL72" s="1290"/>
      <c r="AM72" s="1290"/>
      <c r="AN72" s="1290"/>
      <c r="AO72" s="1290"/>
      <c r="AP72" s="1290"/>
      <c r="AQ72" s="1290"/>
      <c r="AR72" s="1290"/>
      <c r="AS72" s="1290"/>
      <c r="AT72" s="1290"/>
      <c r="AU72" s="1290"/>
      <c r="AV72" s="1290"/>
      <c r="AW72" s="1290"/>
      <c r="AX72" s="1290"/>
      <c r="AY72" s="1290"/>
      <c r="AZ72" s="1290"/>
      <c r="BA72" s="1290"/>
      <c r="BB72" s="1290"/>
      <c r="BC72" s="1290"/>
      <c r="BD72" s="1290"/>
      <c r="BE72" s="1290"/>
      <c r="BF72" s="1290"/>
      <c r="BG72" s="1290"/>
      <c r="BH72" s="1290"/>
      <c r="BI72" s="1290"/>
      <c r="BJ72" s="1290"/>
      <c r="BK72" s="1290"/>
      <c r="BL72" s="1290"/>
      <c r="BM72" s="1290"/>
      <c r="BN72" s="1290"/>
      <c r="BO72" s="1290"/>
      <c r="BP72" s="1290"/>
      <c r="BQ72" s="1290"/>
      <c r="BR72" s="1290"/>
      <c r="BS72" s="1290"/>
      <c r="BT72" s="1290"/>
      <c r="BU72" s="1290"/>
      <c r="BV72" s="1290"/>
      <c r="BW72" s="1290"/>
      <c r="BX72" s="1290"/>
      <c r="BY72" s="1290"/>
      <c r="BZ72" s="1290"/>
      <c r="CA72" s="1290"/>
      <c r="CB72" s="1290"/>
      <c r="CC72" s="1290"/>
      <c r="CD72" s="1290"/>
      <c r="CE72" s="1290"/>
      <c r="CF72" s="1290"/>
      <c r="CG72" s="1290"/>
      <c r="CH72" s="1290"/>
      <c r="CI72" s="1290"/>
      <c r="CJ72" s="1290"/>
      <c r="CK72" s="1290"/>
      <c r="CL72" s="1290"/>
      <c r="CM72" s="1290"/>
      <c r="CN72" s="1290"/>
      <c r="CO72" s="1290"/>
      <c r="CP72" s="1290"/>
      <c r="CQ72" s="1290"/>
      <c r="CR72" s="1290"/>
      <c r="CS72" s="1290"/>
      <c r="CT72" s="1290"/>
      <c r="CU72" s="1290"/>
      <c r="CV72" s="1290"/>
      <c r="CW72" s="1290"/>
      <c r="CX72" s="1290"/>
      <c r="CY72" s="1290"/>
      <c r="CZ72" s="1290"/>
      <c r="DA72" s="1290"/>
      <c r="DB72" s="1290"/>
      <c r="DC72" s="1290"/>
      <c r="DD72" s="1290"/>
      <c r="DE72" s="1290"/>
      <c r="DF72" s="1290"/>
      <c r="DG72" s="1290"/>
      <c r="DH72" s="1290"/>
      <c r="DI72" s="1290"/>
      <c r="DJ72" s="1290"/>
      <c r="DK72" s="1290"/>
      <c r="DL72" s="1290"/>
      <c r="DM72" s="1290"/>
      <c r="DN72" s="1290"/>
      <c r="DO72" s="1290"/>
      <c r="DP72" s="1290"/>
      <c r="DQ72" s="1290"/>
      <c r="DR72" s="1290"/>
      <c r="DS72" s="1290"/>
      <c r="DT72" s="1290"/>
      <c r="DU72" s="1290"/>
      <c r="DV72" s="1290"/>
      <c r="DW72" s="1290"/>
      <c r="DX72" s="1290"/>
      <c r="DY72" s="1290"/>
      <c r="DZ72" s="1290"/>
      <c r="EA72" s="1290"/>
      <c r="EB72" s="1290"/>
      <c r="EC72" s="1290"/>
      <c r="ED72" s="1290"/>
      <c r="EE72" s="1290"/>
      <c r="EF72" s="1290"/>
      <c r="EG72" s="1290"/>
      <c r="EH72" s="1290"/>
      <c r="EI72" s="1290"/>
      <c r="EJ72" s="1290"/>
      <c r="EK72" s="1290"/>
      <c r="EL72" s="1290"/>
      <c r="EM72" s="1290"/>
      <c r="EN72" s="1290"/>
      <c r="EO72" s="1290"/>
      <c r="EP72" s="1290"/>
      <c r="EQ72" s="1290"/>
      <c r="ER72" s="1290"/>
      <c r="ES72" s="1290"/>
      <c r="ET72" s="1290"/>
      <c r="EU72" s="1290"/>
      <c r="EV72" s="1290"/>
      <c r="EW72" s="1290"/>
      <c r="EX72" s="1290"/>
      <c r="EY72" s="1290"/>
      <c r="EZ72" s="1290"/>
      <c r="FA72" s="1290"/>
      <c r="FB72" s="1290"/>
      <c r="FC72" s="1290"/>
      <c r="FD72" s="1290"/>
      <c r="FE72" s="1290"/>
      <c r="FF72" s="1290"/>
      <c r="FG72" s="1290"/>
      <c r="FH72" s="1290"/>
      <c r="FI72" s="1290"/>
      <c r="FJ72" s="1290"/>
      <c r="FK72" s="1290"/>
      <c r="FL72" s="1290"/>
      <c r="FM72" s="1290"/>
      <c r="FN72" s="1290"/>
      <c r="FO72" s="1290"/>
      <c r="FP72" s="1290"/>
      <c r="FQ72" s="1290"/>
      <c r="FR72" s="1290"/>
      <c r="FS72" s="1290"/>
      <c r="FT72" s="1290"/>
      <c r="FU72" s="1290"/>
      <c r="FV72" s="1290"/>
      <c r="FW72" s="1290"/>
      <c r="FX72" s="1290"/>
      <c r="FY72" s="1290"/>
      <c r="FZ72" s="1290"/>
      <c r="GA72" s="1290"/>
      <c r="GB72" s="1290"/>
      <c r="GC72" s="1290"/>
      <c r="GD72" s="1290"/>
      <c r="GE72" s="1290"/>
      <c r="GF72" s="1290"/>
      <c r="GG72" s="1290"/>
      <c r="GH72" s="1290"/>
      <c r="GI72" s="1290"/>
      <c r="GJ72" s="1290"/>
      <c r="GK72" s="1290"/>
      <c r="GL72" s="1290"/>
      <c r="GM72" s="1290"/>
      <c r="GN72" s="1290"/>
      <c r="GO72" s="1290"/>
      <c r="GP72" s="1290"/>
      <c r="GQ72" s="1290"/>
      <c r="GR72" s="1290"/>
      <c r="GS72" s="1290"/>
      <c r="GT72" s="1290"/>
      <c r="GU72" s="1290"/>
      <c r="GV72" s="1290"/>
      <c r="GW72" s="1290"/>
      <c r="GX72" s="1290"/>
      <c r="GY72" s="1290"/>
      <c r="GZ72" s="1290"/>
      <c r="HA72" s="1290"/>
      <c r="HB72" s="1290"/>
      <c r="HC72" s="1290"/>
      <c r="HD72" s="1290"/>
      <c r="HE72" s="1290"/>
      <c r="HF72" s="1290"/>
      <c r="HG72" s="1290"/>
      <c r="HH72" s="1290"/>
      <c r="HI72" s="1290"/>
      <c r="HJ72" s="1290"/>
      <c r="HK72" s="1290"/>
      <c r="HL72" s="1290"/>
      <c r="HM72" s="1290"/>
      <c r="HN72" s="1290"/>
      <c r="HO72" s="1290"/>
    </row>
    <row r="73" spans="1:223" s="1291" customFormat="1" ht="15.75">
      <c r="A73" s="1281"/>
      <c r="B73" s="1281"/>
      <c r="C73" s="1281" t="s">
        <v>229</v>
      </c>
      <c r="D73" s="1296">
        <f>SUM(D9)</f>
        <v>924018</v>
      </c>
      <c r="E73" s="1296">
        <f>SUM(E9)</f>
        <v>887109</v>
      </c>
      <c r="F73" s="1296">
        <f>SUM(D73:E73)</f>
        <v>1811127</v>
      </c>
      <c r="G73" s="1284"/>
      <c r="H73" s="1284"/>
      <c r="I73" s="1284"/>
      <c r="J73" s="1285"/>
      <c r="K73" s="1286"/>
      <c r="L73" s="1287"/>
      <c r="M73" s="1287"/>
      <c r="N73" s="1287"/>
      <c r="O73" s="1287"/>
      <c r="P73" s="1287"/>
      <c r="Q73" s="1287"/>
      <c r="R73" s="1287"/>
      <c r="S73" s="1281"/>
      <c r="T73" s="1281" t="s">
        <v>229</v>
      </c>
      <c r="U73" s="1281"/>
      <c r="V73" s="1281"/>
      <c r="W73" s="1296">
        <f>SUM(X12)</f>
        <v>968597</v>
      </c>
      <c r="X73" s="1296">
        <f>Y12</f>
        <v>888834</v>
      </c>
      <c r="Y73" s="1296">
        <f>SUM(W73:X73)</f>
        <v>1857431</v>
      </c>
      <c r="Z73" s="1297"/>
      <c r="AA73" s="1296">
        <f aca="true" t="shared" si="0" ref="AA73:AB75">W73-D73</f>
        <v>44579</v>
      </c>
      <c r="AB73" s="1296">
        <f t="shared" si="0"/>
        <v>1725</v>
      </c>
      <c r="AC73" s="1297">
        <f>SUM(AA73:AB73)</f>
        <v>46304</v>
      </c>
      <c r="AD73" s="1290"/>
      <c r="AE73" s="1290"/>
      <c r="AF73" s="1290"/>
      <c r="AG73" s="1290"/>
      <c r="AH73" s="1290"/>
      <c r="AI73" s="1290"/>
      <c r="AJ73" s="1290"/>
      <c r="AK73" s="1290"/>
      <c r="AL73" s="1290"/>
      <c r="AM73" s="1290"/>
      <c r="AN73" s="1290"/>
      <c r="AO73" s="1290"/>
      <c r="AP73" s="1290"/>
      <c r="AQ73" s="1290"/>
      <c r="AR73" s="1290"/>
      <c r="AS73" s="1290"/>
      <c r="AT73" s="1290"/>
      <c r="AU73" s="1290"/>
      <c r="AV73" s="1290"/>
      <c r="AW73" s="1290"/>
      <c r="AX73" s="1290"/>
      <c r="AY73" s="1290"/>
      <c r="AZ73" s="1290"/>
      <c r="BA73" s="1290"/>
      <c r="BB73" s="1290"/>
      <c r="BC73" s="1290"/>
      <c r="BD73" s="1290"/>
      <c r="BE73" s="1290"/>
      <c r="BF73" s="1290"/>
      <c r="BG73" s="1290"/>
      <c r="BH73" s="1290"/>
      <c r="BI73" s="1290"/>
      <c r="BJ73" s="1290"/>
      <c r="BK73" s="1290"/>
      <c r="BL73" s="1290"/>
      <c r="BM73" s="1290"/>
      <c r="BN73" s="1290"/>
      <c r="BO73" s="1290"/>
      <c r="BP73" s="1290"/>
      <c r="BQ73" s="1290"/>
      <c r="BR73" s="1290"/>
      <c r="BS73" s="1290"/>
      <c r="BT73" s="1290"/>
      <c r="BU73" s="1290"/>
      <c r="BV73" s="1290"/>
      <c r="BW73" s="1290"/>
      <c r="BX73" s="1290"/>
      <c r="BY73" s="1290"/>
      <c r="BZ73" s="1290"/>
      <c r="CA73" s="1290"/>
      <c r="CB73" s="1290"/>
      <c r="CC73" s="1290"/>
      <c r="CD73" s="1290"/>
      <c r="CE73" s="1290"/>
      <c r="CF73" s="1290"/>
      <c r="CG73" s="1290"/>
      <c r="CH73" s="1290"/>
      <c r="CI73" s="1290"/>
      <c r="CJ73" s="1290"/>
      <c r="CK73" s="1290"/>
      <c r="CL73" s="1290"/>
      <c r="CM73" s="1290"/>
      <c r="CN73" s="1290"/>
      <c r="CO73" s="1290"/>
      <c r="CP73" s="1290"/>
      <c r="CQ73" s="1290"/>
      <c r="CR73" s="1290"/>
      <c r="CS73" s="1290"/>
      <c r="CT73" s="1290"/>
      <c r="CU73" s="1290"/>
      <c r="CV73" s="1290"/>
      <c r="CW73" s="1290"/>
      <c r="CX73" s="1290"/>
      <c r="CY73" s="1290"/>
      <c r="CZ73" s="1290"/>
      <c r="DA73" s="1290"/>
      <c r="DB73" s="1290"/>
      <c r="DC73" s="1290"/>
      <c r="DD73" s="1290"/>
      <c r="DE73" s="1290"/>
      <c r="DF73" s="1290"/>
      <c r="DG73" s="1290"/>
      <c r="DH73" s="1290"/>
      <c r="DI73" s="1290"/>
      <c r="DJ73" s="1290"/>
      <c r="DK73" s="1290"/>
      <c r="DL73" s="1290"/>
      <c r="DM73" s="1290"/>
      <c r="DN73" s="1290"/>
      <c r="DO73" s="1290"/>
      <c r="DP73" s="1290"/>
      <c r="DQ73" s="1290"/>
      <c r="DR73" s="1290"/>
      <c r="DS73" s="1290"/>
      <c r="DT73" s="1290"/>
      <c r="DU73" s="1290"/>
      <c r="DV73" s="1290"/>
      <c r="DW73" s="1290"/>
      <c r="DX73" s="1290"/>
      <c r="DY73" s="1290"/>
      <c r="DZ73" s="1290"/>
      <c r="EA73" s="1290"/>
      <c r="EB73" s="1290"/>
      <c r="EC73" s="1290"/>
      <c r="ED73" s="1290"/>
      <c r="EE73" s="1290"/>
      <c r="EF73" s="1290"/>
      <c r="EG73" s="1290"/>
      <c r="EH73" s="1290"/>
      <c r="EI73" s="1290"/>
      <c r="EJ73" s="1290"/>
      <c r="EK73" s="1290"/>
      <c r="EL73" s="1290"/>
      <c r="EM73" s="1290"/>
      <c r="EN73" s="1290"/>
      <c r="EO73" s="1290"/>
      <c r="EP73" s="1290"/>
      <c r="EQ73" s="1290"/>
      <c r="ER73" s="1290"/>
      <c r="ES73" s="1290"/>
      <c r="ET73" s="1290"/>
      <c r="EU73" s="1290"/>
      <c r="EV73" s="1290"/>
      <c r="EW73" s="1290"/>
      <c r="EX73" s="1290"/>
      <c r="EY73" s="1290"/>
      <c r="EZ73" s="1290"/>
      <c r="FA73" s="1290"/>
      <c r="FB73" s="1290"/>
      <c r="FC73" s="1290"/>
      <c r="FD73" s="1290"/>
      <c r="FE73" s="1290"/>
      <c r="FF73" s="1290"/>
      <c r="FG73" s="1290"/>
      <c r="FH73" s="1290"/>
      <c r="FI73" s="1290"/>
      <c r="FJ73" s="1290"/>
      <c r="FK73" s="1290"/>
      <c r="FL73" s="1290"/>
      <c r="FM73" s="1290"/>
      <c r="FN73" s="1290"/>
      <c r="FO73" s="1290"/>
      <c r="FP73" s="1290"/>
      <c r="FQ73" s="1290"/>
      <c r="FR73" s="1290"/>
      <c r="FS73" s="1290"/>
      <c r="FT73" s="1290"/>
      <c r="FU73" s="1290"/>
      <c r="FV73" s="1290"/>
      <c r="FW73" s="1290"/>
      <c r="FX73" s="1290"/>
      <c r="FY73" s="1290"/>
      <c r="FZ73" s="1290"/>
      <c r="GA73" s="1290"/>
      <c r="GB73" s="1290"/>
      <c r="GC73" s="1290"/>
      <c r="GD73" s="1290"/>
      <c r="GE73" s="1290"/>
      <c r="GF73" s="1290"/>
      <c r="GG73" s="1290"/>
      <c r="GH73" s="1290"/>
      <c r="GI73" s="1290"/>
      <c r="GJ73" s="1290"/>
      <c r="GK73" s="1290"/>
      <c r="GL73" s="1290"/>
      <c r="GM73" s="1290"/>
      <c r="GN73" s="1290"/>
      <c r="GO73" s="1290"/>
      <c r="GP73" s="1290"/>
      <c r="GQ73" s="1290"/>
      <c r="GR73" s="1290"/>
      <c r="GS73" s="1290"/>
      <c r="GT73" s="1290"/>
      <c r="GU73" s="1290"/>
      <c r="GV73" s="1290"/>
      <c r="GW73" s="1290"/>
      <c r="GX73" s="1290"/>
      <c r="GY73" s="1290"/>
      <c r="GZ73" s="1290"/>
      <c r="HA73" s="1290"/>
      <c r="HB73" s="1290"/>
      <c r="HC73" s="1290"/>
      <c r="HD73" s="1290"/>
      <c r="HE73" s="1290"/>
      <c r="HF73" s="1290"/>
      <c r="HG73" s="1290"/>
      <c r="HH73" s="1290"/>
      <c r="HI73" s="1290"/>
      <c r="HJ73" s="1290"/>
      <c r="HK73" s="1290"/>
      <c r="HL73" s="1290"/>
      <c r="HM73" s="1290"/>
      <c r="HN73" s="1290"/>
      <c r="HO73" s="1290"/>
    </row>
    <row r="74" spans="1:223" s="1291" customFormat="1" ht="15.75">
      <c r="A74" s="1281"/>
      <c r="B74" s="1281"/>
      <c r="C74" s="1281" t="s">
        <v>650</v>
      </c>
      <c r="D74" s="1296">
        <f>SUM(D41)</f>
        <v>183990</v>
      </c>
      <c r="E74" s="1296">
        <f>SUM(E41)</f>
        <v>445</v>
      </c>
      <c r="F74" s="1296">
        <f>SUM(D74:E74)</f>
        <v>184435</v>
      </c>
      <c r="G74" s="1284"/>
      <c r="H74" s="1284"/>
      <c r="I74" s="1284"/>
      <c r="J74" s="1285"/>
      <c r="K74" s="1286"/>
      <c r="L74" s="1287"/>
      <c r="M74" s="1287"/>
      <c r="N74" s="1287"/>
      <c r="O74" s="1287"/>
      <c r="P74" s="1287"/>
      <c r="Q74" s="1287"/>
      <c r="R74" s="1287"/>
      <c r="S74" s="1281"/>
      <c r="T74" s="1281" t="s">
        <v>650</v>
      </c>
      <c r="U74" s="1281"/>
      <c r="V74" s="1281"/>
      <c r="W74" s="1296">
        <f>SUM(X41)</f>
        <v>194064</v>
      </c>
      <c r="X74" s="1296">
        <f>Y41</f>
        <v>0</v>
      </c>
      <c r="Y74" s="1296">
        <f>SUM(W74:X74)</f>
        <v>194064</v>
      </c>
      <c r="Z74" s="1297"/>
      <c r="AA74" s="1296">
        <f t="shared" si="0"/>
        <v>10074</v>
      </c>
      <c r="AB74" s="1296">
        <f t="shared" si="0"/>
        <v>-445</v>
      </c>
      <c r="AC74" s="1297">
        <f>SUM(AA74:AB74)</f>
        <v>9629</v>
      </c>
      <c r="AD74" s="1290"/>
      <c r="AE74" s="1290"/>
      <c r="AF74" s="1290"/>
      <c r="AG74" s="1290"/>
      <c r="AH74" s="1290"/>
      <c r="AI74" s="1290"/>
      <c r="AJ74" s="1290"/>
      <c r="AK74" s="1290"/>
      <c r="AL74" s="1290"/>
      <c r="AM74" s="1290"/>
      <c r="AN74" s="1290"/>
      <c r="AO74" s="1290"/>
      <c r="AP74" s="1290"/>
      <c r="AQ74" s="1290"/>
      <c r="AR74" s="1290"/>
      <c r="AS74" s="1290"/>
      <c r="AT74" s="1290"/>
      <c r="AU74" s="1290"/>
      <c r="AV74" s="1290"/>
      <c r="AW74" s="1290"/>
      <c r="AX74" s="1290"/>
      <c r="AY74" s="1290"/>
      <c r="AZ74" s="1290"/>
      <c r="BA74" s="1290"/>
      <c r="BB74" s="1290"/>
      <c r="BC74" s="1290"/>
      <c r="BD74" s="1290"/>
      <c r="BE74" s="1290"/>
      <c r="BF74" s="1290"/>
      <c r="BG74" s="1290"/>
      <c r="BH74" s="1290"/>
      <c r="BI74" s="1290"/>
      <c r="BJ74" s="1290"/>
      <c r="BK74" s="1290"/>
      <c r="BL74" s="1290"/>
      <c r="BM74" s="1290"/>
      <c r="BN74" s="1290"/>
      <c r="BO74" s="1290"/>
      <c r="BP74" s="1290"/>
      <c r="BQ74" s="1290"/>
      <c r="BR74" s="1290"/>
      <c r="BS74" s="1290"/>
      <c r="BT74" s="1290"/>
      <c r="BU74" s="1290"/>
      <c r="BV74" s="1290"/>
      <c r="BW74" s="1290"/>
      <c r="BX74" s="1290"/>
      <c r="BY74" s="1290"/>
      <c r="BZ74" s="1290"/>
      <c r="CA74" s="1290"/>
      <c r="CB74" s="1290"/>
      <c r="CC74" s="1290"/>
      <c r="CD74" s="1290"/>
      <c r="CE74" s="1290"/>
      <c r="CF74" s="1290"/>
      <c r="CG74" s="1290"/>
      <c r="CH74" s="1290"/>
      <c r="CI74" s="1290"/>
      <c r="CJ74" s="1290"/>
      <c r="CK74" s="1290"/>
      <c r="CL74" s="1290"/>
      <c r="CM74" s="1290"/>
      <c r="CN74" s="1290"/>
      <c r="CO74" s="1290"/>
      <c r="CP74" s="1290"/>
      <c r="CQ74" s="1290"/>
      <c r="CR74" s="1290"/>
      <c r="CS74" s="1290"/>
      <c r="CT74" s="1290"/>
      <c r="CU74" s="1290"/>
      <c r="CV74" s="1290"/>
      <c r="CW74" s="1290"/>
      <c r="CX74" s="1290"/>
      <c r="CY74" s="1290"/>
      <c r="CZ74" s="1290"/>
      <c r="DA74" s="1290"/>
      <c r="DB74" s="1290"/>
      <c r="DC74" s="1290"/>
      <c r="DD74" s="1290"/>
      <c r="DE74" s="1290"/>
      <c r="DF74" s="1290"/>
      <c r="DG74" s="1290"/>
      <c r="DH74" s="1290"/>
      <c r="DI74" s="1290"/>
      <c r="DJ74" s="1290"/>
      <c r="DK74" s="1290"/>
      <c r="DL74" s="1290"/>
      <c r="DM74" s="1290"/>
      <c r="DN74" s="1290"/>
      <c r="DO74" s="1290"/>
      <c r="DP74" s="1290"/>
      <c r="DQ74" s="1290"/>
      <c r="DR74" s="1290"/>
      <c r="DS74" s="1290"/>
      <c r="DT74" s="1290"/>
      <c r="DU74" s="1290"/>
      <c r="DV74" s="1290"/>
      <c r="DW74" s="1290"/>
      <c r="DX74" s="1290"/>
      <c r="DY74" s="1290"/>
      <c r="DZ74" s="1290"/>
      <c r="EA74" s="1290"/>
      <c r="EB74" s="1290"/>
      <c r="EC74" s="1290"/>
      <c r="ED74" s="1290"/>
      <c r="EE74" s="1290"/>
      <c r="EF74" s="1290"/>
      <c r="EG74" s="1290"/>
      <c r="EH74" s="1290"/>
      <c r="EI74" s="1290"/>
      <c r="EJ74" s="1290"/>
      <c r="EK74" s="1290"/>
      <c r="EL74" s="1290"/>
      <c r="EM74" s="1290"/>
      <c r="EN74" s="1290"/>
      <c r="EO74" s="1290"/>
      <c r="EP74" s="1290"/>
      <c r="EQ74" s="1290"/>
      <c r="ER74" s="1290"/>
      <c r="ES74" s="1290"/>
      <c r="ET74" s="1290"/>
      <c r="EU74" s="1290"/>
      <c r="EV74" s="1290"/>
      <c r="EW74" s="1290"/>
      <c r="EX74" s="1290"/>
      <c r="EY74" s="1290"/>
      <c r="EZ74" s="1290"/>
      <c r="FA74" s="1290"/>
      <c r="FB74" s="1290"/>
      <c r="FC74" s="1290"/>
      <c r="FD74" s="1290"/>
      <c r="FE74" s="1290"/>
      <c r="FF74" s="1290"/>
      <c r="FG74" s="1290"/>
      <c r="FH74" s="1290"/>
      <c r="FI74" s="1290"/>
      <c r="FJ74" s="1290"/>
      <c r="FK74" s="1290"/>
      <c r="FL74" s="1290"/>
      <c r="FM74" s="1290"/>
      <c r="FN74" s="1290"/>
      <c r="FO74" s="1290"/>
      <c r="FP74" s="1290"/>
      <c r="FQ74" s="1290"/>
      <c r="FR74" s="1290"/>
      <c r="FS74" s="1290"/>
      <c r="FT74" s="1290"/>
      <c r="FU74" s="1290"/>
      <c r="FV74" s="1290"/>
      <c r="FW74" s="1290"/>
      <c r="FX74" s="1290"/>
      <c r="FY74" s="1290"/>
      <c r="FZ74" s="1290"/>
      <c r="GA74" s="1290"/>
      <c r="GB74" s="1290"/>
      <c r="GC74" s="1290"/>
      <c r="GD74" s="1290"/>
      <c r="GE74" s="1290"/>
      <c r="GF74" s="1290"/>
      <c r="GG74" s="1290"/>
      <c r="GH74" s="1290"/>
      <c r="GI74" s="1290"/>
      <c r="GJ74" s="1290"/>
      <c r="GK74" s="1290"/>
      <c r="GL74" s="1290"/>
      <c r="GM74" s="1290"/>
      <c r="GN74" s="1290"/>
      <c r="GO74" s="1290"/>
      <c r="GP74" s="1290"/>
      <c r="GQ74" s="1290"/>
      <c r="GR74" s="1290"/>
      <c r="GS74" s="1290"/>
      <c r="GT74" s="1290"/>
      <c r="GU74" s="1290"/>
      <c r="GV74" s="1290"/>
      <c r="GW74" s="1290"/>
      <c r="GX74" s="1290"/>
      <c r="GY74" s="1290"/>
      <c r="GZ74" s="1290"/>
      <c r="HA74" s="1290"/>
      <c r="HB74" s="1290"/>
      <c r="HC74" s="1290"/>
      <c r="HD74" s="1290"/>
      <c r="HE74" s="1290"/>
      <c r="HF74" s="1290"/>
      <c r="HG74" s="1290"/>
      <c r="HH74" s="1290"/>
      <c r="HI74" s="1290"/>
      <c r="HJ74" s="1290"/>
      <c r="HK74" s="1290"/>
      <c r="HL74" s="1290"/>
      <c r="HM74" s="1290"/>
      <c r="HN74" s="1290"/>
      <c r="HO74" s="1290"/>
    </row>
    <row r="75" spans="1:223" s="1291" customFormat="1" ht="12.75">
      <c r="A75" s="1281"/>
      <c r="B75" s="1281"/>
      <c r="C75" s="1298" t="s">
        <v>230</v>
      </c>
      <c r="D75" s="1299">
        <f>SUM(D58)</f>
        <v>202070</v>
      </c>
      <c r="E75" s="1299">
        <f>SUM(E58)</f>
        <v>1204</v>
      </c>
      <c r="F75" s="1299">
        <f>SUM(D75:E75)</f>
        <v>203274</v>
      </c>
      <c r="G75" s="1281"/>
      <c r="H75" s="1281"/>
      <c r="I75" s="1281"/>
      <c r="J75" s="1281"/>
      <c r="K75" s="1287"/>
      <c r="L75" s="1287"/>
      <c r="M75" s="1287"/>
      <c r="N75" s="1287"/>
      <c r="O75" s="1287"/>
      <c r="P75" s="1287"/>
      <c r="Q75" s="1287"/>
      <c r="R75" s="1287"/>
      <c r="S75" s="1281"/>
      <c r="T75" s="1298" t="s">
        <v>230</v>
      </c>
      <c r="U75" s="1300"/>
      <c r="V75" s="1300"/>
      <c r="W75" s="1299">
        <f>SUM(X58)</f>
        <v>170971</v>
      </c>
      <c r="X75" s="1299">
        <f>Y58</f>
        <v>0</v>
      </c>
      <c r="Y75" s="1299">
        <f>SUM(W75:X75)</f>
        <v>170971</v>
      </c>
      <c r="Z75" s="1297"/>
      <c r="AA75" s="1299">
        <f t="shared" si="0"/>
        <v>-31099</v>
      </c>
      <c r="AB75" s="1299">
        <f t="shared" si="0"/>
        <v>-1204</v>
      </c>
      <c r="AC75" s="1299">
        <f>SUM(AA75:AB75)</f>
        <v>-32303</v>
      </c>
      <c r="AD75" s="1290"/>
      <c r="AE75" s="1290"/>
      <c r="AF75" s="1290"/>
      <c r="AG75" s="1290"/>
      <c r="AH75" s="1290"/>
      <c r="AI75" s="1290"/>
      <c r="AJ75" s="1290"/>
      <c r="AK75" s="1290"/>
      <c r="AL75" s="1290"/>
      <c r="AM75" s="1290"/>
      <c r="AN75" s="1290"/>
      <c r="AO75" s="1290"/>
      <c r="AP75" s="1290"/>
      <c r="AQ75" s="1290"/>
      <c r="AR75" s="1290"/>
      <c r="AS75" s="1290"/>
      <c r="AT75" s="1290"/>
      <c r="AU75" s="1290"/>
      <c r="AV75" s="1290"/>
      <c r="AW75" s="1290"/>
      <c r="AX75" s="1290"/>
      <c r="AY75" s="1290"/>
      <c r="AZ75" s="1290"/>
      <c r="BA75" s="1290"/>
      <c r="BB75" s="1290"/>
      <c r="BC75" s="1290"/>
      <c r="BD75" s="1290"/>
      <c r="BE75" s="1290"/>
      <c r="BF75" s="1290"/>
      <c r="BG75" s="1290"/>
      <c r="BH75" s="1290"/>
      <c r="BI75" s="1290"/>
      <c r="BJ75" s="1290"/>
      <c r="BK75" s="1290"/>
      <c r="BL75" s="1290"/>
      <c r="BM75" s="1290"/>
      <c r="BN75" s="1290"/>
      <c r="BO75" s="1290"/>
      <c r="BP75" s="1290"/>
      <c r="BQ75" s="1290"/>
      <c r="BR75" s="1290"/>
      <c r="BS75" s="1290"/>
      <c r="BT75" s="1290"/>
      <c r="BU75" s="1290"/>
      <c r="BV75" s="1290"/>
      <c r="BW75" s="1290"/>
      <c r="BX75" s="1290"/>
      <c r="BY75" s="1290"/>
      <c r="BZ75" s="1290"/>
      <c r="CA75" s="1290"/>
      <c r="CB75" s="1290"/>
      <c r="CC75" s="1290"/>
      <c r="CD75" s="1290"/>
      <c r="CE75" s="1290"/>
      <c r="CF75" s="1290"/>
      <c r="CG75" s="1290"/>
      <c r="CH75" s="1290"/>
      <c r="CI75" s="1290"/>
      <c r="CJ75" s="1290"/>
      <c r="CK75" s="1290"/>
      <c r="CL75" s="1290"/>
      <c r="CM75" s="1290"/>
      <c r="CN75" s="1290"/>
      <c r="CO75" s="1290"/>
      <c r="CP75" s="1290"/>
      <c r="CQ75" s="1290"/>
      <c r="CR75" s="1290"/>
      <c r="CS75" s="1290"/>
      <c r="CT75" s="1290"/>
      <c r="CU75" s="1290"/>
      <c r="CV75" s="1290"/>
      <c r="CW75" s="1290"/>
      <c r="CX75" s="1290"/>
      <c r="CY75" s="1290"/>
      <c r="CZ75" s="1290"/>
      <c r="DA75" s="1290"/>
      <c r="DB75" s="1290"/>
      <c r="DC75" s="1290"/>
      <c r="DD75" s="1290"/>
      <c r="DE75" s="1290"/>
      <c r="DF75" s="1290"/>
      <c r="DG75" s="1290"/>
      <c r="DH75" s="1290"/>
      <c r="DI75" s="1290"/>
      <c r="DJ75" s="1290"/>
      <c r="DK75" s="1290"/>
      <c r="DL75" s="1290"/>
      <c r="DM75" s="1290"/>
      <c r="DN75" s="1290"/>
      <c r="DO75" s="1290"/>
      <c r="DP75" s="1290"/>
      <c r="DQ75" s="1290"/>
      <c r="DR75" s="1290"/>
      <c r="DS75" s="1290"/>
      <c r="DT75" s="1290"/>
      <c r="DU75" s="1290"/>
      <c r="DV75" s="1290"/>
      <c r="DW75" s="1290"/>
      <c r="DX75" s="1290"/>
      <c r="DY75" s="1290"/>
      <c r="DZ75" s="1290"/>
      <c r="EA75" s="1290"/>
      <c r="EB75" s="1290"/>
      <c r="EC75" s="1290"/>
      <c r="ED75" s="1290"/>
      <c r="EE75" s="1290"/>
      <c r="EF75" s="1290"/>
      <c r="EG75" s="1290"/>
      <c r="EH75" s="1290"/>
      <c r="EI75" s="1290"/>
      <c r="EJ75" s="1290"/>
      <c r="EK75" s="1290"/>
      <c r="EL75" s="1290"/>
      <c r="EM75" s="1290"/>
      <c r="EN75" s="1290"/>
      <c r="EO75" s="1290"/>
      <c r="EP75" s="1290"/>
      <c r="EQ75" s="1290"/>
      <c r="ER75" s="1290"/>
      <c r="ES75" s="1290"/>
      <c r="ET75" s="1290"/>
      <c r="EU75" s="1290"/>
      <c r="EV75" s="1290"/>
      <c r="EW75" s="1290"/>
      <c r="EX75" s="1290"/>
      <c r="EY75" s="1290"/>
      <c r="EZ75" s="1290"/>
      <c r="FA75" s="1290"/>
      <c r="FB75" s="1290"/>
      <c r="FC75" s="1290"/>
      <c r="FD75" s="1290"/>
      <c r="FE75" s="1290"/>
      <c r="FF75" s="1290"/>
      <c r="FG75" s="1290"/>
      <c r="FH75" s="1290"/>
      <c r="FI75" s="1290"/>
      <c r="FJ75" s="1290"/>
      <c r="FK75" s="1290"/>
      <c r="FL75" s="1290"/>
      <c r="FM75" s="1290"/>
      <c r="FN75" s="1290"/>
      <c r="FO75" s="1290"/>
      <c r="FP75" s="1290"/>
      <c r="FQ75" s="1290"/>
      <c r="FR75" s="1290"/>
      <c r="FS75" s="1290"/>
      <c r="FT75" s="1290"/>
      <c r="FU75" s="1290"/>
      <c r="FV75" s="1290"/>
      <c r="FW75" s="1290"/>
      <c r="FX75" s="1290"/>
      <c r="FY75" s="1290"/>
      <c r="FZ75" s="1290"/>
      <c r="GA75" s="1290"/>
      <c r="GB75" s="1290"/>
      <c r="GC75" s="1290"/>
      <c r="GD75" s="1290"/>
      <c r="GE75" s="1290"/>
      <c r="GF75" s="1290"/>
      <c r="GG75" s="1290"/>
      <c r="GH75" s="1290"/>
      <c r="GI75" s="1290"/>
      <c r="GJ75" s="1290"/>
      <c r="GK75" s="1290"/>
      <c r="GL75" s="1290"/>
      <c r="GM75" s="1290"/>
      <c r="GN75" s="1290"/>
      <c r="GO75" s="1290"/>
      <c r="GP75" s="1290"/>
      <c r="GQ75" s="1290"/>
      <c r="GR75" s="1290"/>
      <c r="GS75" s="1290"/>
      <c r="GT75" s="1290"/>
      <c r="GU75" s="1290"/>
      <c r="GV75" s="1290"/>
      <c r="GW75" s="1290"/>
      <c r="GX75" s="1290"/>
      <c r="GY75" s="1290"/>
      <c r="GZ75" s="1290"/>
      <c r="HA75" s="1290"/>
      <c r="HB75" s="1290"/>
      <c r="HC75" s="1290"/>
      <c r="HD75" s="1290"/>
      <c r="HE75" s="1290"/>
      <c r="HF75" s="1290"/>
      <c r="HG75" s="1290"/>
      <c r="HH75" s="1290"/>
      <c r="HI75" s="1290"/>
      <c r="HJ75" s="1290"/>
      <c r="HK75" s="1290"/>
      <c r="HL75" s="1290"/>
      <c r="HM75" s="1290"/>
      <c r="HN75" s="1290"/>
      <c r="HO75" s="1290"/>
    </row>
    <row r="76" spans="1:223" s="1291" customFormat="1" ht="12.75">
      <c r="A76" s="1281"/>
      <c r="B76" s="1281"/>
      <c r="C76" s="1301" t="s">
        <v>639</v>
      </c>
      <c r="D76" s="1296">
        <f>SUM(D73:D75)</f>
        <v>1310078</v>
      </c>
      <c r="E76" s="1296">
        <f>SUM(E73:E75)</f>
        <v>888758</v>
      </c>
      <c r="F76" s="1296">
        <f>SUM(F73:F75)</f>
        <v>2198836</v>
      </c>
      <c r="G76" s="1281"/>
      <c r="H76" s="1281"/>
      <c r="I76" s="1281"/>
      <c r="J76" s="1281"/>
      <c r="K76" s="1287"/>
      <c r="L76" s="1287"/>
      <c r="M76" s="1287"/>
      <c r="N76" s="1287"/>
      <c r="O76" s="1287"/>
      <c r="P76" s="1287"/>
      <c r="Q76" s="1287"/>
      <c r="R76" s="1287"/>
      <c r="S76" s="1281"/>
      <c r="T76" s="1301" t="s">
        <v>639</v>
      </c>
      <c r="U76" s="1281"/>
      <c r="V76" s="1301"/>
      <c r="W76" s="1296">
        <f>SUM(W73:W75)</f>
        <v>1333632</v>
      </c>
      <c r="X76" s="1296">
        <f>SUM(X73:X75)</f>
        <v>888834</v>
      </c>
      <c r="Y76" s="1296">
        <f>SUM(Y73:Y75)</f>
        <v>2222466</v>
      </c>
      <c r="Z76" s="1297"/>
      <c r="AA76" s="1296">
        <f>SUM(AA73:AA75)</f>
        <v>23554</v>
      </c>
      <c r="AB76" s="1296">
        <f>SUM(AB73:AB75)</f>
        <v>76</v>
      </c>
      <c r="AC76" s="1296">
        <f>SUM(AC73:AC75)</f>
        <v>23630</v>
      </c>
      <c r="AD76" s="1290"/>
      <c r="AE76" s="1290"/>
      <c r="AF76" s="1290"/>
      <c r="AG76" s="1290"/>
      <c r="AH76" s="1290"/>
      <c r="AI76" s="1290"/>
      <c r="AJ76" s="1290"/>
      <c r="AK76" s="1290"/>
      <c r="AL76" s="1290"/>
      <c r="AM76" s="1290"/>
      <c r="AN76" s="1290"/>
      <c r="AO76" s="1290"/>
      <c r="AP76" s="1290"/>
      <c r="AQ76" s="1290"/>
      <c r="AR76" s="1290"/>
      <c r="AS76" s="1290"/>
      <c r="AT76" s="1290"/>
      <c r="AU76" s="1290"/>
      <c r="AV76" s="1290"/>
      <c r="AW76" s="1290"/>
      <c r="AX76" s="1290"/>
      <c r="AY76" s="1290"/>
      <c r="AZ76" s="1290"/>
      <c r="BA76" s="1290"/>
      <c r="BB76" s="1290"/>
      <c r="BC76" s="1290"/>
      <c r="BD76" s="1290"/>
      <c r="BE76" s="1290"/>
      <c r="BF76" s="1290"/>
      <c r="BG76" s="1290"/>
      <c r="BH76" s="1290"/>
      <c r="BI76" s="1290"/>
      <c r="BJ76" s="1290"/>
      <c r="BK76" s="1290"/>
      <c r="BL76" s="1290"/>
      <c r="BM76" s="1290"/>
      <c r="BN76" s="1290"/>
      <c r="BO76" s="1290"/>
      <c r="BP76" s="1290"/>
      <c r="BQ76" s="1290"/>
      <c r="BR76" s="1290"/>
      <c r="BS76" s="1290"/>
      <c r="BT76" s="1290"/>
      <c r="BU76" s="1290"/>
      <c r="BV76" s="1290"/>
      <c r="BW76" s="1290"/>
      <c r="BX76" s="1290"/>
      <c r="BY76" s="1290"/>
      <c r="BZ76" s="1290"/>
      <c r="CA76" s="1290"/>
      <c r="CB76" s="1290"/>
      <c r="CC76" s="1290"/>
      <c r="CD76" s="1290"/>
      <c r="CE76" s="1290"/>
      <c r="CF76" s="1290"/>
      <c r="CG76" s="1290"/>
      <c r="CH76" s="1290"/>
      <c r="CI76" s="1290"/>
      <c r="CJ76" s="1290"/>
      <c r="CK76" s="1290"/>
      <c r="CL76" s="1290"/>
      <c r="CM76" s="1290"/>
      <c r="CN76" s="1290"/>
      <c r="CO76" s="1290"/>
      <c r="CP76" s="1290"/>
      <c r="CQ76" s="1290"/>
      <c r="CR76" s="1290"/>
      <c r="CS76" s="1290"/>
      <c r="CT76" s="1290"/>
      <c r="CU76" s="1290"/>
      <c r="CV76" s="1290"/>
      <c r="CW76" s="1290"/>
      <c r="CX76" s="1290"/>
      <c r="CY76" s="1290"/>
      <c r="CZ76" s="1290"/>
      <c r="DA76" s="1290"/>
      <c r="DB76" s="1290"/>
      <c r="DC76" s="1290"/>
      <c r="DD76" s="1290"/>
      <c r="DE76" s="1290"/>
      <c r="DF76" s="1290"/>
      <c r="DG76" s="1290"/>
      <c r="DH76" s="1290"/>
      <c r="DI76" s="1290"/>
      <c r="DJ76" s="1290"/>
      <c r="DK76" s="1290"/>
      <c r="DL76" s="1290"/>
      <c r="DM76" s="1290"/>
      <c r="DN76" s="1290"/>
      <c r="DO76" s="1290"/>
      <c r="DP76" s="1290"/>
      <c r="DQ76" s="1290"/>
      <c r="DR76" s="1290"/>
      <c r="DS76" s="1290"/>
      <c r="DT76" s="1290"/>
      <c r="DU76" s="1290"/>
      <c r="DV76" s="1290"/>
      <c r="DW76" s="1290"/>
      <c r="DX76" s="1290"/>
      <c r="DY76" s="1290"/>
      <c r="DZ76" s="1290"/>
      <c r="EA76" s="1290"/>
      <c r="EB76" s="1290"/>
      <c r="EC76" s="1290"/>
      <c r="ED76" s="1290"/>
      <c r="EE76" s="1290"/>
      <c r="EF76" s="1290"/>
      <c r="EG76" s="1290"/>
      <c r="EH76" s="1290"/>
      <c r="EI76" s="1290"/>
      <c r="EJ76" s="1290"/>
      <c r="EK76" s="1290"/>
      <c r="EL76" s="1290"/>
      <c r="EM76" s="1290"/>
      <c r="EN76" s="1290"/>
      <c r="EO76" s="1290"/>
      <c r="EP76" s="1290"/>
      <c r="EQ76" s="1290"/>
      <c r="ER76" s="1290"/>
      <c r="ES76" s="1290"/>
      <c r="ET76" s="1290"/>
      <c r="EU76" s="1290"/>
      <c r="EV76" s="1290"/>
      <c r="EW76" s="1290"/>
      <c r="EX76" s="1290"/>
      <c r="EY76" s="1290"/>
      <c r="EZ76" s="1290"/>
      <c r="FA76" s="1290"/>
      <c r="FB76" s="1290"/>
      <c r="FC76" s="1290"/>
      <c r="FD76" s="1290"/>
      <c r="FE76" s="1290"/>
      <c r="FF76" s="1290"/>
      <c r="FG76" s="1290"/>
      <c r="FH76" s="1290"/>
      <c r="FI76" s="1290"/>
      <c r="FJ76" s="1290"/>
      <c r="FK76" s="1290"/>
      <c r="FL76" s="1290"/>
      <c r="FM76" s="1290"/>
      <c r="FN76" s="1290"/>
      <c r="FO76" s="1290"/>
      <c r="FP76" s="1290"/>
      <c r="FQ76" s="1290"/>
      <c r="FR76" s="1290"/>
      <c r="FS76" s="1290"/>
      <c r="FT76" s="1290"/>
      <c r="FU76" s="1290"/>
      <c r="FV76" s="1290"/>
      <c r="FW76" s="1290"/>
      <c r="FX76" s="1290"/>
      <c r="FY76" s="1290"/>
      <c r="FZ76" s="1290"/>
      <c r="GA76" s="1290"/>
      <c r="GB76" s="1290"/>
      <c r="GC76" s="1290"/>
      <c r="GD76" s="1290"/>
      <c r="GE76" s="1290"/>
      <c r="GF76" s="1290"/>
      <c r="GG76" s="1290"/>
      <c r="GH76" s="1290"/>
      <c r="GI76" s="1290"/>
      <c r="GJ76" s="1290"/>
      <c r="GK76" s="1290"/>
      <c r="GL76" s="1290"/>
      <c r="GM76" s="1290"/>
      <c r="GN76" s="1290"/>
      <c r="GO76" s="1290"/>
      <c r="GP76" s="1290"/>
      <c r="GQ76" s="1290"/>
      <c r="GR76" s="1290"/>
      <c r="GS76" s="1290"/>
      <c r="GT76" s="1290"/>
      <c r="GU76" s="1290"/>
      <c r="GV76" s="1290"/>
      <c r="GW76" s="1290"/>
      <c r="GX76" s="1290"/>
      <c r="GY76" s="1290"/>
      <c r="GZ76" s="1290"/>
      <c r="HA76" s="1290"/>
      <c r="HB76" s="1290"/>
      <c r="HC76" s="1290"/>
      <c r="HD76" s="1290"/>
      <c r="HE76" s="1290"/>
      <c r="HF76" s="1290"/>
      <c r="HG76" s="1290"/>
      <c r="HH76" s="1290"/>
      <c r="HI76" s="1290"/>
      <c r="HJ76" s="1290"/>
      <c r="HK76" s="1290"/>
      <c r="HL76" s="1290"/>
      <c r="HM76" s="1290"/>
      <c r="HN76" s="1290"/>
      <c r="HO76" s="1290"/>
    </row>
    <row r="77" spans="1:223" s="1291" customFormat="1" ht="12.75">
      <c r="A77" s="1281"/>
      <c r="B77" s="1281"/>
      <c r="C77" s="1281"/>
      <c r="D77" s="1296"/>
      <c r="E77" s="1296"/>
      <c r="F77" s="1296"/>
      <c r="G77" s="1281"/>
      <c r="H77" s="1281"/>
      <c r="I77" s="1281"/>
      <c r="J77" s="1281"/>
      <c r="K77" s="1281"/>
      <c r="L77" s="1287"/>
      <c r="M77" s="1287"/>
      <c r="N77" s="1287"/>
      <c r="O77" s="1287"/>
      <c r="P77" s="1287"/>
      <c r="Q77" s="1287"/>
      <c r="R77" s="1287"/>
      <c r="S77" s="1281"/>
      <c r="T77" s="1281"/>
      <c r="U77" s="1281"/>
      <c r="V77" s="1281"/>
      <c r="W77" s="1281"/>
      <c r="X77" s="1281"/>
      <c r="Y77" s="1281"/>
      <c r="Z77" s="1281"/>
      <c r="AA77" s="1281"/>
      <c r="AB77" s="1281"/>
      <c r="AC77" s="1287"/>
      <c r="AD77" s="1290"/>
      <c r="AE77" s="1290"/>
      <c r="AF77" s="1290"/>
      <c r="AG77" s="1290"/>
      <c r="AH77" s="1290"/>
      <c r="AI77" s="1290"/>
      <c r="AJ77" s="1290"/>
      <c r="AK77" s="1290"/>
      <c r="AL77" s="1290"/>
      <c r="AM77" s="1290"/>
      <c r="AN77" s="1290"/>
      <c r="AO77" s="1290"/>
      <c r="AP77" s="1290"/>
      <c r="AQ77" s="1290"/>
      <c r="AR77" s="1290"/>
      <c r="AS77" s="1290"/>
      <c r="AT77" s="1290"/>
      <c r="AU77" s="1290"/>
      <c r="AV77" s="1290"/>
      <c r="AW77" s="1290"/>
      <c r="AX77" s="1290"/>
      <c r="AY77" s="1290"/>
      <c r="AZ77" s="1290"/>
      <c r="BA77" s="1290"/>
      <c r="BB77" s="1290"/>
      <c r="BC77" s="1290"/>
      <c r="BD77" s="1290"/>
      <c r="BE77" s="1290"/>
      <c r="BF77" s="1290"/>
      <c r="BG77" s="1290"/>
      <c r="BH77" s="1290"/>
      <c r="BI77" s="1290"/>
      <c r="BJ77" s="1290"/>
      <c r="BK77" s="1290"/>
      <c r="BL77" s="1290"/>
      <c r="BM77" s="1290"/>
      <c r="BN77" s="1290"/>
      <c r="BO77" s="1290"/>
      <c r="BP77" s="1290"/>
      <c r="BQ77" s="1290"/>
      <c r="BR77" s="1290"/>
      <c r="BS77" s="1290"/>
      <c r="BT77" s="1290"/>
      <c r="BU77" s="1290"/>
      <c r="BV77" s="1290"/>
      <c r="BW77" s="1290"/>
      <c r="BX77" s="1290"/>
      <c r="BY77" s="1290"/>
      <c r="BZ77" s="1290"/>
      <c r="CA77" s="1290"/>
      <c r="CB77" s="1290"/>
      <c r="CC77" s="1290"/>
      <c r="CD77" s="1290"/>
      <c r="CE77" s="1290"/>
      <c r="CF77" s="1290"/>
      <c r="CG77" s="1290"/>
      <c r="CH77" s="1290"/>
      <c r="CI77" s="1290"/>
      <c r="CJ77" s="1290"/>
      <c r="CK77" s="1290"/>
      <c r="CL77" s="1290"/>
      <c r="CM77" s="1290"/>
      <c r="CN77" s="1290"/>
      <c r="CO77" s="1290"/>
      <c r="CP77" s="1290"/>
      <c r="CQ77" s="1290"/>
      <c r="CR77" s="1290"/>
      <c r="CS77" s="1290"/>
      <c r="CT77" s="1290"/>
      <c r="CU77" s="1290"/>
      <c r="CV77" s="1290"/>
      <c r="CW77" s="1290"/>
      <c r="CX77" s="1290"/>
      <c r="CY77" s="1290"/>
      <c r="CZ77" s="1290"/>
      <c r="DA77" s="1290"/>
      <c r="DB77" s="1290"/>
      <c r="DC77" s="1290"/>
      <c r="DD77" s="1290"/>
      <c r="DE77" s="1290"/>
      <c r="DF77" s="1290"/>
      <c r="DG77" s="1290"/>
      <c r="DH77" s="1290"/>
      <c r="DI77" s="1290"/>
      <c r="DJ77" s="1290"/>
      <c r="DK77" s="1290"/>
      <c r="DL77" s="1290"/>
      <c r="DM77" s="1290"/>
      <c r="DN77" s="1290"/>
      <c r="DO77" s="1290"/>
      <c r="DP77" s="1290"/>
      <c r="DQ77" s="1290"/>
      <c r="DR77" s="1290"/>
      <c r="DS77" s="1290"/>
      <c r="DT77" s="1290"/>
      <c r="DU77" s="1290"/>
      <c r="DV77" s="1290"/>
      <c r="DW77" s="1290"/>
      <c r="DX77" s="1290"/>
      <c r="DY77" s="1290"/>
      <c r="DZ77" s="1290"/>
      <c r="EA77" s="1290"/>
      <c r="EB77" s="1290"/>
      <c r="EC77" s="1290"/>
      <c r="ED77" s="1290"/>
      <c r="EE77" s="1290"/>
      <c r="EF77" s="1290"/>
      <c r="EG77" s="1290"/>
      <c r="EH77" s="1290"/>
      <c r="EI77" s="1290"/>
      <c r="EJ77" s="1290"/>
      <c r="EK77" s="1290"/>
      <c r="EL77" s="1290"/>
      <c r="EM77" s="1290"/>
      <c r="EN77" s="1290"/>
      <c r="EO77" s="1290"/>
      <c r="EP77" s="1290"/>
      <c r="EQ77" s="1290"/>
      <c r="ER77" s="1290"/>
      <c r="ES77" s="1290"/>
      <c r="ET77" s="1290"/>
      <c r="EU77" s="1290"/>
      <c r="EV77" s="1290"/>
      <c r="EW77" s="1290"/>
      <c r="EX77" s="1290"/>
      <c r="EY77" s="1290"/>
      <c r="EZ77" s="1290"/>
      <c r="FA77" s="1290"/>
      <c r="FB77" s="1290"/>
      <c r="FC77" s="1290"/>
      <c r="FD77" s="1290"/>
      <c r="FE77" s="1290"/>
      <c r="FF77" s="1290"/>
      <c r="FG77" s="1290"/>
      <c r="FH77" s="1290"/>
      <c r="FI77" s="1290"/>
      <c r="FJ77" s="1290"/>
      <c r="FK77" s="1290"/>
      <c r="FL77" s="1290"/>
      <c r="FM77" s="1290"/>
      <c r="FN77" s="1290"/>
      <c r="FO77" s="1290"/>
      <c r="FP77" s="1290"/>
      <c r="FQ77" s="1290"/>
      <c r="FR77" s="1290"/>
      <c r="FS77" s="1290"/>
      <c r="FT77" s="1290"/>
      <c r="FU77" s="1290"/>
      <c r="FV77" s="1290"/>
      <c r="FW77" s="1290"/>
      <c r="FX77" s="1290"/>
      <c r="FY77" s="1290"/>
      <c r="FZ77" s="1290"/>
      <c r="GA77" s="1290"/>
      <c r="GB77" s="1290"/>
      <c r="GC77" s="1290"/>
      <c r="GD77" s="1290"/>
      <c r="GE77" s="1290"/>
      <c r="GF77" s="1290"/>
      <c r="GG77" s="1290"/>
      <c r="GH77" s="1290"/>
      <c r="GI77" s="1290"/>
      <c r="GJ77" s="1290"/>
      <c r="GK77" s="1290"/>
      <c r="GL77" s="1290"/>
      <c r="GM77" s="1290"/>
      <c r="GN77" s="1290"/>
      <c r="GO77" s="1290"/>
      <c r="GP77" s="1290"/>
      <c r="GQ77" s="1290"/>
      <c r="GR77" s="1290"/>
      <c r="GS77" s="1290"/>
      <c r="GT77" s="1290"/>
      <c r="GU77" s="1290"/>
      <c r="GV77" s="1290"/>
      <c r="GW77" s="1290"/>
      <c r="GX77" s="1290"/>
      <c r="GY77" s="1290"/>
      <c r="GZ77" s="1290"/>
      <c r="HA77" s="1290"/>
      <c r="HB77" s="1290"/>
      <c r="HC77" s="1290"/>
      <c r="HD77" s="1290"/>
      <c r="HE77" s="1290"/>
      <c r="HF77" s="1290"/>
      <c r="HG77" s="1290"/>
      <c r="HH77" s="1290"/>
      <c r="HI77" s="1290"/>
      <c r="HJ77" s="1290"/>
      <c r="HK77" s="1290"/>
      <c r="HL77" s="1290"/>
      <c r="HM77" s="1290"/>
      <c r="HN77" s="1290"/>
      <c r="HO77" s="1290"/>
    </row>
    <row r="78" spans="1:223" s="1291" customFormat="1" ht="12.75">
      <c r="A78" s="1281"/>
      <c r="B78" s="1281"/>
      <c r="C78" s="1295" t="s">
        <v>231</v>
      </c>
      <c r="D78" s="1296"/>
      <c r="E78" s="1296"/>
      <c r="F78" s="1296"/>
      <c r="G78" s="1281"/>
      <c r="H78" s="1281"/>
      <c r="I78" s="1281"/>
      <c r="J78" s="1281"/>
      <c r="K78" s="1281"/>
      <c r="L78" s="1287"/>
      <c r="M78" s="1287"/>
      <c r="N78" s="1287"/>
      <c r="O78" s="1287"/>
      <c r="P78" s="1287"/>
      <c r="Q78" s="1287"/>
      <c r="R78" s="1287"/>
      <c r="S78" s="1281"/>
      <c r="T78" s="1295" t="s">
        <v>231</v>
      </c>
      <c r="U78" s="1302"/>
      <c r="V78" s="1295"/>
      <c r="W78" s="1303"/>
      <c r="X78" s="1303"/>
      <c r="Y78" s="1281"/>
      <c r="Z78" s="1281"/>
      <c r="AA78" s="1281"/>
      <c r="AB78" s="1281"/>
      <c r="AC78" s="1287"/>
      <c r="AD78" s="1290"/>
      <c r="AE78" s="1290"/>
      <c r="AF78" s="1290"/>
      <c r="AG78" s="1290"/>
      <c r="AH78" s="1290"/>
      <c r="AI78" s="1290"/>
      <c r="AJ78" s="1290"/>
      <c r="AK78" s="1290"/>
      <c r="AL78" s="1290"/>
      <c r="AM78" s="1290"/>
      <c r="AN78" s="1290"/>
      <c r="AO78" s="1290"/>
      <c r="AP78" s="1290"/>
      <c r="AQ78" s="1290"/>
      <c r="AR78" s="1290"/>
      <c r="AS78" s="1290"/>
      <c r="AT78" s="1290"/>
      <c r="AU78" s="1290"/>
      <c r="AV78" s="1290"/>
      <c r="AW78" s="1290"/>
      <c r="AX78" s="1290"/>
      <c r="AY78" s="1290"/>
      <c r="AZ78" s="1290"/>
      <c r="BA78" s="1290"/>
      <c r="BB78" s="1290"/>
      <c r="BC78" s="1290"/>
      <c r="BD78" s="1290"/>
      <c r="BE78" s="1290"/>
      <c r="BF78" s="1290"/>
      <c r="BG78" s="1290"/>
      <c r="BH78" s="1290"/>
      <c r="BI78" s="1290"/>
      <c r="BJ78" s="1290"/>
      <c r="BK78" s="1290"/>
      <c r="BL78" s="1290"/>
      <c r="BM78" s="1290"/>
      <c r="BN78" s="1290"/>
      <c r="BO78" s="1290"/>
      <c r="BP78" s="1290"/>
      <c r="BQ78" s="1290"/>
      <c r="BR78" s="1290"/>
      <c r="BS78" s="1290"/>
      <c r="BT78" s="1290"/>
      <c r="BU78" s="1290"/>
      <c r="BV78" s="1290"/>
      <c r="BW78" s="1290"/>
      <c r="BX78" s="1290"/>
      <c r="BY78" s="1290"/>
      <c r="BZ78" s="1290"/>
      <c r="CA78" s="1290"/>
      <c r="CB78" s="1290"/>
      <c r="CC78" s="1290"/>
      <c r="CD78" s="1290"/>
      <c r="CE78" s="1290"/>
      <c r="CF78" s="1290"/>
      <c r="CG78" s="1290"/>
      <c r="CH78" s="1290"/>
      <c r="CI78" s="1290"/>
      <c r="CJ78" s="1290"/>
      <c r="CK78" s="1290"/>
      <c r="CL78" s="1290"/>
      <c r="CM78" s="1290"/>
      <c r="CN78" s="1290"/>
      <c r="CO78" s="1290"/>
      <c r="CP78" s="1290"/>
      <c r="CQ78" s="1290"/>
      <c r="CR78" s="1290"/>
      <c r="CS78" s="1290"/>
      <c r="CT78" s="1290"/>
      <c r="CU78" s="1290"/>
      <c r="CV78" s="1290"/>
      <c r="CW78" s="1290"/>
      <c r="CX78" s="1290"/>
      <c r="CY78" s="1290"/>
      <c r="CZ78" s="1290"/>
      <c r="DA78" s="1290"/>
      <c r="DB78" s="1290"/>
      <c r="DC78" s="1290"/>
      <c r="DD78" s="1290"/>
      <c r="DE78" s="1290"/>
      <c r="DF78" s="1290"/>
      <c r="DG78" s="1290"/>
      <c r="DH78" s="1290"/>
      <c r="DI78" s="1290"/>
      <c r="DJ78" s="1290"/>
      <c r="DK78" s="1290"/>
      <c r="DL78" s="1290"/>
      <c r="DM78" s="1290"/>
      <c r="DN78" s="1290"/>
      <c r="DO78" s="1290"/>
      <c r="DP78" s="1290"/>
      <c r="DQ78" s="1290"/>
      <c r="DR78" s="1290"/>
      <c r="DS78" s="1290"/>
      <c r="DT78" s="1290"/>
      <c r="DU78" s="1290"/>
      <c r="DV78" s="1290"/>
      <c r="DW78" s="1290"/>
      <c r="DX78" s="1290"/>
      <c r="DY78" s="1290"/>
      <c r="DZ78" s="1290"/>
      <c r="EA78" s="1290"/>
      <c r="EB78" s="1290"/>
      <c r="EC78" s="1290"/>
      <c r="ED78" s="1290"/>
      <c r="EE78" s="1290"/>
      <c r="EF78" s="1290"/>
      <c r="EG78" s="1290"/>
      <c r="EH78" s="1290"/>
      <c r="EI78" s="1290"/>
      <c r="EJ78" s="1290"/>
      <c r="EK78" s="1290"/>
      <c r="EL78" s="1290"/>
      <c r="EM78" s="1290"/>
      <c r="EN78" s="1290"/>
      <c r="EO78" s="1290"/>
      <c r="EP78" s="1290"/>
      <c r="EQ78" s="1290"/>
      <c r="ER78" s="1290"/>
      <c r="ES78" s="1290"/>
      <c r="ET78" s="1290"/>
      <c r="EU78" s="1290"/>
      <c r="EV78" s="1290"/>
      <c r="EW78" s="1290"/>
      <c r="EX78" s="1290"/>
      <c r="EY78" s="1290"/>
      <c r="EZ78" s="1290"/>
      <c r="FA78" s="1290"/>
      <c r="FB78" s="1290"/>
      <c r="FC78" s="1290"/>
      <c r="FD78" s="1290"/>
      <c r="FE78" s="1290"/>
      <c r="FF78" s="1290"/>
      <c r="FG78" s="1290"/>
      <c r="FH78" s="1290"/>
      <c r="FI78" s="1290"/>
      <c r="FJ78" s="1290"/>
      <c r="FK78" s="1290"/>
      <c r="FL78" s="1290"/>
      <c r="FM78" s="1290"/>
      <c r="FN78" s="1290"/>
      <c r="FO78" s="1290"/>
      <c r="FP78" s="1290"/>
      <c r="FQ78" s="1290"/>
      <c r="FR78" s="1290"/>
      <c r="FS78" s="1290"/>
      <c r="FT78" s="1290"/>
      <c r="FU78" s="1290"/>
      <c r="FV78" s="1290"/>
      <c r="FW78" s="1290"/>
      <c r="FX78" s="1290"/>
      <c r="FY78" s="1290"/>
      <c r="FZ78" s="1290"/>
      <c r="GA78" s="1290"/>
      <c r="GB78" s="1290"/>
      <c r="GC78" s="1290"/>
      <c r="GD78" s="1290"/>
      <c r="GE78" s="1290"/>
      <c r="GF78" s="1290"/>
      <c r="GG78" s="1290"/>
      <c r="GH78" s="1290"/>
      <c r="GI78" s="1290"/>
      <c r="GJ78" s="1290"/>
      <c r="GK78" s="1290"/>
      <c r="GL78" s="1290"/>
      <c r="GM78" s="1290"/>
      <c r="GN78" s="1290"/>
      <c r="GO78" s="1290"/>
      <c r="GP78" s="1290"/>
      <c r="GQ78" s="1290"/>
      <c r="GR78" s="1290"/>
      <c r="GS78" s="1290"/>
      <c r="GT78" s="1290"/>
      <c r="GU78" s="1290"/>
      <c r="GV78" s="1290"/>
      <c r="GW78" s="1290"/>
      <c r="GX78" s="1290"/>
      <c r="GY78" s="1290"/>
      <c r="GZ78" s="1290"/>
      <c r="HA78" s="1290"/>
      <c r="HB78" s="1290"/>
      <c r="HC78" s="1290"/>
      <c r="HD78" s="1290"/>
      <c r="HE78" s="1290"/>
      <c r="HF78" s="1290"/>
      <c r="HG78" s="1290"/>
      <c r="HH78" s="1290"/>
      <c r="HI78" s="1290"/>
      <c r="HJ78" s="1290"/>
      <c r="HK78" s="1290"/>
      <c r="HL78" s="1290"/>
      <c r="HM78" s="1290"/>
      <c r="HN78" s="1290"/>
      <c r="HO78" s="1290"/>
    </row>
    <row r="79" spans="1:223" s="1291" customFormat="1" ht="12.75">
      <c r="A79" s="1281"/>
      <c r="B79" s="1281"/>
      <c r="C79" s="1281" t="s">
        <v>229</v>
      </c>
      <c r="D79" s="1296">
        <f>SUM(D32)</f>
        <v>62894</v>
      </c>
      <c r="E79" s="1296">
        <f>SUM(E32)</f>
        <v>451092</v>
      </c>
      <c r="F79" s="1296">
        <f>SUM(D79:E79)</f>
        <v>513986</v>
      </c>
      <c r="G79" s="1281"/>
      <c r="H79" s="1281"/>
      <c r="I79" s="1281"/>
      <c r="J79" s="1281"/>
      <c r="K79" s="1281"/>
      <c r="L79" s="1287"/>
      <c r="M79" s="1287"/>
      <c r="N79" s="1287"/>
      <c r="O79" s="1287"/>
      <c r="P79" s="1287"/>
      <c r="Q79" s="1287"/>
      <c r="R79" s="1287"/>
      <c r="S79" s="1281"/>
      <c r="T79" s="1281" t="s">
        <v>229</v>
      </c>
      <c r="U79" s="1281"/>
      <c r="V79" s="1281"/>
      <c r="W79" s="1296">
        <f>SUM(X31)</f>
        <v>24753</v>
      </c>
      <c r="X79" s="1296">
        <f>Y31</f>
        <v>474026</v>
      </c>
      <c r="Y79" s="1296">
        <f>SUM(W79:X79)</f>
        <v>498779</v>
      </c>
      <c r="Z79" s="1297"/>
      <c r="AA79" s="1296">
        <f aca="true" t="shared" si="1" ref="AA79:AB81">W79-D79</f>
        <v>-38141</v>
      </c>
      <c r="AB79" s="1296">
        <f t="shared" si="1"/>
        <v>22934</v>
      </c>
      <c r="AC79" s="1297">
        <f>SUM(AA79:AB79)</f>
        <v>-15207</v>
      </c>
      <c r="AD79" s="1290"/>
      <c r="AE79" s="1290"/>
      <c r="AF79" s="1290"/>
      <c r="AG79" s="1290"/>
      <c r="AH79" s="1290"/>
      <c r="AI79" s="1290"/>
      <c r="AJ79" s="1290"/>
      <c r="AK79" s="1290"/>
      <c r="AL79" s="1290"/>
      <c r="AM79" s="1290"/>
      <c r="AN79" s="1290"/>
      <c r="AO79" s="1290"/>
      <c r="AP79" s="1290"/>
      <c r="AQ79" s="1290"/>
      <c r="AR79" s="1290"/>
      <c r="AS79" s="1290"/>
      <c r="AT79" s="1290"/>
      <c r="AU79" s="1290"/>
      <c r="AV79" s="1290"/>
      <c r="AW79" s="1290"/>
      <c r="AX79" s="1290"/>
      <c r="AY79" s="1290"/>
      <c r="AZ79" s="1290"/>
      <c r="BA79" s="1290"/>
      <c r="BB79" s="1290"/>
      <c r="BC79" s="1290"/>
      <c r="BD79" s="1290"/>
      <c r="BE79" s="1290"/>
      <c r="BF79" s="1290"/>
      <c r="BG79" s="1290"/>
      <c r="BH79" s="1290"/>
      <c r="BI79" s="1290"/>
      <c r="BJ79" s="1290"/>
      <c r="BK79" s="1290"/>
      <c r="BL79" s="1290"/>
      <c r="BM79" s="1290"/>
      <c r="BN79" s="1290"/>
      <c r="BO79" s="1290"/>
      <c r="BP79" s="1290"/>
      <c r="BQ79" s="1290"/>
      <c r="BR79" s="1290"/>
      <c r="BS79" s="1290"/>
      <c r="BT79" s="1290"/>
      <c r="BU79" s="1290"/>
      <c r="BV79" s="1290"/>
      <c r="BW79" s="1290"/>
      <c r="BX79" s="1290"/>
      <c r="BY79" s="1290"/>
      <c r="BZ79" s="1290"/>
      <c r="CA79" s="1290"/>
      <c r="CB79" s="1290"/>
      <c r="CC79" s="1290"/>
      <c r="CD79" s="1290"/>
      <c r="CE79" s="1290"/>
      <c r="CF79" s="1290"/>
      <c r="CG79" s="1290"/>
      <c r="CH79" s="1290"/>
      <c r="CI79" s="1290"/>
      <c r="CJ79" s="1290"/>
      <c r="CK79" s="1290"/>
      <c r="CL79" s="1290"/>
      <c r="CM79" s="1290"/>
      <c r="CN79" s="1290"/>
      <c r="CO79" s="1290"/>
      <c r="CP79" s="1290"/>
      <c r="CQ79" s="1290"/>
      <c r="CR79" s="1290"/>
      <c r="CS79" s="1290"/>
      <c r="CT79" s="1290"/>
      <c r="CU79" s="1290"/>
      <c r="CV79" s="1290"/>
      <c r="CW79" s="1290"/>
      <c r="CX79" s="1290"/>
      <c r="CY79" s="1290"/>
      <c r="CZ79" s="1290"/>
      <c r="DA79" s="1290"/>
      <c r="DB79" s="1290"/>
      <c r="DC79" s="1290"/>
      <c r="DD79" s="1290"/>
      <c r="DE79" s="1290"/>
      <c r="DF79" s="1290"/>
      <c r="DG79" s="1290"/>
      <c r="DH79" s="1290"/>
      <c r="DI79" s="1290"/>
      <c r="DJ79" s="1290"/>
      <c r="DK79" s="1290"/>
      <c r="DL79" s="1290"/>
      <c r="DM79" s="1290"/>
      <c r="DN79" s="1290"/>
      <c r="DO79" s="1290"/>
      <c r="DP79" s="1290"/>
      <c r="DQ79" s="1290"/>
      <c r="DR79" s="1290"/>
      <c r="DS79" s="1290"/>
      <c r="DT79" s="1290"/>
      <c r="DU79" s="1290"/>
      <c r="DV79" s="1290"/>
      <c r="DW79" s="1290"/>
      <c r="DX79" s="1290"/>
      <c r="DY79" s="1290"/>
      <c r="DZ79" s="1290"/>
      <c r="EA79" s="1290"/>
      <c r="EB79" s="1290"/>
      <c r="EC79" s="1290"/>
      <c r="ED79" s="1290"/>
      <c r="EE79" s="1290"/>
      <c r="EF79" s="1290"/>
      <c r="EG79" s="1290"/>
      <c r="EH79" s="1290"/>
      <c r="EI79" s="1290"/>
      <c r="EJ79" s="1290"/>
      <c r="EK79" s="1290"/>
      <c r="EL79" s="1290"/>
      <c r="EM79" s="1290"/>
      <c r="EN79" s="1290"/>
      <c r="EO79" s="1290"/>
      <c r="EP79" s="1290"/>
      <c r="EQ79" s="1290"/>
      <c r="ER79" s="1290"/>
      <c r="ES79" s="1290"/>
      <c r="ET79" s="1290"/>
      <c r="EU79" s="1290"/>
      <c r="EV79" s="1290"/>
      <c r="EW79" s="1290"/>
      <c r="EX79" s="1290"/>
      <c r="EY79" s="1290"/>
      <c r="EZ79" s="1290"/>
      <c r="FA79" s="1290"/>
      <c r="FB79" s="1290"/>
      <c r="FC79" s="1290"/>
      <c r="FD79" s="1290"/>
      <c r="FE79" s="1290"/>
      <c r="FF79" s="1290"/>
      <c r="FG79" s="1290"/>
      <c r="FH79" s="1290"/>
      <c r="FI79" s="1290"/>
      <c r="FJ79" s="1290"/>
      <c r="FK79" s="1290"/>
      <c r="FL79" s="1290"/>
      <c r="FM79" s="1290"/>
      <c r="FN79" s="1290"/>
      <c r="FO79" s="1290"/>
      <c r="FP79" s="1290"/>
      <c r="FQ79" s="1290"/>
      <c r="FR79" s="1290"/>
      <c r="FS79" s="1290"/>
      <c r="FT79" s="1290"/>
      <c r="FU79" s="1290"/>
      <c r="FV79" s="1290"/>
      <c r="FW79" s="1290"/>
      <c r="FX79" s="1290"/>
      <c r="FY79" s="1290"/>
      <c r="FZ79" s="1290"/>
      <c r="GA79" s="1290"/>
      <c r="GB79" s="1290"/>
      <c r="GC79" s="1290"/>
      <c r="GD79" s="1290"/>
      <c r="GE79" s="1290"/>
      <c r="GF79" s="1290"/>
      <c r="GG79" s="1290"/>
      <c r="GH79" s="1290"/>
      <c r="GI79" s="1290"/>
      <c r="GJ79" s="1290"/>
      <c r="GK79" s="1290"/>
      <c r="GL79" s="1290"/>
      <c r="GM79" s="1290"/>
      <c r="GN79" s="1290"/>
      <c r="GO79" s="1290"/>
      <c r="GP79" s="1290"/>
      <c r="GQ79" s="1290"/>
      <c r="GR79" s="1290"/>
      <c r="GS79" s="1290"/>
      <c r="GT79" s="1290"/>
      <c r="GU79" s="1290"/>
      <c r="GV79" s="1290"/>
      <c r="GW79" s="1290"/>
      <c r="GX79" s="1290"/>
      <c r="GY79" s="1290"/>
      <c r="GZ79" s="1290"/>
      <c r="HA79" s="1290"/>
      <c r="HB79" s="1290"/>
      <c r="HC79" s="1290"/>
      <c r="HD79" s="1290"/>
      <c r="HE79" s="1290"/>
      <c r="HF79" s="1290"/>
      <c r="HG79" s="1290"/>
      <c r="HH79" s="1290"/>
      <c r="HI79" s="1290"/>
      <c r="HJ79" s="1290"/>
      <c r="HK79" s="1290"/>
      <c r="HL79" s="1290"/>
      <c r="HM79" s="1290"/>
      <c r="HN79" s="1290"/>
      <c r="HO79" s="1290"/>
    </row>
    <row r="80" spans="1:223" s="1291" customFormat="1" ht="12.75">
      <c r="A80" s="1281"/>
      <c r="B80" s="1281"/>
      <c r="C80" s="1281" t="s">
        <v>650</v>
      </c>
      <c r="D80" s="1296">
        <v>0</v>
      </c>
      <c r="E80" s="1296">
        <v>0</v>
      </c>
      <c r="F80" s="1296">
        <f>SUM(D80:E80)</f>
        <v>0</v>
      </c>
      <c r="G80" s="1281"/>
      <c r="H80" s="1281"/>
      <c r="I80" s="1281"/>
      <c r="J80" s="1281"/>
      <c r="K80" s="1281"/>
      <c r="L80" s="1287"/>
      <c r="M80" s="1287"/>
      <c r="N80" s="1287"/>
      <c r="O80" s="1287"/>
      <c r="P80" s="1287"/>
      <c r="Q80" s="1287"/>
      <c r="R80" s="1287"/>
      <c r="S80" s="1281"/>
      <c r="T80" s="1281" t="s">
        <v>650</v>
      </c>
      <c r="U80" s="1281"/>
      <c r="V80" s="1281"/>
      <c r="W80" s="1296">
        <v>0</v>
      </c>
      <c r="X80" s="1296">
        <v>0</v>
      </c>
      <c r="Y80" s="1296">
        <f>SUM(W80:X80)</f>
        <v>0</v>
      </c>
      <c r="Z80" s="1297"/>
      <c r="AA80" s="1296">
        <f t="shared" si="1"/>
        <v>0</v>
      </c>
      <c r="AB80" s="1296">
        <f t="shared" si="1"/>
        <v>0</v>
      </c>
      <c r="AC80" s="1297">
        <f>SUM(AA80:AB80)</f>
        <v>0</v>
      </c>
      <c r="AD80" s="1290"/>
      <c r="AE80" s="1290"/>
      <c r="AF80" s="1290"/>
      <c r="AG80" s="1290"/>
      <c r="AH80" s="1290"/>
      <c r="AI80" s="1290"/>
      <c r="AJ80" s="1290"/>
      <c r="AK80" s="1290"/>
      <c r="AL80" s="1290"/>
      <c r="AM80" s="1290"/>
      <c r="AN80" s="1290"/>
      <c r="AO80" s="1290"/>
      <c r="AP80" s="1290"/>
      <c r="AQ80" s="1290"/>
      <c r="AR80" s="1290"/>
      <c r="AS80" s="1290"/>
      <c r="AT80" s="1290"/>
      <c r="AU80" s="1290"/>
      <c r="AV80" s="1290"/>
      <c r="AW80" s="1290"/>
      <c r="AX80" s="1290"/>
      <c r="AY80" s="1290"/>
      <c r="AZ80" s="1290"/>
      <c r="BA80" s="1290"/>
      <c r="BB80" s="1290"/>
      <c r="BC80" s="1290"/>
      <c r="BD80" s="1290"/>
      <c r="BE80" s="1290"/>
      <c r="BF80" s="1290"/>
      <c r="BG80" s="1290"/>
      <c r="BH80" s="1290"/>
      <c r="BI80" s="1290"/>
      <c r="BJ80" s="1290"/>
      <c r="BK80" s="1290"/>
      <c r="BL80" s="1290"/>
      <c r="BM80" s="1290"/>
      <c r="BN80" s="1290"/>
      <c r="BO80" s="1290"/>
      <c r="BP80" s="1290"/>
      <c r="BQ80" s="1290"/>
      <c r="BR80" s="1290"/>
      <c r="BS80" s="1290"/>
      <c r="BT80" s="1290"/>
      <c r="BU80" s="1290"/>
      <c r="BV80" s="1290"/>
      <c r="BW80" s="1290"/>
      <c r="BX80" s="1290"/>
      <c r="BY80" s="1290"/>
      <c r="BZ80" s="1290"/>
      <c r="CA80" s="1290"/>
      <c r="CB80" s="1290"/>
      <c r="CC80" s="1290"/>
      <c r="CD80" s="1290"/>
      <c r="CE80" s="1290"/>
      <c r="CF80" s="1290"/>
      <c r="CG80" s="1290"/>
      <c r="CH80" s="1290"/>
      <c r="CI80" s="1290"/>
      <c r="CJ80" s="1290"/>
      <c r="CK80" s="1290"/>
      <c r="CL80" s="1290"/>
      <c r="CM80" s="1290"/>
      <c r="CN80" s="1290"/>
      <c r="CO80" s="1290"/>
      <c r="CP80" s="1290"/>
      <c r="CQ80" s="1290"/>
      <c r="CR80" s="1290"/>
      <c r="CS80" s="1290"/>
      <c r="CT80" s="1290"/>
      <c r="CU80" s="1290"/>
      <c r="CV80" s="1290"/>
      <c r="CW80" s="1290"/>
      <c r="CX80" s="1290"/>
      <c r="CY80" s="1290"/>
      <c r="CZ80" s="1290"/>
      <c r="DA80" s="1290"/>
      <c r="DB80" s="1290"/>
      <c r="DC80" s="1290"/>
      <c r="DD80" s="1290"/>
      <c r="DE80" s="1290"/>
      <c r="DF80" s="1290"/>
      <c r="DG80" s="1290"/>
      <c r="DH80" s="1290"/>
      <c r="DI80" s="1290"/>
      <c r="DJ80" s="1290"/>
      <c r="DK80" s="1290"/>
      <c r="DL80" s="1290"/>
      <c r="DM80" s="1290"/>
      <c r="DN80" s="1290"/>
      <c r="DO80" s="1290"/>
      <c r="DP80" s="1290"/>
      <c r="DQ80" s="1290"/>
      <c r="DR80" s="1290"/>
      <c r="DS80" s="1290"/>
      <c r="DT80" s="1290"/>
      <c r="DU80" s="1290"/>
      <c r="DV80" s="1290"/>
      <c r="DW80" s="1290"/>
      <c r="DX80" s="1290"/>
      <c r="DY80" s="1290"/>
      <c r="DZ80" s="1290"/>
      <c r="EA80" s="1290"/>
      <c r="EB80" s="1290"/>
      <c r="EC80" s="1290"/>
      <c r="ED80" s="1290"/>
      <c r="EE80" s="1290"/>
      <c r="EF80" s="1290"/>
      <c r="EG80" s="1290"/>
      <c r="EH80" s="1290"/>
      <c r="EI80" s="1290"/>
      <c r="EJ80" s="1290"/>
      <c r="EK80" s="1290"/>
      <c r="EL80" s="1290"/>
      <c r="EM80" s="1290"/>
      <c r="EN80" s="1290"/>
      <c r="EO80" s="1290"/>
      <c r="EP80" s="1290"/>
      <c r="EQ80" s="1290"/>
      <c r="ER80" s="1290"/>
      <c r="ES80" s="1290"/>
      <c r="ET80" s="1290"/>
      <c r="EU80" s="1290"/>
      <c r="EV80" s="1290"/>
      <c r="EW80" s="1290"/>
      <c r="EX80" s="1290"/>
      <c r="EY80" s="1290"/>
      <c r="EZ80" s="1290"/>
      <c r="FA80" s="1290"/>
      <c r="FB80" s="1290"/>
      <c r="FC80" s="1290"/>
      <c r="FD80" s="1290"/>
      <c r="FE80" s="1290"/>
      <c r="FF80" s="1290"/>
      <c r="FG80" s="1290"/>
      <c r="FH80" s="1290"/>
      <c r="FI80" s="1290"/>
      <c r="FJ80" s="1290"/>
      <c r="FK80" s="1290"/>
      <c r="FL80" s="1290"/>
      <c r="FM80" s="1290"/>
      <c r="FN80" s="1290"/>
      <c r="FO80" s="1290"/>
      <c r="FP80" s="1290"/>
      <c r="FQ80" s="1290"/>
      <c r="FR80" s="1290"/>
      <c r="FS80" s="1290"/>
      <c r="FT80" s="1290"/>
      <c r="FU80" s="1290"/>
      <c r="FV80" s="1290"/>
      <c r="FW80" s="1290"/>
      <c r="FX80" s="1290"/>
      <c r="FY80" s="1290"/>
      <c r="FZ80" s="1290"/>
      <c r="GA80" s="1290"/>
      <c r="GB80" s="1290"/>
      <c r="GC80" s="1290"/>
      <c r="GD80" s="1290"/>
      <c r="GE80" s="1290"/>
      <c r="GF80" s="1290"/>
      <c r="GG80" s="1290"/>
      <c r="GH80" s="1290"/>
      <c r="GI80" s="1290"/>
      <c r="GJ80" s="1290"/>
      <c r="GK80" s="1290"/>
      <c r="GL80" s="1290"/>
      <c r="GM80" s="1290"/>
      <c r="GN80" s="1290"/>
      <c r="GO80" s="1290"/>
      <c r="GP80" s="1290"/>
      <c r="GQ80" s="1290"/>
      <c r="GR80" s="1290"/>
      <c r="GS80" s="1290"/>
      <c r="GT80" s="1290"/>
      <c r="GU80" s="1290"/>
      <c r="GV80" s="1290"/>
      <c r="GW80" s="1290"/>
      <c r="GX80" s="1290"/>
      <c r="GY80" s="1290"/>
      <c r="GZ80" s="1290"/>
      <c r="HA80" s="1290"/>
      <c r="HB80" s="1290"/>
      <c r="HC80" s="1290"/>
      <c r="HD80" s="1290"/>
      <c r="HE80" s="1290"/>
      <c r="HF80" s="1290"/>
      <c r="HG80" s="1290"/>
      <c r="HH80" s="1290"/>
      <c r="HI80" s="1290"/>
      <c r="HJ80" s="1290"/>
      <c r="HK80" s="1290"/>
      <c r="HL80" s="1290"/>
      <c r="HM80" s="1290"/>
      <c r="HN80" s="1290"/>
      <c r="HO80" s="1290"/>
    </row>
    <row r="81" spans="1:223" s="1291" customFormat="1" ht="12.75">
      <c r="A81" s="1281"/>
      <c r="B81" s="1281"/>
      <c r="C81" s="1298" t="s">
        <v>230</v>
      </c>
      <c r="D81" s="1299">
        <f>SUM(D64)</f>
        <v>6245</v>
      </c>
      <c r="E81" s="1299">
        <v>0</v>
      </c>
      <c r="F81" s="1299">
        <f>SUM(D81:E81)</f>
        <v>6245</v>
      </c>
      <c r="G81" s="1281"/>
      <c r="H81" s="1281"/>
      <c r="I81" s="1281"/>
      <c r="J81" s="1281"/>
      <c r="K81" s="1281"/>
      <c r="L81" s="1287"/>
      <c r="M81" s="1287"/>
      <c r="N81" s="1287"/>
      <c r="O81" s="1287"/>
      <c r="P81" s="1287"/>
      <c r="Q81" s="1287"/>
      <c r="R81" s="1287"/>
      <c r="S81" s="1281"/>
      <c r="T81" s="1298" t="s">
        <v>230</v>
      </c>
      <c r="U81" s="1300"/>
      <c r="V81" s="1300"/>
      <c r="W81" s="1299">
        <f>SUM(X64)</f>
        <v>6245</v>
      </c>
      <c r="X81" s="1299">
        <v>0</v>
      </c>
      <c r="Y81" s="1299">
        <f>SUM(W81:X81)</f>
        <v>6245</v>
      </c>
      <c r="Z81" s="1297"/>
      <c r="AA81" s="1299">
        <f t="shared" si="1"/>
        <v>0</v>
      </c>
      <c r="AB81" s="1299">
        <f t="shared" si="1"/>
        <v>0</v>
      </c>
      <c r="AC81" s="1299">
        <f>SUM(AA81:AB81)</f>
        <v>0</v>
      </c>
      <c r="AD81" s="1290"/>
      <c r="AE81" s="1290"/>
      <c r="AF81" s="1290"/>
      <c r="AG81" s="1290"/>
      <c r="AH81" s="1290"/>
      <c r="AI81" s="1290"/>
      <c r="AJ81" s="1290"/>
      <c r="AK81" s="1290"/>
      <c r="AL81" s="1290"/>
      <c r="AM81" s="1290"/>
      <c r="AN81" s="1290"/>
      <c r="AO81" s="1290"/>
      <c r="AP81" s="1290"/>
      <c r="AQ81" s="1290"/>
      <c r="AR81" s="1290"/>
      <c r="AS81" s="1290"/>
      <c r="AT81" s="1290"/>
      <c r="AU81" s="1290"/>
      <c r="AV81" s="1290"/>
      <c r="AW81" s="1290"/>
      <c r="AX81" s="1290"/>
      <c r="AY81" s="1290"/>
      <c r="AZ81" s="1290"/>
      <c r="BA81" s="1290"/>
      <c r="BB81" s="1290"/>
      <c r="BC81" s="1290"/>
      <c r="BD81" s="1290"/>
      <c r="BE81" s="1290"/>
      <c r="BF81" s="1290"/>
      <c r="BG81" s="1290"/>
      <c r="BH81" s="1290"/>
      <c r="BI81" s="1290"/>
      <c r="BJ81" s="1290"/>
      <c r="BK81" s="1290"/>
      <c r="BL81" s="1290"/>
      <c r="BM81" s="1290"/>
      <c r="BN81" s="1290"/>
      <c r="BO81" s="1290"/>
      <c r="BP81" s="1290"/>
      <c r="BQ81" s="1290"/>
      <c r="BR81" s="1290"/>
      <c r="BS81" s="1290"/>
      <c r="BT81" s="1290"/>
      <c r="BU81" s="1290"/>
      <c r="BV81" s="1290"/>
      <c r="BW81" s="1290"/>
      <c r="BX81" s="1290"/>
      <c r="BY81" s="1290"/>
      <c r="BZ81" s="1290"/>
      <c r="CA81" s="1290"/>
      <c r="CB81" s="1290"/>
      <c r="CC81" s="1290"/>
      <c r="CD81" s="1290"/>
      <c r="CE81" s="1290"/>
      <c r="CF81" s="1290"/>
      <c r="CG81" s="1290"/>
      <c r="CH81" s="1290"/>
      <c r="CI81" s="1290"/>
      <c r="CJ81" s="1290"/>
      <c r="CK81" s="1290"/>
      <c r="CL81" s="1290"/>
      <c r="CM81" s="1290"/>
      <c r="CN81" s="1290"/>
      <c r="CO81" s="1290"/>
      <c r="CP81" s="1290"/>
      <c r="CQ81" s="1290"/>
      <c r="CR81" s="1290"/>
      <c r="CS81" s="1290"/>
      <c r="CT81" s="1290"/>
      <c r="CU81" s="1290"/>
      <c r="CV81" s="1290"/>
      <c r="CW81" s="1290"/>
      <c r="CX81" s="1290"/>
      <c r="CY81" s="1290"/>
      <c r="CZ81" s="1290"/>
      <c r="DA81" s="1290"/>
      <c r="DB81" s="1290"/>
      <c r="DC81" s="1290"/>
      <c r="DD81" s="1290"/>
      <c r="DE81" s="1290"/>
      <c r="DF81" s="1290"/>
      <c r="DG81" s="1290"/>
      <c r="DH81" s="1290"/>
      <c r="DI81" s="1290"/>
      <c r="DJ81" s="1290"/>
      <c r="DK81" s="1290"/>
      <c r="DL81" s="1290"/>
      <c r="DM81" s="1290"/>
      <c r="DN81" s="1290"/>
      <c r="DO81" s="1290"/>
      <c r="DP81" s="1290"/>
      <c r="DQ81" s="1290"/>
      <c r="DR81" s="1290"/>
      <c r="DS81" s="1290"/>
      <c r="DT81" s="1290"/>
      <c r="DU81" s="1290"/>
      <c r="DV81" s="1290"/>
      <c r="DW81" s="1290"/>
      <c r="DX81" s="1290"/>
      <c r="DY81" s="1290"/>
      <c r="DZ81" s="1290"/>
      <c r="EA81" s="1290"/>
      <c r="EB81" s="1290"/>
      <c r="EC81" s="1290"/>
      <c r="ED81" s="1290"/>
      <c r="EE81" s="1290"/>
      <c r="EF81" s="1290"/>
      <c r="EG81" s="1290"/>
      <c r="EH81" s="1290"/>
      <c r="EI81" s="1290"/>
      <c r="EJ81" s="1290"/>
      <c r="EK81" s="1290"/>
      <c r="EL81" s="1290"/>
      <c r="EM81" s="1290"/>
      <c r="EN81" s="1290"/>
      <c r="EO81" s="1290"/>
      <c r="EP81" s="1290"/>
      <c r="EQ81" s="1290"/>
      <c r="ER81" s="1290"/>
      <c r="ES81" s="1290"/>
      <c r="ET81" s="1290"/>
      <c r="EU81" s="1290"/>
      <c r="EV81" s="1290"/>
      <c r="EW81" s="1290"/>
      <c r="EX81" s="1290"/>
      <c r="EY81" s="1290"/>
      <c r="EZ81" s="1290"/>
      <c r="FA81" s="1290"/>
      <c r="FB81" s="1290"/>
      <c r="FC81" s="1290"/>
      <c r="FD81" s="1290"/>
      <c r="FE81" s="1290"/>
      <c r="FF81" s="1290"/>
      <c r="FG81" s="1290"/>
      <c r="FH81" s="1290"/>
      <c r="FI81" s="1290"/>
      <c r="FJ81" s="1290"/>
      <c r="FK81" s="1290"/>
      <c r="FL81" s="1290"/>
      <c r="FM81" s="1290"/>
      <c r="FN81" s="1290"/>
      <c r="FO81" s="1290"/>
      <c r="FP81" s="1290"/>
      <c r="FQ81" s="1290"/>
      <c r="FR81" s="1290"/>
      <c r="FS81" s="1290"/>
      <c r="FT81" s="1290"/>
      <c r="FU81" s="1290"/>
      <c r="FV81" s="1290"/>
      <c r="FW81" s="1290"/>
      <c r="FX81" s="1290"/>
      <c r="FY81" s="1290"/>
      <c r="FZ81" s="1290"/>
      <c r="GA81" s="1290"/>
      <c r="GB81" s="1290"/>
      <c r="GC81" s="1290"/>
      <c r="GD81" s="1290"/>
      <c r="GE81" s="1290"/>
      <c r="GF81" s="1290"/>
      <c r="GG81" s="1290"/>
      <c r="GH81" s="1290"/>
      <c r="GI81" s="1290"/>
      <c r="GJ81" s="1290"/>
      <c r="GK81" s="1290"/>
      <c r="GL81" s="1290"/>
      <c r="GM81" s="1290"/>
      <c r="GN81" s="1290"/>
      <c r="GO81" s="1290"/>
      <c r="GP81" s="1290"/>
      <c r="GQ81" s="1290"/>
      <c r="GR81" s="1290"/>
      <c r="GS81" s="1290"/>
      <c r="GT81" s="1290"/>
      <c r="GU81" s="1290"/>
      <c r="GV81" s="1290"/>
      <c r="GW81" s="1290"/>
      <c r="GX81" s="1290"/>
      <c r="GY81" s="1290"/>
      <c r="GZ81" s="1290"/>
      <c r="HA81" s="1290"/>
      <c r="HB81" s="1290"/>
      <c r="HC81" s="1290"/>
      <c r="HD81" s="1290"/>
      <c r="HE81" s="1290"/>
      <c r="HF81" s="1290"/>
      <c r="HG81" s="1290"/>
      <c r="HH81" s="1290"/>
      <c r="HI81" s="1290"/>
      <c r="HJ81" s="1290"/>
      <c r="HK81" s="1290"/>
      <c r="HL81" s="1290"/>
      <c r="HM81" s="1290"/>
      <c r="HN81" s="1290"/>
      <c r="HO81" s="1290"/>
    </row>
    <row r="82" spans="1:223" s="1291" customFormat="1" ht="12.75">
      <c r="A82" s="1281"/>
      <c r="B82" s="1281"/>
      <c r="C82" s="1301" t="s">
        <v>639</v>
      </c>
      <c r="D82" s="1296">
        <f>SUM(D79:D81)</f>
        <v>69139</v>
      </c>
      <c r="E82" s="1296">
        <f>SUM(E79:E81)</f>
        <v>451092</v>
      </c>
      <c r="F82" s="1296">
        <f>SUM(F79:F81)</f>
        <v>520231</v>
      </c>
      <c r="G82" s="1281"/>
      <c r="H82" s="1281"/>
      <c r="I82" s="1281"/>
      <c r="J82" s="1281"/>
      <c r="K82" s="1281"/>
      <c r="L82" s="1287"/>
      <c r="M82" s="1287"/>
      <c r="N82" s="1287"/>
      <c r="O82" s="1287"/>
      <c r="P82" s="1287"/>
      <c r="Q82" s="1287"/>
      <c r="R82" s="1287"/>
      <c r="S82" s="1281"/>
      <c r="T82" s="1301" t="s">
        <v>639</v>
      </c>
      <c r="U82" s="1281"/>
      <c r="V82" s="1301"/>
      <c r="W82" s="1296">
        <f>SUM(W79:W81)</f>
        <v>30998</v>
      </c>
      <c r="X82" s="1296">
        <f>SUM(X79:X81)</f>
        <v>474026</v>
      </c>
      <c r="Y82" s="1296">
        <f>SUM(Y79:Y81)</f>
        <v>505024</v>
      </c>
      <c r="Z82" s="1297"/>
      <c r="AA82" s="1296">
        <f>SUM(AA79:AA81)</f>
        <v>-38141</v>
      </c>
      <c r="AB82" s="1296">
        <f>SUM(AB79:AB81)</f>
        <v>22934</v>
      </c>
      <c r="AC82" s="1296">
        <f>SUM(AC79:AC81)</f>
        <v>-15207</v>
      </c>
      <c r="AD82" s="1290"/>
      <c r="AE82" s="1290"/>
      <c r="AF82" s="1290"/>
      <c r="AG82" s="1290"/>
      <c r="AH82" s="1290"/>
      <c r="AI82" s="1290"/>
      <c r="AJ82" s="1290"/>
      <c r="AK82" s="1290"/>
      <c r="AL82" s="1290"/>
      <c r="AM82" s="1290"/>
      <c r="AN82" s="1290"/>
      <c r="AO82" s="1290"/>
      <c r="AP82" s="1290"/>
      <c r="AQ82" s="1290"/>
      <c r="AR82" s="1290"/>
      <c r="AS82" s="1290"/>
      <c r="AT82" s="1290"/>
      <c r="AU82" s="1290"/>
      <c r="AV82" s="1290"/>
      <c r="AW82" s="1290"/>
      <c r="AX82" s="1290"/>
      <c r="AY82" s="1290"/>
      <c r="AZ82" s="1290"/>
      <c r="BA82" s="1290"/>
      <c r="BB82" s="1290"/>
      <c r="BC82" s="1290"/>
      <c r="BD82" s="1290"/>
      <c r="BE82" s="1290"/>
      <c r="BF82" s="1290"/>
      <c r="BG82" s="1290"/>
      <c r="BH82" s="1290"/>
      <c r="BI82" s="1290"/>
      <c r="BJ82" s="1290"/>
      <c r="BK82" s="1290"/>
      <c r="BL82" s="1290"/>
      <c r="BM82" s="1290"/>
      <c r="BN82" s="1290"/>
      <c r="BO82" s="1290"/>
      <c r="BP82" s="1290"/>
      <c r="BQ82" s="1290"/>
      <c r="BR82" s="1290"/>
      <c r="BS82" s="1290"/>
      <c r="BT82" s="1290"/>
      <c r="BU82" s="1290"/>
      <c r="BV82" s="1290"/>
      <c r="BW82" s="1290"/>
      <c r="BX82" s="1290"/>
      <c r="BY82" s="1290"/>
      <c r="BZ82" s="1290"/>
      <c r="CA82" s="1290"/>
      <c r="CB82" s="1290"/>
      <c r="CC82" s="1290"/>
      <c r="CD82" s="1290"/>
      <c r="CE82" s="1290"/>
      <c r="CF82" s="1290"/>
      <c r="CG82" s="1290"/>
      <c r="CH82" s="1290"/>
      <c r="CI82" s="1290"/>
      <c r="CJ82" s="1290"/>
      <c r="CK82" s="1290"/>
      <c r="CL82" s="1290"/>
      <c r="CM82" s="1290"/>
      <c r="CN82" s="1290"/>
      <c r="CO82" s="1290"/>
      <c r="CP82" s="1290"/>
      <c r="CQ82" s="1290"/>
      <c r="CR82" s="1290"/>
      <c r="CS82" s="1290"/>
      <c r="CT82" s="1290"/>
      <c r="CU82" s="1290"/>
      <c r="CV82" s="1290"/>
      <c r="CW82" s="1290"/>
      <c r="CX82" s="1290"/>
      <c r="CY82" s="1290"/>
      <c r="CZ82" s="1290"/>
      <c r="DA82" s="1290"/>
      <c r="DB82" s="1290"/>
      <c r="DC82" s="1290"/>
      <c r="DD82" s="1290"/>
      <c r="DE82" s="1290"/>
      <c r="DF82" s="1290"/>
      <c r="DG82" s="1290"/>
      <c r="DH82" s="1290"/>
      <c r="DI82" s="1290"/>
      <c r="DJ82" s="1290"/>
      <c r="DK82" s="1290"/>
      <c r="DL82" s="1290"/>
      <c r="DM82" s="1290"/>
      <c r="DN82" s="1290"/>
      <c r="DO82" s="1290"/>
      <c r="DP82" s="1290"/>
      <c r="DQ82" s="1290"/>
      <c r="DR82" s="1290"/>
      <c r="DS82" s="1290"/>
      <c r="DT82" s="1290"/>
      <c r="DU82" s="1290"/>
      <c r="DV82" s="1290"/>
      <c r="DW82" s="1290"/>
      <c r="DX82" s="1290"/>
      <c r="DY82" s="1290"/>
      <c r="DZ82" s="1290"/>
      <c r="EA82" s="1290"/>
      <c r="EB82" s="1290"/>
      <c r="EC82" s="1290"/>
      <c r="ED82" s="1290"/>
      <c r="EE82" s="1290"/>
      <c r="EF82" s="1290"/>
      <c r="EG82" s="1290"/>
      <c r="EH82" s="1290"/>
      <c r="EI82" s="1290"/>
      <c r="EJ82" s="1290"/>
      <c r="EK82" s="1290"/>
      <c r="EL82" s="1290"/>
      <c r="EM82" s="1290"/>
      <c r="EN82" s="1290"/>
      <c r="EO82" s="1290"/>
      <c r="EP82" s="1290"/>
      <c r="EQ82" s="1290"/>
      <c r="ER82" s="1290"/>
      <c r="ES82" s="1290"/>
      <c r="ET82" s="1290"/>
      <c r="EU82" s="1290"/>
      <c r="EV82" s="1290"/>
      <c r="EW82" s="1290"/>
      <c r="EX82" s="1290"/>
      <c r="EY82" s="1290"/>
      <c r="EZ82" s="1290"/>
      <c r="FA82" s="1290"/>
      <c r="FB82" s="1290"/>
      <c r="FC82" s="1290"/>
      <c r="FD82" s="1290"/>
      <c r="FE82" s="1290"/>
      <c r="FF82" s="1290"/>
      <c r="FG82" s="1290"/>
      <c r="FH82" s="1290"/>
      <c r="FI82" s="1290"/>
      <c r="FJ82" s="1290"/>
      <c r="FK82" s="1290"/>
      <c r="FL82" s="1290"/>
      <c r="FM82" s="1290"/>
      <c r="FN82" s="1290"/>
      <c r="FO82" s="1290"/>
      <c r="FP82" s="1290"/>
      <c r="FQ82" s="1290"/>
      <c r="FR82" s="1290"/>
      <c r="FS82" s="1290"/>
      <c r="FT82" s="1290"/>
      <c r="FU82" s="1290"/>
      <c r="FV82" s="1290"/>
      <c r="FW82" s="1290"/>
      <c r="FX82" s="1290"/>
      <c r="FY82" s="1290"/>
      <c r="FZ82" s="1290"/>
      <c r="GA82" s="1290"/>
      <c r="GB82" s="1290"/>
      <c r="GC82" s="1290"/>
      <c r="GD82" s="1290"/>
      <c r="GE82" s="1290"/>
      <c r="GF82" s="1290"/>
      <c r="GG82" s="1290"/>
      <c r="GH82" s="1290"/>
      <c r="GI82" s="1290"/>
      <c r="GJ82" s="1290"/>
      <c r="GK82" s="1290"/>
      <c r="GL82" s="1290"/>
      <c r="GM82" s="1290"/>
      <c r="GN82" s="1290"/>
      <c r="GO82" s="1290"/>
      <c r="GP82" s="1290"/>
      <c r="GQ82" s="1290"/>
      <c r="GR82" s="1290"/>
      <c r="GS82" s="1290"/>
      <c r="GT82" s="1290"/>
      <c r="GU82" s="1290"/>
      <c r="GV82" s="1290"/>
      <c r="GW82" s="1290"/>
      <c r="GX82" s="1290"/>
      <c r="GY82" s="1290"/>
      <c r="GZ82" s="1290"/>
      <c r="HA82" s="1290"/>
      <c r="HB82" s="1290"/>
      <c r="HC82" s="1290"/>
      <c r="HD82" s="1290"/>
      <c r="HE82" s="1290"/>
      <c r="HF82" s="1290"/>
      <c r="HG82" s="1290"/>
      <c r="HH82" s="1290"/>
      <c r="HI82" s="1290"/>
      <c r="HJ82" s="1290"/>
      <c r="HK82" s="1290"/>
      <c r="HL82" s="1290"/>
      <c r="HM82" s="1290"/>
      <c r="HN82" s="1290"/>
      <c r="HO82" s="1290"/>
    </row>
    <row r="83" spans="1:223" s="1291" customFormat="1" ht="12.75">
      <c r="A83" s="1281"/>
      <c r="B83" s="1281"/>
      <c r="C83" s="1281"/>
      <c r="D83" s="1296"/>
      <c r="E83" s="1296"/>
      <c r="F83" s="1296"/>
      <c r="G83" s="1281"/>
      <c r="H83" s="1281"/>
      <c r="I83" s="1281"/>
      <c r="J83" s="1281"/>
      <c r="K83" s="1281"/>
      <c r="L83" s="1281"/>
      <c r="M83" s="1281"/>
      <c r="N83" s="1281"/>
      <c r="O83" s="1281"/>
      <c r="P83" s="1281"/>
      <c r="Q83" s="1281"/>
      <c r="R83" s="1281"/>
      <c r="S83" s="1281"/>
      <c r="T83" s="1281"/>
      <c r="U83" s="1281"/>
      <c r="V83" s="1281"/>
      <c r="W83" s="1281"/>
      <c r="X83" s="1281"/>
      <c r="Y83" s="1281"/>
      <c r="Z83" s="1287"/>
      <c r="AA83" s="1296"/>
      <c r="AB83" s="1296"/>
      <c r="AC83" s="1287"/>
      <c r="AD83" s="1290"/>
      <c r="AE83" s="1290"/>
      <c r="AF83" s="1290"/>
      <c r="AG83" s="1290"/>
      <c r="AH83" s="1290"/>
      <c r="AI83" s="1290"/>
      <c r="AJ83" s="1290"/>
      <c r="AK83" s="1290"/>
      <c r="AL83" s="1290"/>
      <c r="AM83" s="1290"/>
      <c r="AN83" s="1290"/>
      <c r="AO83" s="1290"/>
      <c r="AP83" s="1290"/>
      <c r="AQ83" s="1290"/>
      <c r="AR83" s="1290"/>
      <c r="AS83" s="1290"/>
      <c r="AT83" s="1290"/>
      <c r="AU83" s="1290"/>
      <c r="AV83" s="1290"/>
      <c r="AW83" s="1290"/>
      <c r="AX83" s="1290"/>
      <c r="AY83" s="1290"/>
      <c r="AZ83" s="1290"/>
      <c r="BA83" s="1290"/>
      <c r="BB83" s="1290"/>
      <c r="BC83" s="1290"/>
      <c r="BD83" s="1290"/>
      <c r="BE83" s="1290"/>
      <c r="BF83" s="1290"/>
      <c r="BG83" s="1290"/>
      <c r="BH83" s="1290"/>
      <c r="BI83" s="1290"/>
      <c r="BJ83" s="1290"/>
      <c r="BK83" s="1290"/>
      <c r="BL83" s="1290"/>
      <c r="BM83" s="1290"/>
      <c r="BN83" s="1290"/>
      <c r="BO83" s="1290"/>
      <c r="BP83" s="1290"/>
      <c r="BQ83" s="1290"/>
      <c r="BR83" s="1290"/>
      <c r="BS83" s="1290"/>
      <c r="BT83" s="1290"/>
      <c r="BU83" s="1290"/>
      <c r="BV83" s="1290"/>
      <c r="BW83" s="1290"/>
      <c r="BX83" s="1290"/>
      <c r="BY83" s="1290"/>
      <c r="BZ83" s="1290"/>
      <c r="CA83" s="1290"/>
      <c r="CB83" s="1290"/>
      <c r="CC83" s="1290"/>
      <c r="CD83" s="1290"/>
      <c r="CE83" s="1290"/>
      <c r="CF83" s="1290"/>
      <c r="CG83" s="1290"/>
      <c r="CH83" s="1290"/>
      <c r="CI83" s="1290"/>
      <c r="CJ83" s="1290"/>
      <c r="CK83" s="1290"/>
      <c r="CL83" s="1290"/>
      <c r="CM83" s="1290"/>
      <c r="CN83" s="1290"/>
      <c r="CO83" s="1290"/>
      <c r="CP83" s="1290"/>
      <c r="CQ83" s="1290"/>
      <c r="CR83" s="1290"/>
      <c r="CS83" s="1290"/>
      <c r="CT83" s="1290"/>
      <c r="CU83" s="1290"/>
      <c r="CV83" s="1290"/>
      <c r="CW83" s="1290"/>
      <c r="CX83" s="1290"/>
      <c r="CY83" s="1290"/>
      <c r="CZ83" s="1290"/>
      <c r="DA83" s="1290"/>
      <c r="DB83" s="1290"/>
      <c r="DC83" s="1290"/>
      <c r="DD83" s="1290"/>
      <c r="DE83" s="1290"/>
      <c r="DF83" s="1290"/>
      <c r="DG83" s="1290"/>
      <c r="DH83" s="1290"/>
      <c r="DI83" s="1290"/>
      <c r="DJ83" s="1290"/>
      <c r="DK83" s="1290"/>
      <c r="DL83" s="1290"/>
      <c r="DM83" s="1290"/>
      <c r="DN83" s="1290"/>
      <c r="DO83" s="1290"/>
      <c r="DP83" s="1290"/>
      <c r="DQ83" s="1290"/>
      <c r="DR83" s="1290"/>
      <c r="DS83" s="1290"/>
      <c r="DT83" s="1290"/>
      <c r="DU83" s="1290"/>
      <c r="DV83" s="1290"/>
      <c r="DW83" s="1290"/>
      <c r="DX83" s="1290"/>
      <c r="DY83" s="1290"/>
      <c r="DZ83" s="1290"/>
      <c r="EA83" s="1290"/>
      <c r="EB83" s="1290"/>
      <c r="EC83" s="1290"/>
      <c r="ED83" s="1290"/>
      <c r="EE83" s="1290"/>
      <c r="EF83" s="1290"/>
      <c r="EG83" s="1290"/>
      <c r="EH83" s="1290"/>
      <c r="EI83" s="1290"/>
      <c r="EJ83" s="1290"/>
      <c r="EK83" s="1290"/>
      <c r="EL83" s="1290"/>
      <c r="EM83" s="1290"/>
      <c r="EN83" s="1290"/>
      <c r="EO83" s="1290"/>
      <c r="EP83" s="1290"/>
      <c r="EQ83" s="1290"/>
      <c r="ER83" s="1290"/>
      <c r="ES83" s="1290"/>
      <c r="ET83" s="1290"/>
      <c r="EU83" s="1290"/>
      <c r="EV83" s="1290"/>
      <c r="EW83" s="1290"/>
      <c r="EX83" s="1290"/>
      <c r="EY83" s="1290"/>
      <c r="EZ83" s="1290"/>
      <c r="FA83" s="1290"/>
      <c r="FB83" s="1290"/>
      <c r="FC83" s="1290"/>
      <c r="FD83" s="1290"/>
      <c r="FE83" s="1290"/>
      <c r="FF83" s="1290"/>
      <c r="FG83" s="1290"/>
      <c r="FH83" s="1290"/>
      <c r="FI83" s="1290"/>
      <c r="FJ83" s="1290"/>
      <c r="FK83" s="1290"/>
      <c r="FL83" s="1290"/>
      <c r="FM83" s="1290"/>
      <c r="FN83" s="1290"/>
      <c r="FO83" s="1290"/>
      <c r="FP83" s="1290"/>
      <c r="FQ83" s="1290"/>
      <c r="FR83" s="1290"/>
      <c r="FS83" s="1290"/>
      <c r="FT83" s="1290"/>
      <c r="FU83" s="1290"/>
      <c r="FV83" s="1290"/>
      <c r="FW83" s="1290"/>
      <c r="FX83" s="1290"/>
      <c r="FY83" s="1290"/>
      <c r="FZ83" s="1290"/>
      <c r="GA83" s="1290"/>
      <c r="GB83" s="1290"/>
      <c r="GC83" s="1290"/>
      <c r="GD83" s="1290"/>
      <c r="GE83" s="1290"/>
      <c r="GF83" s="1290"/>
      <c r="GG83" s="1290"/>
      <c r="GH83" s="1290"/>
      <c r="GI83" s="1290"/>
      <c r="GJ83" s="1290"/>
      <c r="GK83" s="1290"/>
      <c r="GL83" s="1290"/>
      <c r="GM83" s="1290"/>
      <c r="GN83" s="1290"/>
      <c r="GO83" s="1290"/>
      <c r="GP83" s="1290"/>
      <c r="GQ83" s="1290"/>
      <c r="GR83" s="1290"/>
      <c r="GS83" s="1290"/>
      <c r="GT83" s="1290"/>
      <c r="GU83" s="1290"/>
      <c r="GV83" s="1290"/>
      <c r="GW83" s="1290"/>
      <c r="GX83" s="1290"/>
      <c r="GY83" s="1290"/>
      <c r="GZ83" s="1290"/>
      <c r="HA83" s="1290"/>
      <c r="HB83" s="1290"/>
      <c r="HC83" s="1290"/>
      <c r="HD83" s="1290"/>
      <c r="HE83" s="1290"/>
      <c r="HF83" s="1290"/>
      <c r="HG83" s="1290"/>
      <c r="HH83" s="1290"/>
      <c r="HI83" s="1290"/>
      <c r="HJ83" s="1290"/>
      <c r="HK83" s="1290"/>
      <c r="HL83" s="1290"/>
      <c r="HM83" s="1290"/>
      <c r="HN83" s="1290"/>
      <c r="HO83" s="1290"/>
    </row>
    <row r="84" spans="1:223" s="1291" customFormat="1" ht="12.75">
      <c r="A84" s="1281"/>
      <c r="B84" s="1281"/>
      <c r="C84" s="1295" t="s">
        <v>232</v>
      </c>
      <c r="D84" s="1296"/>
      <c r="E84" s="1296"/>
      <c r="F84" s="1296"/>
      <c r="G84" s="1281"/>
      <c r="H84" s="1281"/>
      <c r="I84" s="1281"/>
      <c r="J84" s="1281"/>
      <c r="K84" s="1281"/>
      <c r="L84" s="1281"/>
      <c r="M84" s="1281"/>
      <c r="N84" s="1281"/>
      <c r="O84" s="1281"/>
      <c r="P84" s="1281"/>
      <c r="Q84" s="1281"/>
      <c r="R84" s="1281"/>
      <c r="S84" s="1281"/>
      <c r="T84" s="1295" t="s">
        <v>232</v>
      </c>
      <c r="U84" s="1281"/>
      <c r="V84" s="1295"/>
      <c r="W84" s="1281"/>
      <c r="X84" s="1281"/>
      <c r="Y84" s="1281"/>
      <c r="Z84" s="1287"/>
      <c r="AA84" s="1296"/>
      <c r="AB84" s="1296"/>
      <c r="AC84" s="1287"/>
      <c r="AD84" s="1290"/>
      <c r="AE84" s="1290"/>
      <c r="AF84" s="1290"/>
      <c r="AG84" s="1290"/>
      <c r="AH84" s="1290"/>
      <c r="AI84" s="1290"/>
      <c r="AJ84" s="1290"/>
      <c r="AK84" s="1290"/>
      <c r="AL84" s="1290"/>
      <c r="AM84" s="1290"/>
      <c r="AN84" s="1290"/>
      <c r="AO84" s="1290"/>
      <c r="AP84" s="1290"/>
      <c r="AQ84" s="1290"/>
      <c r="AR84" s="1290"/>
      <c r="AS84" s="1290"/>
      <c r="AT84" s="1290"/>
      <c r="AU84" s="1290"/>
      <c r="AV84" s="1290"/>
      <c r="AW84" s="1290"/>
      <c r="AX84" s="1290"/>
      <c r="AY84" s="1290"/>
      <c r="AZ84" s="1290"/>
      <c r="BA84" s="1290"/>
      <c r="BB84" s="1290"/>
      <c r="BC84" s="1290"/>
      <c r="BD84" s="1290"/>
      <c r="BE84" s="1290"/>
      <c r="BF84" s="1290"/>
      <c r="BG84" s="1290"/>
      <c r="BH84" s="1290"/>
      <c r="BI84" s="1290"/>
      <c r="BJ84" s="1290"/>
      <c r="BK84" s="1290"/>
      <c r="BL84" s="1290"/>
      <c r="BM84" s="1290"/>
      <c r="BN84" s="1290"/>
      <c r="BO84" s="1290"/>
      <c r="BP84" s="1290"/>
      <c r="BQ84" s="1290"/>
      <c r="BR84" s="1290"/>
      <c r="BS84" s="1290"/>
      <c r="BT84" s="1290"/>
      <c r="BU84" s="1290"/>
      <c r="BV84" s="1290"/>
      <c r="BW84" s="1290"/>
      <c r="BX84" s="1290"/>
      <c r="BY84" s="1290"/>
      <c r="BZ84" s="1290"/>
      <c r="CA84" s="1290"/>
      <c r="CB84" s="1290"/>
      <c r="CC84" s="1290"/>
      <c r="CD84" s="1290"/>
      <c r="CE84" s="1290"/>
      <c r="CF84" s="1290"/>
      <c r="CG84" s="1290"/>
      <c r="CH84" s="1290"/>
      <c r="CI84" s="1290"/>
      <c r="CJ84" s="1290"/>
      <c r="CK84" s="1290"/>
      <c r="CL84" s="1290"/>
      <c r="CM84" s="1290"/>
      <c r="CN84" s="1290"/>
      <c r="CO84" s="1290"/>
      <c r="CP84" s="1290"/>
      <c r="CQ84" s="1290"/>
      <c r="CR84" s="1290"/>
      <c r="CS84" s="1290"/>
      <c r="CT84" s="1290"/>
      <c r="CU84" s="1290"/>
      <c r="CV84" s="1290"/>
      <c r="CW84" s="1290"/>
      <c r="CX84" s="1290"/>
      <c r="CY84" s="1290"/>
      <c r="CZ84" s="1290"/>
      <c r="DA84" s="1290"/>
      <c r="DB84" s="1290"/>
      <c r="DC84" s="1290"/>
      <c r="DD84" s="1290"/>
      <c r="DE84" s="1290"/>
      <c r="DF84" s="1290"/>
      <c r="DG84" s="1290"/>
      <c r="DH84" s="1290"/>
      <c r="DI84" s="1290"/>
      <c r="DJ84" s="1290"/>
      <c r="DK84" s="1290"/>
      <c r="DL84" s="1290"/>
      <c r="DM84" s="1290"/>
      <c r="DN84" s="1290"/>
      <c r="DO84" s="1290"/>
      <c r="DP84" s="1290"/>
      <c r="DQ84" s="1290"/>
      <c r="DR84" s="1290"/>
      <c r="DS84" s="1290"/>
      <c r="DT84" s="1290"/>
      <c r="DU84" s="1290"/>
      <c r="DV84" s="1290"/>
      <c r="DW84" s="1290"/>
      <c r="DX84" s="1290"/>
      <c r="DY84" s="1290"/>
      <c r="DZ84" s="1290"/>
      <c r="EA84" s="1290"/>
      <c r="EB84" s="1290"/>
      <c r="EC84" s="1290"/>
      <c r="ED84" s="1290"/>
      <c r="EE84" s="1290"/>
      <c r="EF84" s="1290"/>
      <c r="EG84" s="1290"/>
      <c r="EH84" s="1290"/>
      <c r="EI84" s="1290"/>
      <c r="EJ84" s="1290"/>
      <c r="EK84" s="1290"/>
      <c r="EL84" s="1290"/>
      <c r="EM84" s="1290"/>
      <c r="EN84" s="1290"/>
      <c r="EO84" s="1290"/>
      <c r="EP84" s="1290"/>
      <c r="EQ84" s="1290"/>
      <c r="ER84" s="1290"/>
      <c r="ES84" s="1290"/>
      <c r="ET84" s="1290"/>
      <c r="EU84" s="1290"/>
      <c r="EV84" s="1290"/>
      <c r="EW84" s="1290"/>
      <c r="EX84" s="1290"/>
      <c r="EY84" s="1290"/>
      <c r="EZ84" s="1290"/>
      <c r="FA84" s="1290"/>
      <c r="FB84" s="1290"/>
      <c r="FC84" s="1290"/>
      <c r="FD84" s="1290"/>
      <c r="FE84" s="1290"/>
      <c r="FF84" s="1290"/>
      <c r="FG84" s="1290"/>
      <c r="FH84" s="1290"/>
      <c r="FI84" s="1290"/>
      <c r="FJ84" s="1290"/>
      <c r="FK84" s="1290"/>
      <c r="FL84" s="1290"/>
      <c r="FM84" s="1290"/>
      <c r="FN84" s="1290"/>
      <c r="FO84" s="1290"/>
      <c r="FP84" s="1290"/>
      <c r="FQ84" s="1290"/>
      <c r="FR84" s="1290"/>
      <c r="FS84" s="1290"/>
      <c r="FT84" s="1290"/>
      <c r="FU84" s="1290"/>
      <c r="FV84" s="1290"/>
      <c r="FW84" s="1290"/>
      <c r="FX84" s="1290"/>
      <c r="FY84" s="1290"/>
      <c r="FZ84" s="1290"/>
      <c r="GA84" s="1290"/>
      <c r="GB84" s="1290"/>
      <c r="GC84" s="1290"/>
      <c r="GD84" s="1290"/>
      <c r="GE84" s="1290"/>
      <c r="GF84" s="1290"/>
      <c r="GG84" s="1290"/>
      <c r="GH84" s="1290"/>
      <c r="GI84" s="1290"/>
      <c r="GJ84" s="1290"/>
      <c r="GK84" s="1290"/>
      <c r="GL84" s="1290"/>
      <c r="GM84" s="1290"/>
      <c r="GN84" s="1290"/>
      <c r="GO84" s="1290"/>
      <c r="GP84" s="1290"/>
      <c r="GQ84" s="1290"/>
      <c r="GR84" s="1290"/>
      <c r="GS84" s="1290"/>
      <c r="GT84" s="1290"/>
      <c r="GU84" s="1290"/>
      <c r="GV84" s="1290"/>
      <c r="GW84" s="1290"/>
      <c r="GX84" s="1290"/>
      <c r="GY84" s="1290"/>
      <c r="GZ84" s="1290"/>
      <c r="HA84" s="1290"/>
      <c r="HB84" s="1290"/>
      <c r="HC84" s="1290"/>
      <c r="HD84" s="1290"/>
      <c r="HE84" s="1290"/>
      <c r="HF84" s="1290"/>
      <c r="HG84" s="1290"/>
      <c r="HH84" s="1290"/>
      <c r="HI84" s="1290"/>
      <c r="HJ84" s="1290"/>
      <c r="HK84" s="1290"/>
      <c r="HL84" s="1290"/>
      <c r="HM84" s="1290"/>
      <c r="HN84" s="1290"/>
      <c r="HO84" s="1290"/>
    </row>
    <row r="85" spans="1:223" s="1291" customFormat="1" ht="12.75">
      <c r="A85" s="1281"/>
      <c r="B85" s="1281"/>
      <c r="C85" s="1281" t="s">
        <v>229</v>
      </c>
      <c r="D85" s="1296">
        <f>SUM(D29)</f>
        <v>37794</v>
      </c>
      <c r="E85" s="1296">
        <f>SUM(E29)</f>
        <v>161</v>
      </c>
      <c r="F85" s="1296">
        <f>SUM(D85:E85)</f>
        <v>37955</v>
      </c>
      <c r="G85" s="1281"/>
      <c r="H85" s="1281"/>
      <c r="I85" s="1281"/>
      <c r="J85" s="1281"/>
      <c r="K85" s="1281"/>
      <c r="L85" s="1281"/>
      <c r="M85" s="1281"/>
      <c r="N85" s="1281"/>
      <c r="O85" s="1281"/>
      <c r="P85" s="1281"/>
      <c r="Q85" s="1281"/>
      <c r="R85" s="1281"/>
      <c r="S85" s="1281"/>
      <c r="T85" s="1281" t="s">
        <v>229</v>
      </c>
      <c r="U85" s="1281"/>
      <c r="V85" s="1281"/>
      <c r="W85" s="1296">
        <f>SUM(X29)</f>
        <v>29532</v>
      </c>
      <c r="X85" s="1296">
        <v>0</v>
      </c>
      <c r="Y85" s="1296">
        <f>SUM(W85:X85)</f>
        <v>29532</v>
      </c>
      <c r="Z85" s="1297"/>
      <c r="AA85" s="1296">
        <f aca="true" t="shared" si="2" ref="AA85:AB87">W85-D85</f>
        <v>-8262</v>
      </c>
      <c r="AB85" s="1296">
        <f t="shared" si="2"/>
        <v>-161</v>
      </c>
      <c r="AC85" s="1297">
        <f>SUM(AA85:AB85)</f>
        <v>-8423</v>
      </c>
      <c r="AD85" s="1290"/>
      <c r="AE85" s="1290"/>
      <c r="AF85" s="1290"/>
      <c r="AG85" s="1290"/>
      <c r="AH85" s="1290"/>
      <c r="AI85" s="1290"/>
      <c r="AJ85" s="1290"/>
      <c r="AK85" s="1290"/>
      <c r="AL85" s="1290"/>
      <c r="AM85" s="1290"/>
      <c r="AN85" s="1290"/>
      <c r="AO85" s="1290"/>
      <c r="AP85" s="1290"/>
      <c r="AQ85" s="1290"/>
      <c r="AR85" s="1290"/>
      <c r="AS85" s="1290"/>
      <c r="AT85" s="1290"/>
      <c r="AU85" s="1290"/>
      <c r="AV85" s="1290"/>
      <c r="AW85" s="1290"/>
      <c r="AX85" s="1290"/>
      <c r="AY85" s="1290"/>
      <c r="AZ85" s="1290"/>
      <c r="BA85" s="1290"/>
      <c r="BB85" s="1290"/>
      <c r="BC85" s="1290"/>
      <c r="BD85" s="1290"/>
      <c r="BE85" s="1290"/>
      <c r="BF85" s="1290"/>
      <c r="BG85" s="1290"/>
      <c r="BH85" s="1290"/>
      <c r="BI85" s="1290"/>
      <c r="BJ85" s="1290"/>
      <c r="BK85" s="1290"/>
      <c r="BL85" s="1290"/>
      <c r="BM85" s="1290"/>
      <c r="BN85" s="1290"/>
      <c r="BO85" s="1290"/>
      <c r="BP85" s="1290"/>
      <c r="BQ85" s="1290"/>
      <c r="BR85" s="1290"/>
      <c r="BS85" s="1290"/>
      <c r="BT85" s="1290"/>
      <c r="BU85" s="1290"/>
      <c r="BV85" s="1290"/>
      <c r="BW85" s="1290"/>
      <c r="BX85" s="1290"/>
      <c r="BY85" s="1290"/>
      <c r="BZ85" s="1290"/>
      <c r="CA85" s="1290"/>
      <c r="CB85" s="1290"/>
      <c r="CC85" s="1290"/>
      <c r="CD85" s="1290"/>
      <c r="CE85" s="1290"/>
      <c r="CF85" s="1290"/>
      <c r="CG85" s="1290"/>
      <c r="CH85" s="1290"/>
      <c r="CI85" s="1290"/>
      <c r="CJ85" s="1290"/>
      <c r="CK85" s="1290"/>
      <c r="CL85" s="1290"/>
      <c r="CM85" s="1290"/>
      <c r="CN85" s="1290"/>
      <c r="CO85" s="1290"/>
      <c r="CP85" s="1290"/>
      <c r="CQ85" s="1290"/>
      <c r="CR85" s="1290"/>
      <c r="CS85" s="1290"/>
      <c r="CT85" s="1290"/>
      <c r="CU85" s="1290"/>
      <c r="CV85" s="1290"/>
      <c r="CW85" s="1290"/>
      <c r="CX85" s="1290"/>
      <c r="CY85" s="1290"/>
      <c r="CZ85" s="1290"/>
      <c r="DA85" s="1290"/>
      <c r="DB85" s="1290"/>
      <c r="DC85" s="1290"/>
      <c r="DD85" s="1290"/>
      <c r="DE85" s="1290"/>
      <c r="DF85" s="1290"/>
      <c r="DG85" s="1290"/>
      <c r="DH85" s="1290"/>
      <c r="DI85" s="1290"/>
      <c r="DJ85" s="1290"/>
      <c r="DK85" s="1290"/>
      <c r="DL85" s="1290"/>
      <c r="DM85" s="1290"/>
      <c r="DN85" s="1290"/>
      <c r="DO85" s="1290"/>
      <c r="DP85" s="1290"/>
      <c r="DQ85" s="1290"/>
      <c r="DR85" s="1290"/>
      <c r="DS85" s="1290"/>
      <c r="DT85" s="1290"/>
      <c r="DU85" s="1290"/>
      <c r="DV85" s="1290"/>
      <c r="DW85" s="1290"/>
      <c r="DX85" s="1290"/>
      <c r="DY85" s="1290"/>
      <c r="DZ85" s="1290"/>
      <c r="EA85" s="1290"/>
      <c r="EB85" s="1290"/>
      <c r="EC85" s="1290"/>
      <c r="ED85" s="1290"/>
      <c r="EE85" s="1290"/>
      <c r="EF85" s="1290"/>
      <c r="EG85" s="1290"/>
      <c r="EH85" s="1290"/>
      <c r="EI85" s="1290"/>
      <c r="EJ85" s="1290"/>
      <c r="EK85" s="1290"/>
      <c r="EL85" s="1290"/>
      <c r="EM85" s="1290"/>
      <c r="EN85" s="1290"/>
      <c r="EO85" s="1290"/>
      <c r="EP85" s="1290"/>
      <c r="EQ85" s="1290"/>
      <c r="ER85" s="1290"/>
      <c r="ES85" s="1290"/>
      <c r="ET85" s="1290"/>
      <c r="EU85" s="1290"/>
      <c r="EV85" s="1290"/>
      <c r="EW85" s="1290"/>
      <c r="EX85" s="1290"/>
      <c r="EY85" s="1290"/>
      <c r="EZ85" s="1290"/>
      <c r="FA85" s="1290"/>
      <c r="FB85" s="1290"/>
      <c r="FC85" s="1290"/>
      <c r="FD85" s="1290"/>
      <c r="FE85" s="1290"/>
      <c r="FF85" s="1290"/>
      <c r="FG85" s="1290"/>
      <c r="FH85" s="1290"/>
      <c r="FI85" s="1290"/>
      <c r="FJ85" s="1290"/>
      <c r="FK85" s="1290"/>
      <c r="FL85" s="1290"/>
      <c r="FM85" s="1290"/>
      <c r="FN85" s="1290"/>
      <c r="FO85" s="1290"/>
      <c r="FP85" s="1290"/>
      <c r="FQ85" s="1290"/>
      <c r="FR85" s="1290"/>
      <c r="FS85" s="1290"/>
      <c r="FT85" s="1290"/>
      <c r="FU85" s="1290"/>
      <c r="FV85" s="1290"/>
      <c r="FW85" s="1290"/>
      <c r="FX85" s="1290"/>
      <c r="FY85" s="1290"/>
      <c r="FZ85" s="1290"/>
      <c r="GA85" s="1290"/>
      <c r="GB85" s="1290"/>
      <c r="GC85" s="1290"/>
      <c r="GD85" s="1290"/>
      <c r="GE85" s="1290"/>
      <c r="GF85" s="1290"/>
      <c r="GG85" s="1290"/>
      <c r="GH85" s="1290"/>
      <c r="GI85" s="1290"/>
      <c r="GJ85" s="1290"/>
      <c r="GK85" s="1290"/>
      <c r="GL85" s="1290"/>
      <c r="GM85" s="1290"/>
      <c r="GN85" s="1290"/>
      <c r="GO85" s="1290"/>
      <c r="GP85" s="1290"/>
      <c r="GQ85" s="1290"/>
      <c r="GR85" s="1290"/>
      <c r="GS85" s="1290"/>
      <c r="GT85" s="1290"/>
      <c r="GU85" s="1290"/>
      <c r="GV85" s="1290"/>
      <c r="GW85" s="1290"/>
      <c r="GX85" s="1290"/>
      <c r="GY85" s="1290"/>
      <c r="GZ85" s="1290"/>
      <c r="HA85" s="1290"/>
      <c r="HB85" s="1290"/>
      <c r="HC85" s="1290"/>
      <c r="HD85" s="1290"/>
      <c r="HE85" s="1290"/>
      <c r="HF85" s="1290"/>
      <c r="HG85" s="1290"/>
      <c r="HH85" s="1290"/>
      <c r="HI85" s="1290"/>
      <c r="HJ85" s="1290"/>
      <c r="HK85" s="1290"/>
      <c r="HL85" s="1290"/>
      <c r="HM85" s="1290"/>
      <c r="HN85" s="1290"/>
      <c r="HO85" s="1290"/>
    </row>
    <row r="86" spans="1:223" s="1291" customFormat="1" ht="12.75">
      <c r="A86" s="1281"/>
      <c r="B86" s="1281"/>
      <c r="C86" s="1281" t="s">
        <v>650</v>
      </c>
      <c r="D86" s="1296">
        <f>SUM(D50)</f>
        <v>15</v>
      </c>
      <c r="E86" s="1296">
        <f>SUM(E50)</f>
        <v>0</v>
      </c>
      <c r="F86" s="1296">
        <f>SUM(D86:E86)</f>
        <v>15</v>
      </c>
      <c r="G86" s="1281"/>
      <c r="H86" s="1281"/>
      <c r="I86" s="1281"/>
      <c r="J86" s="1281"/>
      <c r="K86" s="1281"/>
      <c r="L86" s="1281"/>
      <c r="M86" s="1281"/>
      <c r="N86" s="1281"/>
      <c r="O86" s="1281"/>
      <c r="P86" s="1281"/>
      <c r="Q86" s="1281"/>
      <c r="R86" s="1281"/>
      <c r="S86" s="1281"/>
      <c r="T86" s="1281" t="s">
        <v>650</v>
      </c>
      <c r="U86" s="1281"/>
      <c r="V86" s="1281"/>
      <c r="W86" s="1296">
        <f>SUM(X50)</f>
        <v>15</v>
      </c>
      <c r="X86" s="1296">
        <v>0</v>
      </c>
      <c r="Y86" s="1296">
        <f>SUM(W86:X86)</f>
        <v>15</v>
      </c>
      <c r="Z86" s="1297"/>
      <c r="AA86" s="1296">
        <f t="shared" si="2"/>
        <v>0</v>
      </c>
      <c r="AB86" s="1296">
        <f t="shared" si="2"/>
        <v>0</v>
      </c>
      <c r="AC86" s="1297">
        <f>SUM(AA86:AB86)</f>
        <v>0</v>
      </c>
      <c r="AD86" s="1290"/>
      <c r="AE86" s="1290"/>
      <c r="AF86" s="1290"/>
      <c r="AG86" s="1290"/>
      <c r="AH86" s="1290"/>
      <c r="AI86" s="1290"/>
      <c r="AJ86" s="1290"/>
      <c r="AK86" s="1290"/>
      <c r="AL86" s="1290"/>
      <c r="AM86" s="1290"/>
      <c r="AN86" s="1290"/>
      <c r="AO86" s="1290"/>
      <c r="AP86" s="1290"/>
      <c r="AQ86" s="1290"/>
      <c r="AR86" s="1290"/>
      <c r="AS86" s="1290"/>
      <c r="AT86" s="1290"/>
      <c r="AU86" s="1290"/>
      <c r="AV86" s="1290"/>
      <c r="AW86" s="1290"/>
      <c r="AX86" s="1290"/>
      <c r="AY86" s="1290"/>
      <c r="AZ86" s="1290"/>
      <c r="BA86" s="1290"/>
      <c r="BB86" s="1290"/>
      <c r="BC86" s="1290"/>
      <c r="BD86" s="1290"/>
      <c r="BE86" s="1290"/>
      <c r="BF86" s="1290"/>
      <c r="BG86" s="1290"/>
      <c r="BH86" s="1290"/>
      <c r="BI86" s="1290"/>
      <c r="BJ86" s="1290"/>
      <c r="BK86" s="1290"/>
      <c r="BL86" s="1290"/>
      <c r="BM86" s="1290"/>
      <c r="BN86" s="1290"/>
      <c r="BO86" s="1290"/>
      <c r="BP86" s="1290"/>
      <c r="BQ86" s="1290"/>
      <c r="BR86" s="1290"/>
      <c r="BS86" s="1290"/>
      <c r="BT86" s="1290"/>
      <c r="BU86" s="1290"/>
      <c r="BV86" s="1290"/>
      <c r="BW86" s="1290"/>
      <c r="BX86" s="1290"/>
      <c r="BY86" s="1290"/>
      <c r="BZ86" s="1290"/>
      <c r="CA86" s="1290"/>
      <c r="CB86" s="1290"/>
      <c r="CC86" s="1290"/>
      <c r="CD86" s="1290"/>
      <c r="CE86" s="1290"/>
      <c r="CF86" s="1290"/>
      <c r="CG86" s="1290"/>
      <c r="CH86" s="1290"/>
      <c r="CI86" s="1290"/>
      <c r="CJ86" s="1290"/>
      <c r="CK86" s="1290"/>
      <c r="CL86" s="1290"/>
      <c r="CM86" s="1290"/>
      <c r="CN86" s="1290"/>
      <c r="CO86" s="1290"/>
      <c r="CP86" s="1290"/>
      <c r="CQ86" s="1290"/>
      <c r="CR86" s="1290"/>
      <c r="CS86" s="1290"/>
      <c r="CT86" s="1290"/>
      <c r="CU86" s="1290"/>
      <c r="CV86" s="1290"/>
      <c r="CW86" s="1290"/>
      <c r="CX86" s="1290"/>
      <c r="CY86" s="1290"/>
      <c r="CZ86" s="1290"/>
      <c r="DA86" s="1290"/>
      <c r="DB86" s="1290"/>
      <c r="DC86" s="1290"/>
      <c r="DD86" s="1290"/>
      <c r="DE86" s="1290"/>
      <c r="DF86" s="1290"/>
      <c r="DG86" s="1290"/>
      <c r="DH86" s="1290"/>
      <c r="DI86" s="1290"/>
      <c r="DJ86" s="1290"/>
      <c r="DK86" s="1290"/>
      <c r="DL86" s="1290"/>
      <c r="DM86" s="1290"/>
      <c r="DN86" s="1290"/>
      <c r="DO86" s="1290"/>
      <c r="DP86" s="1290"/>
      <c r="DQ86" s="1290"/>
      <c r="DR86" s="1290"/>
      <c r="DS86" s="1290"/>
      <c r="DT86" s="1290"/>
      <c r="DU86" s="1290"/>
      <c r="DV86" s="1290"/>
      <c r="DW86" s="1290"/>
      <c r="DX86" s="1290"/>
      <c r="DY86" s="1290"/>
      <c r="DZ86" s="1290"/>
      <c r="EA86" s="1290"/>
      <c r="EB86" s="1290"/>
      <c r="EC86" s="1290"/>
      <c r="ED86" s="1290"/>
      <c r="EE86" s="1290"/>
      <c r="EF86" s="1290"/>
      <c r="EG86" s="1290"/>
      <c r="EH86" s="1290"/>
      <c r="EI86" s="1290"/>
      <c r="EJ86" s="1290"/>
      <c r="EK86" s="1290"/>
      <c r="EL86" s="1290"/>
      <c r="EM86" s="1290"/>
      <c r="EN86" s="1290"/>
      <c r="EO86" s="1290"/>
      <c r="EP86" s="1290"/>
      <c r="EQ86" s="1290"/>
      <c r="ER86" s="1290"/>
      <c r="ES86" s="1290"/>
      <c r="ET86" s="1290"/>
      <c r="EU86" s="1290"/>
      <c r="EV86" s="1290"/>
      <c r="EW86" s="1290"/>
      <c r="EX86" s="1290"/>
      <c r="EY86" s="1290"/>
      <c r="EZ86" s="1290"/>
      <c r="FA86" s="1290"/>
      <c r="FB86" s="1290"/>
      <c r="FC86" s="1290"/>
      <c r="FD86" s="1290"/>
      <c r="FE86" s="1290"/>
      <c r="FF86" s="1290"/>
      <c r="FG86" s="1290"/>
      <c r="FH86" s="1290"/>
      <c r="FI86" s="1290"/>
      <c r="FJ86" s="1290"/>
      <c r="FK86" s="1290"/>
      <c r="FL86" s="1290"/>
      <c r="FM86" s="1290"/>
      <c r="FN86" s="1290"/>
      <c r="FO86" s="1290"/>
      <c r="FP86" s="1290"/>
      <c r="FQ86" s="1290"/>
      <c r="FR86" s="1290"/>
      <c r="FS86" s="1290"/>
      <c r="FT86" s="1290"/>
      <c r="FU86" s="1290"/>
      <c r="FV86" s="1290"/>
      <c r="FW86" s="1290"/>
      <c r="FX86" s="1290"/>
      <c r="FY86" s="1290"/>
      <c r="FZ86" s="1290"/>
      <c r="GA86" s="1290"/>
      <c r="GB86" s="1290"/>
      <c r="GC86" s="1290"/>
      <c r="GD86" s="1290"/>
      <c r="GE86" s="1290"/>
      <c r="GF86" s="1290"/>
      <c r="GG86" s="1290"/>
      <c r="GH86" s="1290"/>
      <c r="GI86" s="1290"/>
      <c r="GJ86" s="1290"/>
      <c r="GK86" s="1290"/>
      <c r="GL86" s="1290"/>
      <c r="GM86" s="1290"/>
      <c r="GN86" s="1290"/>
      <c r="GO86" s="1290"/>
      <c r="GP86" s="1290"/>
      <c r="GQ86" s="1290"/>
      <c r="GR86" s="1290"/>
      <c r="GS86" s="1290"/>
      <c r="GT86" s="1290"/>
      <c r="GU86" s="1290"/>
      <c r="GV86" s="1290"/>
      <c r="GW86" s="1290"/>
      <c r="GX86" s="1290"/>
      <c r="GY86" s="1290"/>
      <c r="GZ86" s="1290"/>
      <c r="HA86" s="1290"/>
      <c r="HB86" s="1290"/>
      <c r="HC86" s="1290"/>
      <c r="HD86" s="1290"/>
      <c r="HE86" s="1290"/>
      <c r="HF86" s="1290"/>
      <c r="HG86" s="1290"/>
      <c r="HH86" s="1290"/>
      <c r="HI86" s="1290"/>
      <c r="HJ86" s="1290"/>
      <c r="HK86" s="1290"/>
      <c r="HL86" s="1290"/>
      <c r="HM86" s="1290"/>
      <c r="HN86" s="1290"/>
      <c r="HO86" s="1290"/>
    </row>
    <row r="87" spans="1:223" s="1291" customFormat="1" ht="12.75">
      <c r="A87" s="1281"/>
      <c r="B87" s="1281"/>
      <c r="C87" s="1298" t="s">
        <v>230</v>
      </c>
      <c r="D87" s="1299">
        <v>0</v>
      </c>
      <c r="E87" s="1299">
        <v>0</v>
      </c>
      <c r="F87" s="1299">
        <f>SUM(D87:E87)</f>
        <v>0</v>
      </c>
      <c r="G87" s="1281"/>
      <c r="H87" s="1281"/>
      <c r="I87" s="1281"/>
      <c r="J87" s="1281"/>
      <c r="K87" s="1281"/>
      <c r="L87" s="1281"/>
      <c r="M87" s="1281"/>
      <c r="N87" s="1281"/>
      <c r="O87" s="1281"/>
      <c r="P87" s="1281"/>
      <c r="Q87" s="1281"/>
      <c r="R87" s="1281"/>
      <c r="S87" s="1281"/>
      <c r="T87" s="1298" t="s">
        <v>230</v>
      </c>
      <c r="U87" s="1300"/>
      <c r="V87" s="1300"/>
      <c r="W87" s="1299">
        <v>0</v>
      </c>
      <c r="X87" s="1299">
        <v>0</v>
      </c>
      <c r="Y87" s="1299">
        <f>SUM(W87:X87)</f>
        <v>0</v>
      </c>
      <c r="Z87" s="1297"/>
      <c r="AA87" s="1299">
        <f t="shared" si="2"/>
        <v>0</v>
      </c>
      <c r="AB87" s="1299">
        <f t="shared" si="2"/>
        <v>0</v>
      </c>
      <c r="AC87" s="1299">
        <f>SUM(AA87:AB87)</f>
        <v>0</v>
      </c>
      <c r="AD87" s="1290"/>
      <c r="AE87" s="1290"/>
      <c r="AF87" s="1290"/>
      <c r="AG87" s="1290"/>
      <c r="AH87" s="1290"/>
      <c r="AI87" s="1290"/>
      <c r="AJ87" s="1290"/>
      <c r="AK87" s="1290"/>
      <c r="AL87" s="1290"/>
      <c r="AM87" s="1290"/>
      <c r="AN87" s="1290"/>
      <c r="AO87" s="1290"/>
      <c r="AP87" s="1290"/>
      <c r="AQ87" s="1290"/>
      <c r="AR87" s="1290"/>
      <c r="AS87" s="1290"/>
      <c r="AT87" s="1290"/>
      <c r="AU87" s="1290"/>
      <c r="AV87" s="1290"/>
      <c r="AW87" s="1290"/>
      <c r="AX87" s="1290"/>
      <c r="AY87" s="1290"/>
      <c r="AZ87" s="1290"/>
      <c r="BA87" s="1290"/>
      <c r="BB87" s="1290"/>
      <c r="BC87" s="1290"/>
      <c r="BD87" s="1290"/>
      <c r="BE87" s="1290"/>
      <c r="BF87" s="1290"/>
      <c r="BG87" s="1290"/>
      <c r="BH87" s="1290"/>
      <c r="BI87" s="1290"/>
      <c r="BJ87" s="1290"/>
      <c r="BK87" s="1290"/>
      <c r="BL87" s="1290"/>
      <c r="BM87" s="1290"/>
      <c r="BN87" s="1290"/>
      <c r="BO87" s="1290"/>
      <c r="BP87" s="1290"/>
      <c r="BQ87" s="1290"/>
      <c r="BR87" s="1290"/>
      <c r="BS87" s="1290"/>
      <c r="BT87" s="1290"/>
      <c r="BU87" s="1290"/>
      <c r="BV87" s="1290"/>
      <c r="BW87" s="1290"/>
      <c r="BX87" s="1290"/>
      <c r="BY87" s="1290"/>
      <c r="BZ87" s="1290"/>
      <c r="CA87" s="1290"/>
      <c r="CB87" s="1290"/>
      <c r="CC87" s="1290"/>
      <c r="CD87" s="1290"/>
      <c r="CE87" s="1290"/>
      <c r="CF87" s="1290"/>
      <c r="CG87" s="1290"/>
      <c r="CH87" s="1290"/>
      <c r="CI87" s="1290"/>
      <c r="CJ87" s="1290"/>
      <c r="CK87" s="1290"/>
      <c r="CL87" s="1290"/>
      <c r="CM87" s="1290"/>
      <c r="CN87" s="1290"/>
      <c r="CO87" s="1290"/>
      <c r="CP87" s="1290"/>
      <c r="CQ87" s="1290"/>
      <c r="CR87" s="1290"/>
      <c r="CS87" s="1290"/>
      <c r="CT87" s="1290"/>
      <c r="CU87" s="1290"/>
      <c r="CV87" s="1290"/>
      <c r="CW87" s="1290"/>
      <c r="CX87" s="1290"/>
      <c r="CY87" s="1290"/>
      <c r="CZ87" s="1290"/>
      <c r="DA87" s="1290"/>
      <c r="DB87" s="1290"/>
      <c r="DC87" s="1290"/>
      <c r="DD87" s="1290"/>
      <c r="DE87" s="1290"/>
      <c r="DF87" s="1290"/>
      <c r="DG87" s="1290"/>
      <c r="DH87" s="1290"/>
      <c r="DI87" s="1290"/>
      <c r="DJ87" s="1290"/>
      <c r="DK87" s="1290"/>
      <c r="DL87" s="1290"/>
      <c r="DM87" s="1290"/>
      <c r="DN87" s="1290"/>
      <c r="DO87" s="1290"/>
      <c r="DP87" s="1290"/>
      <c r="DQ87" s="1290"/>
      <c r="DR87" s="1290"/>
      <c r="DS87" s="1290"/>
      <c r="DT87" s="1290"/>
      <c r="DU87" s="1290"/>
      <c r="DV87" s="1290"/>
      <c r="DW87" s="1290"/>
      <c r="DX87" s="1290"/>
      <c r="DY87" s="1290"/>
      <c r="DZ87" s="1290"/>
      <c r="EA87" s="1290"/>
      <c r="EB87" s="1290"/>
      <c r="EC87" s="1290"/>
      <c r="ED87" s="1290"/>
      <c r="EE87" s="1290"/>
      <c r="EF87" s="1290"/>
      <c r="EG87" s="1290"/>
      <c r="EH87" s="1290"/>
      <c r="EI87" s="1290"/>
      <c r="EJ87" s="1290"/>
      <c r="EK87" s="1290"/>
      <c r="EL87" s="1290"/>
      <c r="EM87" s="1290"/>
      <c r="EN87" s="1290"/>
      <c r="EO87" s="1290"/>
      <c r="EP87" s="1290"/>
      <c r="EQ87" s="1290"/>
      <c r="ER87" s="1290"/>
      <c r="ES87" s="1290"/>
      <c r="ET87" s="1290"/>
      <c r="EU87" s="1290"/>
      <c r="EV87" s="1290"/>
      <c r="EW87" s="1290"/>
      <c r="EX87" s="1290"/>
      <c r="EY87" s="1290"/>
      <c r="EZ87" s="1290"/>
      <c r="FA87" s="1290"/>
      <c r="FB87" s="1290"/>
      <c r="FC87" s="1290"/>
      <c r="FD87" s="1290"/>
      <c r="FE87" s="1290"/>
      <c r="FF87" s="1290"/>
      <c r="FG87" s="1290"/>
      <c r="FH87" s="1290"/>
      <c r="FI87" s="1290"/>
      <c r="FJ87" s="1290"/>
      <c r="FK87" s="1290"/>
      <c r="FL87" s="1290"/>
      <c r="FM87" s="1290"/>
      <c r="FN87" s="1290"/>
      <c r="FO87" s="1290"/>
      <c r="FP87" s="1290"/>
      <c r="FQ87" s="1290"/>
      <c r="FR87" s="1290"/>
      <c r="FS87" s="1290"/>
      <c r="FT87" s="1290"/>
      <c r="FU87" s="1290"/>
      <c r="FV87" s="1290"/>
      <c r="FW87" s="1290"/>
      <c r="FX87" s="1290"/>
      <c r="FY87" s="1290"/>
      <c r="FZ87" s="1290"/>
      <c r="GA87" s="1290"/>
      <c r="GB87" s="1290"/>
      <c r="GC87" s="1290"/>
      <c r="GD87" s="1290"/>
      <c r="GE87" s="1290"/>
      <c r="GF87" s="1290"/>
      <c r="GG87" s="1290"/>
      <c r="GH87" s="1290"/>
      <c r="GI87" s="1290"/>
      <c r="GJ87" s="1290"/>
      <c r="GK87" s="1290"/>
      <c r="GL87" s="1290"/>
      <c r="GM87" s="1290"/>
      <c r="GN87" s="1290"/>
      <c r="GO87" s="1290"/>
      <c r="GP87" s="1290"/>
      <c r="GQ87" s="1290"/>
      <c r="GR87" s="1290"/>
      <c r="GS87" s="1290"/>
      <c r="GT87" s="1290"/>
      <c r="GU87" s="1290"/>
      <c r="GV87" s="1290"/>
      <c r="GW87" s="1290"/>
      <c r="GX87" s="1290"/>
      <c r="GY87" s="1290"/>
      <c r="GZ87" s="1290"/>
      <c r="HA87" s="1290"/>
      <c r="HB87" s="1290"/>
      <c r="HC87" s="1290"/>
      <c r="HD87" s="1290"/>
      <c r="HE87" s="1290"/>
      <c r="HF87" s="1290"/>
      <c r="HG87" s="1290"/>
      <c r="HH87" s="1290"/>
      <c r="HI87" s="1290"/>
      <c r="HJ87" s="1290"/>
      <c r="HK87" s="1290"/>
      <c r="HL87" s="1290"/>
      <c r="HM87" s="1290"/>
      <c r="HN87" s="1290"/>
      <c r="HO87" s="1290"/>
    </row>
    <row r="88" spans="1:223" s="1291" customFormat="1" ht="12.75">
      <c r="A88" s="1281"/>
      <c r="B88" s="1281"/>
      <c r="C88" s="1301" t="s">
        <v>639</v>
      </c>
      <c r="D88" s="1296">
        <f>SUM(D85:D87)</f>
        <v>37809</v>
      </c>
      <c r="E88" s="1296">
        <f>SUM(E85:E87)</f>
        <v>161</v>
      </c>
      <c r="F88" s="1296">
        <f>SUM(F85:F87)</f>
        <v>37970</v>
      </c>
      <c r="G88" s="1281"/>
      <c r="H88" s="1281"/>
      <c r="I88" s="1281"/>
      <c r="J88" s="1281"/>
      <c r="K88" s="1281"/>
      <c r="L88" s="1281"/>
      <c r="M88" s="1281"/>
      <c r="N88" s="1281"/>
      <c r="O88" s="1281"/>
      <c r="P88" s="1281"/>
      <c r="Q88" s="1281"/>
      <c r="R88" s="1281"/>
      <c r="S88" s="1281"/>
      <c r="T88" s="1301" t="s">
        <v>639</v>
      </c>
      <c r="U88" s="1281"/>
      <c r="V88" s="1301"/>
      <c r="W88" s="1296">
        <f>SUM(W85:W87)</f>
        <v>29547</v>
      </c>
      <c r="X88" s="1296">
        <f>SUM(X85:X87)</f>
        <v>0</v>
      </c>
      <c r="Y88" s="1296">
        <f>SUM(Y85:Y87)</f>
        <v>29547</v>
      </c>
      <c r="Z88" s="1297"/>
      <c r="AA88" s="1296">
        <f>SUM(AA85:AA87)</f>
        <v>-8262</v>
      </c>
      <c r="AB88" s="1296">
        <f>SUM(AB85:AB87)</f>
        <v>-161</v>
      </c>
      <c r="AC88" s="1296">
        <f>SUM(AC85:AC87)</f>
        <v>-8423</v>
      </c>
      <c r="AD88" s="1290"/>
      <c r="AE88" s="1290"/>
      <c r="AF88" s="1290"/>
      <c r="AG88" s="1290"/>
      <c r="AH88" s="1290"/>
      <c r="AI88" s="1290"/>
      <c r="AJ88" s="1290"/>
      <c r="AK88" s="1290"/>
      <c r="AL88" s="1290"/>
      <c r="AM88" s="1290"/>
      <c r="AN88" s="1290"/>
      <c r="AO88" s="1290"/>
      <c r="AP88" s="1290"/>
      <c r="AQ88" s="1290"/>
      <c r="AR88" s="1290"/>
      <c r="AS88" s="1290"/>
      <c r="AT88" s="1290"/>
      <c r="AU88" s="1290"/>
      <c r="AV88" s="1290"/>
      <c r="AW88" s="1290"/>
      <c r="AX88" s="1290"/>
      <c r="AY88" s="1290"/>
      <c r="AZ88" s="1290"/>
      <c r="BA88" s="1290"/>
      <c r="BB88" s="1290"/>
      <c r="BC88" s="1290"/>
      <c r="BD88" s="1290"/>
      <c r="BE88" s="1290"/>
      <c r="BF88" s="1290"/>
      <c r="BG88" s="1290"/>
      <c r="BH88" s="1290"/>
      <c r="BI88" s="1290"/>
      <c r="BJ88" s="1290"/>
      <c r="BK88" s="1290"/>
      <c r="BL88" s="1290"/>
      <c r="BM88" s="1290"/>
      <c r="BN88" s="1290"/>
      <c r="BO88" s="1290"/>
      <c r="BP88" s="1290"/>
      <c r="BQ88" s="1290"/>
      <c r="BR88" s="1290"/>
      <c r="BS88" s="1290"/>
      <c r="BT88" s="1290"/>
      <c r="BU88" s="1290"/>
      <c r="BV88" s="1290"/>
      <c r="BW88" s="1290"/>
      <c r="BX88" s="1290"/>
      <c r="BY88" s="1290"/>
      <c r="BZ88" s="1290"/>
      <c r="CA88" s="1290"/>
      <c r="CB88" s="1290"/>
      <c r="CC88" s="1290"/>
      <c r="CD88" s="1290"/>
      <c r="CE88" s="1290"/>
      <c r="CF88" s="1290"/>
      <c r="CG88" s="1290"/>
      <c r="CH88" s="1290"/>
      <c r="CI88" s="1290"/>
      <c r="CJ88" s="1290"/>
      <c r="CK88" s="1290"/>
      <c r="CL88" s="1290"/>
      <c r="CM88" s="1290"/>
      <c r="CN88" s="1290"/>
      <c r="CO88" s="1290"/>
      <c r="CP88" s="1290"/>
      <c r="CQ88" s="1290"/>
      <c r="CR88" s="1290"/>
      <c r="CS88" s="1290"/>
      <c r="CT88" s="1290"/>
      <c r="CU88" s="1290"/>
      <c r="CV88" s="1290"/>
      <c r="CW88" s="1290"/>
      <c r="CX88" s="1290"/>
      <c r="CY88" s="1290"/>
      <c r="CZ88" s="1290"/>
      <c r="DA88" s="1290"/>
      <c r="DB88" s="1290"/>
      <c r="DC88" s="1290"/>
      <c r="DD88" s="1290"/>
      <c r="DE88" s="1290"/>
      <c r="DF88" s="1290"/>
      <c r="DG88" s="1290"/>
      <c r="DH88" s="1290"/>
      <c r="DI88" s="1290"/>
      <c r="DJ88" s="1290"/>
      <c r="DK88" s="1290"/>
      <c r="DL88" s="1290"/>
      <c r="DM88" s="1290"/>
      <c r="DN88" s="1290"/>
      <c r="DO88" s="1290"/>
      <c r="DP88" s="1290"/>
      <c r="DQ88" s="1290"/>
      <c r="DR88" s="1290"/>
      <c r="DS88" s="1290"/>
      <c r="DT88" s="1290"/>
      <c r="DU88" s="1290"/>
      <c r="DV88" s="1290"/>
      <c r="DW88" s="1290"/>
      <c r="DX88" s="1290"/>
      <c r="DY88" s="1290"/>
      <c r="DZ88" s="1290"/>
      <c r="EA88" s="1290"/>
      <c r="EB88" s="1290"/>
      <c r="EC88" s="1290"/>
      <c r="ED88" s="1290"/>
      <c r="EE88" s="1290"/>
      <c r="EF88" s="1290"/>
      <c r="EG88" s="1290"/>
      <c r="EH88" s="1290"/>
      <c r="EI88" s="1290"/>
      <c r="EJ88" s="1290"/>
      <c r="EK88" s="1290"/>
      <c r="EL88" s="1290"/>
      <c r="EM88" s="1290"/>
      <c r="EN88" s="1290"/>
      <c r="EO88" s="1290"/>
      <c r="EP88" s="1290"/>
      <c r="EQ88" s="1290"/>
      <c r="ER88" s="1290"/>
      <c r="ES88" s="1290"/>
      <c r="ET88" s="1290"/>
      <c r="EU88" s="1290"/>
      <c r="EV88" s="1290"/>
      <c r="EW88" s="1290"/>
      <c r="EX88" s="1290"/>
      <c r="EY88" s="1290"/>
      <c r="EZ88" s="1290"/>
      <c r="FA88" s="1290"/>
      <c r="FB88" s="1290"/>
      <c r="FC88" s="1290"/>
      <c r="FD88" s="1290"/>
      <c r="FE88" s="1290"/>
      <c r="FF88" s="1290"/>
      <c r="FG88" s="1290"/>
      <c r="FH88" s="1290"/>
      <c r="FI88" s="1290"/>
      <c r="FJ88" s="1290"/>
      <c r="FK88" s="1290"/>
      <c r="FL88" s="1290"/>
      <c r="FM88" s="1290"/>
      <c r="FN88" s="1290"/>
      <c r="FO88" s="1290"/>
      <c r="FP88" s="1290"/>
      <c r="FQ88" s="1290"/>
      <c r="FR88" s="1290"/>
      <c r="FS88" s="1290"/>
      <c r="FT88" s="1290"/>
      <c r="FU88" s="1290"/>
      <c r="FV88" s="1290"/>
      <c r="FW88" s="1290"/>
      <c r="FX88" s="1290"/>
      <c r="FY88" s="1290"/>
      <c r="FZ88" s="1290"/>
      <c r="GA88" s="1290"/>
      <c r="GB88" s="1290"/>
      <c r="GC88" s="1290"/>
      <c r="GD88" s="1290"/>
      <c r="GE88" s="1290"/>
      <c r="GF88" s="1290"/>
      <c r="GG88" s="1290"/>
      <c r="GH88" s="1290"/>
      <c r="GI88" s="1290"/>
      <c r="GJ88" s="1290"/>
      <c r="GK88" s="1290"/>
      <c r="GL88" s="1290"/>
      <c r="GM88" s="1290"/>
      <c r="GN88" s="1290"/>
      <c r="GO88" s="1290"/>
      <c r="GP88" s="1290"/>
      <c r="GQ88" s="1290"/>
      <c r="GR88" s="1290"/>
      <c r="GS88" s="1290"/>
      <c r="GT88" s="1290"/>
      <c r="GU88" s="1290"/>
      <c r="GV88" s="1290"/>
      <c r="GW88" s="1290"/>
      <c r="GX88" s="1290"/>
      <c r="GY88" s="1290"/>
      <c r="GZ88" s="1290"/>
      <c r="HA88" s="1290"/>
      <c r="HB88" s="1290"/>
      <c r="HC88" s="1290"/>
      <c r="HD88" s="1290"/>
      <c r="HE88" s="1290"/>
      <c r="HF88" s="1290"/>
      <c r="HG88" s="1290"/>
      <c r="HH88" s="1290"/>
      <c r="HI88" s="1290"/>
      <c r="HJ88" s="1290"/>
      <c r="HK88" s="1290"/>
      <c r="HL88" s="1290"/>
      <c r="HM88" s="1290"/>
      <c r="HN88" s="1290"/>
      <c r="HO88" s="1290"/>
    </row>
    <row r="89" spans="1:223" s="1291" customFormat="1" ht="12.75">
      <c r="A89" s="1281"/>
      <c r="B89" s="1281"/>
      <c r="C89" s="1281"/>
      <c r="D89" s="1281"/>
      <c r="E89" s="1281"/>
      <c r="F89" s="1281"/>
      <c r="G89" s="1281"/>
      <c r="H89" s="1281"/>
      <c r="I89" s="1281"/>
      <c r="J89" s="1281"/>
      <c r="K89" s="1281"/>
      <c r="L89" s="1281"/>
      <c r="M89" s="1281"/>
      <c r="N89" s="1281"/>
      <c r="O89" s="1281"/>
      <c r="P89" s="1281"/>
      <c r="Q89" s="1281"/>
      <c r="R89" s="1281"/>
      <c r="S89" s="1281"/>
      <c r="T89" s="1281"/>
      <c r="U89" s="1281"/>
      <c r="V89" s="1281"/>
      <c r="W89" s="1281"/>
      <c r="X89" s="1281"/>
      <c r="Y89" s="1281"/>
      <c r="Z89" s="1287"/>
      <c r="AA89" s="1296"/>
      <c r="AB89" s="1296"/>
      <c r="AC89" s="1287"/>
      <c r="AD89" s="1290"/>
      <c r="AE89" s="1290"/>
      <c r="AF89" s="1290"/>
      <c r="AG89" s="1290"/>
      <c r="AH89" s="1290"/>
      <c r="AI89" s="1290"/>
      <c r="AJ89" s="1290"/>
      <c r="AK89" s="1290"/>
      <c r="AL89" s="1290"/>
      <c r="AM89" s="1290"/>
      <c r="AN89" s="1290"/>
      <c r="AO89" s="1290"/>
      <c r="AP89" s="1290"/>
      <c r="AQ89" s="1290"/>
      <c r="AR89" s="1290"/>
      <c r="AS89" s="1290"/>
      <c r="AT89" s="1290"/>
      <c r="AU89" s="1290"/>
      <c r="AV89" s="1290"/>
      <c r="AW89" s="1290"/>
      <c r="AX89" s="1290"/>
      <c r="AY89" s="1290"/>
      <c r="AZ89" s="1290"/>
      <c r="BA89" s="1290"/>
      <c r="BB89" s="1290"/>
      <c r="BC89" s="1290"/>
      <c r="BD89" s="1290"/>
      <c r="BE89" s="1290"/>
      <c r="BF89" s="1290"/>
      <c r="BG89" s="1290"/>
      <c r="BH89" s="1290"/>
      <c r="BI89" s="1290"/>
      <c r="BJ89" s="1290"/>
      <c r="BK89" s="1290"/>
      <c r="BL89" s="1290"/>
      <c r="BM89" s="1290"/>
      <c r="BN89" s="1290"/>
      <c r="BO89" s="1290"/>
      <c r="BP89" s="1290"/>
      <c r="BQ89" s="1290"/>
      <c r="BR89" s="1290"/>
      <c r="BS89" s="1290"/>
      <c r="BT89" s="1290"/>
      <c r="BU89" s="1290"/>
      <c r="BV89" s="1290"/>
      <c r="BW89" s="1290"/>
      <c r="BX89" s="1290"/>
      <c r="BY89" s="1290"/>
      <c r="BZ89" s="1290"/>
      <c r="CA89" s="1290"/>
      <c r="CB89" s="1290"/>
      <c r="CC89" s="1290"/>
      <c r="CD89" s="1290"/>
      <c r="CE89" s="1290"/>
      <c r="CF89" s="1290"/>
      <c r="CG89" s="1290"/>
      <c r="CH89" s="1290"/>
      <c r="CI89" s="1290"/>
      <c r="CJ89" s="1290"/>
      <c r="CK89" s="1290"/>
      <c r="CL89" s="1290"/>
      <c r="CM89" s="1290"/>
      <c r="CN89" s="1290"/>
      <c r="CO89" s="1290"/>
      <c r="CP89" s="1290"/>
      <c r="CQ89" s="1290"/>
      <c r="CR89" s="1290"/>
      <c r="CS89" s="1290"/>
      <c r="CT89" s="1290"/>
      <c r="CU89" s="1290"/>
      <c r="CV89" s="1290"/>
      <c r="CW89" s="1290"/>
      <c r="CX89" s="1290"/>
      <c r="CY89" s="1290"/>
      <c r="CZ89" s="1290"/>
      <c r="DA89" s="1290"/>
      <c r="DB89" s="1290"/>
      <c r="DC89" s="1290"/>
      <c r="DD89" s="1290"/>
      <c r="DE89" s="1290"/>
      <c r="DF89" s="1290"/>
      <c r="DG89" s="1290"/>
      <c r="DH89" s="1290"/>
      <c r="DI89" s="1290"/>
      <c r="DJ89" s="1290"/>
      <c r="DK89" s="1290"/>
      <c r="DL89" s="1290"/>
      <c r="DM89" s="1290"/>
      <c r="DN89" s="1290"/>
      <c r="DO89" s="1290"/>
      <c r="DP89" s="1290"/>
      <c r="DQ89" s="1290"/>
      <c r="DR89" s="1290"/>
      <c r="DS89" s="1290"/>
      <c r="DT89" s="1290"/>
      <c r="DU89" s="1290"/>
      <c r="DV89" s="1290"/>
      <c r="DW89" s="1290"/>
      <c r="DX89" s="1290"/>
      <c r="DY89" s="1290"/>
      <c r="DZ89" s="1290"/>
      <c r="EA89" s="1290"/>
      <c r="EB89" s="1290"/>
      <c r="EC89" s="1290"/>
      <c r="ED89" s="1290"/>
      <c r="EE89" s="1290"/>
      <c r="EF89" s="1290"/>
      <c r="EG89" s="1290"/>
      <c r="EH89" s="1290"/>
      <c r="EI89" s="1290"/>
      <c r="EJ89" s="1290"/>
      <c r="EK89" s="1290"/>
      <c r="EL89" s="1290"/>
      <c r="EM89" s="1290"/>
      <c r="EN89" s="1290"/>
      <c r="EO89" s="1290"/>
      <c r="EP89" s="1290"/>
      <c r="EQ89" s="1290"/>
      <c r="ER89" s="1290"/>
      <c r="ES89" s="1290"/>
      <c r="ET89" s="1290"/>
      <c r="EU89" s="1290"/>
      <c r="EV89" s="1290"/>
      <c r="EW89" s="1290"/>
      <c r="EX89" s="1290"/>
      <c r="EY89" s="1290"/>
      <c r="EZ89" s="1290"/>
      <c r="FA89" s="1290"/>
      <c r="FB89" s="1290"/>
      <c r="FC89" s="1290"/>
      <c r="FD89" s="1290"/>
      <c r="FE89" s="1290"/>
      <c r="FF89" s="1290"/>
      <c r="FG89" s="1290"/>
      <c r="FH89" s="1290"/>
      <c r="FI89" s="1290"/>
      <c r="FJ89" s="1290"/>
      <c r="FK89" s="1290"/>
      <c r="FL89" s="1290"/>
      <c r="FM89" s="1290"/>
      <c r="FN89" s="1290"/>
      <c r="FO89" s="1290"/>
      <c r="FP89" s="1290"/>
      <c r="FQ89" s="1290"/>
      <c r="FR89" s="1290"/>
      <c r="FS89" s="1290"/>
      <c r="FT89" s="1290"/>
      <c r="FU89" s="1290"/>
      <c r="FV89" s="1290"/>
      <c r="FW89" s="1290"/>
      <c r="FX89" s="1290"/>
      <c r="FY89" s="1290"/>
      <c r="FZ89" s="1290"/>
      <c r="GA89" s="1290"/>
      <c r="GB89" s="1290"/>
      <c r="GC89" s="1290"/>
      <c r="GD89" s="1290"/>
      <c r="GE89" s="1290"/>
      <c r="GF89" s="1290"/>
      <c r="GG89" s="1290"/>
      <c r="GH89" s="1290"/>
      <c r="GI89" s="1290"/>
      <c r="GJ89" s="1290"/>
      <c r="GK89" s="1290"/>
      <c r="GL89" s="1290"/>
      <c r="GM89" s="1290"/>
      <c r="GN89" s="1290"/>
      <c r="GO89" s="1290"/>
      <c r="GP89" s="1290"/>
      <c r="GQ89" s="1290"/>
      <c r="GR89" s="1290"/>
      <c r="GS89" s="1290"/>
      <c r="GT89" s="1290"/>
      <c r="GU89" s="1290"/>
      <c r="GV89" s="1290"/>
      <c r="GW89" s="1290"/>
      <c r="GX89" s="1290"/>
      <c r="GY89" s="1290"/>
      <c r="GZ89" s="1290"/>
      <c r="HA89" s="1290"/>
      <c r="HB89" s="1290"/>
      <c r="HC89" s="1290"/>
      <c r="HD89" s="1290"/>
      <c r="HE89" s="1290"/>
      <c r="HF89" s="1290"/>
      <c r="HG89" s="1290"/>
      <c r="HH89" s="1290"/>
      <c r="HI89" s="1290"/>
      <c r="HJ89" s="1290"/>
      <c r="HK89" s="1290"/>
      <c r="HL89" s="1290"/>
      <c r="HM89" s="1290"/>
      <c r="HN89" s="1290"/>
      <c r="HO89" s="1290"/>
    </row>
    <row r="90" spans="1:223" s="1291" customFormat="1" ht="12.75">
      <c r="A90" s="1304"/>
      <c r="B90" s="1304"/>
      <c r="C90" s="1304" t="s">
        <v>233</v>
      </c>
      <c r="D90" s="1305">
        <f>SUM(D88,D82,D76)</f>
        <v>1417026</v>
      </c>
      <c r="E90" s="1305">
        <f>SUM(E88,E82,E76)</f>
        <v>1340011</v>
      </c>
      <c r="F90" s="1305">
        <f>SUM(F88,F82,F76)</f>
        <v>2757037</v>
      </c>
      <c r="G90" s="1304"/>
      <c r="H90" s="1304"/>
      <c r="I90" s="1304"/>
      <c r="J90" s="1304"/>
      <c r="K90" s="1304"/>
      <c r="L90" s="1304"/>
      <c r="M90" s="1304"/>
      <c r="N90" s="1304"/>
      <c r="O90" s="1304"/>
      <c r="P90" s="1304"/>
      <c r="Q90" s="1304"/>
      <c r="R90" s="1304"/>
      <c r="S90" s="1304"/>
      <c r="T90" s="1304" t="s">
        <v>233</v>
      </c>
      <c r="U90" s="1304"/>
      <c r="V90" s="1304"/>
      <c r="W90" s="1305">
        <f>SUM(W88,W82,W76)</f>
        <v>1394177</v>
      </c>
      <c r="X90" s="1305">
        <f>SUM(X88,X82,X76)</f>
        <v>1362860</v>
      </c>
      <c r="Y90" s="1305">
        <f>SUM(Y88,Y82,Y76)</f>
        <v>2757037</v>
      </c>
      <c r="Z90" s="1306"/>
      <c r="AA90" s="1305">
        <f>SUM(AA88,AA82,AA76)</f>
        <v>-22849</v>
      </c>
      <c r="AB90" s="1305">
        <f>SUM(AB88,AB82,AB76)</f>
        <v>22849</v>
      </c>
      <c r="AC90" s="1305">
        <f>SUM(AC88,AC82,AC76)</f>
        <v>0</v>
      </c>
      <c r="AD90" s="1290"/>
      <c r="AE90" s="1290"/>
      <c r="AF90" s="1290"/>
      <c r="AG90" s="1290"/>
      <c r="AH90" s="1290"/>
      <c r="AI90" s="1290"/>
      <c r="AJ90" s="1290"/>
      <c r="AK90" s="1290"/>
      <c r="AL90" s="1290"/>
      <c r="AM90" s="1290"/>
      <c r="AN90" s="1290"/>
      <c r="AO90" s="1290"/>
      <c r="AP90" s="1290"/>
      <c r="AQ90" s="1290"/>
      <c r="AR90" s="1290"/>
      <c r="AS90" s="1290"/>
      <c r="AT90" s="1290"/>
      <c r="AU90" s="1290"/>
      <c r="AV90" s="1290"/>
      <c r="AW90" s="1290"/>
      <c r="AX90" s="1290"/>
      <c r="AY90" s="1290"/>
      <c r="AZ90" s="1290"/>
      <c r="BA90" s="1290"/>
      <c r="BB90" s="1290"/>
      <c r="BC90" s="1290"/>
      <c r="BD90" s="1290"/>
      <c r="BE90" s="1290"/>
      <c r="BF90" s="1290"/>
      <c r="BG90" s="1290"/>
      <c r="BH90" s="1290"/>
      <c r="BI90" s="1290"/>
      <c r="BJ90" s="1290"/>
      <c r="BK90" s="1290"/>
      <c r="BL90" s="1290"/>
      <c r="BM90" s="1290"/>
      <c r="BN90" s="1290"/>
      <c r="BO90" s="1290"/>
      <c r="BP90" s="1290"/>
      <c r="BQ90" s="1290"/>
      <c r="BR90" s="1290"/>
      <c r="BS90" s="1290"/>
      <c r="BT90" s="1290"/>
      <c r="BU90" s="1290"/>
      <c r="BV90" s="1290"/>
      <c r="BW90" s="1290"/>
      <c r="BX90" s="1290"/>
      <c r="BY90" s="1290"/>
      <c r="BZ90" s="1290"/>
      <c r="CA90" s="1290"/>
      <c r="CB90" s="1290"/>
      <c r="CC90" s="1290"/>
      <c r="CD90" s="1290"/>
      <c r="CE90" s="1290"/>
      <c r="CF90" s="1290"/>
      <c r="CG90" s="1290"/>
      <c r="CH90" s="1290"/>
      <c r="CI90" s="1290"/>
      <c r="CJ90" s="1290"/>
      <c r="CK90" s="1290"/>
      <c r="CL90" s="1290"/>
      <c r="CM90" s="1290"/>
      <c r="CN90" s="1290"/>
      <c r="CO90" s="1290"/>
      <c r="CP90" s="1290"/>
      <c r="CQ90" s="1290"/>
      <c r="CR90" s="1290"/>
      <c r="CS90" s="1290"/>
      <c r="CT90" s="1290"/>
      <c r="CU90" s="1290"/>
      <c r="CV90" s="1290"/>
      <c r="CW90" s="1290"/>
      <c r="CX90" s="1290"/>
      <c r="CY90" s="1290"/>
      <c r="CZ90" s="1290"/>
      <c r="DA90" s="1290"/>
      <c r="DB90" s="1290"/>
      <c r="DC90" s="1290"/>
      <c r="DD90" s="1290"/>
      <c r="DE90" s="1290"/>
      <c r="DF90" s="1290"/>
      <c r="DG90" s="1290"/>
      <c r="DH90" s="1290"/>
      <c r="DI90" s="1290"/>
      <c r="DJ90" s="1290"/>
      <c r="DK90" s="1290"/>
      <c r="DL90" s="1290"/>
      <c r="DM90" s="1290"/>
      <c r="DN90" s="1290"/>
      <c r="DO90" s="1290"/>
      <c r="DP90" s="1290"/>
      <c r="DQ90" s="1290"/>
      <c r="DR90" s="1290"/>
      <c r="DS90" s="1290"/>
      <c r="DT90" s="1290"/>
      <c r="DU90" s="1290"/>
      <c r="DV90" s="1290"/>
      <c r="DW90" s="1290"/>
      <c r="DX90" s="1290"/>
      <c r="DY90" s="1290"/>
      <c r="DZ90" s="1290"/>
      <c r="EA90" s="1290"/>
      <c r="EB90" s="1290"/>
      <c r="EC90" s="1290"/>
      <c r="ED90" s="1290"/>
      <c r="EE90" s="1290"/>
      <c r="EF90" s="1290"/>
      <c r="EG90" s="1290"/>
      <c r="EH90" s="1290"/>
      <c r="EI90" s="1290"/>
      <c r="EJ90" s="1290"/>
      <c r="EK90" s="1290"/>
      <c r="EL90" s="1290"/>
      <c r="EM90" s="1290"/>
      <c r="EN90" s="1290"/>
      <c r="EO90" s="1290"/>
      <c r="EP90" s="1290"/>
      <c r="EQ90" s="1290"/>
      <c r="ER90" s="1290"/>
      <c r="ES90" s="1290"/>
      <c r="ET90" s="1290"/>
      <c r="EU90" s="1290"/>
      <c r="EV90" s="1290"/>
      <c r="EW90" s="1290"/>
      <c r="EX90" s="1290"/>
      <c r="EY90" s="1290"/>
      <c r="EZ90" s="1290"/>
      <c r="FA90" s="1290"/>
      <c r="FB90" s="1290"/>
      <c r="FC90" s="1290"/>
      <c r="FD90" s="1290"/>
      <c r="FE90" s="1290"/>
      <c r="FF90" s="1290"/>
      <c r="FG90" s="1290"/>
      <c r="FH90" s="1290"/>
      <c r="FI90" s="1290"/>
      <c r="FJ90" s="1290"/>
      <c r="FK90" s="1290"/>
      <c r="FL90" s="1290"/>
      <c r="FM90" s="1290"/>
      <c r="FN90" s="1290"/>
      <c r="FO90" s="1290"/>
      <c r="FP90" s="1290"/>
      <c r="FQ90" s="1290"/>
      <c r="FR90" s="1290"/>
      <c r="FS90" s="1290"/>
      <c r="FT90" s="1290"/>
      <c r="FU90" s="1290"/>
      <c r="FV90" s="1290"/>
      <c r="FW90" s="1290"/>
      <c r="FX90" s="1290"/>
      <c r="FY90" s="1290"/>
      <c r="FZ90" s="1290"/>
      <c r="GA90" s="1290"/>
      <c r="GB90" s="1290"/>
      <c r="GC90" s="1290"/>
      <c r="GD90" s="1290"/>
      <c r="GE90" s="1290"/>
      <c r="GF90" s="1290"/>
      <c r="GG90" s="1290"/>
      <c r="GH90" s="1290"/>
      <c r="GI90" s="1290"/>
      <c r="GJ90" s="1290"/>
      <c r="GK90" s="1290"/>
      <c r="GL90" s="1290"/>
      <c r="GM90" s="1290"/>
      <c r="GN90" s="1290"/>
      <c r="GO90" s="1290"/>
      <c r="GP90" s="1290"/>
      <c r="GQ90" s="1290"/>
      <c r="GR90" s="1290"/>
      <c r="GS90" s="1290"/>
      <c r="GT90" s="1290"/>
      <c r="GU90" s="1290"/>
      <c r="GV90" s="1290"/>
      <c r="GW90" s="1290"/>
      <c r="GX90" s="1290"/>
      <c r="GY90" s="1290"/>
      <c r="GZ90" s="1290"/>
      <c r="HA90" s="1290"/>
      <c r="HB90" s="1290"/>
      <c r="HC90" s="1290"/>
      <c r="HD90" s="1290"/>
      <c r="HE90" s="1290"/>
      <c r="HF90" s="1290"/>
      <c r="HG90" s="1290"/>
      <c r="HH90" s="1290"/>
      <c r="HI90" s="1290"/>
      <c r="HJ90" s="1290"/>
      <c r="HK90" s="1290"/>
      <c r="HL90" s="1290"/>
      <c r="HM90" s="1290"/>
      <c r="HN90" s="1290"/>
      <c r="HO90" s="1290"/>
    </row>
    <row r="91" spans="1:29" ht="12.75">
      <c r="A91" s="557"/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7"/>
      <c r="AA91" s="557"/>
      <c r="AB91" s="557"/>
      <c r="AC91" s="442"/>
    </row>
    <row r="92" spans="1:29" ht="12.75">
      <c r="A92" s="557"/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442"/>
    </row>
    <row r="93" spans="2:6" ht="14.25">
      <c r="B93" s="826" t="s">
        <v>1139</v>
      </c>
      <c r="C93" s="826"/>
      <c r="D93" s="826"/>
      <c r="E93" s="826"/>
      <c r="F93" s="826"/>
    </row>
    <row r="94" spans="2:6" ht="13.5">
      <c r="B94" s="843" t="s">
        <v>1138</v>
      </c>
      <c r="C94" s="826"/>
      <c r="D94" s="826"/>
      <c r="E94" s="826"/>
      <c r="F94" s="826"/>
    </row>
  </sheetData>
  <sheetProtection/>
  <mergeCells count="170">
    <mergeCell ref="D70:F70"/>
    <mergeCell ref="W70:Y70"/>
    <mergeCell ref="S71:V71"/>
    <mergeCell ref="V72:W72"/>
    <mergeCell ref="AA37:AC37"/>
    <mergeCell ref="AA54:AC54"/>
    <mergeCell ref="AA70:AC70"/>
    <mergeCell ref="R64:U64"/>
    <mergeCell ref="S68:V68"/>
    <mergeCell ref="G62:I62"/>
    <mergeCell ref="A67:C67"/>
    <mergeCell ref="H67:J67"/>
    <mergeCell ref="M67:P67"/>
    <mergeCell ref="A68:C68"/>
    <mergeCell ref="H68:J68"/>
    <mergeCell ref="M68:P68"/>
    <mergeCell ref="G63:I63"/>
    <mergeCell ref="K63:K66"/>
    <mergeCell ref="L63:O63"/>
    <mergeCell ref="Q63:Q66"/>
    <mergeCell ref="L64:O64"/>
    <mergeCell ref="X54:Z54"/>
    <mergeCell ref="K56:K62"/>
    <mergeCell ref="W56:W62"/>
    <mergeCell ref="L57:O57"/>
    <mergeCell ref="Q57:Q60"/>
    <mergeCell ref="G61:I61"/>
    <mergeCell ref="R61:U61"/>
    <mergeCell ref="S52:V52"/>
    <mergeCell ref="A54:C55"/>
    <mergeCell ref="D54:F54"/>
    <mergeCell ref="G54:K55"/>
    <mergeCell ref="L54:Q55"/>
    <mergeCell ref="G45:I45"/>
    <mergeCell ref="B50:C50"/>
    <mergeCell ref="G50:I50"/>
    <mergeCell ref="A58:C58"/>
    <mergeCell ref="R59:U59"/>
    <mergeCell ref="G60:I60"/>
    <mergeCell ref="X37:Z37"/>
    <mergeCell ref="G39:I39"/>
    <mergeCell ref="K39:K49"/>
    <mergeCell ref="Q39:Q49"/>
    <mergeCell ref="W39:W49"/>
    <mergeCell ref="G40:I40"/>
    <mergeCell ref="R46:U46"/>
    <mergeCell ref="R47:U47"/>
    <mergeCell ref="R43:U43"/>
    <mergeCell ref="L41:O42"/>
    <mergeCell ref="A36:C36"/>
    <mergeCell ref="H36:J36"/>
    <mergeCell ref="M36:P36"/>
    <mergeCell ref="S36:V36"/>
    <mergeCell ref="A37:C38"/>
    <mergeCell ref="D37:F37"/>
    <mergeCell ref="G37:K38"/>
    <mergeCell ref="L37:Q38"/>
    <mergeCell ref="R37:W38"/>
    <mergeCell ref="W30:W31"/>
    <mergeCell ref="A32:C32"/>
    <mergeCell ref="K32:K35"/>
    <mergeCell ref="Q32:Q35"/>
    <mergeCell ref="R32:U32"/>
    <mergeCell ref="W32:W35"/>
    <mergeCell ref="R33:U33"/>
    <mergeCell ref="L34:O34"/>
    <mergeCell ref="L35:O35"/>
    <mergeCell ref="L33:O33"/>
    <mergeCell ref="P26:P27"/>
    <mergeCell ref="R26:U26"/>
    <mergeCell ref="B29:C29"/>
    <mergeCell ref="G29:I29"/>
    <mergeCell ref="K30:K31"/>
    <mergeCell ref="Q30:Q31"/>
    <mergeCell ref="L28:O28"/>
    <mergeCell ref="R31:U31"/>
    <mergeCell ref="L31:O31"/>
    <mergeCell ref="L30:O30"/>
    <mergeCell ref="G23:I23"/>
    <mergeCell ref="K23:K28"/>
    <mergeCell ref="Q23:Q28"/>
    <mergeCell ref="R23:U23"/>
    <mergeCell ref="W23:W28"/>
    <mergeCell ref="G24:I24"/>
    <mergeCell ref="L24:O24"/>
    <mergeCell ref="L25:O25"/>
    <mergeCell ref="R25:U25"/>
    <mergeCell ref="L26:O27"/>
    <mergeCell ref="W7:W22"/>
    <mergeCell ref="G16:I16"/>
    <mergeCell ref="P19:P20"/>
    <mergeCell ref="R19:U19"/>
    <mergeCell ref="R22:U22"/>
    <mergeCell ref="L16:O16"/>
    <mergeCell ref="G14:I14"/>
    <mergeCell ref="G13:I13"/>
    <mergeCell ref="G12:I12"/>
    <mergeCell ref="S67:V67"/>
    <mergeCell ref="G58:I58"/>
    <mergeCell ref="G59:I59"/>
    <mergeCell ref="G57:I57"/>
    <mergeCell ref="A52:C52"/>
    <mergeCell ref="H52:J52"/>
    <mergeCell ref="G56:I56"/>
    <mergeCell ref="M52:P52"/>
    <mergeCell ref="R60:U60"/>
    <mergeCell ref="R54:W55"/>
    <mergeCell ref="L39:O40"/>
    <mergeCell ref="R41:U41"/>
    <mergeCell ref="R44:U44"/>
    <mergeCell ref="R40:U40"/>
    <mergeCell ref="R42:U42"/>
    <mergeCell ref="A64:C64"/>
    <mergeCell ref="B41:C41"/>
    <mergeCell ref="P41:P42"/>
    <mergeCell ref="G43:I43"/>
    <mergeCell ref="G44:I44"/>
    <mergeCell ref="L32:O32"/>
    <mergeCell ref="G7:I7"/>
    <mergeCell ref="R58:U58"/>
    <mergeCell ref="R57:U57"/>
    <mergeCell ref="R45:U45"/>
    <mergeCell ref="R39:U39"/>
    <mergeCell ref="P39:P40"/>
    <mergeCell ref="G11:I11"/>
    <mergeCell ref="G17:I17"/>
    <mergeCell ref="L17:O17"/>
    <mergeCell ref="L14:O14"/>
    <mergeCell ref="K7:K22"/>
    <mergeCell ref="T1:AB1"/>
    <mergeCell ref="X5:Z5"/>
    <mergeCell ref="AA5:AC5"/>
    <mergeCell ref="A3:X4"/>
    <mergeCell ref="A5:C6"/>
    <mergeCell ref="L5:Q6"/>
    <mergeCell ref="R5:W6"/>
    <mergeCell ref="Q7:Q22"/>
    <mergeCell ref="D5:F5"/>
    <mergeCell ref="G5:K6"/>
    <mergeCell ref="R7:U7"/>
    <mergeCell ref="L10:O10"/>
    <mergeCell ref="L7:O7"/>
    <mergeCell ref="R10:U10"/>
    <mergeCell ref="G10:I10"/>
    <mergeCell ref="R9:U9"/>
    <mergeCell ref="G8:I8"/>
    <mergeCell ref="L8:O8"/>
    <mergeCell ref="G9:I9"/>
    <mergeCell ref="L9:O9"/>
    <mergeCell ref="R8:U8"/>
    <mergeCell ref="R18:U18"/>
    <mergeCell ref="R17:U17"/>
    <mergeCell ref="L23:O23"/>
    <mergeCell ref="L11:O11"/>
    <mergeCell ref="L15:O15"/>
    <mergeCell ref="L18:O18"/>
    <mergeCell ref="L19:O20"/>
    <mergeCell ref="R15:U15"/>
    <mergeCell ref="R11:U11"/>
    <mergeCell ref="L13:O13"/>
    <mergeCell ref="G15:I15"/>
    <mergeCell ref="R30:U30"/>
    <mergeCell ref="R24:U24"/>
    <mergeCell ref="L29:O29"/>
    <mergeCell ref="R29:U29"/>
    <mergeCell ref="L12:O12"/>
    <mergeCell ref="R12:U12"/>
    <mergeCell ref="R16:U16"/>
    <mergeCell ref="R13:U13"/>
    <mergeCell ref="R14:U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7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1" sqref="M21"/>
    </sheetView>
  </sheetViews>
  <sheetFormatPr defaultColWidth="9.00390625" defaultRowHeight="12.75"/>
  <cols>
    <col min="1" max="1" width="29.00390625" style="0" customWidth="1"/>
  </cols>
  <sheetData>
    <row r="1" spans="8:13" ht="18">
      <c r="H1" s="4"/>
      <c r="I1" s="4"/>
      <c r="J1" s="4"/>
      <c r="K1" s="4"/>
      <c r="L1" s="4"/>
      <c r="M1" s="8" t="s">
        <v>1153</v>
      </c>
    </row>
    <row r="2" spans="8:13" ht="12.75">
      <c r="H2" s="4"/>
      <c r="I2" s="4"/>
      <c r="J2" s="4"/>
      <c r="K2" s="4"/>
      <c r="L2" s="4"/>
      <c r="M2" s="5"/>
    </row>
    <row r="3" spans="1:13" s="117" customFormat="1" ht="14.25" customHeight="1">
      <c r="A3" s="1164" t="s">
        <v>901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</row>
    <row r="4" spans="1:13" s="117" customFormat="1" ht="14.25" customHeight="1">
      <c r="A4" s="1164" t="s">
        <v>747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</row>
    <row r="5" spans="1:13" s="117" customFormat="1" ht="18" customHeight="1">
      <c r="A5" s="1164"/>
      <c r="B5" s="1164"/>
      <c r="C5" s="1164"/>
      <c r="D5" s="1164"/>
      <c r="E5" s="1164"/>
      <c r="F5" s="1164"/>
      <c r="G5" s="1164"/>
      <c r="H5" s="1164"/>
      <c r="I5" s="1164"/>
      <c r="J5" s="1164"/>
      <c r="K5" s="1164"/>
      <c r="L5" s="1164"/>
      <c r="M5" s="1164"/>
    </row>
    <row r="6" spans="1:13" s="116" customFormat="1" ht="12.75">
      <c r="A6" s="638" t="s">
        <v>636</v>
      </c>
      <c r="B6" s="190" t="s">
        <v>601</v>
      </c>
      <c r="C6" s="190" t="s">
        <v>602</v>
      </c>
      <c r="D6" s="190" t="s">
        <v>603</v>
      </c>
      <c r="E6" s="190" t="s">
        <v>604</v>
      </c>
      <c r="F6" s="190" t="s">
        <v>605</v>
      </c>
      <c r="G6" s="190" t="s">
        <v>606</v>
      </c>
      <c r="H6" s="190" t="s">
        <v>607</v>
      </c>
      <c r="I6" s="190" t="s">
        <v>608</v>
      </c>
      <c r="J6" s="190" t="s">
        <v>609</v>
      </c>
      <c r="K6" s="190" t="s">
        <v>610</v>
      </c>
      <c r="L6" s="190" t="s">
        <v>611</v>
      </c>
      <c r="M6" s="190" t="s">
        <v>612</v>
      </c>
    </row>
    <row r="7" spans="1:13" s="120" customFormat="1" ht="12.75">
      <c r="A7" s="639" t="s">
        <v>905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s="118" customFormat="1" ht="12.75">
      <c r="A8" s="640" t="s">
        <v>613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119" customFormat="1" ht="12.75">
      <c r="A9" s="641" t="s">
        <v>714</v>
      </c>
      <c r="B9" s="193">
        <v>19</v>
      </c>
      <c r="C9" s="193">
        <v>19</v>
      </c>
      <c r="D9" s="193">
        <v>19</v>
      </c>
      <c r="E9" s="193">
        <v>19</v>
      </c>
      <c r="F9" s="193">
        <v>19</v>
      </c>
      <c r="G9" s="193">
        <v>19</v>
      </c>
      <c r="H9" s="193">
        <v>19</v>
      </c>
      <c r="I9" s="193">
        <v>19</v>
      </c>
      <c r="J9" s="193">
        <v>19</v>
      </c>
      <c r="K9" s="193">
        <v>19</v>
      </c>
      <c r="L9" s="193">
        <v>19</v>
      </c>
      <c r="M9" s="193">
        <v>19</v>
      </c>
    </row>
    <row r="10" spans="1:13" s="119" customFormat="1" ht="12.75" customHeight="1">
      <c r="A10" s="641" t="s">
        <v>0</v>
      </c>
      <c r="B10" s="193">
        <v>4</v>
      </c>
      <c r="C10" s="193">
        <v>4</v>
      </c>
      <c r="D10" s="193">
        <v>4</v>
      </c>
      <c r="E10" s="193">
        <v>4</v>
      </c>
      <c r="F10" s="193">
        <v>4</v>
      </c>
      <c r="G10" s="193">
        <v>4</v>
      </c>
      <c r="H10" s="193">
        <v>4</v>
      </c>
      <c r="I10" s="193">
        <v>4</v>
      </c>
      <c r="J10" s="193">
        <v>4</v>
      </c>
      <c r="K10" s="193">
        <v>4</v>
      </c>
      <c r="L10" s="193">
        <v>4</v>
      </c>
      <c r="M10" s="193">
        <v>4</v>
      </c>
    </row>
    <row r="11" spans="1:13" s="119" customFormat="1" ht="12.75">
      <c r="A11" s="642" t="s">
        <v>715</v>
      </c>
      <c r="B11" s="193">
        <v>10</v>
      </c>
      <c r="C11" s="193">
        <v>10</v>
      </c>
      <c r="D11" s="193">
        <v>10</v>
      </c>
      <c r="E11" s="193">
        <v>10</v>
      </c>
      <c r="F11" s="193">
        <v>10</v>
      </c>
      <c r="G11" s="193">
        <v>10</v>
      </c>
      <c r="H11" s="193">
        <v>10</v>
      </c>
      <c r="I11" s="193">
        <v>10</v>
      </c>
      <c r="J11" s="193">
        <v>10</v>
      </c>
      <c r="K11" s="193">
        <v>10</v>
      </c>
      <c r="L11" s="193">
        <v>10</v>
      </c>
      <c r="M11" s="193">
        <v>10</v>
      </c>
    </row>
    <row r="12" spans="1:13" s="119" customFormat="1" ht="12.75">
      <c r="A12" s="641" t="s">
        <v>614</v>
      </c>
      <c r="B12" s="193">
        <v>1</v>
      </c>
      <c r="C12" s="193">
        <v>1</v>
      </c>
      <c r="D12" s="193">
        <v>1</v>
      </c>
      <c r="E12" s="193">
        <v>1</v>
      </c>
      <c r="F12" s="193">
        <v>1</v>
      </c>
      <c r="G12" s="193">
        <v>1</v>
      </c>
      <c r="H12" s="193">
        <v>1</v>
      </c>
      <c r="I12" s="193">
        <v>1</v>
      </c>
      <c r="J12" s="193">
        <v>1</v>
      </c>
      <c r="K12" s="193">
        <v>1</v>
      </c>
      <c r="L12" s="193">
        <v>1</v>
      </c>
      <c r="M12" s="193">
        <v>1</v>
      </c>
    </row>
    <row r="13" spans="1:13" s="119" customFormat="1" ht="12.75">
      <c r="A13" s="641" t="s">
        <v>716</v>
      </c>
      <c r="B13" s="193">
        <v>1</v>
      </c>
      <c r="C13" s="193">
        <v>1</v>
      </c>
      <c r="D13" s="193">
        <v>1</v>
      </c>
      <c r="E13" s="193">
        <v>1</v>
      </c>
      <c r="F13" s="193">
        <v>1</v>
      </c>
      <c r="G13" s="193">
        <v>1</v>
      </c>
      <c r="H13" s="193">
        <v>1</v>
      </c>
      <c r="I13" s="193">
        <v>1</v>
      </c>
      <c r="J13" s="193">
        <v>1</v>
      </c>
      <c r="K13" s="193">
        <v>1</v>
      </c>
      <c r="L13" s="193">
        <v>1</v>
      </c>
      <c r="M13" s="193">
        <v>1</v>
      </c>
    </row>
    <row r="14" spans="1:13" s="118" customFormat="1" ht="25.5">
      <c r="A14" s="640" t="s">
        <v>941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1:13" s="119" customFormat="1" ht="12.75">
      <c r="A15" s="641" t="s">
        <v>617</v>
      </c>
      <c r="B15" s="193">
        <v>2</v>
      </c>
      <c r="C15" s="193">
        <v>2</v>
      </c>
      <c r="D15" s="193">
        <v>2</v>
      </c>
      <c r="E15" s="193">
        <v>2</v>
      </c>
      <c r="F15" s="193">
        <v>2</v>
      </c>
      <c r="G15" s="193">
        <v>2</v>
      </c>
      <c r="H15" s="193">
        <v>2</v>
      </c>
      <c r="I15" s="193">
        <v>2</v>
      </c>
      <c r="J15" s="193">
        <v>2</v>
      </c>
      <c r="K15" s="193">
        <v>2</v>
      </c>
      <c r="L15" s="193">
        <v>2</v>
      </c>
      <c r="M15" s="193">
        <v>2</v>
      </c>
    </row>
    <row r="16" spans="1:13" s="119" customFormat="1" ht="12.75">
      <c r="A16" s="641" t="s">
        <v>615</v>
      </c>
      <c r="B16" s="193">
        <v>1</v>
      </c>
      <c r="C16" s="193">
        <v>1</v>
      </c>
      <c r="D16" s="193">
        <v>1</v>
      </c>
      <c r="E16" s="193">
        <v>1</v>
      </c>
      <c r="F16" s="193">
        <v>1</v>
      </c>
      <c r="G16" s="193">
        <v>1</v>
      </c>
      <c r="H16" s="193">
        <v>1</v>
      </c>
      <c r="I16" s="193">
        <v>1</v>
      </c>
      <c r="J16" s="193">
        <v>1</v>
      </c>
      <c r="K16" s="193">
        <v>1</v>
      </c>
      <c r="L16" s="193">
        <v>1</v>
      </c>
      <c r="M16" s="193">
        <v>1</v>
      </c>
    </row>
    <row r="17" spans="1:13" s="118" customFormat="1" ht="12.75" customHeight="1">
      <c r="A17" s="640" t="s">
        <v>616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s="119" customFormat="1" ht="12.75">
      <c r="A18" s="641" t="s">
        <v>617</v>
      </c>
      <c r="B18" s="193">
        <v>2</v>
      </c>
      <c r="C18" s="193">
        <v>2</v>
      </c>
      <c r="D18" s="193">
        <v>2</v>
      </c>
      <c r="E18" s="193">
        <v>2</v>
      </c>
      <c r="F18" s="193">
        <v>2</v>
      </c>
      <c r="G18" s="193">
        <v>2</v>
      </c>
      <c r="H18" s="193">
        <v>2</v>
      </c>
      <c r="I18" s="193">
        <v>2</v>
      </c>
      <c r="J18" s="193">
        <v>2</v>
      </c>
      <c r="K18" s="193">
        <v>2</v>
      </c>
      <c r="L18" s="193">
        <v>2</v>
      </c>
      <c r="M18" s="193">
        <v>2</v>
      </c>
    </row>
    <row r="19" spans="1:13" s="119" customFormat="1" ht="12.75">
      <c r="A19" s="641" t="s">
        <v>618</v>
      </c>
      <c r="B19" s="193">
        <v>1</v>
      </c>
      <c r="C19" s="193">
        <v>1</v>
      </c>
      <c r="D19" s="193">
        <v>1</v>
      </c>
      <c r="E19" s="193">
        <v>1</v>
      </c>
      <c r="F19" s="193">
        <v>1</v>
      </c>
      <c r="G19" s="193">
        <v>1</v>
      </c>
      <c r="H19" s="193">
        <v>1</v>
      </c>
      <c r="I19" s="193">
        <v>1</v>
      </c>
      <c r="J19" s="193">
        <v>1</v>
      </c>
      <c r="K19" s="193">
        <v>1</v>
      </c>
      <c r="L19" s="193">
        <v>1</v>
      </c>
      <c r="M19" s="193">
        <v>1</v>
      </c>
    </row>
    <row r="20" spans="1:13" s="118" customFormat="1" ht="27" customHeight="1">
      <c r="A20" s="640" t="s">
        <v>1014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  <row r="21" spans="1:13" s="119" customFormat="1" ht="12.75">
      <c r="A21" s="641" t="s">
        <v>1015</v>
      </c>
      <c r="B21" s="193">
        <v>0</v>
      </c>
      <c r="C21" s="193">
        <v>1</v>
      </c>
      <c r="D21" s="193">
        <v>1</v>
      </c>
      <c r="E21" s="193">
        <v>1</v>
      </c>
      <c r="F21" s="193">
        <v>1</v>
      </c>
      <c r="G21" s="193">
        <v>1</v>
      </c>
      <c r="H21" s="193">
        <v>1</v>
      </c>
      <c r="I21" s="193">
        <v>1</v>
      </c>
      <c r="J21" s="193">
        <v>1</v>
      </c>
      <c r="K21" s="193">
        <v>1</v>
      </c>
      <c r="L21" s="193">
        <v>1</v>
      </c>
      <c r="M21" s="193">
        <v>1</v>
      </c>
    </row>
    <row r="22" spans="1:13" s="119" customFormat="1" ht="12.75">
      <c r="A22" s="641" t="s">
        <v>1016</v>
      </c>
      <c r="B22" s="193">
        <v>0</v>
      </c>
      <c r="C22" s="193">
        <v>1</v>
      </c>
      <c r="D22" s="193">
        <v>1</v>
      </c>
      <c r="E22" s="193">
        <v>1</v>
      </c>
      <c r="F22" s="193">
        <v>1</v>
      </c>
      <c r="G22" s="193">
        <v>1</v>
      </c>
      <c r="H22" s="193">
        <v>1</v>
      </c>
      <c r="I22" s="193">
        <v>1</v>
      </c>
      <c r="J22" s="193">
        <v>1</v>
      </c>
      <c r="K22" s="193">
        <v>1</v>
      </c>
      <c r="L22" s="193">
        <v>1</v>
      </c>
      <c r="M22" s="193">
        <v>1</v>
      </c>
    </row>
    <row r="23" spans="1:13" s="119" customFormat="1" ht="12.75">
      <c r="A23" s="641" t="s">
        <v>1017</v>
      </c>
      <c r="B23" s="193">
        <v>0</v>
      </c>
      <c r="C23" s="193">
        <v>1</v>
      </c>
      <c r="D23" s="193">
        <v>1</v>
      </c>
      <c r="E23" s="193">
        <v>1</v>
      </c>
      <c r="F23" s="193">
        <v>1</v>
      </c>
      <c r="G23" s="193">
        <v>1</v>
      </c>
      <c r="H23" s="193">
        <v>1</v>
      </c>
      <c r="I23" s="193">
        <v>1</v>
      </c>
      <c r="J23" s="193">
        <v>1</v>
      </c>
      <c r="K23" s="193">
        <v>1</v>
      </c>
      <c r="L23" s="193">
        <v>1</v>
      </c>
      <c r="M23" s="193">
        <v>1</v>
      </c>
    </row>
    <row r="24" spans="1:13" s="261" customFormat="1" ht="38.25">
      <c r="A24" s="643" t="s">
        <v>906</v>
      </c>
      <c r="B24" s="260">
        <f>SUM(B9:B23)</f>
        <v>41</v>
      </c>
      <c r="C24" s="260">
        <f aca="true" t="shared" si="0" ref="C24:M24">SUM(C9:C23)</f>
        <v>44</v>
      </c>
      <c r="D24" s="260">
        <f t="shared" si="0"/>
        <v>44</v>
      </c>
      <c r="E24" s="260">
        <f t="shared" si="0"/>
        <v>44</v>
      </c>
      <c r="F24" s="260">
        <f t="shared" si="0"/>
        <v>44</v>
      </c>
      <c r="G24" s="260">
        <f t="shared" si="0"/>
        <v>44</v>
      </c>
      <c r="H24" s="260">
        <f t="shared" si="0"/>
        <v>44</v>
      </c>
      <c r="I24" s="260">
        <f t="shared" si="0"/>
        <v>44</v>
      </c>
      <c r="J24" s="260">
        <f t="shared" si="0"/>
        <v>44</v>
      </c>
      <c r="K24" s="260">
        <f t="shared" si="0"/>
        <v>44</v>
      </c>
      <c r="L24" s="260">
        <f t="shared" si="0"/>
        <v>44</v>
      </c>
      <c r="M24" s="260">
        <f t="shared" si="0"/>
        <v>44</v>
      </c>
    </row>
    <row r="25" spans="1:13" s="119" customFormat="1" ht="14.25" customHeight="1">
      <c r="A25" s="641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13" s="120" customFormat="1" ht="12.75">
      <c r="A26" s="639" t="s">
        <v>650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  <row r="27" spans="1:13" s="119" customFormat="1" ht="12.75">
      <c r="A27" s="644" t="s">
        <v>629</v>
      </c>
      <c r="B27" s="193">
        <v>1</v>
      </c>
      <c r="C27" s="193">
        <v>1</v>
      </c>
      <c r="D27" s="193">
        <v>1</v>
      </c>
      <c r="E27" s="193">
        <v>1</v>
      </c>
      <c r="F27" s="193">
        <v>1</v>
      </c>
      <c r="G27" s="193">
        <v>1</v>
      </c>
      <c r="H27" s="193">
        <v>1</v>
      </c>
      <c r="I27" s="193">
        <v>1</v>
      </c>
      <c r="J27" s="193">
        <v>1</v>
      </c>
      <c r="K27" s="193">
        <v>1</v>
      </c>
      <c r="L27" s="193">
        <v>1</v>
      </c>
      <c r="M27" s="193">
        <v>1</v>
      </c>
    </row>
    <row r="28" spans="1:13" s="119" customFormat="1" ht="12.75">
      <c r="A28" s="644" t="s">
        <v>630</v>
      </c>
      <c r="B28" s="193">
        <v>1</v>
      </c>
      <c r="C28" s="193">
        <v>1</v>
      </c>
      <c r="D28" s="193">
        <v>1</v>
      </c>
      <c r="E28" s="193">
        <v>1</v>
      </c>
      <c r="F28" s="193">
        <v>1</v>
      </c>
      <c r="G28" s="193">
        <v>1</v>
      </c>
      <c r="H28" s="193">
        <v>1</v>
      </c>
      <c r="I28" s="193">
        <v>1</v>
      </c>
      <c r="J28" s="193">
        <v>1</v>
      </c>
      <c r="K28" s="193">
        <v>1</v>
      </c>
      <c r="L28" s="193">
        <v>1</v>
      </c>
      <c r="M28" s="193">
        <v>1</v>
      </c>
    </row>
    <row r="29" spans="1:13" s="119" customFormat="1" ht="12.75">
      <c r="A29" s="645" t="s">
        <v>717</v>
      </c>
      <c r="B29" s="193">
        <v>26</v>
      </c>
      <c r="C29" s="193">
        <v>26</v>
      </c>
      <c r="D29" s="193">
        <v>26</v>
      </c>
      <c r="E29" s="193">
        <v>26</v>
      </c>
      <c r="F29" s="193">
        <v>26</v>
      </c>
      <c r="G29" s="193">
        <v>26</v>
      </c>
      <c r="H29" s="193">
        <v>26</v>
      </c>
      <c r="I29" s="193">
        <v>26</v>
      </c>
      <c r="J29" s="193">
        <v>26</v>
      </c>
      <c r="K29" s="193">
        <v>26</v>
      </c>
      <c r="L29" s="193">
        <v>26</v>
      </c>
      <c r="M29" s="193">
        <v>26</v>
      </c>
    </row>
    <row r="30" spans="1:13" s="119" customFormat="1" ht="25.5">
      <c r="A30" s="645" t="s">
        <v>803</v>
      </c>
      <c r="B30" s="193">
        <v>2</v>
      </c>
      <c r="C30" s="193">
        <v>2</v>
      </c>
      <c r="D30" s="193">
        <v>2</v>
      </c>
      <c r="E30" s="193">
        <v>2</v>
      </c>
      <c r="F30" s="193">
        <v>2</v>
      </c>
      <c r="G30" s="193">
        <v>2</v>
      </c>
      <c r="H30" s="193">
        <v>2</v>
      </c>
      <c r="I30" s="193">
        <v>2</v>
      </c>
      <c r="J30" s="193">
        <v>2</v>
      </c>
      <c r="K30" s="193">
        <v>2</v>
      </c>
      <c r="L30" s="193">
        <v>2</v>
      </c>
      <c r="M30" s="193">
        <v>2</v>
      </c>
    </row>
    <row r="31" spans="1:13" s="120" customFormat="1" ht="12.75">
      <c r="A31" s="639" t="s">
        <v>718</v>
      </c>
      <c r="B31" s="191">
        <f>SUM(B27:B30)</f>
        <v>30</v>
      </c>
      <c r="C31" s="191">
        <f aca="true" t="shared" si="1" ref="C31:M31">SUM(C27:C30)</f>
        <v>30</v>
      </c>
      <c r="D31" s="191">
        <f t="shared" si="1"/>
        <v>30</v>
      </c>
      <c r="E31" s="191">
        <f t="shared" si="1"/>
        <v>30</v>
      </c>
      <c r="F31" s="191">
        <f t="shared" si="1"/>
        <v>30</v>
      </c>
      <c r="G31" s="191">
        <f t="shared" si="1"/>
        <v>30</v>
      </c>
      <c r="H31" s="191">
        <f t="shared" si="1"/>
        <v>30</v>
      </c>
      <c r="I31" s="191">
        <f t="shared" si="1"/>
        <v>30</v>
      </c>
      <c r="J31" s="191">
        <f t="shared" si="1"/>
        <v>30</v>
      </c>
      <c r="K31" s="191">
        <f t="shared" si="1"/>
        <v>30</v>
      </c>
      <c r="L31" s="191">
        <f t="shared" si="1"/>
        <v>30</v>
      </c>
      <c r="M31" s="191">
        <f t="shared" si="1"/>
        <v>30</v>
      </c>
    </row>
    <row r="32" spans="1:13" s="195" customFormat="1" ht="14.25" customHeight="1">
      <c r="A32" s="646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 s="120" customFormat="1" ht="12.75">
      <c r="A33" s="639" t="s">
        <v>745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</row>
    <row r="34" spans="1:13" s="118" customFormat="1" ht="12.75" customHeight="1">
      <c r="A34" s="640" t="s">
        <v>719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3" s="119" customFormat="1" ht="12.75">
      <c r="A35" s="647" t="s">
        <v>627</v>
      </c>
      <c r="B35" s="193">
        <v>12</v>
      </c>
      <c r="C35" s="193">
        <v>12</v>
      </c>
      <c r="D35" s="818">
        <v>12</v>
      </c>
      <c r="E35" s="193">
        <v>12</v>
      </c>
      <c r="F35" s="193">
        <v>12</v>
      </c>
      <c r="G35" s="193">
        <v>12</v>
      </c>
      <c r="H35" s="193">
        <v>12</v>
      </c>
      <c r="I35" s="193">
        <v>12</v>
      </c>
      <c r="J35" s="193">
        <v>12</v>
      </c>
      <c r="K35" s="193">
        <v>12</v>
      </c>
      <c r="L35" s="193">
        <v>12</v>
      </c>
      <c r="M35" s="193">
        <v>12</v>
      </c>
    </row>
    <row r="36" spans="1:13" s="118" customFormat="1" ht="12.75" customHeight="1">
      <c r="A36" s="640" t="s">
        <v>595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3" s="119" customFormat="1" ht="12.75">
      <c r="A37" s="645" t="s">
        <v>596</v>
      </c>
      <c r="B37" s="193">
        <v>2</v>
      </c>
      <c r="C37" s="193">
        <v>2</v>
      </c>
      <c r="D37" s="193">
        <v>2</v>
      </c>
      <c r="E37" s="193">
        <v>2</v>
      </c>
      <c r="F37" s="193">
        <v>2</v>
      </c>
      <c r="G37" s="193">
        <v>2</v>
      </c>
      <c r="H37" s="193">
        <v>2</v>
      </c>
      <c r="I37" s="193">
        <v>2</v>
      </c>
      <c r="J37" s="193">
        <v>2</v>
      </c>
      <c r="K37" s="193">
        <v>2</v>
      </c>
      <c r="L37" s="193">
        <v>2</v>
      </c>
      <c r="M37" s="193">
        <v>2</v>
      </c>
    </row>
    <row r="38" spans="1:13" s="119" customFormat="1" ht="12.75">
      <c r="A38" s="644" t="s">
        <v>624</v>
      </c>
      <c r="B38" s="193">
        <v>5.75</v>
      </c>
      <c r="C38" s="193">
        <v>5.75</v>
      </c>
      <c r="D38" s="193">
        <v>5.75</v>
      </c>
      <c r="E38" s="193">
        <v>5.75</v>
      </c>
      <c r="F38" s="193">
        <v>5.75</v>
      </c>
      <c r="G38" s="193">
        <v>5.75</v>
      </c>
      <c r="H38" s="193">
        <v>5.75</v>
      </c>
      <c r="I38" s="193">
        <v>5.75</v>
      </c>
      <c r="J38" s="193">
        <v>5.75</v>
      </c>
      <c r="K38" s="193">
        <v>5.75</v>
      </c>
      <c r="L38" s="193">
        <v>5.75</v>
      </c>
      <c r="M38" s="193">
        <v>5.75</v>
      </c>
    </row>
    <row r="39" spans="1:13" s="119" customFormat="1" ht="12.75">
      <c r="A39" s="644" t="s">
        <v>625</v>
      </c>
      <c r="B39" s="193">
        <v>2</v>
      </c>
      <c r="C39" s="193">
        <v>2</v>
      </c>
      <c r="D39" s="193">
        <v>2</v>
      </c>
      <c r="E39" s="193">
        <v>2</v>
      </c>
      <c r="F39" s="193">
        <v>2</v>
      </c>
      <c r="G39" s="193">
        <v>2</v>
      </c>
      <c r="H39" s="193">
        <v>2</v>
      </c>
      <c r="I39" s="193">
        <v>2</v>
      </c>
      <c r="J39" s="193">
        <v>2</v>
      </c>
      <c r="K39" s="193">
        <v>2</v>
      </c>
      <c r="L39" s="193">
        <v>2</v>
      </c>
      <c r="M39" s="193">
        <v>2</v>
      </c>
    </row>
    <row r="40" spans="1:13" s="119" customFormat="1" ht="12.75">
      <c r="A40" s="644" t="s">
        <v>626</v>
      </c>
      <c r="B40" s="193">
        <v>1</v>
      </c>
      <c r="C40" s="193">
        <v>1</v>
      </c>
      <c r="D40" s="193">
        <v>1</v>
      </c>
      <c r="E40" s="193">
        <v>1</v>
      </c>
      <c r="F40" s="193">
        <v>1</v>
      </c>
      <c r="G40" s="193">
        <v>1</v>
      </c>
      <c r="H40" s="193">
        <v>1</v>
      </c>
      <c r="I40" s="193">
        <v>1</v>
      </c>
      <c r="J40" s="193">
        <v>1</v>
      </c>
      <c r="K40" s="193">
        <v>1</v>
      </c>
      <c r="L40" s="193">
        <v>1</v>
      </c>
      <c r="M40" s="193">
        <v>1</v>
      </c>
    </row>
    <row r="41" spans="1:13" s="118" customFormat="1" ht="12.75" customHeight="1">
      <c r="A41" s="640" t="s">
        <v>631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1:13" s="119" customFormat="1" ht="12.75">
      <c r="A42" s="644" t="s">
        <v>632</v>
      </c>
      <c r="B42" s="193">
        <v>3</v>
      </c>
      <c r="C42" s="193">
        <v>3</v>
      </c>
      <c r="D42" s="193">
        <v>3</v>
      </c>
      <c r="E42" s="193">
        <v>3</v>
      </c>
      <c r="F42" s="193">
        <v>3</v>
      </c>
      <c r="G42" s="193">
        <v>3</v>
      </c>
      <c r="H42" s="193">
        <v>3</v>
      </c>
      <c r="I42" s="193">
        <v>3</v>
      </c>
      <c r="J42" s="193">
        <v>3</v>
      </c>
      <c r="K42" s="193">
        <v>3</v>
      </c>
      <c r="L42" s="193">
        <v>3</v>
      </c>
      <c r="M42" s="193">
        <v>3</v>
      </c>
    </row>
    <row r="43" spans="1:13" s="119" customFormat="1" ht="12.75">
      <c r="A43" s="644" t="s">
        <v>633</v>
      </c>
      <c r="B43" s="193">
        <v>3</v>
      </c>
      <c r="C43" s="193">
        <v>3</v>
      </c>
      <c r="D43" s="193">
        <v>3</v>
      </c>
      <c r="E43" s="193">
        <v>3</v>
      </c>
      <c r="F43" s="193">
        <v>3</v>
      </c>
      <c r="G43" s="193">
        <v>3</v>
      </c>
      <c r="H43" s="193">
        <v>3</v>
      </c>
      <c r="I43" s="193">
        <v>3</v>
      </c>
      <c r="J43" s="193">
        <v>3</v>
      </c>
      <c r="K43" s="193">
        <v>3</v>
      </c>
      <c r="L43" s="193">
        <v>3</v>
      </c>
      <c r="M43" s="193">
        <v>3</v>
      </c>
    </row>
    <row r="44" spans="1:13" s="118" customFormat="1" ht="12.75" customHeight="1">
      <c r="A44" s="640" t="s">
        <v>634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</row>
    <row r="45" spans="1:13" s="119" customFormat="1" ht="12.75">
      <c r="A45" s="644" t="s">
        <v>635</v>
      </c>
      <c r="B45" s="796">
        <v>5</v>
      </c>
      <c r="C45" s="796">
        <v>5</v>
      </c>
      <c r="D45" s="796">
        <v>5</v>
      </c>
      <c r="E45" s="796">
        <v>5</v>
      </c>
      <c r="F45" s="796">
        <v>5</v>
      </c>
      <c r="G45" s="796">
        <v>5</v>
      </c>
      <c r="H45" s="193">
        <v>5</v>
      </c>
      <c r="I45" s="193">
        <v>5</v>
      </c>
      <c r="J45" s="193">
        <v>5</v>
      </c>
      <c r="K45" s="193">
        <v>5</v>
      </c>
      <c r="L45" s="193">
        <v>5</v>
      </c>
      <c r="M45" s="193">
        <v>5</v>
      </c>
    </row>
    <row r="46" spans="1:13" s="118" customFormat="1" ht="12.75" customHeight="1">
      <c r="A46" s="640" t="s">
        <v>619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  <row r="47" spans="1:13" s="119" customFormat="1" ht="12.75">
      <c r="A47" s="644" t="s">
        <v>620</v>
      </c>
      <c r="B47" s="193">
        <v>1</v>
      </c>
      <c r="C47" s="193">
        <v>1</v>
      </c>
      <c r="D47" s="193">
        <v>1</v>
      </c>
      <c r="E47" s="193">
        <v>1</v>
      </c>
      <c r="F47" s="193">
        <v>1</v>
      </c>
      <c r="G47" s="193">
        <v>1</v>
      </c>
      <c r="H47" s="193">
        <v>1</v>
      </c>
      <c r="I47" s="193">
        <v>1</v>
      </c>
      <c r="J47" s="193">
        <v>1</v>
      </c>
      <c r="K47" s="193">
        <v>1</v>
      </c>
      <c r="L47" s="193">
        <v>1</v>
      </c>
      <c r="M47" s="193">
        <v>1</v>
      </c>
    </row>
    <row r="48" spans="1:13" s="119" customFormat="1" ht="12.75">
      <c r="A48" s="644" t="s">
        <v>621</v>
      </c>
      <c r="B48" s="193">
        <v>7</v>
      </c>
      <c r="C48" s="193">
        <v>7</v>
      </c>
      <c r="D48" s="193">
        <v>7</v>
      </c>
      <c r="E48" s="193">
        <v>7</v>
      </c>
      <c r="F48" s="193">
        <v>7</v>
      </c>
      <c r="G48" s="193">
        <v>7</v>
      </c>
      <c r="H48" s="193">
        <v>7</v>
      </c>
      <c r="I48" s="193">
        <v>7</v>
      </c>
      <c r="J48" s="193">
        <v>7</v>
      </c>
      <c r="K48" s="193">
        <v>7</v>
      </c>
      <c r="L48" s="193">
        <v>7</v>
      </c>
      <c r="M48" s="193">
        <v>7</v>
      </c>
    </row>
    <row r="49" spans="1:13" s="119" customFormat="1" ht="12.75">
      <c r="A49" s="644" t="s">
        <v>804</v>
      </c>
      <c r="B49" s="193">
        <v>1</v>
      </c>
      <c r="C49" s="193">
        <v>1</v>
      </c>
      <c r="D49" s="193">
        <v>1</v>
      </c>
      <c r="E49" s="193">
        <v>1</v>
      </c>
      <c r="F49" s="193">
        <v>1</v>
      </c>
      <c r="G49" s="193">
        <v>1</v>
      </c>
      <c r="H49" s="193">
        <v>1</v>
      </c>
      <c r="I49" s="193">
        <v>1</v>
      </c>
      <c r="J49" s="193">
        <v>1</v>
      </c>
      <c r="K49" s="193">
        <v>1</v>
      </c>
      <c r="L49" s="193">
        <v>1</v>
      </c>
      <c r="M49" s="193">
        <v>1</v>
      </c>
    </row>
    <row r="50" spans="1:13" s="119" customFormat="1" ht="12.75">
      <c r="A50" s="644" t="s">
        <v>622</v>
      </c>
      <c r="B50" s="193">
        <v>3</v>
      </c>
      <c r="C50" s="193">
        <v>3</v>
      </c>
      <c r="D50" s="193">
        <v>3</v>
      </c>
      <c r="E50" s="193">
        <v>3</v>
      </c>
      <c r="F50" s="193">
        <v>3</v>
      </c>
      <c r="G50" s="193">
        <v>3</v>
      </c>
      <c r="H50" s="193">
        <v>3</v>
      </c>
      <c r="I50" s="193">
        <v>3</v>
      </c>
      <c r="J50" s="193">
        <v>3</v>
      </c>
      <c r="K50" s="193">
        <v>3</v>
      </c>
      <c r="L50" s="193">
        <v>3</v>
      </c>
      <c r="M50" s="193">
        <v>3</v>
      </c>
    </row>
    <row r="51" spans="1:13" s="119" customFormat="1" ht="12.75">
      <c r="A51" s="644" t="s">
        <v>623</v>
      </c>
      <c r="B51" s="193">
        <v>2</v>
      </c>
      <c r="C51" s="193">
        <v>2</v>
      </c>
      <c r="D51" s="193">
        <v>2</v>
      </c>
      <c r="E51" s="193">
        <v>2</v>
      </c>
      <c r="F51" s="193">
        <v>2</v>
      </c>
      <c r="G51" s="193">
        <v>2</v>
      </c>
      <c r="H51" s="193">
        <v>2</v>
      </c>
      <c r="I51" s="193">
        <v>2</v>
      </c>
      <c r="J51" s="193">
        <v>2</v>
      </c>
      <c r="K51" s="193">
        <v>2</v>
      </c>
      <c r="L51" s="193">
        <v>2</v>
      </c>
      <c r="M51" s="193">
        <v>2</v>
      </c>
    </row>
    <row r="52" spans="1:13" s="119" customFormat="1" ht="12.75">
      <c r="A52" s="645" t="s">
        <v>596</v>
      </c>
      <c r="B52" s="193">
        <v>1</v>
      </c>
      <c r="C52" s="193">
        <v>1</v>
      </c>
      <c r="D52" s="193">
        <v>1</v>
      </c>
      <c r="E52" s="193">
        <v>1</v>
      </c>
      <c r="F52" s="193">
        <v>1</v>
      </c>
      <c r="G52" s="193">
        <v>1</v>
      </c>
      <c r="H52" s="193">
        <v>1</v>
      </c>
      <c r="I52" s="193">
        <v>1</v>
      </c>
      <c r="J52" s="193">
        <v>1</v>
      </c>
      <c r="K52" s="193">
        <v>1</v>
      </c>
      <c r="L52" s="193">
        <v>1</v>
      </c>
      <c r="M52" s="193">
        <v>1</v>
      </c>
    </row>
    <row r="53" spans="1:13" s="120" customFormat="1" ht="12.75">
      <c r="A53" s="639" t="s">
        <v>713</v>
      </c>
      <c r="B53" s="191">
        <f aca="true" t="shared" si="2" ref="B53:M53">SUM(B34:B52)</f>
        <v>48.75</v>
      </c>
      <c r="C53" s="191">
        <f t="shared" si="2"/>
        <v>48.75</v>
      </c>
      <c r="D53" s="191">
        <f t="shared" si="2"/>
        <v>48.75</v>
      </c>
      <c r="E53" s="191">
        <f t="shared" si="2"/>
        <v>48.75</v>
      </c>
      <c r="F53" s="191">
        <f t="shared" si="2"/>
        <v>48.75</v>
      </c>
      <c r="G53" s="191">
        <f t="shared" si="2"/>
        <v>48.75</v>
      </c>
      <c r="H53" s="191">
        <f t="shared" si="2"/>
        <v>48.75</v>
      </c>
      <c r="I53" s="191">
        <f t="shared" si="2"/>
        <v>48.75</v>
      </c>
      <c r="J53" s="191">
        <f t="shared" si="2"/>
        <v>48.75</v>
      </c>
      <c r="K53" s="191">
        <f t="shared" si="2"/>
        <v>48.75</v>
      </c>
      <c r="L53" s="191">
        <f t="shared" si="2"/>
        <v>48.75</v>
      </c>
      <c r="M53" s="191">
        <f t="shared" si="2"/>
        <v>48.75</v>
      </c>
    </row>
    <row r="54" spans="1:13" s="120" customFormat="1" ht="30.75" customHeight="1">
      <c r="A54" s="648" t="s">
        <v>720</v>
      </c>
      <c r="B54" s="196">
        <f aca="true" t="shared" si="3" ref="B54:M54">SUM(B53,B31,B24)</f>
        <v>119.75</v>
      </c>
      <c r="C54" s="196">
        <f t="shared" si="3"/>
        <v>122.75</v>
      </c>
      <c r="D54" s="196">
        <f t="shared" si="3"/>
        <v>122.75</v>
      </c>
      <c r="E54" s="196">
        <f t="shared" si="3"/>
        <v>122.75</v>
      </c>
      <c r="F54" s="196">
        <f t="shared" si="3"/>
        <v>122.75</v>
      </c>
      <c r="G54" s="196">
        <f t="shared" si="3"/>
        <v>122.75</v>
      </c>
      <c r="H54" s="196">
        <f t="shared" si="3"/>
        <v>122.75</v>
      </c>
      <c r="I54" s="196">
        <f t="shared" si="3"/>
        <v>122.75</v>
      </c>
      <c r="J54" s="196">
        <f t="shared" si="3"/>
        <v>122.75</v>
      </c>
      <c r="K54" s="196">
        <f t="shared" si="3"/>
        <v>122.75</v>
      </c>
      <c r="L54" s="196">
        <f t="shared" si="3"/>
        <v>122.75</v>
      </c>
      <c r="M54" s="196">
        <f t="shared" si="3"/>
        <v>122.75</v>
      </c>
    </row>
    <row r="55" spans="1:13" s="119" customFormat="1" ht="6" customHeight="1">
      <c r="A55" s="641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s="120" customFormat="1" ht="12.75">
      <c r="A56" s="639" t="s">
        <v>628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</row>
    <row r="57" spans="1:13" s="118" customFormat="1" ht="12.75" customHeight="1">
      <c r="A57" s="640" t="s">
        <v>776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</row>
    <row r="58" spans="1:13" s="636" customFormat="1" ht="6" customHeight="1">
      <c r="A58" s="649"/>
      <c r="B58" s="635"/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</row>
    <row r="59" spans="1:13" s="118" customFormat="1" ht="15" customHeight="1">
      <c r="A59" s="1165" t="s">
        <v>964</v>
      </c>
      <c r="B59" s="1166"/>
      <c r="C59" s="1166"/>
      <c r="D59" s="1167"/>
      <c r="E59" s="637"/>
      <c r="F59" s="637"/>
      <c r="G59" s="637"/>
      <c r="H59" s="637"/>
      <c r="I59" s="637"/>
      <c r="J59" s="637"/>
      <c r="K59" s="637"/>
      <c r="L59" s="637"/>
      <c r="M59" s="637"/>
    </row>
    <row r="60" spans="1:13" s="119" customFormat="1" ht="12.75">
      <c r="A60" s="645" t="s">
        <v>1018</v>
      </c>
      <c r="B60" s="193">
        <v>1</v>
      </c>
      <c r="C60" s="193">
        <v>1</v>
      </c>
      <c r="D60" s="193">
        <v>1</v>
      </c>
      <c r="E60" s="193">
        <v>1</v>
      </c>
      <c r="F60" s="193">
        <v>0</v>
      </c>
      <c r="G60" s="193">
        <v>0</v>
      </c>
      <c r="H60" s="193">
        <v>0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</row>
    <row r="61" spans="1:13" s="118" customFormat="1" ht="16.5" customHeight="1">
      <c r="A61" s="1165" t="s">
        <v>1085</v>
      </c>
      <c r="B61" s="1166"/>
      <c r="C61" s="1166"/>
      <c r="D61" s="1166"/>
      <c r="E61" s="1166"/>
      <c r="F61" s="1166"/>
      <c r="G61" s="1166"/>
      <c r="H61" s="1167"/>
      <c r="I61" s="637"/>
      <c r="J61" s="637"/>
      <c r="K61" s="637"/>
      <c r="L61" s="637"/>
      <c r="M61" s="637"/>
    </row>
    <row r="62" spans="1:13" s="636" customFormat="1" ht="25.5">
      <c r="A62" s="645" t="s">
        <v>1084</v>
      </c>
      <c r="B62" s="193">
        <v>46</v>
      </c>
      <c r="C62" s="193">
        <v>46</v>
      </c>
      <c r="D62" s="193">
        <v>0</v>
      </c>
      <c r="E62" s="193">
        <v>0</v>
      </c>
      <c r="F62" s="193">
        <v>0</v>
      </c>
      <c r="G62" s="193">
        <v>0</v>
      </c>
      <c r="H62" s="193">
        <v>0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</row>
    <row r="63" spans="1:13" s="118" customFormat="1" ht="16.5" customHeight="1">
      <c r="A63" s="1165" t="s">
        <v>1086</v>
      </c>
      <c r="B63" s="1166"/>
      <c r="C63" s="1166"/>
      <c r="D63" s="1166"/>
      <c r="E63" s="1166"/>
      <c r="F63" s="1166"/>
      <c r="G63" s="1166"/>
      <c r="H63" s="1167"/>
      <c r="I63" s="637"/>
      <c r="J63" s="637"/>
      <c r="K63" s="637"/>
      <c r="L63" s="637"/>
      <c r="M63" s="637"/>
    </row>
    <row r="64" spans="1:13" s="636" customFormat="1" ht="13.5" customHeight="1">
      <c r="A64" s="819" t="s">
        <v>1087</v>
      </c>
      <c r="B64" s="820">
        <v>0</v>
      </c>
      <c r="C64" s="820">
        <v>0</v>
      </c>
      <c r="D64" s="820">
        <v>22</v>
      </c>
      <c r="E64" s="193">
        <v>22</v>
      </c>
      <c r="F64" s="193">
        <v>22</v>
      </c>
      <c r="G64" s="193">
        <v>22</v>
      </c>
      <c r="H64" s="193">
        <v>22</v>
      </c>
      <c r="I64" s="193">
        <v>22</v>
      </c>
      <c r="J64" s="193">
        <v>22</v>
      </c>
      <c r="K64" s="193">
        <v>22</v>
      </c>
      <c r="L64" s="193">
        <v>22</v>
      </c>
      <c r="M64" s="193">
        <v>22</v>
      </c>
    </row>
    <row r="65" spans="1:13" s="636" customFormat="1" ht="12.75">
      <c r="A65" s="819" t="s">
        <v>1088</v>
      </c>
      <c r="B65" s="820">
        <v>0</v>
      </c>
      <c r="C65" s="820">
        <v>0</v>
      </c>
      <c r="D65" s="820">
        <v>41</v>
      </c>
      <c r="E65" s="193">
        <v>41</v>
      </c>
      <c r="F65" s="193">
        <v>41</v>
      </c>
      <c r="G65" s="193">
        <v>41</v>
      </c>
      <c r="H65" s="193">
        <v>41</v>
      </c>
      <c r="I65" s="193">
        <v>41</v>
      </c>
      <c r="J65" s="193">
        <v>41</v>
      </c>
      <c r="K65" s="193">
        <v>41</v>
      </c>
      <c r="L65" s="193">
        <v>41</v>
      </c>
      <c r="M65" s="193">
        <v>41</v>
      </c>
    </row>
    <row r="66" spans="1:13" s="636" customFormat="1" ht="15" customHeight="1">
      <c r="A66" s="819" t="s">
        <v>1089</v>
      </c>
      <c r="B66" s="820">
        <v>0</v>
      </c>
      <c r="C66" s="820">
        <v>0</v>
      </c>
      <c r="D66" s="820">
        <v>0</v>
      </c>
      <c r="E66" s="193">
        <v>12</v>
      </c>
      <c r="F66" s="193">
        <v>12</v>
      </c>
      <c r="G66" s="193">
        <v>12</v>
      </c>
      <c r="H66" s="193">
        <v>12</v>
      </c>
      <c r="I66" s="193">
        <v>12</v>
      </c>
      <c r="J66" s="193">
        <v>12</v>
      </c>
      <c r="K66" s="193">
        <v>12</v>
      </c>
      <c r="L66" s="193">
        <v>12</v>
      </c>
      <c r="M66" s="193">
        <v>12</v>
      </c>
    </row>
    <row r="67" spans="1:13" s="636" customFormat="1" ht="12" customHeight="1">
      <c r="A67" s="819" t="s">
        <v>1090</v>
      </c>
      <c r="B67" s="820">
        <v>0</v>
      </c>
      <c r="C67" s="820">
        <v>0</v>
      </c>
      <c r="D67" s="820">
        <v>22</v>
      </c>
      <c r="E67" s="193">
        <v>22</v>
      </c>
      <c r="F67" s="193">
        <v>22</v>
      </c>
      <c r="G67" s="193">
        <v>22</v>
      </c>
      <c r="H67" s="193">
        <v>22</v>
      </c>
      <c r="I67" s="193">
        <v>22</v>
      </c>
      <c r="J67" s="193">
        <v>22</v>
      </c>
      <c r="K67" s="193">
        <v>22</v>
      </c>
      <c r="L67" s="193">
        <v>22</v>
      </c>
      <c r="M67" s="193">
        <v>22</v>
      </c>
    </row>
    <row r="68" spans="1:13" s="636" customFormat="1" ht="15" customHeight="1">
      <c r="A68" s="819" t="s">
        <v>1091</v>
      </c>
      <c r="B68" s="820">
        <v>0</v>
      </c>
      <c r="C68" s="820">
        <v>0</v>
      </c>
      <c r="D68" s="820">
        <v>0</v>
      </c>
      <c r="E68" s="193">
        <v>0</v>
      </c>
      <c r="F68" s="193">
        <v>0</v>
      </c>
      <c r="G68" s="193">
        <v>11</v>
      </c>
      <c r="H68" s="193">
        <v>11</v>
      </c>
      <c r="I68" s="193">
        <v>11</v>
      </c>
      <c r="J68" s="193">
        <v>11</v>
      </c>
      <c r="K68" s="193">
        <v>11</v>
      </c>
      <c r="L68" s="193">
        <v>11</v>
      </c>
      <c r="M68" s="193">
        <v>11</v>
      </c>
    </row>
    <row r="69" spans="1:13" s="636" customFormat="1" ht="15.75" customHeight="1">
      <c r="A69" s="1165" t="s">
        <v>965</v>
      </c>
      <c r="B69" s="1166"/>
      <c r="C69" s="1166"/>
      <c r="D69" s="1167"/>
      <c r="E69" s="637"/>
      <c r="F69" s="637"/>
      <c r="G69" s="637"/>
      <c r="H69" s="637"/>
      <c r="I69" s="637"/>
      <c r="J69" s="637"/>
      <c r="K69" s="637"/>
      <c r="L69" s="637"/>
      <c r="M69" s="637"/>
    </row>
    <row r="70" spans="1:13" s="119" customFormat="1" ht="12.75">
      <c r="A70" s="645" t="s">
        <v>1019</v>
      </c>
      <c r="B70" s="193">
        <v>15</v>
      </c>
      <c r="C70" s="193">
        <v>15</v>
      </c>
      <c r="D70" s="193">
        <v>15</v>
      </c>
      <c r="E70" s="193">
        <v>0</v>
      </c>
      <c r="F70" s="193">
        <v>0</v>
      </c>
      <c r="G70" s="193">
        <v>0</v>
      </c>
      <c r="H70" s="193">
        <v>0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</row>
    <row r="71" spans="1:13" s="119" customFormat="1" ht="12.75">
      <c r="A71" s="645" t="s">
        <v>1020</v>
      </c>
      <c r="B71" s="193">
        <v>31</v>
      </c>
      <c r="C71" s="193">
        <v>31</v>
      </c>
      <c r="D71" s="193">
        <v>0</v>
      </c>
      <c r="E71" s="193">
        <v>0</v>
      </c>
      <c r="F71" s="193">
        <v>0</v>
      </c>
      <c r="G71" s="193">
        <v>0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</row>
    <row r="72" spans="1:13" s="119" customFormat="1" ht="12.75">
      <c r="A72" s="645" t="s">
        <v>1020</v>
      </c>
      <c r="B72" s="193">
        <v>11</v>
      </c>
      <c r="C72" s="193">
        <v>11</v>
      </c>
      <c r="D72" s="193">
        <v>0</v>
      </c>
      <c r="E72" s="193">
        <v>0</v>
      </c>
      <c r="F72" s="193">
        <v>0</v>
      </c>
      <c r="G72" s="193">
        <v>0</v>
      </c>
      <c r="H72" s="193">
        <v>0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</row>
    <row r="73" spans="1:13" s="119" customFormat="1" ht="15" customHeight="1">
      <c r="A73" s="645" t="s">
        <v>1021</v>
      </c>
      <c r="B73" s="193">
        <v>33</v>
      </c>
      <c r="C73" s="193">
        <v>33</v>
      </c>
      <c r="D73" s="193">
        <v>0</v>
      </c>
      <c r="E73" s="193">
        <v>0</v>
      </c>
      <c r="F73" s="193">
        <v>0</v>
      </c>
      <c r="G73" s="193">
        <v>0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</row>
    <row r="74" spans="1:13" s="652" customFormat="1" ht="12.75">
      <c r="A74" s="650" t="s">
        <v>264</v>
      </c>
      <c r="B74" s="651">
        <f aca="true" t="shared" si="4" ref="B74:M74">SUM(B60:B73)</f>
        <v>137</v>
      </c>
      <c r="C74" s="651">
        <f t="shared" si="4"/>
        <v>137</v>
      </c>
      <c r="D74" s="651">
        <f t="shared" si="4"/>
        <v>101</v>
      </c>
      <c r="E74" s="651">
        <f t="shared" si="4"/>
        <v>98</v>
      </c>
      <c r="F74" s="651">
        <f t="shared" si="4"/>
        <v>97</v>
      </c>
      <c r="G74" s="651">
        <f t="shared" si="4"/>
        <v>108</v>
      </c>
      <c r="H74" s="651">
        <f t="shared" si="4"/>
        <v>108</v>
      </c>
      <c r="I74" s="651">
        <f t="shared" si="4"/>
        <v>108</v>
      </c>
      <c r="J74" s="651">
        <f t="shared" si="4"/>
        <v>108</v>
      </c>
      <c r="K74" s="651">
        <f t="shared" si="4"/>
        <v>108</v>
      </c>
      <c r="L74" s="651">
        <f t="shared" si="4"/>
        <v>108</v>
      </c>
      <c r="M74" s="651">
        <f t="shared" si="4"/>
        <v>108</v>
      </c>
    </row>
    <row r="75" spans="1:13" s="120" customFormat="1" ht="32.25" customHeight="1">
      <c r="A75" s="648" t="s">
        <v>900</v>
      </c>
      <c r="B75" s="196">
        <f>SUM(B74)</f>
        <v>137</v>
      </c>
      <c r="C75" s="196">
        <f aca="true" t="shared" si="5" ref="C75:M75">SUM(C74)</f>
        <v>137</v>
      </c>
      <c r="D75" s="196">
        <f t="shared" si="5"/>
        <v>101</v>
      </c>
      <c r="E75" s="196">
        <f t="shared" si="5"/>
        <v>98</v>
      </c>
      <c r="F75" s="196">
        <f t="shared" si="5"/>
        <v>97</v>
      </c>
      <c r="G75" s="196">
        <f t="shared" si="5"/>
        <v>108</v>
      </c>
      <c r="H75" s="196">
        <f t="shared" si="5"/>
        <v>108</v>
      </c>
      <c r="I75" s="196">
        <f t="shared" si="5"/>
        <v>108</v>
      </c>
      <c r="J75" s="196">
        <f t="shared" si="5"/>
        <v>108</v>
      </c>
      <c r="K75" s="196">
        <f t="shared" si="5"/>
        <v>108</v>
      </c>
      <c r="L75" s="196">
        <f t="shared" si="5"/>
        <v>108</v>
      </c>
      <c r="M75" s="196">
        <f t="shared" si="5"/>
        <v>108</v>
      </c>
    </row>
    <row r="77" ht="14.25">
      <c r="A77" s="826" t="s">
        <v>1152</v>
      </c>
    </row>
  </sheetData>
  <sheetProtection/>
  <mergeCells count="7">
    <mergeCell ref="A3:M3"/>
    <mergeCell ref="A4:M4"/>
    <mergeCell ref="A5:M5"/>
    <mergeCell ref="A59:D59"/>
    <mergeCell ref="A69:D69"/>
    <mergeCell ref="A61:H61"/>
    <mergeCell ref="A63:H63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8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63"/>
  <sheetViews>
    <sheetView zoomScaleSheetLayoutView="100" zoomScalePageLayoutView="0" workbookViewId="0" topLeftCell="A1">
      <selection activeCell="A61" sqref="A61:IV68"/>
    </sheetView>
  </sheetViews>
  <sheetFormatPr defaultColWidth="8.875" defaultRowHeight="12.75"/>
  <cols>
    <col min="1" max="1" width="4.125" style="122" bestFit="1" customWidth="1"/>
    <col min="2" max="2" width="2.375" style="6" customWidth="1"/>
    <col min="3" max="3" width="90.00390625" style="6" customWidth="1"/>
    <col min="4" max="4" width="12.625" style="6" customWidth="1"/>
    <col min="5" max="16384" width="8.875" style="6" customWidth="1"/>
  </cols>
  <sheetData>
    <row r="1" spans="3:5" ht="18">
      <c r="C1" s="966" t="s">
        <v>1154</v>
      </c>
      <c r="D1" s="1055"/>
      <c r="E1" s="121"/>
    </row>
    <row r="2" ht="15">
      <c r="D2" s="8"/>
    </row>
    <row r="3" spans="1:4" s="7" customFormat="1" ht="14.25">
      <c r="A3" s="122"/>
      <c r="B3" s="1176" t="s">
        <v>944</v>
      </c>
      <c r="C3" s="1176"/>
      <c r="D3" s="1176"/>
    </row>
    <row r="4" spans="1:4" s="152" customFormat="1" ht="14.25">
      <c r="A4" s="122"/>
      <c r="B4" s="1176"/>
      <c r="C4" s="1176"/>
      <c r="D4" s="1176"/>
    </row>
    <row r="5" spans="1:4" s="7" customFormat="1" ht="15.75" thickBot="1">
      <c r="A5" s="122"/>
      <c r="B5" s="6"/>
      <c r="C5" s="6"/>
      <c r="D5" s="8" t="s">
        <v>642</v>
      </c>
    </row>
    <row r="6" spans="1:4" s="20" customFormat="1" ht="15">
      <c r="A6" s="1177" t="s">
        <v>732</v>
      </c>
      <c r="B6" s="1179" t="s">
        <v>636</v>
      </c>
      <c r="C6" s="1180"/>
      <c r="D6" s="9" t="s">
        <v>652</v>
      </c>
    </row>
    <row r="7" spans="1:4" ht="15">
      <c r="A7" s="1178"/>
      <c r="B7" s="1181" t="s">
        <v>726</v>
      </c>
      <c r="C7" s="1181"/>
      <c r="D7" s="151" t="s">
        <v>727</v>
      </c>
    </row>
    <row r="8" spans="1:4" ht="15">
      <c r="A8" s="156">
        <v>1</v>
      </c>
      <c r="B8" s="153" t="s">
        <v>643</v>
      </c>
      <c r="C8" s="18"/>
      <c r="D8" s="10"/>
    </row>
    <row r="9" spans="1:4" ht="15">
      <c r="A9" s="156">
        <v>2</v>
      </c>
      <c r="B9" s="154" t="s">
        <v>745</v>
      </c>
      <c r="C9" s="19"/>
      <c r="D9" s="17"/>
    </row>
    <row r="10" spans="1:4" ht="15">
      <c r="A10" s="156">
        <v>3</v>
      </c>
      <c r="B10" s="124" t="s">
        <v>653</v>
      </c>
      <c r="C10" s="685" t="s">
        <v>1157</v>
      </c>
      <c r="D10" s="142">
        <v>5500</v>
      </c>
    </row>
    <row r="11" spans="1:4" ht="15">
      <c r="A11" s="156">
        <v>4</v>
      </c>
      <c r="B11" s="124" t="s">
        <v>653</v>
      </c>
      <c r="C11" s="685" t="s">
        <v>942</v>
      </c>
      <c r="D11" s="11">
        <v>216</v>
      </c>
    </row>
    <row r="12" spans="1:4" ht="15">
      <c r="A12" s="156">
        <v>5</v>
      </c>
      <c r="B12" s="124" t="s">
        <v>653</v>
      </c>
      <c r="C12" s="685" t="s">
        <v>1007</v>
      </c>
      <c r="D12" s="11">
        <v>250</v>
      </c>
    </row>
    <row r="13" spans="1:4" ht="15">
      <c r="A13" s="156">
        <v>6</v>
      </c>
      <c r="B13" s="124" t="s">
        <v>653</v>
      </c>
      <c r="C13" s="686" t="s">
        <v>278</v>
      </c>
      <c r="D13" s="11">
        <f>420421+6+8825</f>
        <v>429252</v>
      </c>
    </row>
    <row r="14" spans="1:4" ht="15">
      <c r="A14" s="156">
        <v>7</v>
      </c>
      <c r="B14" s="124" t="s">
        <v>653</v>
      </c>
      <c r="C14" s="686" t="s">
        <v>583</v>
      </c>
      <c r="D14" s="11">
        <f>768006+35888</f>
        <v>803894</v>
      </c>
    </row>
    <row r="15" spans="1:4" ht="15">
      <c r="A15" s="156">
        <v>8</v>
      </c>
      <c r="B15" s="124" t="s">
        <v>653</v>
      </c>
      <c r="C15" s="685" t="s">
        <v>277</v>
      </c>
      <c r="D15" s="11">
        <v>161</v>
      </c>
    </row>
    <row r="16" spans="1:4" ht="15">
      <c r="A16" s="156">
        <v>9</v>
      </c>
      <c r="B16" s="124" t="s">
        <v>653</v>
      </c>
      <c r="C16" s="685" t="s">
        <v>1009</v>
      </c>
      <c r="D16" s="11">
        <v>127</v>
      </c>
    </row>
    <row r="17" spans="1:4" ht="30">
      <c r="A17" s="156">
        <v>10</v>
      </c>
      <c r="B17" s="124" t="s">
        <v>653</v>
      </c>
      <c r="C17" s="685" t="s">
        <v>1158</v>
      </c>
      <c r="D17" s="11">
        <v>490</v>
      </c>
    </row>
    <row r="18" spans="1:4" ht="20.25" customHeight="1">
      <c r="A18" s="156">
        <v>11</v>
      </c>
      <c r="B18" s="124" t="s">
        <v>653</v>
      </c>
      <c r="C18" s="685" t="s">
        <v>1092</v>
      </c>
      <c r="D18" s="11">
        <f>430+156</f>
        <v>586</v>
      </c>
    </row>
    <row r="19" spans="1:4" s="68" customFormat="1" ht="15">
      <c r="A19" s="156">
        <v>12</v>
      </c>
      <c r="B19" s="124" t="s">
        <v>653</v>
      </c>
      <c r="C19" s="685" t="s">
        <v>1159</v>
      </c>
      <c r="D19" s="11">
        <v>70</v>
      </c>
    </row>
    <row r="20" spans="1:4" s="68" customFormat="1" ht="15">
      <c r="A20" s="156">
        <v>13</v>
      </c>
      <c r="B20" s="124" t="s">
        <v>653</v>
      </c>
      <c r="C20" s="685" t="s">
        <v>1160</v>
      </c>
      <c r="D20" s="11">
        <v>1350</v>
      </c>
    </row>
    <row r="21" spans="1:4" s="68" customFormat="1" ht="15">
      <c r="A21" s="156">
        <v>14</v>
      </c>
      <c r="B21" s="124" t="s">
        <v>653</v>
      </c>
      <c r="C21" s="685" t="s">
        <v>1161</v>
      </c>
      <c r="D21" s="11">
        <v>5644</v>
      </c>
    </row>
    <row r="22" spans="1:4" s="68" customFormat="1" ht="15">
      <c r="A22" s="156">
        <v>15</v>
      </c>
      <c r="B22" s="124" t="s">
        <v>653</v>
      </c>
      <c r="C22" s="685" t="s">
        <v>1162</v>
      </c>
      <c r="D22" s="11">
        <v>8319</v>
      </c>
    </row>
    <row r="23" spans="1:4" s="68" customFormat="1" ht="15">
      <c r="A23" s="156">
        <v>16</v>
      </c>
      <c r="B23" s="124" t="s">
        <v>653</v>
      </c>
      <c r="C23" s="685" t="s">
        <v>1163</v>
      </c>
      <c r="D23" s="11">
        <v>170</v>
      </c>
    </row>
    <row r="24" spans="1:4" s="68" customFormat="1" ht="15">
      <c r="A24" s="156">
        <v>17</v>
      </c>
      <c r="B24" s="124" t="s">
        <v>653</v>
      </c>
      <c r="C24" s="685" t="s">
        <v>1164</v>
      </c>
      <c r="D24" s="11">
        <f>49+10330</f>
        <v>10379</v>
      </c>
    </row>
    <row r="25" spans="1:4" s="68" customFormat="1" ht="15">
      <c r="A25" s="156">
        <v>18</v>
      </c>
      <c r="B25" s="124" t="s">
        <v>653</v>
      </c>
      <c r="C25" s="685" t="s">
        <v>1165</v>
      </c>
      <c r="D25" s="11">
        <v>248</v>
      </c>
    </row>
    <row r="26" spans="1:4" s="7" customFormat="1" ht="15">
      <c r="A26" s="156">
        <v>19</v>
      </c>
      <c r="B26" s="124" t="s">
        <v>653</v>
      </c>
      <c r="C26" s="685" t="s">
        <v>1093</v>
      </c>
      <c r="D26" s="11">
        <v>6000</v>
      </c>
    </row>
    <row r="27" spans="1:4" ht="15">
      <c r="A27" s="156">
        <v>20</v>
      </c>
      <c r="B27" s="124" t="s">
        <v>653</v>
      </c>
      <c r="C27" s="623" t="s">
        <v>1005</v>
      </c>
      <c r="D27" s="11">
        <v>3000</v>
      </c>
    </row>
    <row r="28" spans="1:4" s="20" customFormat="1" ht="15">
      <c r="A28" s="156">
        <v>21</v>
      </c>
      <c r="B28" s="124"/>
      <c r="C28" s="22" t="s">
        <v>670</v>
      </c>
      <c r="D28" s="144">
        <f>SUM(D10:D27)</f>
        <v>1275656</v>
      </c>
    </row>
    <row r="29" spans="1:4" s="20" customFormat="1" ht="15">
      <c r="A29" s="156">
        <v>22</v>
      </c>
      <c r="B29" s="1168" t="s">
        <v>650</v>
      </c>
      <c r="C29" s="1169"/>
      <c r="D29" s="1170"/>
    </row>
    <row r="30" spans="1:4" s="20" customFormat="1" ht="15">
      <c r="A30" s="156">
        <v>23</v>
      </c>
      <c r="B30" s="124" t="s">
        <v>653</v>
      </c>
      <c r="C30" s="624" t="s">
        <v>276</v>
      </c>
      <c r="D30" s="622">
        <v>445</v>
      </c>
    </row>
    <row r="31" spans="1:4" s="20" customFormat="1" ht="15">
      <c r="A31" s="156">
        <v>24</v>
      </c>
      <c r="B31" s="621"/>
      <c r="C31" s="22" t="s">
        <v>849</v>
      </c>
      <c r="D31" s="144">
        <f>SUM(D30)</f>
        <v>445</v>
      </c>
    </row>
    <row r="32" spans="1:4" s="20" customFormat="1" ht="15">
      <c r="A32" s="156">
        <v>25</v>
      </c>
      <c r="B32" s="1168" t="s">
        <v>1011</v>
      </c>
      <c r="C32" s="1169"/>
      <c r="D32" s="1170"/>
    </row>
    <row r="33" spans="1:4" ht="15">
      <c r="A33" s="156">
        <v>26</v>
      </c>
      <c r="B33" s="124" t="s">
        <v>653</v>
      </c>
      <c r="C33" s="624" t="s">
        <v>1013</v>
      </c>
      <c r="D33" s="850">
        <f>254-50</f>
        <v>204</v>
      </c>
    </row>
    <row r="34" spans="1:4" ht="15">
      <c r="A34" s="156">
        <v>27</v>
      </c>
      <c r="B34" s="851" t="s">
        <v>653</v>
      </c>
      <c r="C34" s="852" t="s">
        <v>1166</v>
      </c>
      <c r="D34" s="850">
        <v>333</v>
      </c>
    </row>
    <row r="35" spans="1:4" s="20" customFormat="1" ht="15">
      <c r="A35" s="156">
        <v>28</v>
      </c>
      <c r="B35" s="621"/>
      <c r="C35" s="22" t="s">
        <v>1012</v>
      </c>
      <c r="D35" s="144">
        <f>SUM(D33:D34)</f>
        <v>537</v>
      </c>
    </row>
    <row r="36" spans="1:4" s="20" customFormat="1" ht="15.75" thickBot="1">
      <c r="A36" s="156">
        <v>29</v>
      </c>
      <c r="B36" s="23" t="s">
        <v>639</v>
      </c>
      <c r="C36" s="23"/>
      <c r="D36" s="14">
        <f>SUM(D35+D31+D28)</f>
        <v>1276638</v>
      </c>
    </row>
    <row r="37" spans="1:4" s="20" customFormat="1" ht="15">
      <c r="A37" s="156">
        <v>30</v>
      </c>
      <c r="B37" s="1174" t="s">
        <v>651</v>
      </c>
      <c r="C37" s="1174"/>
      <c r="D37" s="1175"/>
    </row>
    <row r="38" spans="1:4" s="20" customFormat="1" ht="15">
      <c r="A38" s="156">
        <v>31</v>
      </c>
      <c r="B38" s="198" t="s">
        <v>745</v>
      </c>
      <c r="C38" s="21"/>
      <c r="D38" s="12"/>
    </row>
    <row r="39" spans="1:4" s="7" customFormat="1" ht="15">
      <c r="A39" s="156">
        <v>32</v>
      </c>
      <c r="B39" s="124" t="s">
        <v>653</v>
      </c>
      <c r="C39" s="685" t="s">
        <v>1006</v>
      </c>
      <c r="D39" s="11">
        <v>579</v>
      </c>
    </row>
    <row r="40" spans="1:4" ht="15" customHeight="1" hidden="1">
      <c r="A40" s="156">
        <v>33</v>
      </c>
      <c r="B40" s="124" t="s">
        <v>653</v>
      </c>
      <c r="C40" s="685" t="s">
        <v>1008</v>
      </c>
      <c r="D40" s="11">
        <v>350</v>
      </c>
    </row>
    <row r="41" spans="1:4" s="20" customFormat="1" ht="15" customHeight="1" hidden="1">
      <c r="A41" s="156">
        <v>34</v>
      </c>
      <c r="B41" s="851" t="s">
        <v>653</v>
      </c>
      <c r="C41" s="685" t="s">
        <v>1167</v>
      </c>
      <c r="D41" s="11">
        <v>2250</v>
      </c>
    </row>
    <row r="42" spans="1:4" s="7" customFormat="1" ht="15" customHeight="1" hidden="1" thickBot="1">
      <c r="A42" s="156">
        <v>35</v>
      </c>
      <c r="B42" s="851" t="s">
        <v>653</v>
      </c>
      <c r="C42" s="685" t="s">
        <v>1168</v>
      </c>
      <c r="D42" s="11">
        <v>2250</v>
      </c>
    </row>
    <row r="43" spans="1:4" ht="15">
      <c r="A43" s="156">
        <v>36</v>
      </c>
      <c r="B43" s="621"/>
      <c r="C43" s="22" t="s">
        <v>670</v>
      </c>
      <c r="D43" s="144">
        <f>SUM(D39:D42)</f>
        <v>5429</v>
      </c>
    </row>
    <row r="44" spans="1:4" ht="15">
      <c r="A44" s="156">
        <v>37</v>
      </c>
      <c r="B44" s="1168" t="s">
        <v>1011</v>
      </c>
      <c r="C44" s="1169"/>
      <c r="D44" s="1182"/>
    </row>
    <row r="45" spans="1:4" ht="15">
      <c r="A45" s="156">
        <v>38</v>
      </c>
      <c r="B45" s="851" t="s">
        <v>653</v>
      </c>
      <c r="C45" s="624" t="s">
        <v>1169</v>
      </c>
      <c r="D45" s="853">
        <v>667</v>
      </c>
    </row>
    <row r="46" spans="1:4" ht="15">
      <c r="A46" s="156">
        <v>39</v>
      </c>
      <c r="B46" s="621"/>
      <c r="C46" s="22" t="s">
        <v>1012</v>
      </c>
      <c r="D46" s="144">
        <f>SUM(D45)</f>
        <v>667</v>
      </c>
    </row>
    <row r="47" spans="1:4" s="7" customFormat="1" ht="15" thickBot="1">
      <c r="A47" s="156">
        <v>40</v>
      </c>
      <c r="B47" s="854" t="s">
        <v>639</v>
      </c>
      <c r="C47" s="854"/>
      <c r="D47" s="855">
        <f>SUM(D43+D46)</f>
        <v>6096</v>
      </c>
    </row>
    <row r="48" spans="1:4" ht="21" customHeight="1">
      <c r="A48" s="156">
        <v>41</v>
      </c>
      <c r="B48" s="1171" t="s">
        <v>245</v>
      </c>
      <c r="C48" s="1172"/>
      <c r="D48" s="1173"/>
    </row>
    <row r="49" spans="1:4" ht="15">
      <c r="A49" s="156">
        <v>42</v>
      </c>
      <c r="B49" s="24" t="s">
        <v>745</v>
      </c>
      <c r="C49" s="21"/>
      <c r="D49" s="15"/>
    </row>
    <row r="50" spans="1:4" ht="21" customHeight="1">
      <c r="A50" s="156">
        <v>43</v>
      </c>
      <c r="B50" s="124" t="s">
        <v>653</v>
      </c>
      <c r="C50" s="624" t="s">
        <v>723</v>
      </c>
      <c r="D50" s="13">
        <v>399</v>
      </c>
    </row>
    <row r="51" spans="1:4" ht="15">
      <c r="A51" s="156">
        <v>44</v>
      </c>
      <c r="B51" s="124" t="s">
        <v>653</v>
      </c>
      <c r="C51" s="624" t="s">
        <v>1010</v>
      </c>
      <c r="D51" s="13">
        <v>500</v>
      </c>
    </row>
    <row r="52" spans="1:4" ht="30">
      <c r="A52" s="156">
        <v>45</v>
      </c>
      <c r="B52" s="124" t="s">
        <v>653</v>
      </c>
      <c r="C52" s="794" t="s">
        <v>1170</v>
      </c>
      <c r="D52" s="13">
        <f>1830+9561</f>
        <v>11391</v>
      </c>
    </row>
    <row r="53" spans="1:4" ht="15.75" thickBot="1">
      <c r="A53" s="156">
        <v>46</v>
      </c>
      <c r="B53" s="25" t="s">
        <v>639</v>
      </c>
      <c r="C53" s="23"/>
      <c r="D53" s="16">
        <f>SUM(D50:D52)</f>
        <v>12290</v>
      </c>
    </row>
    <row r="54" spans="1:4" ht="15">
      <c r="A54" s="156">
        <v>47</v>
      </c>
      <c r="B54" s="1174" t="s">
        <v>724</v>
      </c>
      <c r="C54" s="1174"/>
      <c r="D54" s="1175"/>
    </row>
    <row r="55" spans="1:4" ht="15">
      <c r="A55" s="156">
        <v>48</v>
      </c>
      <c r="B55" s="24" t="s">
        <v>745</v>
      </c>
      <c r="C55" s="143"/>
      <c r="D55" s="141"/>
    </row>
    <row r="56" spans="1:4" ht="15">
      <c r="A56" s="156">
        <v>49</v>
      </c>
      <c r="B56" s="124" t="s">
        <v>653</v>
      </c>
      <c r="C56" s="125" t="s">
        <v>1171</v>
      </c>
      <c r="D56" s="795">
        <v>40540</v>
      </c>
    </row>
    <row r="57" spans="1:4" ht="30">
      <c r="A57" s="156">
        <v>50</v>
      </c>
      <c r="B57" s="124" t="s">
        <v>653</v>
      </c>
      <c r="C57" s="125" t="s">
        <v>1172</v>
      </c>
      <c r="D57" s="740">
        <f>195+4252</f>
        <v>4447</v>
      </c>
    </row>
    <row r="58" spans="1:4" ht="15.75" thickBot="1">
      <c r="A58" s="156">
        <v>51</v>
      </c>
      <c r="B58" s="25" t="s">
        <v>639</v>
      </c>
      <c r="C58" s="23"/>
      <c r="D58" s="16">
        <f>SUM(D56:D57)</f>
        <v>44987</v>
      </c>
    </row>
    <row r="59" spans="1:4" ht="15.75" thickBot="1">
      <c r="A59" s="156">
        <v>52</v>
      </c>
      <c r="B59" s="155" t="s">
        <v>640</v>
      </c>
      <c r="C59" s="25"/>
      <c r="D59" s="16">
        <f>SUM(D58+D53+D47+D36)</f>
        <v>1340011</v>
      </c>
    </row>
    <row r="62" spans="2:3" ht="18">
      <c r="B62" s="847" t="s">
        <v>1155</v>
      </c>
      <c r="C62" s="848"/>
    </row>
    <row r="63" spans="2:3" ht="15">
      <c r="B63" s="843" t="s">
        <v>1156</v>
      </c>
      <c r="C63" s="849"/>
    </row>
  </sheetData>
  <sheetProtection/>
  <mergeCells count="12">
    <mergeCell ref="A6:A7"/>
    <mergeCell ref="B6:C6"/>
    <mergeCell ref="B7:C7"/>
    <mergeCell ref="B32:D32"/>
    <mergeCell ref="B37:D37"/>
    <mergeCell ref="B44:D44"/>
    <mergeCell ref="C1:D1"/>
    <mergeCell ref="B29:D29"/>
    <mergeCell ref="B48:D48"/>
    <mergeCell ref="B54:D54"/>
    <mergeCell ref="B3:D3"/>
    <mergeCell ref="B4:D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1"/>
  <sheetViews>
    <sheetView zoomScalePageLayoutView="0" workbookViewId="0" topLeftCell="A1">
      <selection activeCell="C71" sqref="C71:D71"/>
    </sheetView>
  </sheetViews>
  <sheetFormatPr defaultColWidth="8.875" defaultRowHeight="12.75"/>
  <cols>
    <col min="1" max="1" width="4.125" style="127" customWidth="1"/>
    <col min="2" max="2" width="2.375" style="82" customWidth="1"/>
    <col min="3" max="3" width="59.25390625" style="82" customWidth="1"/>
    <col min="4" max="4" width="13.75390625" style="82" customWidth="1"/>
    <col min="5" max="16384" width="8.875" style="82" customWidth="1"/>
  </cols>
  <sheetData>
    <row r="1" spans="3:5" ht="18">
      <c r="C1" s="966" t="s">
        <v>1175</v>
      </c>
      <c r="D1" s="1055"/>
      <c r="E1" s="121"/>
    </row>
    <row r="2" spans="3:5" ht="15">
      <c r="C2" s="5"/>
      <c r="D2" s="121"/>
      <c r="E2" s="121"/>
    </row>
    <row r="3" spans="2:4" ht="15">
      <c r="B3" s="1186" t="s">
        <v>654</v>
      </c>
      <c r="C3" s="1186"/>
      <c r="D3" s="1186"/>
    </row>
    <row r="4" spans="2:4" ht="15">
      <c r="B4" s="1186" t="s">
        <v>747</v>
      </c>
      <c r="C4" s="1186"/>
      <c r="D4" s="1186"/>
    </row>
    <row r="5" spans="2:4" ht="15">
      <c r="B5" s="84"/>
      <c r="C5" s="84"/>
      <c r="D5" s="84"/>
    </row>
    <row r="6" ht="15">
      <c r="D6" s="83" t="s">
        <v>642</v>
      </c>
    </row>
    <row r="7" spans="1:4" s="85" customFormat="1" ht="14.25">
      <c r="A7" s="1184" t="s">
        <v>732</v>
      </c>
      <c r="B7" s="1187" t="s">
        <v>636</v>
      </c>
      <c r="C7" s="1187"/>
      <c r="D7" s="129" t="s">
        <v>652</v>
      </c>
    </row>
    <row r="8" spans="1:4" s="126" customFormat="1" ht="12">
      <c r="A8" s="1185"/>
      <c r="B8" s="1188" t="s">
        <v>726</v>
      </c>
      <c r="C8" s="1189"/>
      <c r="D8" s="128" t="s">
        <v>727</v>
      </c>
    </row>
    <row r="9" spans="1:4" s="85" customFormat="1" ht="14.25">
      <c r="A9" s="128">
        <v>1</v>
      </c>
      <c r="B9" s="87" t="s">
        <v>666</v>
      </c>
      <c r="C9" s="86"/>
      <c r="D9" s="135"/>
    </row>
    <row r="10" spans="1:4" ht="15">
      <c r="A10" s="128">
        <v>2</v>
      </c>
      <c r="B10" s="130" t="s">
        <v>742</v>
      </c>
      <c r="C10" s="125" t="s">
        <v>733</v>
      </c>
      <c r="D10" s="131">
        <v>1000</v>
      </c>
    </row>
    <row r="11" spans="1:4" s="85" customFormat="1" ht="30">
      <c r="A11" s="128">
        <v>3</v>
      </c>
      <c r="B11" s="130" t="s">
        <v>742</v>
      </c>
      <c r="C11" s="125" t="s">
        <v>1176</v>
      </c>
      <c r="D11" s="827">
        <v>-1000</v>
      </c>
    </row>
    <row r="12" spans="1:4" s="85" customFormat="1" ht="14.25">
      <c r="A12" s="128">
        <v>4</v>
      </c>
      <c r="B12" s="87" t="s">
        <v>639</v>
      </c>
      <c r="C12" s="87"/>
      <c r="D12" s="132">
        <f>SUM(D10:D11)</f>
        <v>0</v>
      </c>
    </row>
    <row r="13" spans="1:4" s="85" customFormat="1" ht="14.25">
      <c r="A13" s="134"/>
      <c r="B13" s="133"/>
      <c r="C13" s="133"/>
      <c r="D13" s="135"/>
    </row>
    <row r="14" spans="1:4" s="85" customFormat="1" ht="14.25">
      <c r="A14" s="128">
        <v>5</v>
      </c>
      <c r="B14" s="1183" t="s">
        <v>665</v>
      </c>
      <c r="C14" s="1183"/>
      <c r="D14" s="1183"/>
    </row>
    <row r="15" spans="1:4" s="85" customFormat="1" ht="15">
      <c r="A15" s="128">
        <v>6</v>
      </c>
      <c r="B15" s="130" t="s">
        <v>742</v>
      </c>
      <c r="C15" s="125" t="s">
        <v>945</v>
      </c>
      <c r="D15" s="131">
        <f>1519-323</f>
        <v>1196</v>
      </c>
    </row>
    <row r="16" spans="1:4" s="85" customFormat="1" ht="15">
      <c r="A16" s="128">
        <v>7</v>
      </c>
      <c r="B16" s="130" t="s">
        <v>742</v>
      </c>
      <c r="C16" s="125" t="s">
        <v>1177</v>
      </c>
      <c r="D16" s="131">
        <v>714</v>
      </c>
    </row>
    <row r="17" spans="1:4" ht="15">
      <c r="A17" s="128">
        <v>8</v>
      </c>
      <c r="B17" s="130" t="s">
        <v>742</v>
      </c>
      <c r="C17" s="125" t="s">
        <v>1178</v>
      </c>
      <c r="D17" s="131">
        <v>2900</v>
      </c>
    </row>
    <row r="18" spans="1:4" s="85" customFormat="1" ht="30">
      <c r="A18" s="128">
        <v>9</v>
      </c>
      <c r="B18" s="130" t="s">
        <v>742</v>
      </c>
      <c r="C18" s="125" t="s">
        <v>1179</v>
      </c>
      <c r="D18" s="827">
        <v>-127</v>
      </c>
    </row>
    <row r="19" spans="1:4" s="85" customFormat="1" ht="15">
      <c r="A19" s="128">
        <v>10</v>
      </c>
      <c r="B19" s="858" t="s">
        <v>639</v>
      </c>
      <c r="C19" s="858"/>
      <c r="D19" s="859">
        <f>SUM(D15:D18)</f>
        <v>4683</v>
      </c>
    </row>
    <row r="20" spans="1:4" ht="15">
      <c r="A20" s="128"/>
      <c r="B20" s="130"/>
      <c r="C20" s="125"/>
      <c r="D20" s="131"/>
    </row>
    <row r="21" spans="1:4" ht="30">
      <c r="A21" s="128">
        <v>11</v>
      </c>
      <c r="B21" s="130" t="s">
        <v>742</v>
      </c>
      <c r="C21" s="125" t="s">
        <v>946</v>
      </c>
      <c r="D21" s="131">
        <v>200</v>
      </c>
    </row>
    <row r="22" spans="1:4" ht="15">
      <c r="A22" s="128">
        <v>12</v>
      </c>
      <c r="B22" s="130" t="s">
        <v>742</v>
      </c>
      <c r="C22" s="125" t="s">
        <v>1180</v>
      </c>
      <c r="D22" s="131">
        <v>2611</v>
      </c>
    </row>
    <row r="23" spans="1:4" ht="15">
      <c r="A23" s="128">
        <v>13</v>
      </c>
      <c r="B23" s="858" t="s">
        <v>639</v>
      </c>
      <c r="C23" s="858"/>
      <c r="D23" s="860">
        <f>SUM(D21:D22)</f>
        <v>2811</v>
      </c>
    </row>
    <row r="24" spans="1:4" ht="15">
      <c r="A24" s="128"/>
      <c r="B24" s="130"/>
      <c r="C24" s="125"/>
      <c r="D24" s="131"/>
    </row>
    <row r="25" spans="1:4" ht="15">
      <c r="A25" s="128">
        <v>14</v>
      </c>
      <c r="B25" s="861" t="s">
        <v>742</v>
      </c>
      <c r="C25" s="125" t="s">
        <v>956</v>
      </c>
      <c r="D25" s="860">
        <v>3000</v>
      </c>
    </row>
    <row r="26" spans="1:4" ht="15">
      <c r="A26" s="128">
        <v>15</v>
      </c>
      <c r="B26" s="87" t="s">
        <v>639</v>
      </c>
      <c r="C26" s="87"/>
      <c r="D26" s="132">
        <f>SUM(D19+D23+D25)</f>
        <v>10494</v>
      </c>
    </row>
    <row r="27" spans="1:4" s="85" customFormat="1" ht="14.25">
      <c r="A27" s="134"/>
      <c r="B27" s="133"/>
      <c r="C27" s="133"/>
      <c r="D27" s="135"/>
    </row>
    <row r="28" spans="1:4" s="85" customFormat="1" ht="14.25">
      <c r="A28" s="128">
        <v>16</v>
      </c>
      <c r="B28" s="87" t="s">
        <v>773</v>
      </c>
      <c r="C28" s="86"/>
      <c r="D28" s="135"/>
    </row>
    <row r="29" spans="1:4" ht="15">
      <c r="A29" s="128">
        <v>17</v>
      </c>
      <c r="B29" s="130" t="s">
        <v>742</v>
      </c>
      <c r="C29" s="125" t="s">
        <v>774</v>
      </c>
      <c r="D29" s="131">
        <v>1000</v>
      </c>
    </row>
    <row r="30" spans="1:4" s="85" customFormat="1" ht="30">
      <c r="A30" s="128">
        <v>18</v>
      </c>
      <c r="B30" s="130" t="s">
        <v>742</v>
      </c>
      <c r="C30" s="125" t="s">
        <v>1181</v>
      </c>
      <c r="D30" s="827">
        <v>-3517</v>
      </c>
    </row>
    <row r="31" spans="1:4" s="85" customFormat="1" ht="30">
      <c r="A31" s="128">
        <v>19</v>
      </c>
      <c r="B31" s="130" t="s">
        <v>742</v>
      </c>
      <c r="C31" s="125" t="s">
        <v>1096</v>
      </c>
      <c r="D31" s="827">
        <v>-100</v>
      </c>
    </row>
    <row r="32" spans="1:4" s="85" customFormat="1" ht="30">
      <c r="A32" s="128">
        <v>20</v>
      </c>
      <c r="B32" s="130" t="s">
        <v>742</v>
      </c>
      <c r="C32" s="125" t="s">
        <v>1097</v>
      </c>
      <c r="D32" s="827">
        <v>-859</v>
      </c>
    </row>
    <row r="33" spans="1:4" s="85" customFormat="1" ht="30">
      <c r="A33" s="128">
        <v>21</v>
      </c>
      <c r="B33" s="130" t="s">
        <v>742</v>
      </c>
      <c r="C33" s="125" t="s">
        <v>1098</v>
      </c>
      <c r="D33" s="827">
        <v>-250</v>
      </c>
    </row>
    <row r="34" spans="1:4" s="85" customFormat="1" ht="15">
      <c r="A34" s="128">
        <v>22</v>
      </c>
      <c r="B34" s="130" t="s">
        <v>742</v>
      </c>
      <c r="C34" s="125" t="s">
        <v>1099</v>
      </c>
      <c r="D34" s="131">
        <v>720</v>
      </c>
    </row>
    <row r="35" spans="1:4" ht="30">
      <c r="A35" s="128">
        <v>23</v>
      </c>
      <c r="B35" s="130" t="s">
        <v>742</v>
      </c>
      <c r="C35" s="125" t="s">
        <v>1100</v>
      </c>
      <c r="D35" s="131">
        <v>3517</v>
      </c>
    </row>
    <row r="36" spans="1:4" s="85" customFormat="1" ht="30">
      <c r="A36" s="128">
        <v>24</v>
      </c>
      <c r="B36" s="130" t="s">
        <v>742</v>
      </c>
      <c r="C36" s="125" t="s">
        <v>1182</v>
      </c>
      <c r="D36" s="131">
        <v>10</v>
      </c>
    </row>
    <row r="37" spans="1:4" ht="30">
      <c r="A37" s="128">
        <v>25</v>
      </c>
      <c r="B37" s="130" t="s">
        <v>742</v>
      </c>
      <c r="C37" s="125" t="s">
        <v>1183</v>
      </c>
      <c r="D37" s="827">
        <v>-70</v>
      </c>
    </row>
    <row r="38" spans="1:4" ht="30">
      <c r="A38" s="128">
        <v>26</v>
      </c>
      <c r="B38" s="130" t="s">
        <v>742</v>
      </c>
      <c r="C38" s="125" t="s">
        <v>1176</v>
      </c>
      <c r="D38" s="827">
        <v>-350</v>
      </c>
    </row>
    <row r="39" spans="1:4" ht="30">
      <c r="A39" s="128">
        <v>27</v>
      </c>
      <c r="B39" s="130" t="s">
        <v>742</v>
      </c>
      <c r="C39" s="125" t="s">
        <v>1184</v>
      </c>
      <c r="D39" s="827">
        <v>-2250</v>
      </c>
    </row>
    <row r="40" spans="1:4" ht="30">
      <c r="A40" s="128">
        <v>28</v>
      </c>
      <c r="B40" s="130" t="s">
        <v>742</v>
      </c>
      <c r="C40" s="125" t="s">
        <v>1185</v>
      </c>
      <c r="D40" s="827">
        <v>-2250</v>
      </c>
    </row>
    <row r="41" spans="1:4" ht="15">
      <c r="A41" s="128">
        <v>29</v>
      </c>
      <c r="B41" s="130" t="s">
        <v>742</v>
      </c>
      <c r="C41" s="125" t="s">
        <v>1186</v>
      </c>
      <c r="D41" s="827">
        <v>-6000</v>
      </c>
    </row>
    <row r="42" spans="1:4" ht="30">
      <c r="A42" s="128">
        <v>30</v>
      </c>
      <c r="B42" s="130" t="s">
        <v>742</v>
      </c>
      <c r="C42" s="125" t="s">
        <v>1187</v>
      </c>
      <c r="D42" s="131">
        <v>12783</v>
      </c>
    </row>
    <row r="43" spans="1:4" ht="30">
      <c r="A43" s="128">
        <v>31</v>
      </c>
      <c r="B43" s="130" t="s">
        <v>742</v>
      </c>
      <c r="C43" s="125" t="s">
        <v>1188</v>
      </c>
      <c r="D43" s="827">
        <v>-1000</v>
      </c>
    </row>
    <row r="44" spans="1:4" ht="15">
      <c r="A44" s="128">
        <v>32</v>
      </c>
      <c r="B44" s="130" t="s">
        <v>742</v>
      </c>
      <c r="C44" s="125" t="s">
        <v>1189</v>
      </c>
      <c r="D44" s="131">
        <v>410</v>
      </c>
    </row>
    <row r="45" spans="1:4" ht="15">
      <c r="A45" s="128">
        <v>33</v>
      </c>
      <c r="B45" s="87" t="s">
        <v>639</v>
      </c>
      <c r="C45" s="87"/>
      <c r="D45" s="132">
        <f>SUM(D29:D44)</f>
        <v>1794</v>
      </c>
    </row>
    <row r="46" spans="1:4" ht="15">
      <c r="A46" s="128"/>
      <c r="B46" s="87"/>
      <c r="C46" s="87"/>
      <c r="D46" s="132"/>
    </row>
    <row r="47" spans="1:4" ht="15">
      <c r="A47" s="128">
        <v>34</v>
      </c>
      <c r="B47" s="1183" t="s">
        <v>1107</v>
      </c>
      <c r="C47" s="1183"/>
      <c r="D47" s="1183"/>
    </row>
    <row r="48" spans="1:4" ht="15">
      <c r="A48" s="128">
        <v>35</v>
      </c>
      <c r="B48" s="130" t="s">
        <v>742</v>
      </c>
      <c r="C48" s="125" t="s">
        <v>1190</v>
      </c>
      <c r="D48" s="131">
        <v>122146</v>
      </c>
    </row>
    <row r="49" spans="1:4" ht="30">
      <c r="A49" s="128">
        <v>36</v>
      </c>
      <c r="B49" s="130" t="s">
        <v>742</v>
      </c>
      <c r="C49" s="125" t="s">
        <v>1191</v>
      </c>
      <c r="D49" s="827">
        <v>-882</v>
      </c>
    </row>
    <row r="50" spans="1:4" ht="15">
      <c r="A50" s="128">
        <v>37</v>
      </c>
      <c r="B50" s="130" t="s">
        <v>742</v>
      </c>
      <c r="C50" s="125" t="s">
        <v>1192</v>
      </c>
      <c r="D50" s="827">
        <v>-8489</v>
      </c>
    </row>
    <row r="51" spans="1:4" ht="30">
      <c r="A51" s="128">
        <v>38</v>
      </c>
      <c r="B51" s="130" t="s">
        <v>742</v>
      </c>
      <c r="C51" s="125" t="s">
        <v>1193</v>
      </c>
      <c r="D51" s="827">
        <v>-13962</v>
      </c>
    </row>
    <row r="52" spans="1:4" ht="30">
      <c r="A52" s="128">
        <v>39</v>
      </c>
      <c r="B52" s="130" t="s">
        <v>742</v>
      </c>
      <c r="C52" s="125" t="s">
        <v>1194</v>
      </c>
      <c r="D52" s="827">
        <v>-18</v>
      </c>
    </row>
    <row r="53" spans="1:4" ht="15">
      <c r="A53" s="128">
        <v>40</v>
      </c>
      <c r="B53" s="130" t="s">
        <v>742</v>
      </c>
      <c r="C53" s="125" t="s">
        <v>1195</v>
      </c>
      <c r="D53" s="827">
        <f>-41870-714-146-3-7982-9122-2900-2611-4252-16238</f>
        <v>-85838</v>
      </c>
    </row>
    <row r="54" spans="1:4" ht="15">
      <c r="A54" s="128">
        <v>41</v>
      </c>
      <c r="B54" s="130" t="s">
        <v>742</v>
      </c>
      <c r="C54" s="125" t="s">
        <v>1196</v>
      </c>
      <c r="D54" s="827">
        <v>-10330</v>
      </c>
    </row>
    <row r="55" spans="1:4" ht="15">
      <c r="A55" s="128">
        <v>42</v>
      </c>
      <c r="B55" s="87" t="s">
        <v>639</v>
      </c>
      <c r="C55" s="87"/>
      <c r="D55" s="132">
        <f>SUM(D48:D54)</f>
        <v>2627</v>
      </c>
    </row>
    <row r="56" spans="1:4" ht="15">
      <c r="A56" s="134"/>
      <c r="B56" s="133"/>
      <c r="C56" s="133"/>
      <c r="D56" s="135"/>
    </row>
    <row r="57" spans="1:4" ht="16.5">
      <c r="A57" s="862">
        <v>43</v>
      </c>
      <c r="B57" s="863" t="s">
        <v>668</v>
      </c>
      <c r="C57" s="863"/>
      <c r="D57" s="864">
        <f>SUM(D55+D45+D26+D12)</f>
        <v>14915</v>
      </c>
    </row>
    <row r="58" spans="1:4" ht="15">
      <c r="A58" s="134"/>
      <c r="B58" s="133"/>
      <c r="C58" s="133"/>
      <c r="D58" s="135"/>
    </row>
    <row r="59" spans="1:4" ht="15">
      <c r="A59" s="128">
        <v>44</v>
      </c>
      <c r="B59" s="1183" t="s">
        <v>648</v>
      </c>
      <c r="C59" s="1183"/>
      <c r="D59" s="1183"/>
    </row>
    <row r="60" spans="1:4" ht="45">
      <c r="A60" s="128">
        <v>45</v>
      </c>
      <c r="B60" s="130" t="s">
        <v>742</v>
      </c>
      <c r="C60" s="125" t="s">
        <v>943</v>
      </c>
      <c r="D60" s="131">
        <v>195</v>
      </c>
    </row>
    <row r="61" spans="1:4" ht="30">
      <c r="A61" s="128">
        <v>46</v>
      </c>
      <c r="B61" s="130" t="s">
        <v>742</v>
      </c>
      <c r="C61" s="125" t="s">
        <v>1197</v>
      </c>
      <c r="D61" s="131">
        <v>4252</v>
      </c>
    </row>
    <row r="62" spans="1:4" ht="15">
      <c r="A62" s="128">
        <v>47</v>
      </c>
      <c r="B62" s="87" t="s">
        <v>639</v>
      </c>
      <c r="C62" s="87"/>
      <c r="D62" s="132">
        <f>SUM(D60:D61)</f>
        <v>4447</v>
      </c>
    </row>
    <row r="63" spans="1:4" ht="15">
      <c r="A63" s="128"/>
      <c r="B63" s="130"/>
      <c r="C63" s="125"/>
      <c r="D63" s="131"/>
    </row>
    <row r="64" spans="1:4" ht="30">
      <c r="A64" s="128">
        <v>48</v>
      </c>
      <c r="B64" s="130" t="s">
        <v>742</v>
      </c>
      <c r="C64" s="125" t="s">
        <v>1198</v>
      </c>
      <c r="D64" s="132">
        <v>40540</v>
      </c>
    </row>
    <row r="65" spans="1:4" ht="15">
      <c r="A65" s="128"/>
      <c r="B65" s="130"/>
      <c r="C65" s="125"/>
      <c r="D65" s="131"/>
    </row>
    <row r="66" spans="1:4" ht="16.5">
      <c r="A66" s="862">
        <v>49</v>
      </c>
      <c r="B66" s="863" t="s">
        <v>669</v>
      </c>
      <c r="C66" s="863"/>
      <c r="D66" s="864">
        <f>SUM(D64+D62)</f>
        <v>44987</v>
      </c>
    </row>
    <row r="67" spans="1:4" ht="15">
      <c r="A67" s="134"/>
      <c r="B67" s="133"/>
      <c r="C67" s="133"/>
      <c r="D67" s="135"/>
    </row>
    <row r="68" spans="1:4" ht="18.75">
      <c r="A68" s="865">
        <v>50</v>
      </c>
      <c r="B68" s="866" t="s">
        <v>667</v>
      </c>
      <c r="C68" s="866"/>
      <c r="D68" s="867">
        <f>SUM(D66,D57)</f>
        <v>59902</v>
      </c>
    </row>
    <row r="70" ht="15">
      <c r="C70" s="856" t="s">
        <v>1173</v>
      </c>
    </row>
    <row r="71" ht="15">
      <c r="C71" s="843" t="s">
        <v>1174</v>
      </c>
    </row>
  </sheetData>
  <sheetProtection/>
  <mergeCells count="9">
    <mergeCell ref="B47:D47"/>
    <mergeCell ref="B59:D59"/>
    <mergeCell ref="A7:A8"/>
    <mergeCell ref="C1:D1"/>
    <mergeCell ref="B3:D3"/>
    <mergeCell ref="B7:C7"/>
    <mergeCell ref="B4:D4"/>
    <mergeCell ref="B8:C8"/>
    <mergeCell ref="B14:D1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2015-02-11T07:23:22Z</cp:lastPrinted>
  <dcterms:created xsi:type="dcterms:W3CDTF">2001-11-30T10:27:10Z</dcterms:created>
  <dcterms:modified xsi:type="dcterms:W3CDTF">2015-07-06T12:46:37Z</dcterms:modified>
  <cp:category/>
  <cp:version/>
  <cp:contentType/>
  <cp:contentStatus/>
</cp:coreProperties>
</file>