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854" activeTab="0"/>
  </bookViews>
  <sheets>
    <sheet name="1_KT bevetelek kiadasok" sheetId="1" r:id="rId1"/>
    <sheet name="2_BVO Árpád utcai" sheetId="2" r:id="rId2"/>
    <sheet name="3_BVO József" sheetId="3" r:id="rId3"/>
    <sheet name="4_Kakas" sheetId="4" r:id="rId4"/>
    <sheet name="5_MűvHáz" sheetId="5" r:id="rId5"/>
    <sheet name="6_Könyvtár" sheetId="6" r:id="rId6"/>
    <sheet name="7_Konyha" sheetId="7" r:id="rId7"/>
    <sheet name="8_BGSZ" sheetId="8" r:id="rId8"/>
    <sheet name="9_KK" sheetId="9" r:id="rId9"/>
    <sheet name="10_Sportlétes" sheetId="10" r:id="rId10"/>
    <sheet name="11_Intézmények Összesen" sheetId="11" r:id="rId11"/>
    <sheet name="12_ÖNK" sheetId="12" r:id="rId12"/>
    <sheet name="13_PH" sheetId="13" r:id="rId13"/>
    <sheet name="14_Bevételek " sheetId="14" r:id="rId14"/>
    <sheet name="15_Kiadások" sheetId="15" r:id="rId15"/>
    <sheet name="16_Bicske Városi Óvoda" sheetId="16" r:id="rId16"/>
    <sheet name="17_Bicskei Egy Műv. Közp, " sheetId="17" r:id="rId17"/>
    <sheet name="18_Kapcsolat Központ" sheetId="18" r:id="rId18"/>
    <sheet name="19_Polgármesteri H.l" sheetId="19" r:id="rId19"/>
    <sheet name="20_Bicske Város Önkor 1" sheetId="20" r:id="rId20"/>
    <sheet name="21_Bicske Város Önkor 2" sheetId="21" r:id="rId21"/>
    <sheet name="22_Bicske Város Önkor 3" sheetId="22" r:id="rId22"/>
    <sheet name="23_Bicske Város Önkor 4" sheetId="23" r:id="rId23"/>
    <sheet name="24_Bicske Város Önkor 5" sheetId="24" r:id="rId24"/>
    <sheet name="25_önként2018" sheetId="25" r:id="rId25"/>
    <sheet name="26_kötelező2018" sheetId="26" r:id="rId26"/>
    <sheet name="27_Államigazgatási fel." sheetId="27" r:id="rId27"/>
    <sheet name="28_támogatás" sheetId="28" r:id="rId28"/>
    <sheet name="29_felújítás" sheetId="29" r:id="rId29"/>
    <sheet name="30_felhalmozás" sheetId="30" r:id="rId30"/>
    <sheet name="31_tartalék" sheetId="31" r:id="rId31"/>
    <sheet name="32_többéves" sheetId="32" r:id="rId32"/>
    <sheet name="33_stab. törvény alapján" sheetId="33" r:id="rId33"/>
    <sheet name="34_közvetett tám." sheetId="34" r:id="rId34"/>
    <sheet name="35_pályázatok" sheetId="35" r:id="rId35"/>
    <sheet name="36_ütemterv" sheetId="36" r:id="rId36"/>
  </sheets>
  <definedNames>
    <definedName name="_4._sz._sor_részletezése">"'file://10.10.10.2/bicske_hivatal/Szervez%C3%A9s/HAT%C3%81LYOS%20ALAPRENDELETEK/pu/KTGVET%C3%89S/EL%C5%90TERJESZT%C3%89SEK/2008/MELL%C3%89KLET_k%C3%B6lts%C3%A9gvet%C3%A9s%20szerkezete.xls'#$''.$T$3"</definedName>
    <definedName name="Excel_BuiltIn_Print_Area_10">#REF!</definedName>
    <definedName name="Excel_BuiltIn_Print_Area_101">'22_Bicske Város Önkor 3'!$A$1:$N$61</definedName>
    <definedName name="Excel_BuiltIn_Print_Area_11">#REF!</definedName>
    <definedName name="Excel_BuiltIn_Print_Area_111">'23_Bicske Város Önkor 4'!$A$1:$N$61</definedName>
    <definedName name="Excel_BuiltIn_Print_Area_12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1_1">#REF!</definedName>
    <definedName name="Excel_BuiltIn_Print_Area_23">#REF!</definedName>
    <definedName name="Excel_BuiltIn_Print_Area_23_1">#REF!</definedName>
    <definedName name="Excel_BuiltIn_Print_Area_24">#REF!</definedName>
    <definedName name="Excel_BuiltIn_Print_Area_24_1">#REF!</definedName>
    <definedName name="Excel_BuiltIn_Print_Area_25_1" localSheetId="35">'36_ütemterv'!$A$1:$N$40</definedName>
    <definedName name="Excel_BuiltIn_Print_Area_25_1">#REF!</definedName>
    <definedName name="Excel_BuiltIn_Print_Area_3_1">'14_Bevételek '!$A$1:$C$74</definedName>
    <definedName name="Excel_BuiltIn_Print_Area_4_1">"$#HIV!.$A$1:$H$54"</definedName>
    <definedName name="Excel_BuiltIn_Print_Area_4_11">"$#HIV!.$A$1:$H$54"</definedName>
    <definedName name="Excel_BuiltIn_Print_Area_51">'16_Bicske Városi Óvoda'!$A$1:$N$61</definedName>
    <definedName name="Excel_BuiltIn_Print_Area_61" localSheetId="17">'18_Kapcsolat Központ'!$A$1:$Q$61</definedName>
    <definedName name="Excel_BuiltIn_Print_Area_61">'17_Bicskei Egy Műv. Közp, '!$A$1:$T$61</definedName>
    <definedName name="Excel_BuiltIn_Print_Area_7">#REF!</definedName>
    <definedName name="Excel_BuiltIn_Print_Area_71">'19_Polgármesteri H.l'!$A$1:$N$61</definedName>
    <definedName name="Excel_BuiltIn_Print_Area_7_1">#REF!</definedName>
    <definedName name="Excel_BuiltIn_Print_Area_8">#REF!</definedName>
    <definedName name="Excel_BuiltIn_Print_Area_81">'20_Bicske Város Önkor 1'!$A$1:$N$61</definedName>
    <definedName name="Excel_BuiltIn_Print_Area_9">#REF!</definedName>
    <definedName name="Excel_BuiltIn_Print_Area_91">'21_Bicske Város Önkor 2'!$A$1:$N$61</definedName>
    <definedName name="Excel_BuiltIn_Print_Titles_17">#REF!</definedName>
    <definedName name="Excel_BuiltIn_Print_Titles_18">#REF!</definedName>
    <definedName name="Excel_BuiltIn_Print_Titles_21">#REF!</definedName>
    <definedName name="_xlnm.Print_Titles" localSheetId="0">'1_KT bevetelek kiadasok'!$1:$6</definedName>
    <definedName name="_xlnm.Print_Titles" localSheetId="9">'10_Sportlétes'!$1:$6</definedName>
    <definedName name="_xlnm.Print_Titles" localSheetId="10">'11_Intézmények Összesen'!$1:$6</definedName>
    <definedName name="_xlnm.Print_Titles" localSheetId="11">'12_ÖNK'!$1:$6</definedName>
    <definedName name="_xlnm.Print_Titles" localSheetId="12">'13_PH'!$1:$6</definedName>
    <definedName name="_xlnm.Print_Titles" localSheetId="15">'16_Bicske Városi Óvoda'!$7:$10</definedName>
    <definedName name="_xlnm.Print_Titles" localSheetId="17">'18_Kapcsolat Központ'!$1:$9</definedName>
    <definedName name="_xlnm.Print_Titles" localSheetId="18">'19_Polgármesteri H.l'!$1:$9</definedName>
    <definedName name="_xlnm.Print_Titles" localSheetId="1">'2_BVO Árpád utcai'!$1:$8</definedName>
    <definedName name="_xlnm.Print_Titles" localSheetId="19">'20_Bicske Város Önkor 1'!$1:$9</definedName>
    <definedName name="_xlnm.Print_Titles" localSheetId="20">'21_Bicske Város Önkor 2'!$1:$9</definedName>
    <definedName name="_xlnm.Print_Titles" localSheetId="21">'22_Bicske Város Önkor 3'!$1:$9</definedName>
    <definedName name="_xlnm.Print_Titles" localSheetId="22">'23_Bicske Város Önkor 4'!$1:$9</definedName>
    <definedName name="_xlnm.Print_Titles" localSheetId="23">'24_Bicske Város Önkor 5'!$1:$9</definedName>
    <definedName name="_xlnm.Print_Titles" localSheetId="28">'29_felújítás'!$1:$10</definedName>
    <definedName name="_xlnm.Print_Titles" localSheetId="2">'3_BVO József'!$1:$7</definedName>
    <definedName name="_xlnm.Print_Titles" localSheetId="29">'30_felhalmozás'!$1:$7</definedName>
    <definedName name="_xlnm.Print_Titles" localSheetId="3">'4_Kakas'!$1:$7</definedName>
    <definedName name="_xlnm.Print_Titles" localSheetId="4">'5_MűvHáz'!$1:$7</definedName>
    <definedName name="_xlnm.Print_Titles" localSheetId="5">'6_Könyvtár'!$1:$6</definedName>
    <definedName name="_xlnm.Print_Titles" localSheetId="6">'7_Konyha'!$1:$6</definedName>
    <definedName name="_xlnm.Print_Titles" localSheetId="7">'8_BGSZ'!$1:$6</definedName>
    <definedName name="_xlnm.Print_Titles" localSheetId="8">'9_KK'!$1:$7</definedName>
    <definedName name="_xlnm.Print_Area" localSheetId="0">'1_KT bevetelek kiadasok'!$A$1:$J$85</definedName>
    <definedName name="_xlnm.Print_Area" localSheetId="16">'17_Bicskei Egy Műv. Közp, '!$A$1:$T$62</definedName>
    <definedName name="_xlnm.Print_Area" localSheetId="27">'28_támogatás'!$A$1:$J$43</definedName>
    <definedName name="_xlnm.Print_Area" localSheetId="28">'29_felújítás'!$A$1:$D$21</definedName>
    <definedName name="_xlnm.Print_Area" localSheetId="2">'3_BVO József'!$A$1:$J$86</definedName>
    <definedName name="ppn">"'file://10.10.10.2/bicske_hivatal/Szervez%C3%A9s/HAT%C3%81LYOS%20ALAPRENDELETEK/pu/BESZ%C3%81MOL/2007/%C3%89v%20v%C3%A9ge/2007%C3%A9vesbesz.xls'#$Kötvény.$AW$49"</definedName>
    <definedName name="ppo">"'file://10.10.10.2/bicske_hivatal/Szervez%C3%A9s/HAT%C3%81LYOS%20ALAPRENDELETEK/pu/BESZ%C3%81MOL/2007/%C3%89v%20v%C3%A9ge/2007%C3%A9vesbesz.xls'#$Kötvény.$AX$50"</definedName>
    <definedName name="sa">"'file://10.10.10.2/bicske_hivatal/Szervez%C3%A9s/HAT%C3%81LYOS%20ALAPRENDELETEK/pu/RG/Hitelek/%C3%96sszes%20hitel%20%C3%BCtemez%C3%A9se_2008_ktgvet%C3%A9shez.xls'#$'Sikeres Mo. Hitel 3,5%'.$E$5"</definedName>
    <definedName name="ssa">"'file://10.10.10.2/bicske_hivatal/Szervez%C3%A9s/HAT%C3%81LYOS%20ALAPRENDELETEK/pu/RG/Hitelek/%C3%96sszes%20hitel%20%C3%BCtemez%C3%A9se_2008_ktgvet%C3%A9shez.xls'#$' Sikeres Mo. Hitel 2,5%'.$E$5"</definedName>
  </definedNames>
  <calcPr fullCalcOnLoad="1"/>
</workbook>
</file>

<file path=xl/comments10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11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12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13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7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30.xml><?xml version="1.0" encoding="utf-8"?>
<comments xmlns="http://schemas.openxmlformats.org/spreadsheetml/2006/main">
  <authors>
    <author>Molnár Enikő</author>
  </authors>
  <commentList>
    <comment ref="C94" authorId="0">
      <text>
        <r>
          <rPr>
            <b/>
            <sz val="9"/>
            <rFont val="Tahoma"/>
            <family val="2"/>
          </rPr>
          <t>Molnár Enikő:</t>
        </r>
        <r>
          <rPr>
            <sz val="9"/>
            <rFont val="Tahoma"/>
            <family val="2"/>
          </rPr>
          <t xml:space="preserve">
ta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7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9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sharedStrings.xml><?xml version="1.0" encoding="utf-8"?>
<sst xmlns="http://schemas.openxmlformats.org/spreadsheetml/2006/main" count="3895" uniqueCount="741">
  <si>
    <t>sorszám</t>
  </si>
  <si>
    <t>adatok E Ft-ban</t>
  </si>
  <si>
    <t xml:space="preserve">Bevételek </t>
  </si>
  <si>
    <t>Kiadások</t>
  </si>
  <si>
    <t>MŰKÖDÉSI KÖLTSÉGVETÉSI BEVÉTELEK (I+II+III+IV)</t>
  </si>
  <si>
    <t>MŰKÖDÉSI KÖLTSÉGVETÉSI KIADÁSOK (I+II+….V)</t>
  </si>
  <si>
    <t>I.</t>
  </si>
  <si>
    <t>Működési célú támogatások Áht.-on belülről (1+2….+6)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</si>
  <si>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</si>
  <si>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</si>
  <si>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</si>
  <si>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</si>
  <si>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</si>
  <si>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Helyi önkormányzatok működésének általános támogatása</t>
  </si>
  <si>
    <t>III.</t>
  </si>
  <si>
    <t>Dologi kiadások</t>
  </si>
  <si>
    <t>Települési önkormányzatok egyes köznevelési feladatainak támogatása</t>
  </si>
  <si>
    <t>IV.</t>
  </si>
  <si>
    <t>Ellátottak pénzbeli juttatásai</t>
  </si>
  <si>
    <t>Települési önkormányzatok szociális és gyermekjóléti  feladatainak támogatása</t>
  </si>
  <si>
    <t>V.</t>
  </si>
  <si>
    <t>Egyéb működési célú kiadások</t>
  </si>
  <si>
    <t>Települési önkormányzatok kulturális feladatainak támogatása</t>
  </si>
  <si>
    <t>2.</t>
  </si>
  <si>
    <t>Elvonások és befizetések bevételei</t>
  </si>
  <si>
    <t>3.</t>
  </si>
  <si>
    <t>Működési célú garancia- és kezességvállalásból származó megtérülések államháztartáson belülről</t>
  </si>
  <si>
    <t>4.</t>
  </si>
  <si>
    <t>Működési célú visszatérítendő támogatások, kölcsönök visszatérülése államháztartáson belülről</t>
  </si>
  <si>
    <t>5.</t>
  </si>
  <si>
    <t>Működési célú visszatérítendő támogatások, kölcsönök igénybevétele államháztartáson belülről</t>
  </si>
  <si>
    <t>6.</t>
  </si>
  <si>
    <t>Egyéb működési célú támogatások bevételei államháztartáson belülről</t>
  </si>
  <si>
    <t>Közhatalmi bevételek</t>
  </si>
  <si>
    <t>Működési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</si>
  <si>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</si>
  <si>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</si>
  <si>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</si>
  <si>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</si>
  <si>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</si>
  <si>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</si>
  <si>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</si>
  <si>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</si>
  <si>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</si>
  <si>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</si>
  <si>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</si>
  <si>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</si>
  <si>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</si>
  <si>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</si>
  <si>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(V+VI+VII)</t>
  </si>
  <si>
    <t>FELHALMOZÁSI KÖLTSÉGVETÉSI KIADÁSOK (VI+VII+VIII)</t>
  </si>
  <si>
    <t>Felhalmozási célú támogatások Áht.-on belülről</t>
  </si>
  <si>
    <t>VI.</t>
  </si>
  <si>
    <t>Beruházások</t>
  </si>
  <si>
    <t>Felhalmozási célú önkormányzati támogatások</t>
  </si>
  <si>
    <t>VII.</t>
  </si>
  <si>
    <t>Felújítások</t>
  </si>
  <si>
    <t>Felhalmozási célú garancia- és kezességvállalásból származó megtérülések államháztartáson belülről</t>
  </si>
  <si>
    <t>VIII.</t>
  </si>
  <si>
    <t>Egyéb felhalmozási célú kiadások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</si>
  <si>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</si>
  <si>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</si>
  <si>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</si>
  <si>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</si>
  <si>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</si>
  <si>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</si>
  <si>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</si>
  <si>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</si>
  <si>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</si>
  <si>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</si>
  <si>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</si>
  <si>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</si>
  <si>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MŰKÖDÉSI FINANSZÍROZÁSI BEVÉTELEK (1+2+….+7)</t>
  </si>
  <si>
    <t>MŰKÖDÉSI FINANSZÍROZÁSI KIADÁSOK (1+2+….+7)</t>
  </si>
  <si>
    <t>7.</t>
  </si>
  <si>
    <t>FELHALMOZÁSI FINANSZÍROZÁSI BEVÉTELEK (1+2+….+7)</t>
  </si>
  <si>
    <t>FELHALMOZÁSI FINANSZÍROZÁSI KIADÁSOK (1+2+….+7)</t>
  </si>
  <si>
    <t>8.</t>
  </si>
  <si>
    <t>BEVÉTELEK MINDÖSSZESEN</t>
  </si>
  <si>
    <t>KIADÁSOK MINDÖSSZESEN</t>
  </si>
  <si>
    <t>BICSKE VÁROS ÖNKORMÁNYZAT MINDÖSSZESEN</t>
  </si>
  <si>
    <t>Vagyoni típusú adók</t>
  </si>
  <si>
    <t>Termékek és szolgáltatások adói</t>
  </si>
  <si>
    <t>Egyéb közhatalmi bevételek</t>
  </si>
  <si>
    <t>Egyéb működési célú támogatások áht-n belülre</t>
  </si>
  <si>
    <t>Tartalékok</t>
  </si>
  <si>
    <t>Bicske Város Önkormányzat Költségvetési Intézményeinek – Bicske Városi Óvoda</t>
  </si>
  <si>
    <t>Sor-</t>
  </si>
  <si>
    <t>C í m r e n d</t>
  </si>
  <si>
    <t>Bicske Városi Óvoda összesen</t>
  </si>
  <si>
    <t>szám</t>
  </si>
  <si>
    <t>Előirányzatok megnevezése</t>
  </si>
  <si>
    <t>Eredeti előirányzat</t>
  </si>
  <si>
    <t>módosított előirányzat</t>
  </si>
  <si>
    <t>teljesítés</t>
  </si>
  <si>
    <t>K I A D Á S O K</t>
  </si>
  <si>
    <t>Munkaadót terhelő járulékok összesen:</t>
  </si>
  <si>
    <t>a</t>
  </si>
  <si>
    <t>elvonások és befizetések</t>
  </si>
  <si>
    <t>b</t>
  </si>
  <si>
    <t>műk. Célú visszatérítendő tám., kölcsön nyújtás áht-n belül</t>
  </si>
  <si>
    <t>c</t>
  </si>
  <si>
    <t>működési célú visszatérítendő tám., kölcsön törlesztése áht-belül</t>
  </si>
  <si>
    <t>d</t>
  </si>
  <si>
    <t>e</t>
  </si>
  <si>
    <t>műk. célú visszatérítendő tám., kölcsön nyújtás áht-n kívül</t>
  </si>
  <si>
    <t>f</t>
  </si>
  <si>
    <t>műk. Célú visszatérítendő tám., kölcsön törlesztése áht-n kívül</t>
  </si>
  <si>
    <t>g</t>
  </si>
  <si>
    <t>egyéb működési célú támogatások  áht-n kívül</t>
  </si>
  <si>
    <t>h</t>
  </si>
  <si>
    <t>tartalékok</t>
  </si>
  <si>
    <t>felh. Célú visszatérítendő tám., kölcsön nyújtás áht-n belül</t>
  </si>
  <si>
    <t>felh. Célú visszatérítendő tám., kölcsön törlesztése áht-n belül</t>
  </si>
  <si>
    <t>egyéb felhalmozási célú támogatások áht-n belül</t>
  </si>
  <si>
    <t>felh. Célú visszatérítendő tám. Kölcsön nyújtás áht-n kívül</t>
  </si>
  <si>
    <t>egyéb felhalmozási célú támogatások áht-n kívül</t>
  </si>
  <si>
    <t>Finanszírozási célú kiadások összesen</t>
  </si>
  <si>
    <t>A</t>
  </si>
  <si>
    <t xml:space="preserve">KIADÁSOK összesen:  </t>
  </si>
  <si>
    <t>B E V É T E L E K</t>
  </si>
  <si>
    <t>Önkormányzat működési támogatása</t>
  </si>
  <si>
    <t>Műk. Célú visszat. Tám-ok, kölcsönök visszatérülése áht-nbelül</t>
  </si>
  <si>
    <t>Egyéb műk. C. támogatások bevételei áht-n belül</t>
  </si>
  <si>
    <t>Működési célú támogatások áht-n belülről</t>
  </si>
  <si>
    <t>jövedelemadók</t>
  </si>
  <si>
    <t>vagyoni típusú adók</t>
  </si>
  <si>
    <t>termékek és szolgáltatások adói</t>
  </si>
  <si>
    <t>egyéb közhatalmi bevételek</t>
  </si>
  <si>
    <t>Közhatalmi bevételek összesen</t>
  </si>
  <si>
    <t>Felhalmozási célú önkormányzati támogatás</t>
  </si>
  <si>
    <t>Felh. Célú visszat. Tám-ok, kölcsönök visszatérülése áht-n belül</t>
  </si>
  <si>
    <t>Egyéb felhalmozási c. támogatások bevételei áht-n belül</t>
  </si>
  <si>
    <t>Felhalmozási célú támogatások áht-n belül</t>
  </si>
  <si>
    <t>felh. Célú tám.-ok, kölcsönök visszatérülése áht-n kívülről</t>
  </si>
  <si>
    <t>egyéb felhalmozási célú átvett pénzeszközök áht-n kívül</t>
  </si>
  <si>
    <t>Felhalmozási célú átvett pénzeszközök összesen</t>
  </si>
  <si>
    <t>Irányítószervi támogatás</t>
  </si>
  <si>
    <t>9/a</t>
  </si>
  <si>
    <t>Pénzmaradvány igénybevétele</t>
  </si>
  <si>
    <t>9/b</t>
  </si>
  <si>
    <t>egyéb finanszírozási célú bevételek összesen</t>
  </si>
  <si>
    <t>B</t>
  </si>
  <si>
    <t xml:space="preserve">BEVÉTELEK összesen :                     </t>
  </si>
  <si>
    <t>Közfoglalkoztatottak létszámelőirányzata/fő</t>
  </si>
  <si>
    <t>Bicske Egységes Művelődési Központ és Könyvtár - Művelődési Központ Szakmai Egység</t>
  </si>
  <si>
    <t>Bicskei Gazdasági Szervezet</t>
  </si>
  <si>
    <t>KIADÁSOK összesen:    (5+9+15+16+17+..+23)</t>
  </si>
  <si>
    <t>BEVÉTELEK összesen :                        (1-16-ig)</t>
  </si>
  <si>
    <t>Önkormányzatok és önkormányzati hivatalok jogalkotó és általános igazgatási tevékenység</t>
  </si>
  <si>
    <t>Adó-, vám- és jövedéki igazgatás</t>
  </si>
  <si>
    <t>Országgyűlési, önkormányzati és európai parlamenti képviselőválasztásokhoz kapcsolódó tevékenység</t>
  </si>
  <si>
    <t>Összesen</t>
  </si>
  <si>
    <t>Közfoglalkoztatás</t>
  </si>
  <si>
    <t>Egyéb szociális  pénzbeli ellátások, támogatások</t>
  </si>
  <si>
    <t>Város – községgazdálkodási egyéb szolgáltatások</t>
  </si>
  <si>
    <t>Közutak, hidak, alagutak üzemeltetése, fenntartása</t>
  </si>
  <si>
    <t>Az önkormányzati vagyonnal való gazdálkodással kapcsolatos feladatok</t>
  </si>
  <si>
    <t>Lakóingatlan szociális célú bérbeadása, üzemeltetése</t>
  </si>
  <si>
    <t>Önkormányzatok és önkormányzati hivatalok jogalkotó és ált. igazgatási tevékenység</t>
  </si>
  <si>
    <t>Állategészségügy</t>
  </si>
  <si>
    <t>Szennyvíz gyűjtés, tisztítás</t>
  </si>
  <si>
    <t>Közvilágítás</t>
  </si>
  <si>
    <t>Kiemelt állami, önkormányzati ünnepek</t>
  </si>
  <si>
    <t>Önkormányzatok elszámolásai</t>
  </si>
  <si>
    <t>Pályázat és támogatáskezelés, ellenőrzés</t>
  </si>
  <si>
    <t>Sportlétesítmények működtetése</t>
  </si>
  <si>
    <t>Egyházak hitéleti tevékenységének támogatása</t>
  </si>
  <si>
    <t>Önkormányzat összesen</t>
  </si>
  <si>
    <t>Polgármesteri Hivatal összesen</t>
  </si>
  <si>
    <t>Intézmények összesen</t>
  </si>
  <si>
    <t>Megnevezés</t>
  </si>
  <si>
    <t xml:space="preserve">Hitéleti támogatás </t>
  </si>
  <si>
    <t>Bicskei Torna Club támogatása</t>
  </si>
  <si>
    <t>Bicskei Fúvószenekar tám.</t>
  </si>
  <si>
    <t>Összesen:</t>
  </si>
  <si>
    <t>Feladat-mutató</t>
  </si>
  <si>
    <t>Települési igazgatási</t>
  </si>
  <si>
    <t>Önkormányzat működésével kapcsolatos kiadások</t>
  </si>
  <si>
    <t>Helyi autóbuszközlekedés támogatása</t>
  </si>
  <si>
    <t>Köztemető fenntartása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</si>
  <si>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</si>
  <si>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</si>
  <si>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</si>
  <si>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</si>
  <si>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segítségnyújtás</t>
  </si>
  <si>
    <t>Szociális étkeztetés</t>
  </si>
  <si>
    <t>Közcélú foglalkoztatás</t>
  </si>
  <si>
    <t>Családsegítő és gyermekjóléti szolgálat</t>
  </si>
  <si>
    <t>Óvodai nevelés</t>
  </si>
  <si>
    <t>Település területén lévő közoktatási intézmények étkeztetése</t>
  </si>
  <si>
    <t>Háziorvosi szolgálat</t>
  </si>
  <si>
    <t xml:space="preserve">Fogorvosi szolgálat </t>
  </si>
  <si>
    <t>Épületkezelés és fenntartás</t>
  </si>
  <si>
    <t xml:space="preserve">Ügyeleti szolgálat </t>
  </si>
  <si>
    <t>Útfenntartás</t>
  </si>
  <si>
    <t>Céltartalék</t>
  </si>
  <si>
    <t>Intézményi finanszírozás</t>
  </si>
  <si>
    <t>A helyi önkormányzat államigazgatási feladatai</t>
  </si>
  <si>
    <t>Államigazgatási feladatok 
(Mötv. 18. § alapján)</t>
  </si>
  <si>
    <t xml:space="preserve">Költségvetési kiadási előirányzat                         </t>
  </si>
  <si>
    <t xml:space="preserve">Költségvetési bevételi előirányzat                           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</si>
  <si>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</si>
  <si>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</si>
  <si>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Építéshatósági ügyek intézése</t>
  </si>
  <si>
    <t>Anyakönyvi és állampolgársági ügyek intézése</t>
  </si>
  <si>
    <t xml:space="preserve"> </t>
  </si>
  <si>
    <t xml:space="preserve">Államigazgatási feladat- és hatáskörök
18. § (1) Ha törvény vagy törvényi felhatalmazáson alapuló kormányrendelet a polgármester, a főpolgármester, a megyei közgyűlés elnöke, valamint a jegyző
a) számára államigazgatási feladat- és hatáskört állapít meg, vagy
b) honvédelmi, polgári védelmi, katasztrófaelhárítási ügyekben az országos államigazgatási feladatok helyi irányításában és végrehajtásában való részvételét rendeli el,
az ellátásukhoz szükséges költségvetési támogatást a központi költségvetés biztosítja.
(2) Ha a polgármester, a főpolgármester, a megyei közgyűlés elnöke, a jegyző az (1) bekezdés szerinti államigazgatási feladat- és hatáskörében jár el, a képviselő-testület, közgyűlés nem utasíthatja, döntését nem bírálhatja felül.
</t>
  </si>
  <si>
    <t xml:space="preserve">    Bicske Város Önkormányzat </t>
  </si>
  <si>
    <t>Feladat megnevezése</t>
  </si>
  <si>
    <t>Bicske Város Roma Nemzetiségi Önkormányzat támogatása</t>
  </si>
  <si>
    <t>Bicskei Roma Napokra támogatás</t>
  </si>
  <si>
    <t>Működési célú támogatások Áht.-on belülre</t>
  </si>
  <si>
    <t>Helyi buszközlekedés támogatása</t>
  </si>
  <si>
    <t>Egyházi temetők fenntartása</t>
  </si>
  <si>
    <t>Egyházak hiéleti támogatása</t>
  </si>
  <si>
    <t>Bicskei Fúvószenekari Egyesület támogatása</t>
  </si>
  <si>
    <t>Működési célú támogatások Áht.-on kívülre</t>
  </si>
  <si>
    <t>Mindösszesen</t>
  </si>
  <si>
    <t xml:space="preserve">Bicske Város Önkormányzat </t>
  </si>
  <si>
    <t>FELÚJÍTÁS ÖSSZESEN</t>
  </si>
  <si>
    <t>Bicske Város Önkormányzat</t>
  </si>
  <si>
    <t>ezer Ft-ban</t>
  </si>
  <si>
    <t>Bicskei Polgármesteri Hivatal</t>
  </si>
  <si>
    <t>József Attila tagóvoda</t>
  </si>
  <si>
    <t>Bicske Városi Óvoda Összesen</t>
  </si>
  <si>
    <t>Bicskei Gazdasági Szervezet összesen</t>
  </si>
  <si>
    <t>Könyvtár</t>
  </si>
  <si>
    <t>FELHALMOZÁSI KIADÁSOK</t>
  </si>
  <si>
    <t>Tartalékolás jogcíme</t>
  </si>
  <si>
    <t>I</t>
  </si>
  <si>
    <t>Általános tartalék</t>
  </si>
  <si>
    <t>II</t>
  </si>
  <si>
    <t>Működési céltartalék</t>
  </si>
  <si>
    <t>Felhalmozási céltartalék</t>
  </si>
  <si>
    <t>Tartalék összesen :</t>
  </si>
  <si>
    <t>Önkormányzati tartalék előirányzat összesen :</t>
  </si>
  <si>
    <t>9.</t>
  </si>
  <si>
    <t>Működési célú költségvetési támogatások és kiegészítő támogatások</t>
  </si>
  <si>
    <t>Elszámolásból származó bevételek</t>
  </si>
  <si>
    <t xml:space="preserve">Jövedelemadők </t>
  </si>
  <si>
    <t>Szociális hozzájárulási adó és járulékok</t>
  </si>
  <si>
    <t>Bérhez és foglalkoztatáshoz kapcsolódó adók</t>
  </si>
  <si>
    <t>Közhatalmi bevételek (1+..+5)</t>
  </si>
  <si>
    <t>Biztosító által fizetett kártérítés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</si>
  <si>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</si>
  <si>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</si>
  <si>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Felhalmozási célú visszatérítendő támogatások, kölcsönök visszatérülése az Európai Uniótól</t>
  </si>
  <si>
    <t>Felhalmozási  célú visszatérítendő támogatások, kölcsönök visszatérülése kormányoktól és más nemzetközi szervezetektől</t>
  </si>
  <si>
    <t>Hosszú lejáratú hitelek, kölcsönök felvétele pénzügyi vállalkozásoktól</t>
  </si>
  <si>
    <t>Likviditási célú hitelek, kölcsönök felvétele pénzügyi vállalkozásoktól</t>
  </si>
  <si>
    <t>Rövid lejáratú hitelek, kölcsönök felvétele pénzügyi vállalkozásoktól</t>
  </si>
  <si>
    <t>Előző év költségvetési maradványának igénybevétele</t>
  </si>
  <si>
    <t>Előző év vállalkozási maradványának igénybevétele</t>
  </si>
  <si>
    <t>Központ irányítószervi támogatás</t>
  </si>
  <si>
    <t>Lekötött bankbetétek megszüntetése</t>
  </si>
  <si>
    <t>Belföldi értékpapírok bevételei</t>
  </si>
  <si>
    <t>Hosszú lejáratú hitelek, kölcsönök törlesztése pénzügyi vállalkozásoknak</t>
  </si>
  <si>
    <t>Likviditási célú hitelek, kölcsönök törlesztése  pénzügyi vállalkozásoknak</t>
  </si>
  <si>
    <t>Rövid lejáratú hitelek, kölcsönök törlesztése pénzügyi vállalkozásoknak</t>
  </si>
  <si>
    <t>Belföldi értékpapírok kiadásai</t>
  </si>
  <si>
    <t>V</t>
  </si>
  <si>
    <t>Jövedelemadók</t>
  </si>
  <si>
    <t>Fogyasztási adók</t>
  </si>
  <si>
    <t>Pénzügyi monopóliumok nyereségét terhelő adók</t>
  </si>
  <si>
    <t>Gépjárműadók</t>
  </si>
  <si>
    <t>Közvetített szolgáltatások ellenértéke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</si>
  <si>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</si>
  <si>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</si>
  <si>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</si>
  <si>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</si>
  <si>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Működési célú garancia- és kezességvállalásból származó kifizetés államháztartáson belülre</t>
  </si>
  <si>
    <t>Műk. célú visszatérítendő tám., kölcsön törlesztése áht-n belülre</t>
  </si>
  <si>
    <t>Műk. célú visszatérítendő tám., kölcsön nyújtása áht-n belülre</t>
  </si>
  <si>
    <t>Működési célú garancia- és kezességvállalásból származó kifizetés államháztartáson kívülre</t>
  </si>
  <si>
    <t>Műk. célú visszatérítendő tám., kölcsön nyújtása áht-n kívülre</t>
  </si>
  <si>
    <t>Árkiegészítések, ártámogatások</t>
  </si>
  <si>
    <t>Kamattámogatások</t>
  </si>
  <si>
    <t>Működési célú támogatások az Európai Uniónak</t>
  </si>
  <si>
    <t>Egyéb működési célú támogatások áht-n kívülre</t>
  </si>
  <si>
    <t>Felhalmozási célú garancia- és kezességvállalásból származó kifizetés államháztartáson belülre</t>
  </si>
  <si>
    <t>Felhalmozási célú visszatérítendő tám., kölcsön nyújtása áht-n belülre</t>
  </si>
  <si>
    <t>Felhalmozási célú visszatérítendő tám., kölcsön törlesztése áht-n belülre</t>
  </si>
  <si>
    <t>Egyéb felhalmozási célú támogatások áht-n belülre</t>
  </si>
  <si>
    <t>Felhalmozási célú garancia- és kezességvállalásból származó kifizetés államháztartáson kívülre</t>
  </si>
  <si>
    <t>Felhalmozási célú visszatérítendő tám., kölcsön nyújtása áht-n kívülre</t>
  </si>
  <si>
    <t>Lakástámogatás</t>
  </si>
  <si>
    <t>Felhalmozási célú támogatások az Európai Uniónak</t>
  </si>
  <si>
    <t>Egyéb felhalmozási célú támogatások áht-n kívülre</t>
  </si>
  <si>
    <t>Pénzügyi lízing kiadásai</t>
  </si>
  <si>
    <t>Bicske Városi Konyha</t>
  </si>
  <si>
    <t>Bicske Egységes Művelődési Központ és Könyvtár - Könyvtár Szakmai Egység</t>
  </si>
  <si>
    <t>Bicske Város Önkormányzata</t>
  </si>
  <si>
    <t>Hitel-, kölcsönfelvétel pénzügyi vállalkozástól</t>
  </si>
  <si>
    <t>Maradvány igénybevétele</t>
  </si>
  <si>
    <t>BEVÉTELEK ÖSSZESEN</t>
  </si>
  <si>
    <t xml:space="preserve">Hitel-, kölcsöntörlesztés államháztartáson kívülre </t>
  </si>
  <si>
    <t>Központi, irányítószervi támogatás folyósítás folyósítása</t>
  </si>
  <si>
    <t>Pénzeszközök lekötött bankbetétként elhelyezése</t>
  </si>
  <si>
    <t>Egészségügyi alapellátás és fogorvosi alapellátás</t>
  </si>
  <si>
    <t>Civil szervezetek</t>
  </si>
  <si>
    <t>egyéb finanszírozási célú bevételek összesen Hitelfelvétel</t>
  </si>
  <si>
    <t>Tanoda működtetéséhez</t>
  </si>
  <si>
    <t>TV támogatása közüzemi díjakra</t>
  </si>
  <si>
    <t>BCSM perköltség támogatása</t>
  </si>
  <si>
    <t>Dinamik támogatása</t>
  </si>
  <si>
    <t>Völgy Vidék Vidékfejlesztési Közösség tagdíj befizetése</t>
  </si>
  <si>
    <t>Bicskei Roma Napok támogatása</t>
  </si>
  <si>
    <t>Roma Nemzetiségi Önkormányzat működési támogatása</t>
  </si>
  <si>
    <t>Tanoda működtetésének támogatása</t>
  </si>
  <si>
    <t>Bicske Városi Óvoda Árpád utcai székhely óvoda</t>
  </si>
  <si>
    <t>Kakas tagóvoda</t>
  </si>
  <si>
    <t>Felhalmozási célú támogatások államháztartáson belülről EU-tól</t>
  </si>
  <si>
    <t>Egyéb település üzemeltetés- lakóingatlan bérbeadása</t>
  </si>
  <si>
    <t>Részesedések értékesítése OSZTALÉK</t>
  </si>
  <si>
    <t>Áht-n belüli megelőlegezések</t>
  </si>
  <si>
    <t>Rákóczi Szövetség támogatása</t>
  </si>
  <si>
    <t>Önkormányzati Tüzoltóság</t>
  </si>
  <si>
    <t>Rendőrség támogatása</t>
  </si>
  <si>
    <t>Temető fenntartása</t>
  </si>
  <si>
    <t>Fiatalok Háza</t>
  </si>
  <si>
    <t>Informatikai eszközök</t>
  </si>
  <si>
    <t>felh. célú visszatérítendő tám., kölcsön nyújtás áht-n belülre</t>
  </si>
  <si>
    <t>felh. célú visszatérítendő tám., kölcsön törlesztése áht-n belülre</t>
  </si>
  <si>
    <t>egyéb felhalmozási célú támogatások áht-n belülre</t>
  </si>
  <si>
    <t>műk. célú visszatérítendő tám., kölcsönök nyújtása áht-n belülre</t>
  </si>
  <si>
    <t>működési célú visszatérítendő tám., kölcsön törlesztése áht-belülre</t>
  </si>
  <si>
    <t>műk. célú visszatérítendő tám., kölcsönök nyújtása áht-n kívülre</t>
  </si>
  <si>
    <t>műk. Célú visszatérítendő tám., kölcsön törlesztése áht-n kívülre</t>
  </si>
  <si>
    <t>egyéb működési célú támogatások  áht-n kívülre</t>
  </si>
  <si>
    <t>felh. célú visszatérítendő tám. Kölcsön nyújtás áht-n kívülre</t>
  </si>
  <si>
    <t>egyéb felhalmozási célú támogatások áht-n kívülre</t>
  </si>
  <si>
    <t>műk. Célú visszatérítendő tám., kölcsön nyújtás áht-n belülre</t>
  </si>
  <si>
    <t>műk. célú visszatérítendő tám., kölcsön nyújtás áht-n kívülre</t>
  </si>
  <si>
    <t>felh. Célú visszatérítendő tám., kölcsön nyújtás áht-n belülre</t>
  </si>
  <si>
    <t>felh. Célú visszatérítendő tám., kölcsön törlesztése áht-n belülre</t>
  </si>
  <si>
    <t>felh. Célú visszatérítendő tám. Kölcsön nyújtás áht-n kívülre</t>
  </si>
  <si>
    <t>Műk. célú visszat. tám-ok, kölcsönök visszatérülése áht-n belülről</t>
  </si>
  <si>
    <t>Egyéb műk. C. támogatások bevételei áht-n belülről</t>
  </si>
  <si>
    <t>Bicske Városi Óvoda József Attila utcai Tagóvodája</t>
  </si>
  <si>
    <t>Bicske Városi Óvoda Kakas Tagóvodája</t>
  </si>
  <si>
    <t>Bicskei Önkormányzati Tűzoltóság támogatása</t>
  </si>
  <si>
    <t xml:space="preserve">Bicske-Csabdi-Mány Víztermelő Kft. támogatása </t>
  </si>
  <si>
    <t>Egyéb gép, berendezés, felszerelés beszerzése</t>
  </si>
  <si>
    <t>Kisértékű tárgyi eszköz beszerzés: szőnyegek, iratmegsemmisítő</t>
  </si>
  <si>
    <t>Tárolók, kosarak</t>
  </si>
  <si>
    <t>Bejárati ajtó csere</t>
  </si>
  <si>
    <t>Informatikai eszköz beszerzés</t>
  </si>
  <si>
    <t>Kisértékű tárgyi eszköz beszerzés</t>
  </si>
  <si>
    <t xml:space="preserve">BEMKK Petőfi Művelődési Központ </t>
  </si>
  <si>
    <t>Áht-n belüli megelőlegezések visszafizetése</t>
  </si>
  <si>
    <t>Bicskei Polgármesteri Hivatal összesen</t>
  </si>
  <si>
    <t>Bicske Városi Óvoda Árpád utcai székhely óvoda összesen</t>
  </si>
  <si>
    <t>József Attila tagóvoda össesen</t>
  </si>
  <si>
    <t>Kakas tagóvoda összesen</t>
  </si>
  <si>
    <t xml:space="preserve">Bicskei Gazdasági Szervezet </t>
  </si>
  <si>
    <t>BEMKK Petőfi Művelődési Központ összesen</t>
  </si>
  <si>
    <t>Könyvtár összesen</t>
  </si>
  <si>
    <t>Bicske Városi Konyha összesen</t>
  </si>
  <si>
    <t xml:space="preserve">Külkapcsolataink támogatása: temerini kapcsolatok , altshauseni diák kapcsolat , rétyi diák kapcsolat , altshauseni pedagógus delegáció Bicskén , rétyi pedagógus delegáció Bicskén , bicskei pedagógusok rétyi kiutazása </t>
  </si>
  <si>
    <t xml:space="preserve">Duna-Vértes Köze Regionális   Hulladékgazdálkodási Társulás </t>
  </si>
  <si>
    <t>Bicske Városi Óvoda Intézmény  Bicske, Árpád utca 13.</t>
  </si>
  <si>
    <t>Bicske Város Önkormányzat Költségvetési Intézményeinek – Egységes Művelődési Központ és Könyvtár,  Bicske Városi Konyha, Bicskei Gazdasági Szervezet</t>
  </si>
  <si>
    <t>C</t>
  </si>
  <si>
    <t>D</t>
  </si>
  <si>
    <t>E</t>
  </si>
  <si>
    <t>F</t>
  </si>
  <si>
    <t>G</t>
  </si>
  <si>
    <t>H</t>
  </si>
  <si>
    <t>J</t>
  </si>
  <si>
    <t>adatok eFt</t>
  </si>
  <si>
    <t xml:space="preserve">E </t>
  </si>
  <si>
    <t>K</t>
  </si>
  <si>
    <t>Kapcsolat Központ (Védőnők)</t>
  </si>
  <si>
    <t>Kapcsolat Központ Bölcsőde</t>
  </si>
  <si>
    <t>Kapcsolat Központ Gondozási Központ</t>
  </si>
  <si>
    <t>Kapcsolat Központ Családsegítő Szolgálat</t>
  </si>
  <si>
    <t>Kapcsolat Központ összesen</t>
  </si>
  <si>
    <t>Kapcsolat Központ</t>
  </si>
  <si>
    <t>Bicske Város Intézmények összesen Kapcsolat Központ nélkül</t>
  </si>
  <si>
    <t>eFt-ban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</si>
  <si>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</si>
  <si>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</si>
  <si>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</si>
  <si>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</si>
  <si>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</si>
  <si>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</si>
  <si>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</si>
  <si>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</si>
  <si>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</si>
  <si>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</si>
  <si>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</si>
  <si>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</si>
  <si>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</si>
  <si>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 xml:space="preserve">Támogatások </t>
  </si>
  <si>
    <t>Átvett pénzeszközök</t>
  </si>
  <si>
    <t>Költségvetési maradvány</t>
  </si>
  <si>
    <t>Finanszírozási bevételek</t>
  </si>
  <si>
    <t>Bevételek összesen (1-8-ig)</t>
  </si>
  <si>
    <t xml:space="preserve">  Személyi juttatások</t>
  </si>
  <si>
    <t xml:space="preserve">  Munkaadót terhelő járulékok</t>
  </si>
  <si>
    <t xml:space="preserve">  Dologi kiadások</t>
  </si>
  <si>
    <t>Működési kiadások</t>
  </si>
  <si>
    <t xml:space="preserve">  Működési támogatások Áht.-on belülre</t>
  </si>
  <si>
    <t xml:space="preserve">  Befizetés iskola működtetéséhez</t>
  </si>
  <si>
    <t>Finanszírozási kiadások</t>
  </si>
  <si>
    <t>Kiadások összesen (1-9-ig)</t>
  </si>
  <si>
    <t xml:space="preserve"> ebből: Gépjárműadó</t>
  </si>
  <si>
    <t>2. melléklet a               önkormányzati rendelethez</t>
  </si>
  <si>
    <t xml:space="preserve">Részesedések értékesítése </t>
  </si>
  <si>
    <t>Belföldi finanszírozás bevételei</t>
  </si>
  <si>
    <t>Belföldi finanszírozás kiadásai</t>
  </si>
  <si>
    <t>Szabad pénzeszközök betétként való visszavonása</t>
  </si>
  <si>
    <t>Pénzügyi lízing lízingbevevői félként a lízíingszerződésben kikötött tőkerész törlesztésére teljesített kiadások</t>
  </si>
  <si>
    <t>Államháztartáson belüli megelőlegezések és megelőlegezések törlesztése</t>
  </si>
  <si>
    <t>Irányító szervi támogatásként folyósított támogatás kiutalása</t>
  </si>
  <si>
    <t>Forgatási célú belföldi értékpapírok beváltása, értékesítése</t>
  </si>
  <si>
    <t>Forgatási célú belföldi értékpapírok vásárlása</t>
  </si>
  <si>
    <t>Hosszú lejáratú hitelek, kölcsönök törlesztése pénzügyi vállalkozásoktól</t>
  </si>
  <si>
    <t>Hosszú lejáratú tulajdonosi kölcsönök bevételei</t>
  </si>
  <si>
    <t>Hosszú lejáratú tulajdonosi kölcsönök törlesztése</t>
  </si>
  <si>
    <t>Külföldi finanszírozás bevételei</t>
  </si>
  <si>
    <t>Külföldi finanszírozás kiadásai</t>
  </si>
  <si>
    <t>Egyéb működési célú kiadások tartalékokkal</t>
  </si>
  <si>
    <t>Egyéb felhalmozási célú átvett pénzeszköz</t>
  </si>
  <si>
    <t>Bicske Egységes Művelődési Központ és Könyvtár - Fiatalok Háza</t>
  </si>
  <si>
    <t>Civil szervezetek támogatásának kerete</t>
  </si>
  <si>
    <t>2017. évi létszám</t>
  </si>
  <si>
    <t>Sporteszközök, tárolók</t>
  </si>
  <si>
    <t>Játékok</t>
  </si>
  <si>
    <t>Porszívó, klíma, tároló szekrény, CD lejátszó, számítógép</t>
  </si>
  <si>
    <t>Orvosi szoba eszközök beszerzése, udvari játékok</t>
  </si>
  <si>
    <t>Napvitorla (homokozó fölé)</t>
  </si>
  <si>
    <t>Bejárati ajtó fölé lámpatestek csere</t>
  </si>
  <si>
    <t xml:space="preserve">Mosógép </t>
  </si>
  <si>
    <t>Biztonsági kamerák folyosókra, aulába</t>
  </si>
  <si>
    <t>Egyéb gép, felszerelés beszerzése</t>
  </si>
  <si>
    <t>Mosogatógép vízlágyítóval</t>
  </si>
  <si>
    <t>Konyhai edényzet</t>
  </si>
  <si>
    <t>Reflektor izzók</t>
  </si>
  <si>
    <t>Nagytermi asztal beszerzése 8 db.</t>
  </si>
  <si>
    <t>Olvasószolgálati munkaállomás cseréje 2 db</t>
  </si>
  <si>
    <t>Lámpatartó konzol és gumis vezeték lámpákhoz</t>
  </si>
  <si>
    <t>Fiatalok Háza összesen</t>
  </si>
  <si>
    <t>Finanszírozási kiadások Államháztartáson belüli megelőlegezések</t>
  </si>
  <si>
    <t xml:space="preserve">  ebből: Építményadó</t>
  </si>
  <si>
    <t xml:space="preserve">            Telekadó</t>
  </si>
  <si>
    <t xml:space="preserve">             Cégautóadó</t>
  </si>
  <si>
    <t xml:space="preserve">     ebből: Iparűzési adó</t>
  </si>
  <si>
    <t xml:space="preserve">                 Talajterhelési díj</t>
  </si>
  <si>
    <t>Védőnői szolgálat</t>
  </si>
  <si>
    <t>Önkormányzatok működési és felhalmozási támogatásai</t>
  </si>
  <si>
    <t>Egyenleg</t>
  </si>
  <si>
    <t xml:space="preserve">  Működési és felhalmozási támogatások Áht.-on kívülre és felhalmozási célú támogatások ÁHT-n kívülre</t>
  </si>
  <si>
    <t xml:space="preserve">Bálványosi Nyári Szabadegyetem és Diáktábor </t>
  </si>
  <si>
    <t>Bálványosi Nyári Szabadegyetem és Diáktábor támogatása</t>
  </si>
  <si>
    <t>Sportlétesítmény és Szabadidőközpont Üzemeltető</t>
  </si>
  <si>
    <t xml:space="preserve">Közművelődési érdekeltségnövelő támogatástnopzöK isédőlevűM </t>
  </si>
  <si>
    <t>Bicske Város Önkormányzatának több éves elkötelezettséggel járó költségvetési kiadás tételei</t>
  </si>
  <si>
    <t>Kedvezményezett</t>
  </si>
  <si>
    <t>Szerződés szerinti összeg</t>
  </si>
  <si>
    <t>Adatok ezer forintban</t>
  </si>
  <si>
    <t>Sorszám</t>
  </si>
  <si>
    <t>2018.</t>
  </si>
  <si>
    <t>2019.</t>
  </si>
  <si>
    <t>2020.</t>
  </si>
  <si>
    <t>01</t>
  </si>
  <si>
    <t>Helyi adók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</si>
  <si>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</si>
  <si>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</si>
  <si>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</si>
  <si>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</si>
  <si>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</si>
  <si>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</si>
  <si>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</si>
  <si>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</si>
  <si>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</si>
  <si>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</si>
  <si>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</si>
  <si>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</si>
  <si>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</si>
  <si>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</si>
  <si>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</si>
  <si>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</si>
  <si>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</si>
  <si>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</si>
  <si>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</si>
  <si>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</si>
  <si>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</si>
  <si>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</si>
  <si>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</si>
  <si>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</si>
  <si>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</si>
  <si>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</si>
  <si>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</si>
  <si>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</si>
  <si>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</si>
  <si>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</si>
  <si>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</si>
  <si>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</si>
  <si>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</si>
  <si>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</si>
  <si>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</si>
  <si>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</si>
  <si>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Felvett  kölcsön és annak tőketartozása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</si>
  <si>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</si>
  <si>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</si>
  <si>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</si>
  <si>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</si>
  <si>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</si>
  <si>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</si>
  <si>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</si>
  <si>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</si>
  <si>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</si>
  <si>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>Közvetett támogatások</t>
  </si>
  <si>
    <t>ezer Forint</t>
  </si>
  <si>
    <t>Sor-szám</t>
  </si>
  <si>
    <t>Összeg</t>
  </si>
  <si>
    <t>Ellátottak térítési díjának, kártérítésének méltányossági alapon történő elengedése</t>
  </si>
  <si>
    <t xml:space="preserve"> Ebből: étkeztetés </t>
  </si>
  <si>
    <t xml:space="preserve">           házi segítségnyújtás</t>
  </si>
  <si>
    <t>Lakosság részére lakásépítéshez, lakásfelújításhoz  nyújtott kölcsönök elengedése</t>
  </si>
  <si>
    <t>-</t>
  </si>
  <si>
    <t>Helyi adónál, gépjárműadónál biztosított kedvezmény, mentesség</t>
  </si>
  <si>
    <t>Ebből: építményadó</t>
  </si>
  <si>
    <t xml:space="preserve">                            törvény alapján</t>
  </si>
  <si>
    <t xml:space="preserve">                            helyi rendelet alapján</t>
  </si>
  <si>
    <t>Ebből: helyi iparűzési adó</t>
  </si>
  <si>
    <t>Ebből: Gépjárműadó</t>
  </si>
  <si>
    <t>Helyiségek, eszközök hasznosításából származó bevételből nyújtott kedvezmény, mentesség</t>
  </si>
  <si>
    <t>Egyéb nyújtott kedvezmény vagy kölcsön elengedése</t>
  </si>
  <si>
    <t>Mindösszesen:</t>
  </si>
  <si>
    <t>Uniós pályázati forrásokból megvalósuló feladatok</t>
  </si>
  <si>
    <t>ezer forintban</t>
  </si>
  <si>
    <t>sor-szám</t>
  </si>
  <si>
    <t>pályázat címe, pályázati cél</t>
  </si>
  <si>
    <t>pályázat / operatív program neve</t>
  </si>
  <si>
    <t xml:space="preserve"> teljes program forrásának tervezett összetétele</t>
  </si>
  <si>
    <t>pályázat teljes költsége</t>
  </si>
  <si>
    <t xml:space="preserve">pályázati forrás </t>
  </si>
  <si>
    <t>saját forrás</t>
  </si>
  <si>
    <t>pályázati forrás</t>
  </si>
  <si>
    <t>tervezett összes kiadás</t>
  </si>
  <si>
    <t>Európai Uniós forrásból finanszírozott pályázatok összesen:</t>
  </si>
  <si>
    <t>TOP-3.1.1-15-FE1-2016-00017</t>
  </si>
  <si>
    <t xml:space="preserve">Bicske Galagonyás-dűlő kerékpárút építése </t>
  </si>
  <si>
    <t>Bicske városi kerékpárút-hálózat fejlesztése</t>
  </si>
  <si>
    <t>TOP-3.1.1-15-FE1-2016-00022</t>
  </si>
  <si>
    <t>Közösségi beavatkozás a bicskei szegregált lakóterületek integrációja érdekében</t>
  </si>
  <si>
    <t>TOP-5.2.1-15-FE1-2016-00002</t>
  </si>
  <si>
    <t>Fenntartható turizmusfejlesztés Bicskén-Bicskei Kultúrkúria</t>
  </si>
  <si>
    <t>TOP-1.2.1-15-FE1-2016-00021</t>
  </si>
  <si>
    <t>Bicske Városi Bölcsőde bővítése, felújítása</t>
  </si>
  <si>
    <t>TOP-1.4.1-15-FE1-2016-00035</t>
  </si>
  <si>
    <t>Bicske Keleti Ipari terület fejlesztése</t>
  </si>
  <si>
    <t>TOP-1.1.1-15-FE1-2016-00009</t>
  </si>
  <si>
    <t>Bicske Város Önkormányzata ASP Központhoz Csatlakozása</t>
  </si>
  <si>
    <t>KÖFOP-1.2.1-VEKOP-16-2017-00646</t>
  </si>
  <si>
    <t>Bicske Szíve Park I. ütem</t>
  </si>
  <si>
    <t>TOP-2.1.2-15-FE1-2016-00010</t>
  </si>
  <si>
    <t>L</t>
  </si>
  <si>
    <t>Bicske Város Önkormányzat és költségvetési szerveinek  működési és felhalmozási célú tervezett bevételek és kiadások alakulását bemutató mérleg 2018 - 2021. évekre</t>
  </si>
  <si>
    <t xml:space="preserve">Bicske Városi Óvoda Intézmény Bicske, Árpád utca 13.  2018. évi tervezett költségvetési bevételei és kiadásai </t>
  </si>
  <si>
    <t>2018. évi eredeti előirányzat</t>
  </si>
  <si>
    <t xml:space="preserve"> Bicske Városi Óvoda József Attila utcai Tagóvodája 2018. évi tervezett költségvetési bevételei és kiadásai </t>
  </si>
  <si>
    <t xml:space="preserve">Bicske Városi Óvoda Kakas Tagóvodája 2018. évi tervezett költségvetési bevételei és kiadásai </t>
  </si>
  <si>
    <t xml:space="preserve">Bicskei Egységes Művelődési Központ és Könyvtár- Művelődési Központ Szakmai Egység - Fiatalok Háza 2018. évi tervezett költségvetési bevételei és kiadásai </t>
  </si>
  <si>
    <t xml:space="preserve">Bicskei Egységes Művelődési Központ és Könyvtár- Könyvtár Szakmai Egység 2018. évi tervezett költségvetési bevételei és kiadásai </t>
  </si>
  <si>
    <t xml:space="preserve">Bicske Városi Konyha  2018. évi tervezett költségvetési bevételei és kiadásai </t>
  </si>
  <si>
    <t xml:space="preserve">Bicskei Gazdasági Szervezet  2018. évi tervezett költségvetési bevételei és kiadásai </t>
  </si>
  <si>
    <t xml:space="preserve">Egyesített Családsegítő és Gondozási Központ - Kapcsolat Központ  2018. évi tervezett költségvetési bevételei és kiadásai </t>
  </si>
  <si>
    <t xml:space="preserve">Sportlétesítmény és Szabadidőközpont Üzemeltető 2018. évi tervezett költségvetési bevételei és kiadásai </t>
  </si>
  <si>
    <t xml:space="preserve">Bicske Város Önkormányzat  költségvetési szerveinek  2018. évi tervezett költségvetési bevételei és kiadásai </t>
  </si>
  <si>
    <t xml:space="preserve">Bicske Város Önkormányzata  2018. évi tervezett költségvetési bevételei és kiadásai </t>
  </si>
  <si>
    <t xml:space="preserve">Bicskei Polgármesteri Hivatal  2018. évi tervezett költségvetési bevételei és kiadásai </t>
  </si>
  <si>
    <t>2018. évi tervezett kiadásai</t>
  </si>
  <si>
    <t>2018. évi tervezett bevételei</t>
  </si>
  <si>
    <t>2018. évi tervezett előirányzatai</t>
  </si>
  <si>
    <t>2018. évi tervezett előirányzatai - kormányzati funkciók alapján</t>
  </si>
  <si>
    <t>2018. évi Működési költségvetés -  Önként vállalt feladatkörök</t>
  </si>
  <si>
    <t>2018. évi működési költségvetés  -  Kötelezően előírt feladatkörök</t>
  </si>
  <si>
    <t>2018. év</t>
  </si>
  <si>
    <t>2018. évi tervezett támogatások</t>
  </si>
  <si>
    <t>2018. évi tervezett felújítások</t>
  </si>
  <si>
    <t>2018. évi tervezett beruházási kiadásai</t>
  </si>
  <si>
    <t>2018. évi tervezett tartalék előirányzata</t>
  </si>
  <si>
    <t>A Stabilitási tv. 3. § (1) bekezdése szerinti adósságot keletkeztető ügyletek és a kezességvállalásokból fennálló kötelezettségek a 2018-2021. közötti időszakban</t>
  </si>
  <si>
    <t>2021.</t>
  </si>
  <si>
    <t>Program 2018.  évi ütemezése</t>
  </si>
  <si>
    <t>2018. évi előirányzat - felhasználási ütemterve</t>
  </si>
  <si>
    <t>Bicske Városi Piac</t>
  </si>
  <si>
    <t>TOP-1.1.3-15-FE1-2016-00007</t>
  </si>
  <si>
    <t>Vajda János Gimnázium támogatása</t>
  </si>
  <si>
    <t xml:space="preserve">Bicskei Torna Klub támogatása </t>
  </si>
  <si>
    <t xml:space="preserve">Jótékonysági koncertből befolyt pénzösszeg </t>
  </si>
  <si>
    <t>Tartalékképzés támogatásokra</t>
  </si>
  <si>
    <t>TV támogatása (Művelődési Közalapítvány)</t>
  </si>
  <si>
    <t>Bicske Kertvárosi Polgárőrség</t>
  </si>
  <si>
    <t>2068/2017. (XII. 28.) Korm. határozata belterületi utak felújítása bruttó pályázati összeg</t>
  </si>
  <si>
    <t xml:space="preserve"> 2068/2017. (XII. 2ő8.) Korm. határozata belterületi utak felújítása bruttó pályázathoz önerő</t>
  </si>
  <si>
    <t>Bicske Városi Bölcsőde bővítése, felújítása + 24 eFt kamat</t>
  </si>
  <si>
    <t>Partner Mérnöki Iroda Kft. Bajcsy Zs. U. útépítési terv felülvizsgálata és az útépítési engedélyek újbólimegszerzése bruttó 355 600 Ft és 482 600 Ft</t>
  </si>
  <si>
    <t>Szociális bérlakások előre nem látható problémák megoldására</t>
  </si>
  <si>
    <t>Tálaló konyhán végzett felújítás</t>
  </si>
  <si>
    <t>Kiadási előirányzat 100% 
2018.</t>
  </si>
  <si>
    <t>Saját intézményi bevételek
2018.</t>
  </si>
  <si>
    <t>Intézményi bevételek fedezete %
2018.</t>
  </si>
  <si>
    <t>Állami támogatás + OEP finansz.
2018.</t>
  </si>
  <si>
    <t>Állami támogatás fedezete % 2018.</t>
  </si>
  <si>
    <t>Átvett pe.
2018.</t>
  </si>
  <si>
    <t>Átvett pe.       fedezete %  2018.</t>
  </si>
  <si>
    <t>Önkormányzati hozzájárulás
2018.</t>
  </si>
  <si>
    <t>Önkormányzati hozzájárulás fedezete % 2018.</t>
  </si>
  <si>
    <t>Feladat-mutató 2018.</t>
  </si>
  <si>
    <t>Kiadási előirányzat 100% 2018.</t>
  </si>
  <si>
    <t>Saját intézményi bevételek 2018.</t>
  </si>
  <si>
    <t>Intézményi bevételek fedezete % 2018.</t>
  </si>
  <si>
    <t>Állami támogatás + OEP finansz.2018.</t>
  </si>
  <si>
    <t>Átvett pe.  2018.</t>
  </si>
  <si>
    <t>Átvett pe.       Fedezete %  2018.</t>
  </si>
  <si>
    <t>Önkormányzati hozzájárulás 2018.</t>
  </si>
  <si>
    <t>Civil szervezetek támogatása</t>
  </si>
  <si>
    <t>Bicske Kertvárosi Polgárőrség támogatása</t>
  </si>
  <si>
    <t>Jótékonysági koncertből befolyt bevétel és az adomány számlán lévő pénzösszegből támogatás</t>
  </si>
  <si>
    <t xml:space="preserve">1581/1/A/15 hrsz. Ingatlan vásárlás      </t>
  </si>
  <si>
    <t>Bontás építményre</t>
  </si>
  <si>
    <t xml:space="preserve">Fenntartható turizmusfejlesztés Bicskén-Bicskei Kultúrkúria </t>
  </si>
  <si>
    <t xml:space="preserve">Heli and Heli Consulting Kft. BTC felújításához kapcsolódó műszaki ellenőrzési feladatok  </t>
  </si>
  <si>
    <t>Kossuth tér, játszótér, parkoló</t>
  </si>
  <si>
    <t>Közvilágítás fejlesztése</t>
  </si>
  <si>
    <t xml:space="preserve"> Bicske Galagonyás-dűlő kerékpárút építése</t>
  </si>
  <si>
    <t xml:space="preserve">Bicske városi kerékpárút-hálózat fejlesztése + 37 eFt kamat  </t>
  </si>
  <si>
    <t>Bicske Városi Piac kialakítása + 60 eFt kamat</t>
  </si>
  <si>
    <t>Egyéb gép berendezés és kisértékű tárgyi eszköz</t>
  </si>
  <si>
    <t>Inkubátorház fejlesztése</t>
  </si>
  <si>
    <t>Irattár kialakítása</t>
  </si>
  <si>
    <t>ASP informatikai eszközök és kisértékű tárgyi eszközök</t>
  </si>
  <si>
    <t>1775/2017. (XI.7.) Korm. Határozat alapján Bicske Város Önkormányzata hivatali épület beruházásának támogatása</t>
  </si>
  <si>
    <t>Hivatali parkoló bővítése</t>
  </si>
  <si>
    <t>Ingatlan vásárlás</t>
  </si>
  <si>
    <t>Programok vásárlása: vírusirtó, szerver, informatikai gépek beszerzése</t>
  </si>
  <si>
    <t>2 db teherautó vásárlás</t>
  </si>
  <si>
    <t>Kisértékű tárgyi eszköz beszerzése:porszívó, vasaló, klíma, porszívó, mosógép, monitor</t>
  </si>
  <si>
    <t>Udvari játékok, spoteszközök</t>
  </si>
  <si>
    <t>Falra szerelhető árnyékoló és akasztós állványok 2 db</t>
  </si>
  <si>
    <t>Porszívó 2 db.</t>
  </si>
  <si>
    <t>Könyv beszerzés (könyvtári érdekeltségnövelő)</t>
  </si>
  <si>
    <t>Hangtechnika alaprendszer, digitális hangkeverő</t>
  </si>
  <si>
    <t>Iskolai ebédlő székek, aztalok, étkezőbútorok cseréje</t>
  </si>
  <si>
    <t>Zsúrkocsik, rakodókocsik cseréje</t>
  </si>
  <si>
    <t>Nyomtató</t>
  </si>
  <si>
    <t>Szárítógép, laptop</t>
  </si>
  <si>
    <t>Kerekesszék, laptop</t>
  </si>
  <si>
    <t>Székek, asztalok, zárható szekrény</t>
  </si>
  <si>
    <t>Asztali számítógép, monitor, vonalkód leolvasó,irodaszék, zárható szekrény</t>
  </si>
  <si>
    <t>Fogyóeszközök pótlása-kisértékű tárgyi eszközök</t>
  </si>
  <si>
    <t>TV vevőegység, bojler</t>
  </si>
  <si>
    <t xml:space="preserve">Közösségi beavatkozás a bicskei szegregált lakóterületek integrációja érdekében  </t>
  </si>
  <si>
    <t xml:space="preserve">270/2017. (IX.28.) Kt. Hat. Csokonai V.M. Általános Iskola tornatermi nyílászáróinak felújítás pályázathoz önrész   </t>
  </si>
  <si>
    <t xml:space="preserve"> Útfelújítás</t>
  </si>
  <si>
    <t>Járda felújítás</t>
  </si>
  <si>
    <t>tervek, tanulmányok, tanfolyamok:</t>
  </si>
  <si>
    <t>Hivatal felújítása:</t>
  </si>
  <si>
    <t>Csapadékvíz elvezetése:</t>
  </si>
  <si>
    <t>Volt áruház bontása</t>
  </si>
  <si>
    <t xml:space="preserve">Fenntartható turizmusfejlesztés Bicskén-Bicskei Kultúrkúria önrész, </t>
  </si>
  <si>
    <t xml:space="preserve">Bicske Városi Piac kialakítása </t>
  </si>
  <si>
    <t>Polgármesteri keret</t>
  </si>
  <si>
    <t>Bajcsy Zs. Utca gördülő fejlesztéssel együtt</t>
  </si>
  <si>
    <t xml:space="preserve">Inkubátorház </t>
  </si>
  <si>
    <t xml:space="preserve"> műfüves focipálya/MLSZ        </t>
  </si>
  <si>
    <t xml:space="preserve">Kérékpár utakhoz önrész   </t>
  </si>
  <si>
    <t>Bicske Város Önkormányzat Költségvetési Intézményeinek – Egyesített Családsegítő és Gondozási Központ - Kapcsolat Központ, Sportlétesítmény Szabadidőközpont Üzemeltető</t>
  </si>
  <si>
    <t>TOP-1.1.2-16-FE1-2017-00002</t>
  </si>
  <si>
    <t>Inkubátorház fejlesztése Bicskén</t>
  </si>
  <si>
    <t>Átjátszó zsinórok, kábelek, hosszabítók, csatlakozók beszerzése</t>
  </si>
  <si>
    <t>Bicske Városi Bölcsőde bővítése, felújítása önrész</t>
  </si>
  <si>
    <t>2018. évi módosított előirányzat</t>
  </si>
  <si>
    <t>2018. évi teljesítési adatok</t>
  </si>
  <si>
    <t>I. módosítás              ( ± )</t>
  </si>
  <si>
    <t>2018. évi módosított ei.</t>
  </si>
  <si>
    <t>Vajda János Gimnázium és Szakközépiskola Alapítvány támogatása</t>
  </si>
  <si>
    <t>2018. évi Eredeti előirányzat</t>
  </si>
  <si>
    <t>EFOP-3.3.2-16-2016-00081 "Szivárvány" pályázatból scannel vásárlás</t>
  </si>
  <si>
    <t>BEMKK EFOP-3.3.2-16-2016-00081 "Szivárvány" pályázat</t>
  </si>
  <si>
    <t xml:space="preserve">BEMKK EFOP-3.3.2-16-2016-00081 </t>
  </si>
  <si>
    <t>BEMKK "Szivárvány" pályázat</t>
  </si>
  <si>
    <t>II. módosítás              ( ± )</t>
  </si>
  <si>
    <t>Polgármesteri Keret (Dédestapolcsányi íjásztáborra 1 000 eFt, 400 eFt Aht-n kívülre átcsoportosítás)</t>
  </si>
  <si>
    <t>Polgármesteri Keret (Dédestapolcsányi íjásztáborra 1 000 eFt átcsoportosítás)</t>
  </si>
  <si>
    <t>Polgármesteri Keret (400 eFt Aht-n kívülre átcsoportosítás)</t>
  </si>
  <si>
    <t>Barátság Horgász Egyesület támogatása</t>
  </si>
  <si>
    <t>Gyermeknapi megszervezésre</t>
  </si>
  <si>
    <t>109/2018.(IV.25.) Kt. hat. alapján Madách I. és Tószeg utcák burkolatának felújítására pályázat önrésze</t>
  </si>
  <si>
    <t>Előre nem látható kiadások                                                    1.) (109/2018.(IV.25.) Kt. hat. alapján Madách I. és Tószeg utcák burkolatának felújítására pályázat önrész 30 eFt,                                                                             2.) 37/2018 (II.14.) Kt. Hat. Alapján M1 autópálya megvalósítása érdekében településrendezési eszközök módosítása 5 000 eFt</t>
  </si>
  <si>
    <t>2017. évi maradvány szennyvízhálózati beruházás pályázati forrás</t>
  </si>
  <si>
    <t>Szerencsejáték Zrt-től kapott támogatás (beteg gyerekek támogatására)</t>
  </si>
  <si>
    <t xml:space="preserve">Jótékonysági újévköszöntő koncertből befolyt pénzösszeg, a Szerencsejáték Zrt. Adományából és a tartalék terhére nyújtott támogatás a 319/2017. (X.25.) Kt hat. alapján 1. 452 eFt </t>
  </si>
  <si>
    <t>Gyermeknap megszervezésének támogatása</t>
  </si>
  <si>
    <t>Dédestapolcsányi íjásztábor támogatása polgármesteri keretből</t>
  </si>
  <si>
    <t>Zöldterület gazdálkodással kapcsolatos feladatok ellátása</t>
  </si>
  <si>
    <t>Víziközmű fejlesztlési hozzájárulásból befolyt pénzösszeg fejlesztésre</t>
  </si>
  <si>
    <t>Munkabér megtérítés választások alkalmával SZSZB tagok részére (PH)</t>
  </si>
  <si>
    <t>III. módosítás              ( ± )</t>
  </si>
  <si>
    <t>Légkondicionáló berendezés, szivattyú</t>
  </si>
  <si>
    <t>5. melléklet a          önkormányzati rendelethez</t>
  </si>
  <si>
    <t>10. melléklet a önkormányzati rendelethez</t>
  </si>
  <si>
    <t>6. melléklet a 15/2018. (IX.26.) önkormányzati rendelethez</t>
  </si>
  <si>
    <t>2. melléklet a 15/2018. (IX.26.)önkormányzati rendelethez</t>
  </si>
  <si>
    <t>3. melléklet a  15/2018. (IX.26.önkormányzati rendelethez</t>
  </si>
  <si>
    <t>4. melléklet a  15/2018. (IX.26.) önkormányzati rendelethez</t>
  </si>
  <si>
    <t>7. melléklet a 15/2018. (IX.26.) önkormányzati rendelethez</t>
  </si>
  <si>
    <t>8. melléklet a 15/2018. (IX.26.) önkormányzati rendelethez</t>
  </si>
  <si>
    <t>9. melléklet a 15/2018. (IX.26.) önkormányzati rendelethez</t>
  </si>
  <si>
    <t>11. melléklet a 15/2018. (IX.26.) önkormányzati rendelethez</t>
  </si>
  <si>
    <t>12. melléklet a 15/2018. (IX.26.) önkormányzati rendelethez</t>
  </si>
  <si>
    <t>13. melléklet a  15/2018. (IX.26.)  önkormányzati rendelethez</t>
  </si>
  <si>
    <t>14. melléklet a 15/2018. (IX.26.) önkormányzati rendelethez</t>
  </si>
  <si>
    <t>15. melléklet a  15/2018. (IX.26.) önkormányzati rendelethez</t>
  </si>
  <si>
    <t xml:space="preserve">16. melléklet a   15/2018. (IX.26.) önkormányzati rendelethez </t>
  </si>
  <si>
    <t xml:space="preserve">17. melléklet  15/2018. (IX.26.) önkormányzati rendelethez </t>
  </si>
  <si>
    <t xml:space="preserve">18. melléklet a  15/2018. (IX.26.) önkormányzati rendelethez </t>
  </si>
  <si>
    <t xml:space="preserve">19. melléklet a  15/2018. (IX.26.) ökormányzati rendelethez </t>
  </si>
  <si>
    <t xml:space="preserve">20. melléklet a  15/2018. (IX.26.) önkormányzati rendelethez </t>
  </si>
  <si>
    <t xml:space="preserve">21. melléklet a  15/2018. (IX.26.) önkormányzati rendelethez </t>
  </si>
  <si>
    <t xml:space="preserve">22. melléklet a  15/2018. (IX.26.) önkormányzati rendelethez </t>
  </si>
  <si>
    <t xml:space="preserve">23. melléklet a  15/2018. (IX.26.) önkormányzati rendelethez </t>
  </si>
  <si>
    <t xml:space="preserve">24. melléklet a   15/2018. (IX.26.) önkormányzati rendelethez </t>
  </si>
  <si>
    <t>25. melléklet a  15/2018. (IX.26.) önkormányzati rendelethez</t>
  </si>
  <si>
    <t>26. melléklet a  15/2018. (IX.26.) önkormányzati rendelethez</t>
  </si>
  <si>
    <t xml:space="preserve">27. melléklet a  15/2018. (IX.26.) önkormányzati rendelethez </t>
  </si>
  <si>
    <t>28. melléklet a  15/2018. (IX.26.) önkormányzati rendelethez</t>
  </si>
  <si>
    <t>29. melléklet a  15/2018. (IX.26.) önkormányzati rendelethez</t>
  </si>
  <si>
    <t>30. melléklet 15/2018. (IX.26.) önkormányzati rendelethez</t>
  </si>
  <si>
    <t>31. melléklet 15/2018. (IX.26.) önkormányzati rendelethez</t>
  </si>
  <si>
    <t>32. melléklet a  15/2018. (IX.26.) önkormányzati rendelethez</t>
  </si>
  <si>
    <t>33. melléklet a  15/2018. (IX.26.) önkormányzati rendelethez</t>
  </si>
  <si>
    <t>34. melléklet a 15/2018. (IX.26.) önkormányzati rendelethez</t>
  </si>
  <si>
    <t>35. melléklet a  15/2018. (IX.26.)  önkormányzati rendelethez</t>
  </si>
  <si>
    <t>36. melléklet a 15/2018. (IX.26.) önkormányzati rendelethez</t>
  </si>
  <si>
    <t>1. melléklet a  15/2018. (IX.26.)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</si>
</sst>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\ #,##0.00&quot;     &quot;;\-#,##0.00&quot;     &quot;;&quot; -&quot;#&quot;     &quot;;@\ "/>
    <numFmt numFmtId="166" formatCode="\ #,##0&quot;     &quot;;\-#,##0&quot;     &quot;;&quot; -&quot;#&quot;     &quot;;@\ "/>
    <numFmt numFmtId="167" formatCode="#,##0\ _F_t"/>
    <numFmt numFmtId="168" formatCode="0__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.00\ _F_t"/>
  </numFmts>
  <fonts count="103">
    <font>
      <sz val="10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E"/>
      <family val="2"/>
    </font>
    <font>
      <sz val="11"/>
      <name val="MS Sans Serif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Times New Roman CE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8"/>
      <name val="Times New Roman CE"/>
      <family val="1"/>
    </font>
    <font>
      <sz val="12"/>
      <color indexed="9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Times New Roman CE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 CE"/>
      <family val="1"/>
    </font>
    <font>
      <sz val="16"/>
      <color indexed="8"/>
      <name val="Times New Roman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9"/>
      <name val="Segoe UI"/>
      <family val="2"/>
    </font>
    <font>
      <sz val="11"/>
      <name val="Arial CE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 CE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/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6" fillId="26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7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0" fillId="28" borderId="7" applyNumberFormat="0" applyFont="0" applyAlignment="0" applyProtection="0"/>
    <xf numFmtId="0" fontId="95" fillId="29" borderId="0" applyNumberFormat="0" applyBorder="0" applyAlignment="0" applyProtection="0"/>
    <xf numFmtId="0" fontId="96" fillId="30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0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30" borderId="1" applyNumberFormat="0" applyAlignment="0" applyProtection="0"/>
    <xf numFmtId="9" fontId="1" fillId="0" borderId="0" applyFill="0" applyBorder="0" applyAlignment="0" applyProtection="0"/>
  </cellStyleXfs>
  <cellXfs count="1918">
    <xf numFmtId="0" fontId="0" fillId="0" borderId="0" xfId="0" applyAlignment="1">
      <alignment/>
    </xf>
    <xf numFmtId="0" fontId="5" fillId="0" borderId="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/>
      <protection/>
    </xf>
    <xf numFmtId="3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3" fontId="5" fillId="0" borderId="10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left" vertical="center"/>
      <protection/>
    </xf>
    <xf numFmtId="3" fontId="5" fillId="0" borderId="11" xfId="59" applyNumberFormat="1" applyFont="1" applyFill="1" applyBorder="1" applyAlignment="1">
      <alignment horizontal="right" vertical="center"/>
      <protection/>
    </xf>
    <xf numFmtId="0" fontId="4" fillId="0" borderId="11" xfId="59" applyFont="1" applyFill="1" applyBorder="1" applyAlignment="1">
      <alignment vertical="center" wrapText="1"/>
      <protection/>
    </xf>
    <xf numFmtId="3" fontId="4" fillId="0" borderId="11" xfId="59" applyNumberFormat="1" applyFont="1" applyFill="1" applyBorder="1" applyAlignment="1">
      <alignment horizontal="right" vertical="center" wrapText="1"/>
      <protection/>
    </xf>
    <xf numFmtId="3" fontId="4" fillId="0" borderId="11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vertical="center" wrapText="1"/>
      <protection/>
    </xf>
    <xf numFmtId="3" fontId="5" fillId="0" borderId="11" xfId="59" applyNumberFormat="1" applyFont="1" applyFill="1" applyBorder="1" applyAlignment="1">
      <alignment horizontal="right"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3" fontId="9" fillId="0" borderId="11" xfId="59" applyNumberFormat="1" applyFont="1" applyFill="1" applyBorder="1" applyAlignment="1">
      <alignment horizontal="right" vertical="center" wrapText="1"/>
      <protection/>
    </xf>
    <xf numFmtId="0" fontId="9" fillId="0" borderId="12" xfId="59" applyFont="1" applyFill="1" applyBorder="1" applyAlignment="1">
      <alignment vertical="center" wrapText="1"/>
      <protection/>
    </xf>
    <xf numFmtId="3" fontId="9" fillId="0" borderId="12" xfId="59" applyNumberFormat="1" applyFont="1" applyFill="1" applyBorder="1" applyAlignment="1">
      <alignment horizontal="righ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3" fontId="4" fillId="0" borderId="12" xfId="59" applyNumberFormat="1" applyFont="1" applyFill="1" applyBorder="1" applyAlignment="1">
      <alignment horizontal="right" vertical="center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3" fontId="4" fillId="0" borderId="13" xfId="59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4" xfId="5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5" fillId="0" borderId="23" xfId="0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4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9" fillId="0" borderId="26" xfId="0" applyFont="1" applyBorder="1" applyAlignment="1">
      <alignment/>
    </xf>
    <xf numFmtId="3" fontId="29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3" fontId="30" fillId="0" borderId="26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0" fillId="0" borderId="25" xfId="0" applyFont="1" applyFill="1" applyBorder="1" applyAlignment="1">
      <alignment horizontal="left"/>
    </xf>
    <xf numFmtId="0" fontId="1" fillId="0" borderId="39" xfId="63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9" fillId="0" borderId="41" xfId="59" applyNumberFormat="1" applyFont="1" applyFill="1" applyBorder="1" applyAlignment="1">
      <alignment horizontal="right" vertical="center" wrapText="1"/>
      <protection/>
    </xf>
    <xf numFmtId="0" fontId="5" fillId="0" borderId="41" xfId="59" applyFont="1" applyFill="1" applyBorder="1" applyAlignment="1">
      <alignment horizontal="center" vertical="center"/>
      <protection/>
    </xf>
    <xf numFmtId="3" fontId="5" fillId="0" borderId="23" xfId="59" applyNumberFormat="1" applyFont="1" applyFill="1" applyBorder="1" applyAlignment="1">
      <alignment horizontal="right" vertical="center"/>
      <protection/>
    </xf>
    <xf numFmtId="3" fontId="5" fillId="0" borderId="42" xfId="59" applyNumberFormat="1" applyFont="1" applyFill="1" applyBorder="1" applyAlignment="1">
      <alignment horizontal="right" vertical="center"/>
      <protection/>
    </xf>
    <xf numFmtId="3" fontId="5" fillId="0" borderId="43" xfId="59" applyNumberFormat="1" applyFont="1" applyFill="1" applyBorder="1" applyAlignment="1">
      <alignment horizontal="right" vertical="center"/>
      <protection/>
    </xf>
    <xf numFmtId="0" fontId="5" fillId="0" borderId="41" xfId="59" applyFont="1" applyFill="1" applyBorder="1" applyAlignment="1">
      <alignment vertical="center"/>
      <protection/>
    </xf>
    <xf numFmtId="3" fontId="19" fillId="0" borderId="11" xfId="59" applyNumberFormat="1" applyFont="1" applyFill="1" applyBorder="1" applyAlignment="1">
      <alignment horizontal="right" vertical="center" wrapText="1"/>
      <protection/>
    </xf>
    <xf numFmtId="3" fontId="5" fillId="0" borderId="28" xfId="59" applyNumberFormat="1" applyFont="1" applyFill="1" applyBorder="1" applyAlignment="1">
      <alignment horizontal="right" vertical="center"/>
      <protection/>
    </xf>
    <xf numFmtId="3" fontId="5" fillId="0" borderId="14" xfId="59" applyNumberFormat="1" applyFont="1" applyFill="1" applyBorder="1" applyAlignment="1">
      <alignment horizontal="right" vertical="center"/>
      <protection/>
    </xf>
    <xf numFmtId="3" fontId="5" fillId="0" borderId="44" xfId="59" applyNumberFormat="1" applyFont="1" applyFill="1" applyBorder="1" applyAlignment="1">
      <alignment horizontal="right" vertical="center"/>
      <protection/>
    </xf>
    <xf numFmtId="0" fontId="9" fillId="0" borderId="28" xfId="59" applyFont="1" applyFill="1" applyBorder="1" applyAlignment="1">
      <alignment vertical="center" wrapText="1"/>
      <protection/>
    </xf>
    <xf numFmtId="0" fontId="4" fillId="0" borderId="28" xfId="59" applyFont="1" applyFill="1" applyBorder="1" applyAlignment="1">
      <alignment vertical="center" wrapText="1"/>
      <protection/>
    </xf>
    <xf numFmtId="3" fontId="15" fillId="0" borderId="45" xfId="0" applyNumberFormat="1" applyFont="1" applyFill="1" applyBorder="1" applyAlignment="1">
      <alignment vertical="center"/>
    </xf>
    <xf numFmtId="3" fontId="15" fillId="0" borderId="46" xfId="0" applyNumberFormat="1" applyFont="1" applyFill="1" applyBorder="1" applyAlignment="1">
      <alignment vertical="center"/>
    </xf>
    <xf numFmtId="3" fontId="15" fillId="0" borderId="47" xfId="0" applyNumberFormat="1" applyFont="1" applyFill="1" applyBorder="1" applyAlignment="1">
      <alignment vertical="center"/>
    </xf>
    <xf numFmtId="3" fontId="4" fillId="0" borderId="41" xfId="59" applyNumberFormat="1" applyFont="1" applyFill="1" applyBorder="1" applyAlignment="1">
      <alignment horizontal="right" vertical="center" wrapText="1"/>
      <protection/>
    </xf>
    <xf numFmtId="0" fontId="4" fillId="0" borderId="48" xfId="59" applyFont="1" applyFill="1" applyBorder="1" applyAlignment="1">
      <alignment horizontal="left" vertical="center" wrapText="1"/>
      <protection/>
    </xf>
    <xf numFmtId="3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3" fontId="4" fillId="0" borderId="28" xfId="59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0" fontId="33" fillId="0" borderId="49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/>
    </xf>
    <xf numFmtId="0" fontId="25" fillId="0" borderId="27" xfId="63" applyNumberFormat="1" applyFont="1" applyFill="1" applyBorder="1" applyAlignment="1" applyProtection="1">
      <alignment horizontal="left" wrapText="1"/>
      <protection/>
    </xf>
    <xf numFmtId="0" fontId="2" fillId="0" borderId="25" xfId="0" applyFont="1" applyFill="1" applyBorder="1" applyAlignment="1">
      <alignment horizontal="left"/>
    </xf>
    <xf numFmtId="0" fontId="2" fillId="0" borderId="27" xfId="63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Alignment="1">
      <alignment/>
    </xf>
    <xf numFmtId="167" fontId="4" fillId="0" borderId="28" xfId="59" applyNumberFormat="1" applyFont="1" applyFill="1" applyBorder="1" applyAlignment="1">
      <alignment vertical="center" wrapText="1"/>
      <protection/>
    </xf>
    <xf numFmtId="167" fontId="4" fillId="0" borderId="50" xfId="59" applyNumberFormat="1" applyFont="1" applyFill="1" applyBorder="1" applyAlignment="1">
      <alignment vertical="center" wrapText="1"/>
      <protection/>
    </xf>
    <xf numFmtId="167" fontId="4" fillId="0" borderId="44" xfId="59" applyNumberFormat="1" applyFont="1" applyFill="1" applyBorder="1" applyAlignment="1">
      <alignment vertical="center" wrapText="1"/>
      <protection/>
    </xf>
    <xf numFmtId="0" fontId="5" fillId="0" borderId="51" xfId="59" applyFont="1" applyFill="1" applyBorder="1" applyAlignment="1">
      <alignment horizontal="center" vertical="center" wrapText="1"/>
      <protection/>
    </xf>
    <xf numFmtId="0" fontId="5" fillId="0" borderId="28" xfId="59" applyFont="1" applyFill="1" applyBorder="1" applyAlignment="1">
      <alignment horizontal="center" vertical="center" wrapText="1"/>
      <protection/>
    </xf>
    <xf numFmtId="0" fontId="5" fillId="0" borderId="42" xfId="59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7" xfId="0" applyFont="1" applyBorder="1" applyAlignment="1">
      <alignment wrapText="1"/>
    </xf>
    <xf numFmtId="0" fontId="30" fillId="0" borderId="27" xfId="0" applyFont="1" applyBorder="1" applyAlignment="1">
      <alignment/>
    </xf>
    <xf numFmtId="0" fontId="27" fillId="0" borderId="53" xfId="0" applyFont="1" applyBorder="1" applyAlignment="1">
      <alignment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23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24" fillId="0" borderId="0" xfId="0" applyNumberFormat="1" applyFont="1" applyFill="1" applyAlignment="1">
      <alignment vertical="center"/>
    </xf>
    <xf numFmtId="3" fontId="5" fillId="0" borderId="0" xfId="59" applyNumberFormat="1" applyFont="1" applyFill="1" applyBorder="1" applyAlignment="1">
      <alignment horizontal="right" vertical="center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5" fillId="0" borderId="56" xfId="59" applyFont="1" applyFill="1" applyBorder="1" applyAlignment="1">
      <alignment horizontal="center" vertical="center" wrapText="1"/>
      <protection/>
    </xf>
    <xf numFmtId="0" fontId="5" fillId="0" borderId="42" xfId="59" applyFont="1" applyFill="1" applyBorder="1" applyAlignment="1">
      <alignment horizontal="center" vertical="center" wrapText="1"/>
      <protection/>
    </xf>
    <xf numFmtId="0" fontId="5" fillId="0" borderId="23" xfId="59" applyFont="1" applyFill="1" applyBorder="1" applyAlignment="1">
      <alignment vertical="center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3" fontId="5" fillId="0" borderId="10" xfId="59" applyNumberFormat="1" applyFont="1" applyFill="1" applyBorder="1" applyAlignment="1">
      <alignment horizontal="right" vertical="center" wrapText="1"/>
      <protection/>
    </xf>
    <xf numFmtId="0" fontId="5" fillId="0" borderId="57" xfId="59" applyFont="1" applyFill="1" applyBorder="1" applyAlignment="1">
      <alignment horizontal="left" vertical="center" wrapText="1"/>
      <protection/>
    </xf>
    <xf numFmtId="3" fontId="5" fillId="0" borderId="0" xfId="59" applyNumberFormat="1" applyFont="1" applyFill="1" applyBorder="1" applyAlignment="1">
      <alignment horizontal="right" vertical="center" wrapText="1"/>
      <protection/>
    </xf>
    <xf numFmtId="0" fontId="5" fillId="0" borderId="28" xfId="59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vertical="center"/>
      <protection/>
    </xf>
    <xf numFmtId="0" fontId="4" fillId="0" borderId="58" xfId="59" applyFont="1" applyFill="1" applyBorder="1" applyAlignment="1">
      <alignment vertical="center"/>
      <protection/>
    </xf>
    <xf numFmtId="0" fontId="4" fillId="0" borderId="11" xfId="59" applyFont="1" applyFill="1" applyBorder="1" applyAlignment="1">
      <alignment vertical="center"/>
      <protection/>
    </xf>
    <xf numFmtId="3" fontId="4" fillId="0" borderId="28" xfId="59" applyNumberFormat="1" applyFont="1" applyFill="1" applyBorder="1" applyAlignment="1">
      <alignment horizontal="right" vertical="center" wrapText="1"/>
      <protection/>
    </xf>
    <xf numFmtId="0" fontId="5" fillId="0" borderId="59" xfId="59" applyFont="1" applyFill="1" applyBorder="1" applyAlignment="1">
      <alignment horizontal="center" vertical="center"/>
      <protection/>
    </xf>
    <xf numFmtId="3" fontId="4" fillId="0" borderId="50" xfId="59" applyNumberFormat="1" applyFont="1" applyFill="1" applyBorder="1" applyAlignment="1">
      <alignment horizontal="right" vertical="center"/>
      <protection/>
    </xf>
    <xf numFmtId="0" fontId="4" fillId="0" borderId="60" xfId="59" applyFont="1" applyFill="1" applyBorder="1" applyAlignment="1">
      <alignment vertical="center"/>
      <protection/>
    </xf>
    <xf numFmtId="0" fontId="5" fillId="0" borderId="43" xfId="59" applyFont="1" applyFill="1" applyBorder="1" applyAlignment="1">
      <alignment horizontal="center" vertical="center" wrapText="1"/>
      <protection/>
    </xf>
    <xf numFmtId="0" fontId="5" fillId="0" borderId="61" xfId="59" applyFont="1" applyFill="1" applyBorder="1" applyAlignment="1">
      <alignment horizontal="center" vertical="center"/>
      <protection/>
    </xf>
    <xf numFmtId="0" fontId="5" fillId="0" borderId="23" xfId="59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right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vertical="center"/>
      <protection/>
    </xf>
    <xf numFmtId="0" fontId="4" fillId="0" borderId="14" xfId="59" applyFont="1" applyFill="1" applyBorder="1" applyAlignment="1">
      <alignment vertical="center"/>
      <protection/>
    </xf>
    <xf numFmtId="3" fontId="4" fillId="0" borderId="14" xfId="59" applyNumberFormat="1" applyFont="1" applyFill="1" applyBorder="1" applyAlignment="1">
      <alignment horizontal="right" vertical="center"/>
      <protection/>
    </xf>
    <xf numFmtId="0" fontId="4" fillId="0" borderId="62" xfId="59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3" fontId="4" fillId="0" borderId="59" xfId="59" applyNumberFormat="1" applyFont="1" applyFill="1" applyBorder="1" applyAlignment="1">
      <alignment horizontal="right" vertical="center"/>
      <protection/>
    </xf>
    <xf numFmtId="0" fontId="5" fillId="0" borderId="61" xfId="59" applyFont="1" applyFill="1" applyBorder="1" applyAlignment="1">
      <alignment horizontal="center" vertical="center" wrapText="1"/>
      <protection/>
    </xf>
    <xf numFmtId="3" fontId="5" fillId="0" borderId="48" xfId="59" applyNumberFormat="1" applyFont="1" applyFill="1" applyBorder="1" applyAlignment="1">
      <alignment horizontal="right" vertical="center" wrapText="1"/>
      <protection/>
    </xf>
    <xf numFmtId="0" fontId="5" fillId="0" borderId="48" xfId="59" applyFont="1" applyFill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right" vertical="center"/>
      <protection/>
    </xf>
    <xf numFmtId="3" fontId="4" fillId="0" borderId="48" xfId="59" applyNumberFormat="1" applyFont="1" applyFill="1" applyBorder="1" applyAlignment="1">
      <alignment horizontal="right" vertical="center" wrapText="1"/>
      <protection/>
    </xf>
    <xf numFmtId="3" fontId="4" fillId="0" borderId="10" xfId="59" applyNumberFormat="1" applyFont="1" applyFill="1" applyBorder="1" applyAlignment="1">
      <alignment horizontal="right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" fontId="5" fillId="0" borderId="51" xfId="59" applyNumberFormat="1" applyFont="1" applyFill="1" applyBorder="1" applyAlignment="1">
      <alignment horizontal="right" vertical="center" wrapText="1"/>
      <protection/>
    </xf>
    <xf numFmtId="3" fontId="5" fillId="0" borderId="28" xfId="59" applyNumberFormat="1" applyFont="1" applyFill="1" applyBorder="1" applyAlignment="1">
      <alignment horizontal="right" vertical="center" wrapText="1"/>
      <protection/>
    </xf>
    <xf numFmtId="167" fontId="0" fillId="0" borderId="0" xfId="0" applyNumberFormat="1" applyFill="1" applyAlignment="1">
      <alignment/>
    </xf>
    <xf numFmtId="0" fontId="5" fillId="0" borderId="10" xfId="59" applyFont="1" applyFill="1" applyBorder="1" applyAlignment="1">
      <alignment vertical="center"/>
      <protection/>
    </xf>
    <xf numFmtId="0" fontId="5" fillId="0" borderId="28" xfId="59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vertical="center"/>
      <protection/>
    </xf>
    <xf numFmtId="0" fontId="4" fillId="0" borderId="61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0" fontId="10" fillId="0" borderId="56" xfId="59" applyFont="1" applyFill="1" applyBorder="1" applyAlignment="1">
      <alignment vertical="center"/>
      <protection/>
    </xf>
    <xf numFmtId="0" fontId="19" fillId="0" borderId="23" xfId="59" applyFont="1" applyFill="1" applyBorder="1" applyAlignment="1">
      <alignment horizontal="center" vertical="center"/>
      <protection/>
    </xf>
    <xf numFmtId="3" fontId="19" fillId="0" borderId="23" xfId="59" applyNumberFormat="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42" xfId="0" applyFont="1" applyFill="1" applyBorder="1" applyAlignment="1">
      <alignment/>
    </xf>
    <xf numFmtId="0" fontId="22" fillId="0" borderId="65" xfId="0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3" fontId="15" fillId="0" borderId="64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3" fontId="15" fillId="0" borderId="63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3" fontId="15" fillId="0" borderId="67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68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3" fontId="15" fillId="0" borderId="69" xfId="0" applyNumberFormat="1" applyFont="1" applyFill="1" applyBorder="1" applyAlignment="1">
      <alignment vertical="center"/>
    </xf>
    <xf numFmtId="3" fontId="15" fillId="0" borderId="70" xfId="0" applyNumberFormat="1" applyFont="1" applyFill="1" applyBorder="1" applyAlignment="1">
      <alignment vertical="center"/>
    </xf>
    <xf numFmtId="3" fontId="15" fillId="0" borderId="71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3" fontId="15" fillId="0" borderId="72" xfId="0" applyNumberFormat="1" applyFont="1" applyFill="1" applyBorder="1" applyAlignment="1">
      <alignment vertical="center"/>
    </xf>
    <xf numFmtId="3" fontId="15" fillId="0" borderId="73" xfId="0" applyNumberFormat="1" applyFont="1" applyFill="1" applyBorder="1" applyAlignment="1">
      <alignment vertical="center"/>
    </xf>
    <xf numFmtId="3" fontId="15" fillId="0" borderId="74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3" fontId="15" fillId="0" borderId="65" xfId="0" applyNumberFormat="1" applyFont="1" applyFill="1" applyBorder="1" applyAlignment="1">
      <alignment vertical="center"/>
    </xf>
    <xf numFmtId="3" fontId="15" fillId="0" borderId="6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5" fillId="0" borderId="75" xfId="0" applyNumberFormat="1" applyFont="1" applyFill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0" fontId="15" fillId="0" borderId="79" xfId="0" applyFont="1" applyFill="1" applyBorder="1" applyAlignment="1">
      <alignment vertical="center"/>
    </xf>
    <xf numFmtId="3" fontId="15" fillId="0" borderId="79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vertical="center"/>
    </xf>
    <xf numFmtId="2" fontId="15" fillId="0" borderId="83" xfId="0" applyNumberFormat="1" applyFont="1" applyFill="1" applyBorder="1" applyAlignment="1">
      <alignment vertical="center"/>
    </xf>
    <xf numFmtId="2" fontId="15" fillId="0" borderId="84" xfId="0" applyNumberFormat="1" applyFont="1" applyFill="1" applyBorder="1" applyAlignment="1">
      <alignment vertical="center"/>
    </xf>
    <xf numFmtId="2" fontId="15" fillId="0" borderId="85" xfId="0" applyNumberFormat="1" applyFont="1" applyFill="1" applyBorder="1" applyAlignment="1">
      <alignment vertical="center"/>
    </xf>
    <xf numFmtId="2" fontId="15" fillId="0" borderId="86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22" fillId="0" borderId="87" xfId="0" applyFont="1" applyFill="1" applyBorder="1" applyAlignment="1">
      <alignment/>
    </xf>
    <xf numFmtId="3" fontId="15" fillId="0" borderId="88" xfId="0" applyNumberFormat="1" applyFont="1" applyFill="1" applyBorder="1" applyAlignment="1">
      <alignment vertical="center"/>
    </xf>
    <xf numFmtId="3" fontId="15" fillId="0" borderId="89" xfId="0" applyNumberFormat="1" applyFont="1" applyFill="1" applyBorder="1" applyAlignment="1">
      <alignment vertical="center"/>
    </xf>
    <xf numFmtId="3" fontId="15" fillId="0" borderId="90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91" xfId="0" applyNumberFormat="1" applyFont="1" applyFill="1" applyBorder="1" applyAlignment="1">
      <alignment vertical="center"/>
    </xf>
    <xf numFmtId="3" fontId="15" fillId="0" borderId="92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91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15" fillId="0" borderId="62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2" fontId="15" fillId="0" borderId="94" xfId="0" applyNumberFormat="1" applyFont="1" applyFill="1" applyBorder="1" applyAlignment="1">
      <alignment vertical="center"/>
    </xf>
    <xf numFmtId="167" fontId="4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95" xfId="0" applyFont="1" applyFill="1" applyBorder="1" applyAlignment="1">
      <alignment horizontal="left"/>
    </xf>
    <xf numFmtId="0" fontId="1" fillId="0" borderId="96" xfId="69" applyFont="1" applyFill="1" applyBorder="1" applyAlignment="1">
      <alignment wrapText="1"/>
      <protection/>
    </xf>
    <xf numFmtId="0" fontId="17" fillId="0" borderId="25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3" fontId="3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3" fontId="37" fillId="0" borderId="0" xfId="0" applyNumberFormat="1" applyFont="1" applyFill="1" applyBorder="1" applyAlignment="1" applyProtection="1">
      <alignment horizontal="right" vertical="center"/>
      <protection locked="0"/>
    </xf>
    <xf numFmtId="3" fontId="3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7" fillId="0" borderId="97" xfId="0" applyFont="1" applyFill="1" applyBorder="1" applyAlignment="1">
      <alignment horizontal="center"/>
    </xf>
    <xf numFmtId="0" fontId="0" fillId="0" borderId="98" xfId="0" applyFill="1" applyBorder="1" applyAlignment="1">
      <alignment/>
    </xf>
    <xf numFmtId="0" fontId="25" fillId="0" borderId="3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1" fillId="0" borderId="0" xfId="63" applyNumberFormat="1" applyFont="1" applyFill="1" applyBorder="1" applyAlignment="1" applyProtection="1">
      <alignment wrapText="1"/>
      <protection/>
    </xf>
    <xf numFmtId="167" fontId="0" fillId="0" borderId="0" xfId="0" applyNumberFormat="1" applyFill="1" applyAlignment="1">
      <alignment vertical="center"/>
    </xf>
    <xf numFmtId="167" fontId="0" fillId="0" borderId="0" xfId="0" applyNumberFormat="1" applyFont="1" applyFill="1" applyAlignment="1">
      <alignment/>
    </xf>
    <xf numFmtId="3" fontId="19" fillId="0" borderId="0" xfId="59" applyNumberFormat="1" applyFont="1" applyFill="1" applyBorder="1" applyAlignment="1">
      <alignment horizontal="right" vertical="center"/>
      <protection/>
    </xf>
    <xf numFmtId="3" fontId="5" fillId="0" borderId="97" xfId="59" applyNumberFormat="1" applyFont="1" applyFill="1" applyBorder="1" applyAlignment="1">
      <alignment horizontal="right" vertical="center"/>
      <protection/>
    </xf>
    <xf numFmtId="3" fontId="4" fillId="0" borderId="61" xfId="59" applyNumberFormat="1" applyFont="1" applyFill="1" applyBorder="1" applyAlignment="1">
      <alignment horizontal="right" vertical="center"/>
      <protection/>
    </xf>
    <xf numFmtId="0" fontId="5" fillId="0" borderId="97" xfId="59" applyFont="1" applyFill="1" applyBorder="1" applyAlignment="1">
      <alignment horizontal="center" vertical="center"/>
      <protection/>
    </xf>
    <xf numFmtId="3" fontId="4" fillId="0" borderId="23" xfId="59" applyNumberFormat="1" applyFont="1" applyFill="1" applyBorder="1" applyAlignment="1">
      <alignment horizontal="right" vertical="center"/>
      <protection/>
    </xf>
    <xf numFmtId="3" fontId="4" fillId="0" borderId="23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6" fillId="0" borderId="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97" xfId="57" applyFont="1" applyFill="1" applyBorder="1" applyAlignment="1">
      <alignment horizontal="center" vertical="center"/>
      <protection/>
    </xf>
    <xf numFmtId="0" fontId="42" fillId="0" borderId="97" xfId="57" applyFont="1" applyFill="1" applyBorder="1" applyAlignment="1">
      <alignment horizontal="center" vertical="center"/>
      <protection/>
    </xf>
    <xf numFmtId="0" fontId="4" fillId="0" borderId="25" xfId="59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3" fontId="11" fillId="0" borderId="23" xfId="59" applyNumberFormat="1" applyFont="1" applyFill="1" applyBorder="1" applyAlignment="1">
      <alignment horizontal="right" vertical="center"/>
      <protection/>
    </xf>
    <xf numFmtId="0" fontId="4" fillId="0" borderId="42" xfId="59" applyFont="1" applyFill="1" applyBorder="1" applyAlignment="1">
      <alignment vertical="center"/>
      <protection/>
    </xf>
    <xf numFmtId="0" fontId="10" fillId="0" borderId="13" xfId="59" applyFont="1" applyFill="1" applyBorder="1" applyAlignment="1">
      <alignment vertical="center"/>
      <protection/>
    </xf>
    <xf numFmtId="3" fontId="5" fillId="0" borderId="50" xfId="59" applyNumberFormat="1" applyFont="1" applyFill="1" applyBorder="1" applyAlignment="1">
      <alignment horizontal="right" vertical="center"/>
      <protection/>
    </xf>
    <xf numFmtId="3" fontId="5" fillId="0" borderId="23" xfId="59" applyNumberFormat="1" applyFont="1" applyFill="1" applyBorder="1" applyAlignment="1">
      <alignment vertical="center"/>
      <protection/>
    </xf>
    <xf numFmtId="3" fontId="5" fillId="0" borderId="13" xfId="59" applyNumberFormat="1" applyFont="1" applyFill="1" applyBorder="1" applyAlignment="1">
      <alignment horizontal="right" vertical="center"/>
      <protection/>
    </xf>
    <xf numFmtId="3" fontId="4" fillId="0" borderId="52" xfId="59" applyNumberFormat="1" applyFont="1" applyFill="1" applyBorder="1" applyAlignment="1">
      <alignment horizontal="righ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0" fontId="38" fillId="0" borderId="0" xfId="57" applyFont="1" applyFill="1" applyBorder="1" applyAlignment="1">
      <alignment horizontal="center" vertical="center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right" vertical="center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0" fontId="19" fillId="0" borderId="11" xfId="59" applyFont="1" applyFill="1" applyBorder="1" applyAlignment="1">
      <alignment horizontal="center" vertical="center" wrapText="1"/>
      <protection/>
    </xf>
    <xf numFmtId="3" fontId="19" fillId="0" borderId="11" xfId="59" applyNumberFormat="1" applyFont="1" applyFill="1" applyBorder="1" applyAlignment="1">
      <alignment horizontal="right" vertical="center"/>
      <protection/>
    </xf>
    <xf numFmtId="0" fontId="19" fillId="0" borderId="57" xfId="59" applyFont="1" applyFill="1" applyBorder="1" applyAlignment="1">
      <alignment horizontal="left" vertical="center" wrapText="1"/>
      <protection/>
    </xf>
    <xf numFmtId="0" fontId="9" fillId="0" borderId="58" xfId="59" applyFont="1" applyFill="1" applyBorder="1" applyAlignment="1">
      <alignment vertical="center"/>
      <protection/>
    </xf>
    <xf numFmtId="3" fontId="9" fillId="0" borderId="11" xfId="59" applyNumberFormat="1" applyFont="1" applyFill="1" applyBorder="1" applyAlignment="1">
      <alignment horizontal="right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3" fontId="9" fillId="0" borderId="23" xfId="59" applyNumberFormat="1" applyFont="1" applyFill="1" applyBorder="1" applyAlignment="1">
      <alignment horizontal="right" vertical="center"/>
      <protection/>
    </xf>
    <xf numFmtId="0" fontId="9" fillId="0" borderId="60" xfId="59" applyFont="1" applyFill="1" applyBorder="1" applyAlignment="1">
      <alignment vertical="center"/>
      <protection/>
    </xf>
    <xf numFmtId="0" fontId="19" fillId="0" borderId="43" xfId="59" applyFont="1" applyFill="1" applyBorder="1" applyAlignment="1">
      <alignment horizontal="center" vertical="center" wrapText="1"/>
      <protection/>
    </xf>
    <xf numFmtId="0" fontId="19" fillId="0" borderId="48" xfId="59" applyFont="1" applyFill="1" applyBorder="1" applyAlignment="1">
      <alignment horizontal="center" vertical="center"/>
      <protection/>
    </xf>
    <xf numFmtId="0" fontId="9" fillId="0" borderId="62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19" fillId="0" borderId="48" xfId="59" applyFont="1" applyFill="1" applyBorder="1" applyAlignment="1">
      <alignment horizontal="center" vertical="center" wrapText="1"/>
      <protection/>
    </xf>
    <xf numFmtId="3" fontId="19" fillId="0" borderId="48" xfId="59" applyNumberFormat="1" applyFont="1" applyFill="1" applyBorder="1" applyAlignment="1">
      <alignment horizontal="right" vertical="center" wrapText="1"/>
      <protection/>
    </xf>
    <xf numFmtId="0" fontId="9" fillId="0" borderId="25" xfId="59" applyFont="1" applyFill="1" applyBorder="1" applyAlignment="1">
      <alignment vertical="center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3" fontId="19" fillId="0" borderId="14" xfId="59" applyNumberFormat="1" applyFont="1" applyFill="1" applyBorder="1" applyAlignment="1">
      <alignment horizontal="right" vertical="center"/>
      <protection/>
    </xf>
    <xf numFmtId="3" fontId="9" fillId="0" borderId="13" xfId="59" applyNumberFormat="1" applyFont="1" applyFill="1" applyBorder="1" applyAlignment="1">
      <alignment horizontal="right" vertical="center" wrapText="1"/>
      <protection/>
    </xf>
    <xf numFmtId="0" fontId="9" fillId="0" borderId="13" xfId="59" applyFont="1" applyFill="1" applyBorder="1" applyAlignment="1">
      <alignment vertical="center"/>
      <protection/>
    </xf>
    <xf numFmtId="0" fontId="19" fillId="0" borderId="14" xfId="59" applyFont="1" applyFill="1" applyBorder="1" applyAlignment="1">
      <alignment horizontal="center" vertical="center" wrapText="1"/>
      <protection/>
    </xf>
    <xf numFmtId="3" fontId="19" fillId="0" borderId="23" xfId="59" applyNumberFormat="1" applyFont="1" applyFill="1" applyBorder="1" applyAlignment="1">
      <alignment horizontal="center" vertical="center"/>
      <protection/>
    </xf>
    <xf numFmtId="0" fontId="8" fillId="0" borderId="99" xfId="57" applyFont="1" applyFill="1" applyBorder="1" applyAlignment="1">
      <alignment horizontal="center" vertical="center"/>
      <protection/>
    </xf>
    <xf numFmtId="0" fontId="5" fillId="0" borderId="37" xfId="59" applyFont="1" applyFill="1" applyBorder="1" applyAlignment="1">
      <alignment vertical="center"/>
      <protection/>
    </xf>
    <xf numFmtId="0" fontId="5" fillId="0" borderId="100" xfId="59" applyFont="1" applyFill="1" applyBorder="1" applyAlignment="1">
      <alignment horizontal="left" vertical="center" wrapText="1"/>
      <protection/>
    </xf>
    <xf numFmtId="0" fontId="5" fillId="0" borderId="25" xfId="59" applyFont="1" applyFill="1" applyBorder="1" applyAlignment="1">
      <alignment horizontal="left" vertical="center" wrapText="1"/>
      <protection/>
    </xf>
    <xf numFmtId="0" fontId="4" fillId="0" borderId="100" xfId="59" applyFont="1" applyFill="1" applyBorder="1" applyAlignment="1">
      <alignment vertical="center"/>
      <protection/>
    </xf>
    <xf numFmtId="0" fontId="4" fillId="0" borderId="101" xfId="59" applyFont="1" applyFill="1" applyBorder="1" applyAlignment="1">
      <alignment vertical="center"/>
      <protection/>
    </xf>
    <xf numFmtId="0" fontId="4" fillId="0" borderId="102" xfId="59" applyFont="1" applyFill="1" applyBorder="1" applyAlignment="1">
      <alignment horizontal="left" vertical="center" wrapText="1"/>
      <protection/>
    </xf>
    <xf numFmtId="0" fontId="4" fillId="0" borderId="25" xfId="59" applyFont="1" applyFill="1" applyBorder="1" applyAlignment="1">
      <alignment horizontal="left" vertical="center" wrapText="1"/>
      <protection/>
    </xf>
    <xf numFmtId="0" fontId="4" fillId="0" borderId="62" xfId="59" applyFont="1" applyFill="1" applyBorder="1" applyAlignment="1">
      <alignment horizontal="left" vertical="center" wrapText="1"/>
      <protection/>
    </xf>
    <xf numFmtId="0" fontId="5" fillId="0" borderId="58" xfId="59" applyFont="1" applyFill="1" applyBorder="1" applyAlignment="1">
      <alignment vertical="center"/>
      <protection/>
    </xf>
    <xf numFmtId="0" fontId="4" fillId="0" borderId="100" xfId="59" applyFont="1" applyFill="1" applyBorder="1" applyAlignment="1">
      <alignment horizontal="left" vertical="center" wrapText="1"/>
      <protection/>
    </xf>
    <xf numFmtId="0" fontId="11" fillId="0" borderId="37" xfId="59" applyFont="1" applyFill="1" applyBorder="1" applyAlignment="1">
      <alignment horizontal="center" vertical="center"/>
      <protection/>
    </xf>
    <xf numFmtId="3" fontId="5" fillId="0" borderId="103" xfId="59" applyNumberFormat="1" applyFont="1" applyFill="1" applyBorder="1" applyAlignment="1">
      <alignment horizontal="right" vertical="center"/>
      <protection/>
    </xf>
    <xf numFmtId="3" fontId="4" fillId="0" borderId="104" xfId="59" applyNumberFormat="1" applyFont="1" applyFill="1" applyBorder="1" applyAlignment="1">
      <alignment horizontal="right" vertical="center" wrapText="1"/>
      <protection/>
    </xf>
    <xf numFmtId="3" fontId="4" fillId="0" borderId="105" xfId="59" applyNumberFormat="1" applyFont="1" applyFill="1" applyBorder="1" applyAlignment="1">
      <alignment horizontal="right" vertical="center" wrapText="1"/>
      <protection/>
    </xf>
    <xf numFmtId="3" fontId="5" fillId="0" borderId="106" xfId="59" applyNumberFormat="1" applyFont="1" applyFill="1" applyBorder="1" applyAlignment="1">
      <alignment horizontal="right" vertical="center" wrapText="1"/>
      <protection/>
    </xf>
    <xf numFmtId="3" fontId="5" fillId="0" borderId="107" xfId="59" applyNumberFormat="1" applyFont="1" applyFill="1" applyBorder="1" applyAlignment="1">
      <alignment horizontal="right" vertical="center"/>
      <protection/>
    </xf>
    <xf numFmtId="3" fontId="4" fillId="0" borderId="104" xfId="59" applyNumberFormat="1" applyFont="1" applyFill="1" applyBorder="1" applyAlignment="1">
      <alignment horizontal="right" vertical="center"/>
      <protection/>
    </xf>
    <xf numFmtId="3" fontId="4" fillId="0" borderId="108" xfId="59" applyNumberFormat="1" applyFont="1" applyFill="1" applyBorder="1" applyAlignment="1">
      <alignment horizontal="right" vertical="center"/>
      <protection/>
    </xf>
    <xf numFmtId="3" fontId="4" fillId="0" borderId="106" xfId="59" applyNumberFormat="1" applyFont="1" applyFill="1" applyBorder="1" applyAlignment="1">
      <alignment horizontal="right" vertical="center"/>
      <protection/>
    </xf>
    <xf numFmtId="0" fontId="4" fillId="0" borderId="105" xfId="59" applyFont="1" applyFill="1" applyBorder="1" applyAlignment="1">
      <alignment vertical="center"/>
      <protection/>
    </xf>
    <xf numFmtId="0" fontId="4" fillId="0" borderId="109" xfId="59" applyFont="1" applyFill="1" applyBorder="1" applyAlignment="1">
      <alignment vertical="center"/>
      <protection/>
    </xf>
    <xf numFmtId="3" fontId="5" fillId="0" borderId="105" xfId="59" applyNumberFormat="1" applyFont="1" applyFill="1" applyBorder="1" applyAlignment="1">
      <alignment horizontal="right" vertical="center"/>
      <protection/>
    </xf>
    <xf numFmtId="3" fontId="4" fillId="0" borderId="110" xfId="59" applyNumberFormat="1" applyFont="1" applyFill="1" applyBorder="1" applyAlignment="1">
      <alignment horizontal="right" vertical="center"/>
      <protection/>
    </xf>
    <xf numFmtId="3" fontId="4" fillId="0" borderId="105" xfId="59" applyNumberFormat="1" applyFont="1" applyFill="1" applyBorder="1" applyAlignment="1">
      <alignment horizontal="right" vertical="center"/>
      <protection/>
    </xf>
    <xf numFmtId="3" fontId="5" fillId="0" borderId="104" xfId="59" applyNumberFormat="1" applyFont="1" applyFill="1" applyBorder="1" applyAlignment="1">
      <alignment horizontal="right" vertical="center"/>
      <protection/>
    </xf>
    <xf numFmtId="3" fontId="4" fillId="0" borderId="109" xfId="59" applyNumberFormat="1" applyFont="1" applyFill="1" applyBorder="1" applyAlignment="1">
      <alignment horizontal="right" vertical="center"/>
      <protection/>
    </xf>
    <xf numFmtId="0" fontId="4" fillId="0" borderId="60" xfId="59" applyFont="1" applyFill="1" applyBorder="1" applyAlignment="1">
      <alignment horizontal="left" vertical="center" wrapText="1"/>
      <protection/>
    </xf>
    <xf numFmtId="3" fontId="5" fillId="0" borderId="111" xfId="59" applyNumberFormat="1" applyFont="1" applyFill="1" applyBorder="1" applyAlignment="1">
      <alignment horizontal="right" vertical="center" wrapText="1"/>
      <protection/>
    </xf>
    <xf numFmtId="3" fontId="5" fillId="0" borderId="112" xfId="59" applyNumberFormat="1" applyFont="1" applyFill="1" applyBorder="1" applyAlignment="1">
      <alignment horizontal="right" vertical="center" wrapText="1"/>
      <protection/>
    </xf>
    <xf numFmtId="0" fontId="8" fillId="0" borderId="56" xfId="59" applyFont="1" applyFill="1" applyBorder="1" applyAlignment="1">
      <alignment horizontal="center" vertical="center" wrapText="1"/>
      <protection/>
    </xf>
    <xf numFmtId="0" fontId="8" fillId="0" borderId="60" xfId="59" applyFont="1" applyFill="1" applyBorder="1" applyAlignment="1">
      <alignment horizontal="center" vertical="center"/>
      <protection/>
    </xf>
    <xf numFmtId="0" fontId="19" fillId="0" borderId="100" xfId="59" applyFont="1" applyFill="1" applyBorder="1" applyAlignment="1">
      <alignment horizontal="left" vertical="center" wrapText="1"/>
      <protection/>
    </xf>
    <xf numFmtId="0" fontId="19" fillId="0" borderId="25" xfId="59" applyFont="1" applyFill="1" applyBorder="1" applyAlignment="1">
      <alignment horizontal="left" vertical="center" wrapText="1"/>
      <protection/>
    </xf>
    <xf numFmtId="0" fontId="9" fillId="0" borderId="100" xfId="59" applyFont="1" applyFill="1" applyBorder="1" applyAlignment="1">
      <alignment vertical="center"/>
      <protection/>
    </xf>
    <xf numFmtId="0" fontId="9" fillId="0" borderId="101" xfId="59" applyFont="1" applyFill="1" applyBorder="1" applyAlignment="1">
      <alignment vertical="center"/>
      <protection/>
    </xf>
    <xf numFmtId="0" fontId="9" fillId="0" borderId="102" xfId="59" applyFont="1" applyFill="1" applyBorder="1" applyAlignment="1">
      <alignment horizontal="left" vertical="center" wrapText="1"/>
      <protection/>
    </xf>
    <xf numFmtId="0" fontId="9" fillId="0" borderId="25" xfId="59" applyFont="1" applyFill="1" applyBorder="1" applyAlignment="1">
      <alignment horizontal="left" vertical="center" wrapText="1"/>
      <protection/>
    </xf>
    <xf numFmtId="0" fontId="9" fillId="0" borderId="62" xfId="59" applyFont="1" applyFill="1" applyBorder="1" applyAlignment="1">
      <alignment horizontal="left" vertical="center" wrapText="1"/>
      <protection/>
    </xf>
    <xf numFmtId="0" fontId="19" fillId="0" borderId="58" xfId="59" applyFont="1" applyFill="1" applyBorder="1" applyAlignment="1">
      <alignment vertical="center"/>
      <protection/>
    </xf>
    <xf numFmtId="0" fontId="9" fillId="0" borderId="100" xfId="59" applyFont="1" applyFill="1" applyBorder="1" applyAlignment="1">
      <alignment horizontal="left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3" fontId="9" fillId="0" borderId="105" xfId="59" applyNumberFormat="1" applyFont="1" applyFill="1" applyBorder="1" applyAlignment="1">
      <alignment horizontal="right" vertical="center" wrapText="1"/>
      <protection/>
    </xf>
    <xf numFmtId="0" fontId="40" fillId="0" borderId="90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3" fontId="15" fillId="0" borderId="113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15" fillId="0" borderId="114" xfId="0" applyNumberFormat="1" applyFont="1" applyFill="1" applyBorder="1" applyAlignment="1">
      <alignment vertical="center"/>
    </xf>
    <xf numFmtId="3" fontId="6" fillId="0" borderId="115" xfId="0" applyNumberFormat="1" applyFont="1" applyFill="1" applyBorder="1" applyAlignment="1">
      <alignment vertical="center"/>
    </xf>
    <xf numFmtId="167" fontId="34" fillId="0" borderId="0" xfId="0" applyNumberFormat="1" applyFont="1" applyFill="1" applyAlignment="1">
      <alignment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7" fontId="23" fillId="0" borderId="0" xfId="0" applyNumberFormat="1" applyFont="1" applyFill="1" applyAlignment="1">
      <alignment vertical="center"/>
    </xf>
    <xf numFmtId="167" fontId="17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/>
    </xf>
    <xf numFmtId="167" fontId="23" fillId="0" borderId="0" xfId="0" applyNumberFormat="1" applyFont="1" applyFill="1" applyBorder="1" applyAlignment="1">
      <alignment/>
    </xf>
    <xf numFmtId="167" fontId="24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98" xfId="0" applyFont="1" applyBorder="1" applyAlignment="1">
      <alignment/>
    </xf>
    <xf numFmtId="0" fontId="47" fillId="0" borderId="116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 shrinkToFit="1"/>
    </xf>
    <xf numFmtId="3" fontId="47" fillId="0" borderId="38" xfId="0" applyNumberFormat="1" applyFont="1" applyBorder="1" applyAlignment="1">
      <alignment horizontal="center" vertical="center" wrapText="1"/>
    </xf>
    <xf numFmtId="2" fontId="47" fillId="0" borderId="38" xfId="0" applyNumberFormat="1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39" fillId="0" borderId="52" xfId="0" applyFont="1" applyFill="1" applyBorder="1" applyAlignment="1">
      <alignment/>
    </xf>
    <xf numFmtId="0" fontId="45" fillId="0" borderId="54" xfId="0" applyFont="1" applyFill="1" applyBorder="1" applyAlignment="1">
      <alignment wrapText="1" shrinkToFit="1"/>
    </xf>
    <xf numFmtId="0" fontId="45" fillId="0" borderId="55" xfId="0" applyFont="1" applyFill="1" applyBorder="1" applyAlignment="1">
      <alignment shrinkToFit="1"/>
    </xf>
    <xf numFmtId="3" fontId="45" fillId="0" borderId="55" xfId="0" applyNumberFormat="1" applyFont="1" applyFill="1" applyBorder="1" applyAlignment="1">
      <alignment/>
    </xf>
    <xf numFmtId="2" fontId="45" fillId="0" borderId="55" xfId="0" applyNumberFormat="1" applyFont="1" applyFill="1" applyBorder="1" applyAlignment="1">
      <alignment/>
    </xf>
    <xf numFmtId="3" fontId="45" fillId="0" borderId="55" xfId="0" applyNumberFormat="1" applyFont="1" applyFill="1" applyBorder="1" applyAlignment="1">
      <alignment horizontal="right"/>
    </xf>
    <xf numFmtId="2" fontId="45" fillId="0" borderId="55" xfId="0" applyNumberFormat="1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45" fillId="0" borderId="27" xfId="0" applyFont="1" applyFill="1" applyBorder="1" applyAlignment="1">
      <alignment wrapText="1" shrinkToFit="1"/>
    </xf>
    <xf numFmtId="3" fontId="45" fillId="0" borderId="26" xfId="0" applyNumberFormat="1" applyFont="1" applyFill="1" applyBorder="1" applyAlignment="1">
      <alignment/>
    </xf>
    <xf numFmtId="2" fontId="45" fillId="0" borderId="26" xfId="0" applyNumberFormat="1" applyFont="1" applyFill="1" applyBorder="1" applyAlignment="1">
      <alignment horizontal="right"/>
    </xf>
    <xf numFmtId="3" fontId="39" fillId="0" borderId="0" xfId="0" applyNumberFormat="1" applyFont="1" applyFill="1" applyAlignment="1">
      <alignment/>
    </xf>
    <xf numFmtId="0" fontId="39" fillId="0" borderId="0" xfId="0" applyFont="1" applyFill="1" applyAlignment="1">
      <alignment wrapText="1"/>
    </xf>
    <xf numFmtId="164" fontId="39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0" fontId="39" fillId="0" borderId="0" xfId="0" applyFont="1" applyAlignment="1">
      <alignment wrapText="1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40" fillId="0" borderId="98" xfId="0" applyFont="1" applyBorder="1" applyAlignment="1">
      <alignment horizontal="center"/>
    </xf>
    <xf numFmtId="0" fontId="40" fillId="0" borderId="117" xfId="0" applyFont="1" applyBorder="1" applyAlignment="1">
      <alignment horizontal="center" vertical="center" wrapText="1"/>
    </xf>
    <xf numFmtId="0" fontId="40" fillId="0" borderId="118" xfId="0" applyFont="1" applyBorder="1" applyAlignment="1">
      <alignment horizontal="center" vertical="center"/>
    </xf>
    <xf numFmtId="3" fontId="40" fillId="0" borderId="118" xfId="0" applyNumberFormat="1" applyFont="1" applyBorder="1" applyAlignment="1">
      <alignment horizontal="center" vertical="center"/>
    </xf>
    <xf numFmtId="2" fontId="40" fillId="0" borderId="118" xfId="0" applyNumberFormat="1" applyFont="1" applyBorder="1" applyAlignment="1">
      <alignment horizontal="center" vertical="center"/>
    </xf>
    <xf numFmtId="4" fontId="40" fillId="0" borderId="118" xfId="0" applyNumberFormat="1" applyFont="1" applyBorder="1" applyAlignment="1">
      <alignment horizontal="center" vertical="center"/>
    </xf>
    <xf numFmtId="164" fontId="40" fillId="0" borderId="118" xfId="0" applyNumberFormat="1" applyFont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5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 shrinkToFit="1"/>
    </xf>
    <xf numFmtId="3" fontId="47" fillId="0" borderId="21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52" xfId="0" applyFont="1" applyFill="1" applyBorder="1" applyAlignment="1">
      <alignment horizontal="center"/>
    </xf>
    <xf numFmtId="4" fontId="45" fillId="0" borderId="55" xfId="0" applyNumberFormat="1" applyFont="1" applyFill="1" applyBorder="1" applyAlignment="1">
      <alignment horizontal="right"/>
    </xf>
    <xf numFmtId="164" fontId="45" fillId="0" borderId="55" xfId="0" applyNumberFormat="1" applyFont="1" applyFill="1" applyBorder="1" applyAlignment="1">
      <alignment horizontal="right"/>
    </xf>
    <xf numFmtId="164" fontId="45" fillId="0" borderId="26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Alignment="1">
      <alignment/>
    </xf>
    <xf numFmtId="0" fontId="24" fillId="0" borderId="120" xfId="0" applyFont="1" applyFill="1" applyBorder="1" applyAlignment="1" applyProtection="1">
      <alignment horizontal="center" vertical="center" wrapText="1"/>
      <protection locked="0"/>
    </xf>
    <xf numFmtId="0" fontId="48" fillId="0" borderId="39" xfId="63" applyNumberFormat="1" applyFont="1" applyFill="1" applyBorder="1" applyAlignment="1" applyProtection="1">
      <alignment wrapText="1"/>
      <protection/>
    </xf>
    <xf numFmtId="0" fontId="48" fillId="0" borderId="57" xfId="63" applyNumberFormat="1" applyFont="1" applyFill="1" applyBorder="1" applyAlignment="1" applyProtection="1">
      <alignment wrapText="1"/>
      <protection/>
    </xf>
    <xf numFmtId="167" fontId="17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 applyProtection="1">
      <alignment/>
      <protection locked="0"/>
    </xf>
    <xf numFmtId="167" fontId="17" fillId="0" borderId="0" xfId="0" applyNumberFormat="1" applyFont="1" applyFill="1" applyAlignment="1" applyProtection="1">
      <alignment/>
      <protection locked="0"/>
    </xf>
    <xf numFmtId="167" fontId="17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vertical="center"/>
    </xf>
    <xf numFmtId="167" fontId="26" fillId="0" borderId="0" xfId="0" applyNumberFormat="1" applyFont="1" applyFill="1" applyAlignment="1">
      <alignment/>
    </xf>
    <xf numFmtId="0" fontId="0" fillId="0" borderId="52" xfId="0" applyFont="1" applyFill="1" applyBorder="1" applyAlignment="1">
      <alignment/>
    </xf>
    <xf numFmtId="0" fontId="48" fillId="0" borderId="114" xfId="69" applyFont="1" applyFill="1" applyBorder="1" applyAlignment="1">
      <alignment wrapText="1"/>
      <protection/>
    </xf>
    <xf numFmtId="0" fontId="38" fillId="0" borderId="39" xfId="63" applyNumberFormat="1" applyFont="1" applyFill="1" applyBorder="1" applyAlignment="1" applyProtection="1">
      <alignment wrapText="1"/>
      <protection/>
    </xf>
    <xf numFmtId="0" fontId="38" fillId="0" borderId="25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39" xfId="0" applyFont="1" applyFill="1" applyBorder="1" applyAlignment="1" applyProtection="1">
      <alignment horizontal="left" vertical="center" wrapText="1"/>
      <protection locked="0"/>
    </xf>
    <xf numFmtId="0" fontId="48" fillId="0" borderId="27" xfId="0" applyFont="1" applyFill="1" applyBorder="1" applyAlignment="1" applyProtection="1">
      <alignment horizontal="left" vertical="center" wrapText="1"/>
      <protection locked="0"/>
    </xf>
    <xf numFmtId="0" fontId="38" fillId="0" borderId="25" xfId="0" applyFont="1" applyFill="1" applyBorder="1" applyAlignment="1" applyProtection="1">
      <alignment horizontal="left" vertical="center" wrapText="1"/>
      <protection locked="0"/>
    </xf>
    <xf numFmtId="0" fontId="38" fillId="0" borderId="27" xfId="0" applyFont="1" applyFill="1" applyBorder="1" applyAlignment="1" applyProtection="1">
      <alignment horizontal="left" vertical="center" wrapText="1"/>
      <protection locked="0"/>
    </xf>
    <xf numFmtId="0" fontId="38" fillId="0" borderId="62" xfId="0" applyFont="1" applyFill="1" applyBorder="1" applyAlignment="1">
      <alignment horizontal="center"/>
    </xf>
    <xf numFmtId="0" fontId="38" fillId="0" borderId="75" xfId="0" applyFont="1" applyFill="1" applyBorder="1" applyAlignment="1" applyProtection="1">
      <alignment horizontal="left" vertical="center" wrapText="1"/>
      <protection locked="0"/>
    </xf>
    <xf numFmtId="0" fontId="48" fillId="0" borderId="75" xfId="0" applyFont="1" applyFill="1" applyBorder="1" applyAlignment="1" applyProtection="1">
      <alignment horizontal="left" vertical="center" wrapText="1"/>
      <protection locked="0"/>
    </xf>
    <xf numFmtId="0" fontId="48" fillId="0" borderId="114" xfId="69" applyFont="1" applyFill="1" applyBorder="1" applyAlignment="1">
      <alignment horizontal="left" vertical="center" wrapText="1"/>
      <protection/>
    </xf>
    <xf numFmtId="0" fontId="48" fillId="0" borderId="39" xfId="63" applyNumberFormat="1" applyFont="1" applyFill="1" applyBorder="1" applyAlignment="1" applyProtection="1">
      <alignment horizontal="left" vertical="center" wrapText="1"/>
      <protection/>
    </xf>
    <xf numFmtId="0" fontId="38" fillId="0" borderId="37" xfId="0" applyFont="1" applyFill="1" applyBorder="1" applyAlignment="1">
      <alignment horizontal="center" vertical="center"/>
    </xf>
    <xf numFmtId="0" fontId="38" fillId="0" borderId="116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wrapText="1"/>
      <protection locked="0"/>
    </xf>
    <xf numFmtId="0" fontId="48" fillId="0" borderId="0" xfId="0" applyFont="1" applyFill="1" applyBorder="1" applyAlignment="1" applyProtection="1">
      <alignment horizontal="left" wrapText="1"/>
      <protection locked="0"/>
    </xf>
    <xf numFmtId="3" fontId="48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3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3" fontId="48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57" xfId="0" applyFont="1" applyFill="1" applyBorder="1" applyAlignment="1" applyProtection="1">
      <alignment horizontal="left" vertical="center" wrapText="1"/>
      <protection locked="0"/>
    </xf>
    <xf numFmtId="3" fontId="48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9" fillId="0" borderId="37" xfId="59" applyFont="1" applyFill="1" applyBorder="1" applyAlignment="1">
      <alignment vertical="center" wrapText="1"/>
      <protection/>
    </xf>
    <xf numFmtId="3" fontId="5" fillId="0" borderId="14" xfId="59" applyNumberFormat="1" applyFont="1" applyFill="1" applyBorder="1" applyAlignment="1">
      <alignment vertical="center"/>
      <protection/>
    </xf>
    <xf numFmtId="3" fontId="4" fillId="0" borderId="48" xfId="59" applyNumberFormat="1" applyFont="1" applyFill="1" applyBorder="1" applyAlignment="1">
      <alignment horizontal="right" vertical="center"/>
      <protection/>
    </xf>
    <xf numFmtId="3" fontId="4" fillId="0" borderId="39" xfId="59" applyNumberFormat="1" applyFont="1" applyFill="1" applyBorder="1" applyAlignment="1">
      <alignment horizontal="right" vertical="center" wrapText="1"/>
      <protection/>
    </xf>
    <xf numFmtId="3" fontId="5" fillId="0" borderId="100" xfId="59" applyNumberFormat="1" applyFont="1" applyFill="1" applyBorder="1" applyAlignment="1">
      <alignment horizontal="right" vertical="center"/>
      <protection/>
    </xf>
    <xf numFmtId="3" fontId="4" fillId="0" borderId="101" xfId="59" applyNumberFormat="1" applyFont="1" applyFill="1" applyBorder="1" applyAlignment="1">
      <alignment horizontal="right" vertical="center"/>
      <protection/>
    </xf>
    <xf numFmtId="3" fontId="5" fillId="0" borderId="23" xfId="59" applyNumberFormat="1" applyFont="1" applyFill="1" applyBorder="1" applyAlignment="1">
      <alignment horizontal="right" vertical="center" wrapText="1"/>
      <protection/>
    </xf>
    <xf numFmtId="0" fontId="45" fillId="0" borderId="27" xfId="0" applyFont="1" applyFill="1" applyBorder="1" applyAlignment="1">
      <alignment vertical="center" wrapText="1" shrinkToFit="1"/>
    </xf>
    <xf numFmtId="0" fontId="45" fillId="0" borderId="54" xfId="0" applyFont="1" applyFill="1" applyBorder="1" applyAlignment="1">
      <alignment vertical="center" wrapText="1" shrinkToFit="1"/>
    </xf>
    <xf numFmtId="0" fontId="45" fillId="0" borderId="27" xfId="0" applyFont="1" applyFill="1" applyBorder="1" applyAlignment="1">
      <alignment vertical="center" wrapText="1"/>
    </xf>
    <xf numFmtId="0" fontId="45" fillId="0" borderId="45" xfId="0" applyFont="1" applyFill="1" applyBorder="1" applyAlignment="1">
      <alignment vertical="center" wrapText="1" shrinkToFit="1"/>
    </xf>
    <xf numFmtId="0" fontId="45" fillId="0" borderId="75" xfId="0" applyFont="1" applyFill="1" applyBorder="1" applyAlignment="1">
      <alignment vertical="center" wrapText="1" shrinkToFit="1"/>
    </xf>
    <xf numFmtId="0" fontId="45" fillId="0" borderId="121" xfId="0" applyFont="1" applyFill="1" applyBorder="1" applyAlignment="1">
      <alignment vertical="center" wrapText="1" shrinkToFit="1"/>
    </xf>
    <xf numFmtId="0" fontId="45" fillId="0" borderId="55" xfId="0" applyFont="1" applyFill="1" applyBorder="1" applyAlignment="1">
      <alignment vertical="center" shrinkToFit="1"/>
    </xf>
    <xf numFmtId="3" fontId="45" fillId="0" borderId="55" xfId="0" applyNumberFormat="1" applyFont="1" applyFill="1" applyBorder="1" applyAlignment="1">
      <alignment vertical="center"/>
    </xf>
    <xf numFmtId="2" fontId="45" fillId="0" borderId="55" xfId="0" applyNumberFormat="1" applyFont="1" applyFill="1" applyBorder="1" applyAlignment="1">
      <alignment vertical="center"/>
    </xf>
    <xf numFmtId="3" fontId="45" fillId="0" borderId="55" xfId="0" applyNumberFormat="1" applyFont="1" applyFill="1" applyBorder="1" applyAlignment="1">
      <alignment horizontal="right" vertical="center"/>
    </xf>
    <xf numFmtId="2" fontId="45" fillId="0" borderId="55" xfId="0" applyNumberFormat="1" applyFont="1" applyFill="1" applyBorder="1" applyAlignment="1">
      <alignment horizontal="right" vertical="center"/>
    </xf>
    <xf numFmtId="3" fontId="45" fillId="0" borderId="26" xfId="0" applyNumberFormat="1" applyFont="1" applyFill="1" applyBorder="1" applyAlignment="1">
      <alignment horizontal="right" vertical="center"/>
    </xf>
    <xf numFmtId="0" fontId="45" fillId="0" borderId="26" xfId="0" applyFont="1" applyFill="1" applyBorder="1" applyAlignment="1">
      <alignment vertical="center" shrinkToFit="1"/>
    </xf>
    <xf numFmtId="3" fontId="45" fillId="0" borderId="26" xfId="0" applyNumberFormat="1" applyFont="1" applyFill="1" applyBorder="1" applyAlignment="1">
      <alignment vertical="center"/>
    </xf>
    <xf numFmtId="2" fontId="45" fillId="0" borderId="26" xfId="0" applyNumberFormat="1" applyFont="1" applyFill="1" applyBorder="1" applyAlignment="1">
      <alignment vertical="center"/>
    </xf>
    <xf numFmtId="2" fontId="45" fillId="0" borderId="26" xfId="0" applyNumberFormat="1" applyFont="1" applyFill="1" applyBorder="1" applyAlignment="1">
      <alignment horizontal="right" vertical="center"/>
    </xf>
    <xf numFmtId="0" fontId="45" fillId="0" borderId="70" xfId="0" applyFont="1" applyFill="1" applyBorder="1" applyAlignment="1">
      <alignment vertical="center" shrinkToFit="1"/>
    </xf>
    <xf numFmtId="3" fontId="45" fillId="0" borderId="70" xfId="0" applyNumberFormat="1" applyFont="1" applyFill="1" applyBorder="1" applyAlignment="1">
      <alignment vertical="center"/>
    </xf>
    <xf numFmtId="3" fontId="45" fillId="0" borderId="70" xfId="0" applyNumberFormat="1" applyFont="1" applyFill="1" applyBorder="1" applyAlignment="1">
      <alignment horizontal="right" vertical="center"/>
    </xf>
    <xf numFmtId="2" fontId="45" fillId="0" borderId="70" xfId="0" applyNumberFormat="1" applyFont="1" applyFill="1" applyBorder="1" applyAlignment="1">
      <alignment vertical="center"/>
    </xf>
    <xf numFmtId="2" fontId="45" fillId="0" borderId="70" xfId="0" applyNumberFormat="1" applyFont="1" applyFill="1" applyBorder="1" applyAlignment="1">
      <alignment horizontal="right" vertical="center"/>
    </xf>
    <xf numFmtId="3" fontId="45" fillId="0" borderId="73" xfId="0" applyNumberFormat="1" applyFont="1" applyFill="1" applyBorder="1" applyAlignment="1">
      <alignment vertical="center"/>
    </xf>
    <xf numFmtId="3" fontId="45" fillId="0" borderId="73" xfId="0" applyNumberFormat="1" applyFont="1" applyFill="1" applyBorder="1" applyAlignment="1">
      <alignment horizontal="right" vertical="center"/>
    </xf>
    <xf numFmtId="3" fontId="45" fillId="0" borderId="53" xfId="0" applyNumberFormat="1" applyFont="1" applyFill="1" applyBorder="1" applyAlignment="1">
      <alignment vertical="center"/>
    </xf>
    <xf numFmtId="3" fontId="45" fillId="0" borderId="53" xfId="0" applyNumberFormat="1" applyFont="1" applyFill="1" applyBorder="1" applyAlignment="1">
      <alignment horizontal="right" vertical="center"/>
    </xf>
    <xf numFmtId="2" fontId="45" fillId="0" borderId="53" xfId="0" applyNumberFormat="1" applyFont="1" applyFill="1" applyBorder="1" applyAlignment="1">
      <alignment vertical="center"/>
    </xf>
    <xf numFmtId="2" fontId="45" fillId="0" borderId="53" xfId="0" applyNumberFormat="1" applyFont="1" applyFill="1" applyBorder="1" applyAlignment="1">
      <alignment horizontal="right" vertical="center"/>
    </xf>
    <xf numFmtId="2" fontId="45" fillId="0" borderId="122" xfId="0" applyNumberFormat="1" applyFont="1" applyFill="1" applyBorder="1" applyAlignment="1">
      <alignment vertical="center"/>
    </xf>
    <xf numFmtId="0" fontId="45" fillId="0" borderId="53" xfId="0" applyFont="1" applyFill="1" applyBorder="1" applyAlignment="1">
      <alignment vertical="center" shrinkToFit="1"/>
    </xf>
    <xf numFmtId="0" fontId="45" fillId="0" borderId="123" xfId="0" applyFont="1" applyFill="1" applyBorder="1" applyAlignment="1">
      <alignment vertical="center" shrinkToFit="1"/>
    </xf>
    <xf numFmtId="3" fontId="45" fillId="0" borderId="123" xfId="0" applyNumberFormat="1" applyFont="1" applyFill="1" applyBorder="1" applyAlignment="1">
      <alignment vertical="center"/>
    </xf>
    <xf numFmtId="0" fontId="45" fillId="0" borderId="123" xfId="0" applyFont="1" applyFill="1" applyBorder="1" applyAlignment="1">
      <alignment vertical="center" wrapText="1" shrinkToFit="1"/>
    </xf>
    <xf numFmtId="3" fontId="45" fillId="0" borderId="123" xfId="0" applyNumberFormat="1" applyFont="1" applyFill="1" applyBorder="1" applyAlignment="1">
      <alignment horizontal="right" vertical="center"/>
    </xf>
    <xf numFmtId="2" fontId="45" fillId="0" borderId="123" xfId="0" applyNumberFormat="1" applyFont="1" applyFill="1" applyBorder="1" applyAlignment="1">
      <alignment horizontal="right" vertical="center"/>
    </xf>
    <xf numFmtId="2" fontId="45" fillId="0" borderId="124" xfId="0" applyNumberFormat="1" applyFont="1" applyFill="1" applyBorder="1" applyAlignment="1">
      <alignment vertical="center"/>
    </xf>
    <xf numFmtId="0" fontId="47" fillId="0" borderId="125" xfId="0" applyFont="1" applyFill="1" applyBorder="1" applyAlignment="1">
      <alignment vertical="center" shrinkToFit="1"/>
    </xf>
    <xf numFmtId="3" fontId="47" fillId="0" borderId="125" xfId="0" applyNumberFormat="1" applyFont="1" applyFill="1" applyBorder="1" applyAlignment="1">
      <alignment vertical="center"/>
    </xf>
    <xf numFmtId="2" fontId="45" fillId="0" borderId="125" xfId="0" applyNumberFormat="1" applyFont="1" applyFill="1" applyBorder="1" applyAlignment="1">
      <alignment vertical="center"/>
    </xf>
    <xf numFmtId="3" fontId="47" fillId="0" borderId="125" xfId="0" applyNumberFormat="1" applyFont="1" applyFill="1" applyBorder="1" applyAlignment="1">
      <alignment horizontal="right" vertical="center"/>
    </xf>
    <xf numFmtId="2" fontId="45" fillId="0" borderId="125" xfId="0" applyNumberFormat="1" applyFont="1" applyFill="1" applyBorder="1" applyAlignment="1">
      <alignment horizontal="right" vertical="center"/>
    </xf>
    <xf numFmtId="2" fontId="45" fillId="0" borderId="126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167" fontId="39" fillId="0" borderId="0" xfId="0" applyNumberFormat="1" applyFont="1" applyAlignment="1">
      <alignment/>
    </xf>
    <xf numFmtId="167" fontId="40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 vertical="center"/>
    </xf>
    <xf numFmtId="167" fontId="39" fillId="0" borderId="0" xfId="0" applyNumberFormat="1" applyFont="1" applyFill="1" applyAlignment="1">
      <alignment/>
    </xf>
    <xf numFmtId="167" fontId="40" fillId="0" borderId="0" xfId="0" applyNumberFormat="1" applyFont="1" applyFill="1" applyAlignment="1">
      <alignment/>
    </xf>
    <xf numFmtId="9" fontId="39" fillId="0" borderId="0" xfId="0" applyNumberFormat="1" applyFont="1" applyFill="1" applyAlignment="1">
      <alignment/>
    </xf>
    <xf numFmtId="167" fontId="2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31" fillId="0" borderId="0" xfId="0" applyNumberFormat="1" applyFont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167" fontId="31" fillId="0" borderId="0" xfId="0" applyNumberFormat="1" applyFont="1" applyAlignment="1">
      <alignment/>
    </xf>
    <xf numFmtId="173" fontId="45" fillId="0" borderId="123" xfId="0" applyNumberFormat="1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8" fillId="0" borderId="127" xfId="57" applyFont="1" applyFill="1" applyBorder="1" applyAlignment="1">
      <alignment horizontal="center" vertical="center"/>
      <protection/>
    </xf>
    <xf numFmtId="0" fontId="8" fillId="0" borderId="56" xfId="59" applyFont="1" applyFill="1" applyBorder="1" applyAlignment="1">
      <alignment horizontal="center" vertical="center"/>
      <protection/>
    </xf>
    <xf numFmtId="0" fontId="5" fillId="0" borderId="42" xfId="59" applyFont="1" applyFill="1" applyBorder="1" applyAlignment="1">
      <alignment vertical="center"/>
      <protection/>
    </xf>
    <xf numFmtId="0" fontId="5" fillId="0" borderId="51" xfId="59" applyFont="1" applyFill="1" applyBorder="1" applyAlignment="1">
      <alignment horizontal="left" vertical="center"/>
      <protection/>
    </xf>
    <xf numFmtId="0" fontId="5" fillId="0" borderId="28" xfId="59" applyFont="1" applyFill="1" applyBorder="1" applyAlignment="1">
      <alignment horizontal="left" vertical="center"/>
      <protection/>
    </xf>
    <xf numFmtId="0" fontId="5" fillId="0" borderId="28" xfId="59" applyFont="1" applyFill="1" applyBorder="1" applyAlignment="1">
      <alignment vertical="center" wrapText="1"/>
      <protection/>
    </xf>
    <xf numFmtId="0" fontId="4" fillId="0" borderId="28" xfId="59" applyFont="1" applyFill="1" applyBorder="1" applyAlignment="1">
      <alignment vertical="center"/>
      <protection/>
    </xf>
    <xf numFmtId="0" fontId="9" fillId="0" borderId="50" xfId="59" applyFont="1" applyFill="1" applyBorder="1" applyAlignment="1">
      <alignment vertical="center" wrapText="1"/>
      <protection/>
    </xf>
    <xf numFmtId="0" fontId="5" fillId="0" borderId="28" xfId="59" applyFont="1" applyFill="1" applyBorder="1" applyAlignment="1">
      <alignment horizontal="left" vertical="center" wrapText="1"/>
      <protection/>
    </xf>
    <xf numFmtId="0" fontId="4" fillId="0" borderId="28" xfId="59" applyFont="1" applyFill="1" applyBorder="1" applyAlignment="1">
      <alignment horizontal="left" vertical="center" wrapText="1"/>
      <protection/>
    </xf>
    <xf numFmtId="0" fontId="4" fillId="0" borderId="50" xfId="59" applyFont="1" applyFill="1" applyBorder="1" applyAlignment="1">
      <alignment horizontal="left" vertical="center" wrapText="1"/>
      <protection/>
    </xf>
    <xf numFmtId="0" fontId="4" fillId="0" borderId="44" xfId="59" applyFont="1" applyFill="1" applyBorder="1" applyAlignment="1">
      <alignment horizontal="left" vertical="center" wrapText="1"/>
      <protection/>
    </xf>
    <xf numFmtId="0" fontId="4" fillId="0" borderId="51" xfId="59" applyFont="1" applyFill="1" applyBorder="1" applyAlignment="1">
      <alignment horizontal="left" vertical="center" wrapText="1"/>
      <protection/>
    </xf>
    <xf numFmtId="0" fontId="4" fillId="0" borderId="56" xfId="59" applyFont="1" applyFill="1" applyBorder="1" applyAlignment="1">
      <alignment horizontal="left" vertical="center" wrapText="1"/>
      <protection/>
    </xf>
    <xf numFmtId="0" fontId="11" fillId="0" borderId="42" xfId="59" applyFont="1" applyFill="1" applyBorder="1" applyAlignment="1">
      <alignment horizontal="center" vertical="center"/>
      <protection/>
    </xf>
    <xf numFmtId="0" fontId="5" fillId="0" borderId="107" xfId="59" applyFont="1" applyFill="1" applyBorder="1" applyAlignment="1">
      <alignment horizontal="center" vertical="center" wrapText="1"/>
      <protection/>
    </xf>
    <xf numFmtId="0" fontId="5" fillId="0" borderId="103" xfId="59" applyFont="1" applyFill="1" applyBorder="1" applyAlignment="1">
      <alignment horizontal="center" vertical="center" wrapText="1"/>
      <protection/>
    </xf>
    <xf numFmtId="0" fontId="5" fillId="0" borderId="104" xfId="59" applyFont="1" applyFill="1" applyBorder="1" applyAlignment="1">
      <alignment horizontal="center" vertical="center" wrapText="1"/>
      <protection/>
    </xf>
    <xf numFmtId="0" fontId="5" fillId="0" borderId="105" xfId="59" applyFont="1" applyFill="1" applyBorder="1" applyAlignment="1">
      <alignment horizontal="center" vertical="center" wrapText="1"/>
      <protection/>
    </xf>
    <xf numFmtId="0" fontId="5" fillId="0" borderId="105" xfId="59" applyFont="1" applyFill="1" applyBorder="1" applyAlignment="1">
      <alignment horizontal="center" vertical="center"/>
      <protection/>
    </xf>
    <xf numFmtId="0" fontId="5" fillId="0" borderId="106" xfId="59" applyFont="1" applyFill="1" applyBorder="1" applyAlignment="1">
      <alignment horizontal="center" vertical="center"/>
      <protection/>
    </xf>
    <xf numFmtId="0" fontId="5" fillId="0" borderId="108" xfId="59" applyFont="1" applyFill="1" applyBorder="1" applyAlignment="1">
      <alignment horizontal="center" vertical="center"/>
      <protection/>
    </xf>
    <xf numFmtId="0" fontId="5" fillId="0" borderId="110" xfId="59" applyFont="1" applyFill="1" applyBorder="1" applyAlignment="1">
      <alignment horizontal="center" vertical="center"/>
      <protection/>
    </xf>
    <xf numFmtId="0" fontId="5" fillId="0" borderId="103" xfId="59" applyFont="1" applyFill="1" applyBorder="1" applyAlignment="1">
      <alignment horizontal="center" vertical="center"/>
      <protection/>
    </xf>
    <xf numFmtId="0" fontId="5" fillId="0" borderId="110" xfId="59" applyFont="1" applyFill="1" applyBorder="1" applyAlignment="1">
      <alignment horizontal="center" vertical="center" wrapText="1"/>
      <protection/>
    </xf>
    <xf numFmtId="0" fontId="10" fillId="0" borderId="107" xfId="59" applyFont="1" applyFill="1" applyBorder="1" applyAlignment="1">
      <alignment vertical="center"/>
      <protection/>
    </xf>
    <xf numFmtId="0" fontId="8" fillId="0" borderId="98" xfId="57" applyFont="1" applyFill="1" applyBorder="1" applyAlignment="1">
      <alignment horizontal="center" vertical="center"/>
      <protection/>
    </xf>
    <xf numFmtId="0" fontId="5" fillId="0" borderId="52" xfId="59" applyFont="1" applyFill="1" applyBorder="1" applyAlignment="1">
      <alignment horizontal="center" vertical="center" wrapText="1"/>
      <protection/>
    </xf>
    <xf numFmtId="0" fontId="5" fillId="0" borderId="52" xfId="59" applyFont="1" applyFill="1" applyBorder="1" applyAlignment="1">
      <alignment horizontal="center" vertical="center"/>
      <protection/>
    </xf>
    <xf numFmtId="0" fontId="10" fillId="0" borderId="52" xfId="59" applyFont="1" applyFill="1" applyBorder="1" applyAlignment="1">
      <alignment vertical="center"/>
      <protection/>
    </xf>
    <xf numFmtId="0" fontId="19" fillId="0" borderId="51" xfId="59" applyFont="1" applyFill="1" applyBorder="1" applyAlignment="1">
      <alignment horizontal="left" vertical="center"/>
      <protection/>
    </xf>
    <xf numFmtId="0" fontId="19" fillId="0" borderId="28" xfId="59" applyFont="1" applyFill="1" applyBorder="1" applyAlignment="1">
      <alignment horizontal="left" vertical="center"/>
      <protection/>
    </xf>
    <xf numFmtId="0" fontId="19" fillId="0" borderId="28" xfId="59" applyFont="1" applyFill="1" applyBorder="1" applyAlignment="1">
      <alignment vertical="center" wrapText="1"/>
      <protection/>
    </xf>
    <xf numFmtId="0" fontId="19" fillId="0" borderId="28" xfId="59" applyFont="1" applyFill="1" applyBorder="1" applyAlignment="1">
      <alignment vertical="center"/>
      <protection/>
    </xf>
    <xf numFmtId="0" fontId="9" fillId="0" borderId="28" xfId="59" applyFont="1" applyFill="1" applyBorder="1" applyAlignment="1">
      <alignment vertical="center"/>
      <protection/>
    </xf>
    <xf numFmtId="0" fontId="19" fillId="0" borderId="28" xfId="59" applyFont="1" applyFill="1" applyBorder="1" applyAlignment="1">
      <alignment horizontal="left" vertical="center" wrapText="1"/>
      <protection/>
    </xf>
    <xf numFmtId="0" fontId="9" fillId="0" borderId="61" xfId="59" applyFont="1" applyFill="1" applyBorder="1" applyAlignment="1">
      <alignment horizontal="left" vertical="center" wrapText="1"/>
      <protection/>
    </xf>
    <xf numFmtId="0" fontId="9" fillId="0" borderId="28" xfId="59" applyFont="1" applyFill="1" applyBorder="1" applyAlignment="1">
      <alignment horizontal="left" vertical="center" wrapText="1"/>
      <protection/>
    </xf>
    <xf numFmtId="0" fontId="9" fillId="0" borderId="50" xfId="59" applyFont="1" applyFill="1" applyBorder="1" applyAlignment="1">
      <alignment horizontal="left" vertical="center" wrapText="1"/>
      <protection/>
    </xf>
    <xf numFmtId="0" fontId="9" fillId="0" borderId="44" xfId="59" applyFont="1" applyFill="1" applyBorder="1" applyAlignment="1">
      <alignment horizontal="left" vertical="center" wrapText="1"/>
      <protection/>
    </xf>
    <xf numFmtId="0" fontId="9" fillId="0" borderId="51" xfId="59" applyFont="1" applyFill="1" applyBorder="1" applyAlignment="1">
      <alignment horizontal="left" vertical="center" wrapText="1"/>
      <protection/>
    </xf>
    <xf numFmtId="0" fontId="19" fillId="0" borderId="42" xfId="59" applyFont="1" applyFill="1" applyBorder="1" applyAlignment="1">
      <alignment horizontal="center" vertical="center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10" xfId="59" applyFont="1" applyFill="1" applyBorder="1" applyAlignment="1">
      <alignment horizontal="center" vertical="center"/>
      <protection/>
    </xf>
    <xf numFmtId="0" fontId="19" fillId="0" borderId="110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9" fillId="0" borderId="107" xfId="59" applyFont="1" applyFill="1" applyBorder="1" applyAlignment="1">
      <alignment vertical="center"/>
      <protection/>
    </xf>
    <xf numFmtId="0" fontId="9" fillId="0" borderId="103" xfId="59" applyFont="1" applyFill="1" applyBorder="1" applyAlignment="1">
      <alignment vertical="center"/>
      <protection/>
    </xf>
    <xf numFmtId="0" fontId="19" fillId="0" borderId="52" xfId="59" applyFont="1" applyFill="1" applyBorder="1" applyAlignment="1">
      <alignment horizontal="center" vertical="center"/>
      <protection/>
    </xf>
    <xf numFmtId="0" fontId="19" fillId="0" borderId="128" xfId="59" applyFont="1" applyFill="1" applyBorder="1" applyAlignment="1">
      <alignment horizontal="center" vertical="center"/>
      <protection/>
    </xf>
    <xf numFmtId="0" fontId="19" fillId="0" borderId="117" xfId="0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0" fontId="5" fillId="0" borderId="129" xfId="59" applyFont="1" applyFill="1" applyBorder="1" applyAlignment="1">
      <alignment horizontal="center" vertical="center" wrapText="1"/>
      <protection/>
    </xf>
    <xf numFmtId="0" fontId="5" fillId="0" borderId="130" xfId="59" applyFont="1" applyFill="1" applyBorder="1" applyAlignment="1">
      <alignment horizontal="center" vertical="center" wrapText="1"/>
      <protection/>
    </xf>
    <xf numFmtId="0" fontId="5" fillId="0" borderId="131" xfId="59" applyFont="1" applyFill="1" applyBorder="1" applyAlignment="1">
      <alignment horizontal="center" vertical="center" wrapText="1"/>
      <protection/>
    </xf>
    <xf numFmtId="0" fontId="5" fillId="0" borderId="131" xfId="59" applyFont="1" applyFill="1" applyBorder="1" applyAlignment="1">
      <alignment horizontal="center" vertical="center"/>
      <protection/>
    </xf>
    <xf numFmtId="0" fontId="5" fillId="0" borderId="132" xfId="59" applyFont="1" applyFill="1" applyBorder="1" applyAlignment="1">
      <alignment horizontal="center" vertical="center"/>
      <protection/>
    </xf>
    <xf numFmtId="0" fontId="5" fillId="0" borderId="133" xfId="59" applyFont="1" applyFill="1" applyBorder="1" applyAlignment="1">
      <alignment horizontal="center" vertical="center"/>
      <protection/>
    </xf>
    <xf numFmtId="0" fontId="5" fillId="0" borderId="134" xfId="59" applyFont="1" applyFill="1" applyBorder="1" applyAlignment="1">
      <alignment horizontal="center" vertical="center"/>
      <protection/>
    </xf>
    <xf numFmtId="0" fontId="5" fillId="0" borderId="135" xfId="59" applyFont="1" applyFill="1" applyBorder="1" applyAlignment="1">
      <alignment horizontal="center" vertical="center"/>
      <protection/>
    </xf>
    <xf numFmtId="0" fontId="5" fillId="0" borderId="133" xfId="59" applyFont="1" applyFill="1" applyBorder="1" applyAlignment="1">
      <alignment horizontal="center" vertical="center" wrapText="1"/>
      <protection/>
    </xf>
    <xf numFmtId="0" fontId="5" fillId="0" borderId="135" xfId="59" applyFont="1" applyFill="1" applyBorder="1" applyAlignment="1">
      <alignment horizontal="center" vertical="center" wrapText="1"/>
      <protection/>
    </xf>
    <xf numFmtId="0" fontId="5" fillId="0" borderId="129" xfId="59" applyFont="1" applyFill="1" applyBorder="1" applyAlignment="1">
      <alignment horizontal="center" vertical="center"/>
      <protection/>
    </xf>
    <xf numFmtId="0" fontId="10" fillId="0" borderId="136" xfId="59" applyFont="1" applyFill="1" applyBorder="1" applyAlignment="1">
      <alignment vertical="center"/>
      <protection/>
    </xf>
    <xf numFmtId="0" fontId="19" fillId="0" borderId="137" xfId="0" applyFont="1" applyFill="1" applyBorder="1" applyAlignment="1">
      <alignment horizontal="center"/>
    </xf>
    <xf numFmtId="0" fontId="2" fillId="0" borderId="137" xfId="0" applyFont="1" applyFill="1" applyBorder="1" applyAlignment="1">
      <alignment/>
    </xf>
    <xf numFmtId="0" fontId="5" fillId="0" borderId="100" xfId="59" applyFont="1" applyFill="1" applyBorder="1" applyAlignment="1">
      <alignment horizontal="left" vertical="center"/>
      <protection/>
    </xf>
    <xf numFmtId="0" fontId="5" fillId="0" borderId="25" xfId="59" applyFont="1" applyFill="1" applyBorder="1" applyAlignment="1">
      <alignment horizontal="left" vertical="center"/>
      <protection/>
    </xf>
    <xf numFmtId="0" fontId="4" fillId="0" borderId="25" xfId="59" applyFont="1" applyFill="1" applyBorder="1" applyAlignment="1">
      <alignment vertical="center" wrapText="1"/>
      <protection/>
    </xf>
    <xf numFmtId="0" fontId="5" fillId="0" borderId="25" xfId="59" applyFont="1" applyFill="1" applyBorder="1" applyAlignment="1">
      <alignment vertical="center" wrapText="1"/>
      <protection/>
    </xf>
    <xf numFmtId="0" fontId="5" fillId="0" borderId="25" xfId="59" applyFont="1" applyFill="1" applyBorder="1" applyAlignment="1">
      <alignment vertical="center"/>
      <protection/>
    </xf>
    <xf numFmtId="0" fontId="18" fillId="0" borderId="25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vertical="top"/>
      <protection/>
    </xf>
    <xf numFmtId="0" fontId="18" fillId="0" borderId="62" xfId="59" applyFont="1" applyFill="1" applyBorder="1" applyAlignment="1">
      <alignment vertical="center"/>
      <protection/>
    </xf>
    <xf numFmtId="0" fontId="5" fillId="0" borderId="99" xfId="59" applyFont="1" applyFill="1" applyBorder="1" applyAlignment="1">
      <alignment vertical="center"/>
      <protection/>
    </xf>
    <xf numFmtId="0" fontId="9" fillId="0" borderId="102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9" fillId="0" borderId="39" xfId="59" applyFont="1" applyFill="1" applyBorder="1" applyAlignment="1">
      <alignment vertical="center" wrapText="1"/>
      <protection/>
    </xf>
    <xf numFmtId="0" fontId="4" fillId="0" borderId="39" xfId="59" applyFont="1" applyFill="1" applyBorder="1" applyAlignment="1">
      <alignment vertical="center" wrapText="1"/>
      <protection/>
    </xf>
    <xf numFmtId="0" fontId="9" fillId="0" borderId="62" xfId="59" applyFont="1" applyFill="1" applyBorder="1" applyAlignment="1">
      <alignment vertical="center" wrapText="1"/>
      <protection/>
    </xf>
    <xf numFmtId="0" fontId="5" fillId="0" borderId="99" xfId="59" applyFont="1" applyFill="1" applyBorder="1" applyAlignment="1">
      <alignment horizontal="left" vertical="center"/>
      <protection/>
    </xf>
    <xf numFmtId="0" fontId="4" fillId="0" borderId="102" xfId="59" applyFont="1" applyFill="1" applyBorder="1" applyAlignment="1">
      <alignment vertical="center" wrapText="1"/>
      <protection/>
    </xf>
    <xf numFmtId="0" fontId="4" fillId="0" borderId="62" xfId="59" applyFont="1" applyFill="1" applyBorder="1" applyAlignment="1">
      <alignment vertical="center" wrapText="1"/>
      <protection/>
    </xf>
    <xf numFmtId="0" fontId="5" fillId="0" borderId="99" xfId="59" applyFont="1" applyFill="1" applyBorder="1" applyAlignment="1">
      <alignment horizontal="left" vertical="center" wrapText="1"/>
      <protection/>
    </xf>
    <xf numFmtId="0" fontId="4" fillId="0" borderId="101" xfId="59" applyFont="1" applyFill="1" applyBorder="1" applyAlignment="1">
      <alignment horizontal="left" vertical="center" wrapText="1"/>
      <protection/>
    </xf>
    <xf numFmtId="0" fontId="11" fillId="0" borderId="138" xfId="59" applyFont="1" applyFill="1" applyBorder="1" applyAlignment="1">
      <alignment horizontal="center" vertical="center"/>
      <protection/>
    </xf>
    <xf numFmtId="0" fontId="19" fillId="0" borderId="97" xfId="0" applyFont="1" applyFill="1" applyBorder="1" applyAlignment="1">
      <alignment horizontal="center"/>
    </xf>
    <xf numFmtId="0" fontId="2" fillId="0" borderId="97" xfId="0" applyFont="1" applyFill="1" applyBorder="1" applyAlignment="1">
      <alignment/>
    </xf>
    <xf numFmtId="3" fontId="5" fillId="0" borderId="109" xfId="59" applyNumberFormat="1" applyFont="1" applyFill="1" applyBorder="1" applyAlignment="1">
      <alignment horizontal="right" vertical="center"/>
      <protection/>
    </xf>
    <xf numFmtId="3" fontId="4" fillId="0" borderId="107" xfId="59" applyNumberFormat="1" applyFont="1" applyFill="1" applyBorder="1" applyAlignment="1">
      <alignment horizontal="right" vertical="center"/>
      <protection/>
    </xf>
    <xf numFmtId="3" fontId="11" fillId="0" borderId="139" xfId="59" applyNumberFormat="1" applyFont="1" applyFill="1" applyBorder="1" applyAlignment="1">
      <alignment horizontal="right" vertical="center"/>
      <protection/>
    </xf>
    <xf numFmtId="0" fontId="5" fillId="0" borderId="63" xfId="59" applyFont="1" applyFill="1" applyBorder="1" applyAlignment="1">
      <alignment vertical="center" wrapText="1"/>
      <protection/>
    </xf>
    <xf numFmtId="0" fontId="45" fillId="0" borderId="140" xfId="0" applyFont="1" applyFill="1" applyBorder="1" applyAlignment="1">
      <alignment vertical="center" wrapText="1" shrinkToFit="1"/>
    </xf>
    <xf numFmtId="0" fontId="45" fillId="0" borderId="141" xfId="0" applyFont="1" applyFill="1" applyBorder="1" applyAlignment="1">
      <alignment vertical="center" wrapText="1"/>
    </xf>
    <xf numFmtId="0" fontId="39" fillId="0" borderId="141" xfId="0" applyFont="1" applyFill="1" applyBorder="1" applyAlignment="1">
      <alignment vertical="center" wrapText="1"/>
    </xf>
    <xf numFmtId="0" fontId="47" fillId="0" borderId="142" xfId="0" applyFont="1" applyFill="1" applyBorder="1" applyAlignment="1">
      <alignment wrapText="1" shrinkToFit="1"/>
    </xf>
    <xf numFmtId="0" fontId="39" fillId="0" borderId="52" xfId="0" applyFont="1" applyBorder="1" applyAlignment="1">
      <alignment/>
    </xf>
    <xf numFmtId="0" fontId="39" fillId="0" borderId="143" xfId="0" applyFont="1" applyBorder="1" applyAlignment="1">
      <alignment/>
    </xf>
    <xf numFmtId="3" fontId="4" fillId="0" borderId="52" xfId="59" applyNumberFormat="1" applyFont="1" applyFill="1" applyBorder="1" applyAlignment="1">
      <alignment horizontal="right" vertical="center"/>
      <protection/>
    </xf>
    <xf numFmtId="3" fontId="11" fillId="0" borderId="13" xfId="59" applyNumberFormat="1" applyFont="1" applyFill="1" applyBorder="1" applyAlignment="1">
      <alignment horizontal="right" vertical="center"/>
      <protection/>
    </xf>
    <xf numFmtId="3" fontId="4" fillId="0" borderId="0" xfId="59" applyNumberFormat="1" applyFont="1" applyFill="1" applyBorder="1" applyAlignment="1">
      <alignment horizontal="right" vertical="center"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167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167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48" fillId="0" borderId="24" xfId="57" applyFont="1" applyFill="1" applyBorder="1">
      <alignment/>
      <protection/>
    </xf>
    <xf numFmtId="0" fontId="48" fillId="0" borderId="10" xfId="57" applyFont="1" applyFill="1" applyBorder="1">
      <alignment/>
      <protection/>
    </xf>
    <xf numFmtId="0" fontId="48" fillId="0" borderId="11" xfId="57" applyFont="1" applyFill="1" applyBorder="1">
      <alignment/>
      <protection/>
    </xf>
    <xf numFmtId="0" fontId="48" fillId="0" borderId="25" xfId="57" applyFont="1" applyFill="1" applyBorder="1" applyAlignment="1">
      <alignment/>
      <protection/>
    </xf>
    <xf numFmtId="0" fontId="38" fillId="0" borderId="25" xfId="57" applyFont="1" applyFill="1" applyBorder="1" applyAlignment="1">
      <alignment horizontal="center" vertical="center"/>
      <protection/>
    </xf>
    <xf numFmtId="0" fontId="48" fillId="0" borderId="39" xfId="57" applyFont="1" applyFill="1" applyBorder="1" applyAlignment="1" applyProtection="1">
      <alignment horizontal="left" vertical="center" wrapText="1"/>
      <protection locked="0"/>
    </xf>
    <xf numFmtId="0" fontId="49" fillId="0" borderId="39" xfId="57" applyFont="1" applyFill="1" applyBorder="1" applyAlignment="1" applyProtection="1">
      <alignment horizontal="left" vertical="center" wrapText="1"/>
      <protection locked="0"/>
    </xf>
    <xf numFmtId="0" fontId="48" fillId="0" borderId="48" xfId="57" applyFont="1" applyFill="1" applyBorder="1">
      <alignment/>
      <protection/>
    </xf>
    <xf numFmtId="0" fontId="48" fillId="0" borderId="25" xfId="57" applyFont="1" applyFill="1" applyBorder="1" applyAlignment="1">
      <alignment vertical="center"/>
      <protection/>
    </xf>
    <xf numFmtId="0" fontId="48" fillId="0" borderId="39" xfId="57" applyFont="1" applyFill="1" applyBorder="1" applyAlignment="1">
      <alignment vertical="center" wrapText="1" shrinkToFit="1"/>
      <protection/>
    </xf>
    <xf numFmtId="0" fontId="48" fillId="0" borderId="14" xfId="57" applyFont="1" applyFill="1" applyBorder="1">
      <alignment/>
      <protection/>
    </xf>
    <xf numFmtId="0" fontId="38" fillId="0" borderId="65" xfId="57" applyFont="1" applyFill="1" applyBorder="1" applyAlignment="1" applyProtection="1">
      <alignment horizontal="left" vertical="center"/>
      <protection locked="0"/>
    </xf>
    <xf numFmtId="3" fontId="48" fillId="0" borderId="0" xfId="0" applyNumberFormat="1" applyFont="1" applyFill="1" applyAlignment="1">
      <alignment/>
    </xf>
    <xf numFmtId="3" fontId="48" fillId="0" borderId="110" xfId="57" applyNumberFormat="1" applyFont="1" applyFill="1" applyBorder="1" applyAlignment="1">
      <alignment horizontal="right" vertical="center"/>
      <protection/>
    </xf>
    <xf numFmtId="3" fontId="19" fillId="0" borderId="112" xfId="59" applyNumberFormat="1" applyFont="1" applyFill="1" applyBorder="1" applyAlignment="1">
      <alignment horizontal="right" vertical="center" wrapText="1"/>
      <protection/>
    </xf>
    <xf numFmtId="3" fontId="5" fillId="0" borderId="106" xfId="59" applyNumberFormat="1" applyFont="1" applyFill="1" applyBorder="1" applyAlignment="1">
      <alignment horizontal="right" vertical="center"/>
      <protection/>
    </xf>
    <xf numFmtId="0" fontId="5" fillId="33" borderId="144" xfId="59" applyFont="1" applyFill="1" applyBorder="1" applyAlignment="1">
      <alignment horizontal="center" vertical="center" wrapText="1"/>
      <protection/>
    </xf>
    <xf numFmtId="0" fontId="5" fillId="33" borderId="145" xfId="59" applyFont="1" applyFill="1" applyBorder="1" applyAlignment="1">
      <alignment horizontal="center" vertical="center"/>
      <protection/>
    </xf>
    <xf numFmtId="0" fontId="5" fillId="33" borderId="23" xfId="59" applyFont="1" applyFill="1" applyBorder="1" applyAlignment="1">
      <alignment horizontal="center" vertical="center" wrapText="1"/>
      <protection/>
    </xf>
    <xf numFmtId="0" fontId="5" fillId="33" borderId="23" xfId="59" applyFont="1" applyFill="1" applyBorder="1" applyAlignment="1">
      <alignment horizontal="center" vertical="center"/>
      <protection/>
    </xf>
    <xf numFmtId="3" fontId="4" fillId="0" borderId="146" xfId="59" applyNumberFormat="1" applyFont="1" applyFill="1" applyBorder="1" applyAlignment="1">
      <alignment horizontal="right" vertical="center"/>
      <protection/>
    </xf>
    <xf numFmtId="0" fontId="38" fillId="0" borderId="39" xfId="57" applyFont="1" applyFill="1" applyBorder="1" applyAlignment="1" applyProtection="1">
      <alignment horizontal="center" vertical="center"/>
      <protection locked="0"/>
    </xf>
    <xf numFmtId="0" fontId="48" fillId="0" borderId="39" xfId="57" applyFont="1" applyFill="1" applyBorder="1" applyAlignment="1" applyProtection="1">
      <alignment horizontal="left" vertical="center"/>
      <protection locked="0"/>
    </xf>
    <xf numFmtId="0" fontId="49" fillId="0" borderId="39" xfId="57" applyFont="1" applyFill="1" applyBorder="1" applyAlignment="1" applyProtection="1">
      <alignment horizontal="left" vertical="center"/>
      <protection locked="0"/>
    </xf>
    <xf numFmtId="0" fontId="48" fillId="0" borderId="114" xfId="57" applyFont="1" applyFill="1" applyBorder="1" applyAlignment="1" applyProtection="1">
      <alignment horizontal="left" vertical="center"/>
      <protection locked="0"/>
    </xf>
    <xf numFmtId="0" fontId="48" fillId="0" borderId="57" xfId="57" applyFont="1" applyFill="1" applyBorder="1" applyAlignment="1">
      <alignment wrapText="1" shrinkToFit="1"/>
      <protection/>
    </xf>
    <xf numFmtId="0" fontId="48" fillId="0" borderId="39" xfId="57" applyFont="1" applyFill="1" applyBorder="1" applyAlignment="1">
      <alignment wrapText="1"/>
      <protection/>
    </xf>
    <xf numFmtId="0" fontId="48" fillId="0" borderId="39" xfId="57" applyFont="1" applyFill="1" applyBorder="1" applyAlignment="1">
      <alignment wrapText="1" shrinkToFit="1"/>
      <protection/>
    </xf>
    <xf numFmtId="0" fontId="48" fillId="0" borderId="87" xfId="57" applyFont="1" applyFill="1" applyBorder="1" applyAlignment="1" applyProtection="1">
      <alignment horizontal="left" vertical="center"/>
      <protection locked="0"/>
    </xf>
    <xf numFmtId="0" fontId="38" fillId="0" borderId="103" xfId="57" applyFont="1" applyFill="1" applyBorder="1" applyAlignment="1">
      <alignment horizontal="center"/>
      <protection/>
    </xf>
    <xf numFmtId="0" fontId="38" fillId="0" borderId="103" xfId="57" applyFont="1" applyFill="1" applyBorder="1" applyAlignment="1">
      <alignment horizontal="center" vertical="center" wrapText="1"/>
      <protection/>
    </xf>
    <xf numFmtId="3" fontId="49" fillId="0" borderId="105" xfId="57" applyNumberFormat="1" applyFont="1" applyFill="1" applyBorder="1" applyAlignment="1">
      <alignment horizontal="right" vertical="center"/>
      <protection/>
    </xf>
    <xf numFmtId="3" fontId="48" fillId="0" borderId="105" xfId="57" applyNumberFormat="1" applyFont="1" applyFill="1" applyBorder="1" applyAlignment="1">
      <alignment vertical="center"/>
      <protection/>
    </xf>
    <xf numFmtId="3" fontId="38" fillId="0" borderId="105" xfId="57" applyNumberFormat="1" applyFont="1" applyFill="1" applyBorder="1" applyAlignment="1">
      <alignment horizontal="right" vertical="center"/>
      <protection/>
    </xf>
    <xf numFmtId="3" fontId="48" fillId="0" borderId="105" xfId="57" applyNumberFormat="1" applyFont="1" applyFill="1" applyBorder="1" applyAlignment="1">
      <alignment horizontal="right" vertical="center"/>
      <protection/>
    </xf>
    <xf numFmtId="3" fontId="38" fillId="0" borderId="108" xfId="57" applyNumberFormat="1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/>
    </xf>
    <xf numFmtId="3" fontId="19" fillId="0" borderId="103" xfId="59" applyNumberFormat="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37" xfId="0" applyFont="1" applyFill="1" applyBorder="1" applyAlignment="1">
      <alignment horizontal="center"/>
    </xf>
    <xf numFmtId="0" fontId="14" fillId="0" borderId="42" xfId="0" applyFont="1" applyFill="1" applyBorder="1" applyAlignment="1">
      <alignment/>
    </xf>
    <xf numFmtId="0" fontId="22" fillId="0" borderId="65" xfId="0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87" xfId="0" applyFont="1" applyFill="1" applyBorder="1" applyAlignment="1">
      <alignment/>
    </xf>
    <xf numFmtId="0" fontId="22" fillId="0" borderId="147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64" xfId="0" applyNumberFormat="1" applyFont="1" applyFill="1" applyBorder="1" applyAlignment="1">
      <alignment vertical="center"/>
    </xf>
    <xf numFmtId="3" fontId="15" fillId="0" borderId="8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89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148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3" fontId="15" fillId="0" borderId="63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47" xfId="0" applyNumberFormat="1" applyFont="1" applyFill="1" applyBorder="1" applyAlignment="1">
      <alignment vertical="center"/>
    </xf>
    <xf numFmtId="3" fontId="15" fillId="0" borderId="4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3" fontId="15" fillId="0" borderId="66" xfId="0" applyNumberFormat="1" applyFont="1" applyFill="1" applyBorder="1" applyAlignment="1">
      <alignment vertical="center"/>
    </xf>
    <xf numFmtId="3" fontId="15" fillId="0" borderId="147" xfId="0" applyNumberFormat="1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90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3" fontId="15" fillId="0" borderId="67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68" xfId="0" applyNumberFormat="1" applyFont="1" applyFill="1" applyBorder="1" applyAlignment="1">
      <alignment vertical="center"/>
    </xf>
    <xf numFmtId="3" fontId="15" fillId="0" borderId="40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3" fontId="15" fillId="0" borderId="69" xfId="0" applyNumberFormat="1" applyFont="1" applyFill="1" applyBorder="1" applyAlignment="1">
      <alignment vertical="center"/>
    </xf>
    <xf numFmtId="3" fontId="15" fillId="0" borderId="70" xfId="0" applyNumberFormat="1" applyFont="1" applyFill="1" applyBorder="1" applyAlignment="1">
      <alignment vertical="center"/>
    </xf>
    <xf numFmtId="3" fontId="15" fillId="0" borderId="71" xfId="0" applyNumberFormat="1" applyFont="1" applyFill="1" applyBorder="1" applyAlignment="1">
      <alignment vertical="center"/>
    </xf>
    <xf numFmtId="3" fontId="15" fillId="0" borderId="91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3" fontId="15" fillId="0" borderId="72" xfId="0" applyNumberFormat="1" applyFont="1" applyFill="1" applyBorder="1" applyAlignment="1">
      <alignment vertical="center"/>
    </xf>
    <xf numFmtId="3" fontId="15" fillId="0" borderId="73" xfId="0" applyNumberFormat="1" applyFont="1" applyFill="1" applyBorder="1" applyAlignment="1">
      <alignment vertical="center"/>
    </xf>
    <xf numFmtId="3" fontId="15" fillId="0" borderId="74" xfId="0" applyNumberFormat="1" applyFont="1" applyFill="1" applyBorder="1" applyAlignment="1">
      <alignment vertical="center"/>
    </xf>
    <xf numFmtId="3" fontId="15" fillId="0" borderId="92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3" fontId="15" fillId="0" borderId="6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3" fontId="6" fillId="0" borderId="147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91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3" fontId="15" fillId="0" borderId="75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15" fillId="0" borderId="6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3" fontId="6" fillId="0" borderId="149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vertical="center"/>
    </xf>
    <xf numFmtId="3" fontId="15" fillId="0" borderId="79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vertical="center"/>
    </xf>
    <xf numFmtId="2" fontId="15" fillId="0" borderId="83" xfId="0" applyNumberFormat="1" applyFont="1" applyFill="1" applyBorder="1" applyAlignment="1">
      <alignment vertical="center"/>
    </xf>
    <xf numFmtId="2" fontId="15" fillId="0" borderId="84" xfId="0" applyNumberFormat="1" applyFont="1" applyFill="1" applyBorder="1" applyAlignment="1">
      <alignment vertical="center"/>
    </xf>
    <xf numFmtId="2" fontId="15" fillId="0" borderId="85" xfId="0" applyNumberFormat="1" applyFont="1" applyFill="1" applyBorder="1" applyAlignment="1">
      <alignment vertical="center"/>
    </xf>
    <xf numFmtId="2" fontId="15" fillId="0" borderId="94" xfId="0" applyNumberFormat="1" applyFont="1" applyFill="1" applyBorder="1" applyAlignment="1">
      <alignment vertical="center"/>
    </xf>
    <xf numFmtId="2" fontId="15" fillId="0" borderId="86" xfId="0" applyNumberFormat="1" applyFont="1" applyFill="1" applyBorder="1" applyAlignment="1">
      <alignment vertical="center"/>
    </xf>
    <xf numFmtId="2" fontId="15" fillId="0" borderId="15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right"/>
    </xf>
    <xf numFmtId="0" fontId="38" fillId="0" borderId="2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90" xfId="0" applyFont="1" applyFill="1" applyBorder="1" applyAlignment="1">
      <alignment horizontal="center" vertical="center" wrapText="1"/>
    </xf>
    <xf numFmtId="0" fontId="48" fillId="0" borderId="9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38" fillId="0" borderId="37" xfId="0" applyFont="1" applyFill="1" applyBorder="1" applyAlignment="1">
      <alignment/>
    </xf>
    <xf numFmtId="0" fontId="48" fillId="0" borderId="90" xfId="0" applyFont="1" applyFill="1" applyBorder="1" applyAlignment="1">
      <alignment/>
    </xf>
    <xf numFmtId="3" fontId="38" fillId="0" borderId="23" xfId="0" applyNumberFormat="1" applyFont="1" applyFill="1" applyBorder="1" applyAlignment="1">
      <alignment horizontal="right"/>
    </xf>
    <xf numFmtId="3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48" xfId="0" applyFont="1" applyFill="1" applyBorder="1" applyAlignment="1">
      <alignment horizontal="center"/>
    </xf>
    <xf numFmtId="0" fontId="38" fillId="0" borderId="60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23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52" fillId="0" borderId="16" xfId="0" applyFont="1" applyFill="1" applyBorder="1" applyAlignment="1">
      <alignment/>
    </xf>
    <xf numFmtId="0" fontId="52" fillId="0" borderId="151" xfId="0" applyFont="1" applyFill="1" applyBorder="1" applyAlignment="1">
      <alignment/>
    </xf>
    <xf numFmtId="3" fontId="52" fillId="0" borderId="15" xfId="0" applyNumberFormat="1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8" fillId="0" borderId="28" xfId="0" applyFont="1" applyFill="1" applyBorder="1" applyAlignment="1">
      <alignment horizontal="left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/>
    </xf>
    <xf numFmtId="0" fontId="48" fillId="0" borderId="28" xfId="0" applyFont="1" applyFill="1" applyBorder="1" applyAlignment="1">
      <alignment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/>
    </xf>
    <xf numFmtId="0" fontId="48" fillId="0" borderId="58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38" fillId="0" borderId="152" xfId="0" applyFont="1" applyFill="1" applyBorder="1" applyAlignment="1">
      <alignment horizontal="left"/>
    </xf>
    <xf numFmtId="0" fontId="48" fillId="0" borderId="152" xfId="0" applyFont="1" applyFill="1" applyBorder="1" applyAlignment="1">
      <alignment/>
    </xf>
    <xf numFmtId="0" fontId="48" fillId="0" borderId="153" xfId="0" applyFont="1" applyFill="1" applyBorder="1" applyAlignment="1">
      <alignment/>
    </xf>
    <xf numFmtId="3" fontId="38" fillId="0" borderId="154" xfId="0" applyNumberFormat="1" applyFont="1" applyFill="1" applyBorder="1" applyAlignment="1">
      <alignment horizontal="right"/>
    </xf>
    <xf numFmtId="0" fontId="38" fillId="0" borderId="60" xfId="0" applyFont="1" applyFill="1" applyBorder="1" applyAlignment="1">
      <alignment horizontal="left"/>
    </xf>
    <xf numFmtId="0" fontId="48" fillId="0" borderId="60" xfId="0" applyFont="1" applyFill="1" applyBorder="1" applyAlignment="1">
      <alignment horizontal="left"/>
    </xf>
    <xf numFmtId="0" fontId="48" fillId="0" borderId="43" xfId="0" applyFont="1" applyFill="1" applyBorder="1" applyAlignment="1">
      <alignment horizontal="left"/>
    </xf>
    <xf numFmtId="3" fontId="38" fillId="0" borderId="13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2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0" fillId="0" borderId="6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35" borderId="23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16" fillId="35" borderId="64" xfId="0" applyFont="1" applyFill="1" applyBorder="1" applyAlignment="1">
      <alignment horizontal="center"/>
    </xf>
    <xf numFmtId="0" fontId="16" fillId="35" borderId="9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37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22" fillId="36" borderId="65" xfId="0" applyFont="1" applyFill="1" applyBorder="1" applyAlignment="1">
      <alignment/>
    </xf>
    <xf numFmtId="0" fontId="22" fillId="36" borderId="66" xfId="0" applyFont="1" applyFill="1" applyBorder="1" applyAlignment="1">
      <alignment/>
    </xf>
    <xf numFmtId="0" fontId="22" fillId="36" borderId="22" xfId="0" applyFont="1" applyFill="1" applyBorder="1" applyAlignment="1">
      <alignment/>
    </xf>
    <xf numFmtId="0" fontId="22" fillId="36" borderId="87" xfId="0" applyFont="1" applyFill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15" fillId="0" borderId="64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7" borderId="23" xfId="0" applyFont="1" applyFill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0" fontId="0" fillId="37" borderId="0" xfId="0" applyFont="1" applyFill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" fontId="15" fillId="0" borderId="63" xfId="0" applyNumberFormat="1" applyFont="1" applyBorder="1" applyAlignment="1">
      <alignment vertical="center"/>
    </xf>
    <xf numFmtId="3" fontId="15" fillId="0" borderId="46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3" fontId="15" fillId="0" borderId="67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40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15" fillId="0" borderId="91" xfId="0" applyNumberFormat="1" applyFont="1" applyBorder="1" applyAlignment="1">
      <alignment vertical="center"/>
    </xf>
    <xf numFmtId="3" fontId="15" fillId="0" borderId="71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3" fontId="15" fillId="0" borderId="72" xfId="0" applyNumberFormat="1" applyFont="1" applyBorder="1" applyAlignment="1">
      <alignment vertical="center"/>
    </xf>
    <xf numFmtId="3" fontId="15" fillId="0" borderId="73" xfId="0" applyNumberFormat="1" applyFont="1" applyBorder="1" applyAlignment="1">
      <alignment vertical="center"/>
    </xf>
    <xf numFmtId="3" fontId="15" fillId="0" borderId="92" xfId="0" applyNumberFormat="1" applyFont="1" applyBorder="1" applyAlignment="1">
      <alignment vertical="center"/>
    </xf>
    <xf numFmtId="3" fontId="15" fillId="0" borderId="7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3" fontId="15" fillId="36" borderId="65" xfId="0" applyNumberFormat="1" applyFont="1" applyFill="1" applyBorder="1" applyAlignment="1">
      <alignment vertical="center"/>
    </xf>
    <xf numFmtId="3" fontId="15" fillId="36" borderId="66" xfId="0" applyNumberFormat="1" applyFont="1" applyFill="1" applyBorder="1" applyAlignment="1">
      <alignment vertical="center"/>
    </xf>
    <xf numFmtId="3" fontId="6" fillId="36" borderId="22" xfId="0" applyNumberFormat="1" applyFont="1" applyFill="1" applyBorder="1" applyAlignment="1">
      <alignment vertical="center"/>
    </xf>
    <xf numFmtId="3" fontId="6" fillId="36" borderId="87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3" fontId="15" fillId="0" borderId="155" xfId="0" applyNumberFormat="1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vertical="center"/>
    </xf>
    <xf numFmtId="0" fontId="2" fillId="0" borderId="0" xfId="68" applyFont="1" applyFill="1">
      <alignment/>
      <protection/>
    </xf>
    <xf numFmtId="3" fontId="12" fillId="0" borderId="0" xfId="60" applyNumberFormat="1" applyFont="1" applyFill="1" applyAlignment="1">
      <alignment horizontal="right"/>
      <protection/>
    </xf>
    <xf numFmtId="0" fontId="2" fillId="0" borderId="0" xfId="68" applyFont="1" applyFill="1" applyAlignment="1">
      <alignment horizontal="right"/>
      <protection/>
    </xf>
    <xf numFmtId="0" fontId="2" fillId="0" borderId="0" xfId="68" applyFont="1" applyFill="1" applyAlignment="1">
      <alignment horizontal="left"/>
      <protection/>
    </xf>
    <xf numFmtId="0" fontId="14" fillId="0" borderId="0" xfId="68" applyFont="1" applyFill="1" applyBorder="1" applyAlignment="1">
      <alignment horizontal="center"/>
      <protection/>
    </xf>
    <xf numFmtId="0" fontId="12" fillId="0" borderId="0" xfId="68" applyFont="1" applyFill="1" applyBorder="1" applyAlignment="1">
      <alignment horizontal="right"/>
      <protection/>
    </xf>
    <xf numFmtId="4" fontId="2" fillId="0" borderId="0" xfId="68" applyNumberFormat="1" applyFont="1" applyFill="1" applyAlignment="1">
      <alignment horizontal="left"/>
      <protection/>
    </xf>
    <xf numFmtId="0" fontId="2" fillId="0" borderId="24" xfId="68" applyFont="1" applyFill="1" applyBorder="1" applyAlignment="1">
      <alignment horizontal="center"/>
      <protection/>
    </xf>
    <xf numFmtId="0" fontId="2" fillId="0" borderId="38" xfId="68" applyFont="1" applyFill="1" applyBorder="1" applyAlignment="1">
      <alignment horizontal="center"/>
      <protection/>
    </xf>
    <xf numFmtId="0" fontId="2" fillId="0" borderId="64" xfId="68" applyFont="1" applyFill="1" applyBorder="1" applyAlignment="1">
      <alignment horizontal="center"/>
      <protection/>
    </xf>
    <xf numFmtId="0" fontId="25" fillId="0" borderId="10" xfId="68" applyFont="1" applyFill="1" applyBorder="1" applyAlignment="1">
      <alignment horizontal="center"/>
      <protection/>
    </xf>
    <xf numFmtId="3" fontId="2" fillId="0" borderId="0" xfId="68" applyNumberFormat="1" applyFont="1" applyFill="1">
      <alignment/>
      <protection/>
    </xf>
    <xf numFmtId="0" fontId="2" fillId="0" borderId="0" xfId="68" applyFont="1" applyFill="1" applyBorder="1" applyAlignment="1">
      <alignment horizontal="right"/>
      <protection/>
    </xf>
    <xf numFmtId="0" fontId="25" fillId="0" borderId="102" xfId="68" applyFont="1" applyFill="1" applyBorder="1" applyAlignment="1">
      <alignment horizontal="left"/>
      <protection/>
    </xf>
    <xf numFmtId="0" fontId="2" fillId="0" borderId="48" xfId="68" applyFont="1" applyFill="1" applyBorder="1" applyAlignment="1">
      <alignment horizontal="left"/>
      <protection/>
    </xf>
    <xf numFmtId="0" fontId="2" fillId="0" borderId="89" xfId="68" applyFont="1" applyFill="1" applyBorder="1" applyAlignment="1">
      <alignment horizontal="left"/>
      <protection/>
    </xf>
    <xf numFmtId="0" fontId="2" fillId="0" borderId="34" xfId="68" applyFont="1" applyFill="1" applyBorder="1" applyAlignment="1">
      <alignment horizontal="left"/>
      <protection/>
    </xf>
    <xf numFmtId="0" fontId="2" fillId="0" borderId="35" xfId="68" applyFont="1" applyFill="1" applyBorder="1" applyAlignment="1">
      <alignment horizontal="left"/>
      <protection/>
    </xf>
    <xf numFmtId="0" fontId="2" fillId="0" borderId="11" xfId="68" applyFont="1" applyFill="1" applyBorder="1" applyAlignment="1">
      <alignment horizontal="left"/>
      <protection/>
    </xf>
    <xf numFmtId="0" fontId="2" fillId="0" borderId="0" xfId="68" applyFont="1" applyFill="1" applyAlignment="1">
      <alignment horizontal="center"/>
      <protection/>
    </xf>
    <xf numFmtId="3" fontId="25" fillId="0" borderId="25" xfId="68" applyNumberFormat="1" applyFont="1" applyFill="1" applyBorder="1" applyAlignment="1">
      <alignment horizontal="center"/>
      <protection/>
    </xf>
    <xf numFmtId="3" fontId="25" fillId="0" borderId="11" xfId="68" applyNumberFormat="1" applyFont="1" applyFill="1" applyBorder="1" applyAlignment="1">
      <alignment horizontal="left"/>
      <protection/>
    </xf>
    <xf numFmtId="3" fontId="25" fillId="0" borderId="11" xfId="68" applyNumberFormat="1" applyFont="1" applyFill="1" applyBorder="1" applyAlignment="1">
      <alignment horizontal="right"/>
      <protection/>
    </xf>
    <xf numFmtId="3" fontId="2" fillId="0" borderId="0" xfId="68" applyNumberFormat="1" applyFont="1" applyFill="1" applyAlignment="1">
      <alignment horizontal="right"/>
      <protection/>
    </xf>
    <xf numFmtId="3" fontId="2" fillId="0" borderId="0" xfId="68" applyNumberFormat="1" applyFont="1" applyFill="1" applyAlignment="1">
      <alignment horizontal="left"/>
      <protection/>
    </xf>
    <xf numFmtId="0" fontId="25" fillId="0" borderId="25" xfId="68" applyFont="1" applyFill="1" applyBorder="1" applyAlignment="1">
      <alignment horizontal="left"/>
      <protection/>
    </xf>
    <xf numFmtId="3" fontId="2" fillId="0" borderId="11" xfId="68" applyNumberFormat="1" applyFont="1" applyFill="1" applyBorder="1" applyAlignment="1">
      <alignment horizontal="right"/>
      <protection/>
    </xf>
    <xf numFmtId="0" fontId="25" fillId="0" borderId="25" xfId="68" applyFont="1" applyFill="1" applyBorder="1" applyAlignment="1">
      <alignment horizontal="center"/>
      <protection/>
    </xf>
    <xf numFmtId="0" fontId="25" fillId="0" borderId="11" xfId="68" applyFont="1" applyFill="1" applyBorder="1" applyAlignment="1">
      <alignment horizontal="left"/>
      <protection/>
    </xf>
    <xf numFmtId="3" fontId="25" fillId="0" borderId="11" xfId="0" applyNumberFormat="1" applyFont="1" applyFill="1" applyBorder="1" applyAlignment="1">
      <alignment horizontal="right"/>
    </xf>
    <xf numFmtId="0" fontId="25" fillId="0" borderId="11" xfId="68" applyFont="1" applyFill="1" applyBorder="1">
      <alignment/>
      <protection/>
    </xf>
    <xf numFmtId="3" fontId="25" fillId="0" borderId="0" xfId="68" applyNumberFormat="1" applyFont="1" applyFill="1" applyAlignment="1">
      <alignment horizontal="right"/>
      <protection/>
    </xf>
    <xf numFmtId="0" fontId="25" fillId="0" borderId="0" xfId="68" applyFont="1" applyFill="1">
      <alignment/>
      <protection/>
    </xf>
    <xf numFmtId="0" fontId="25" fillId="0" borderId="11" xfId="68" applyFont="1" applyFill="1" applyBorder="1" applyAlignment="1">
      <alignment wrapText="1"/>
      <protection/>
    </xf>
    <xf numFmtId="0" fontId="25" fillId="0" borderId="12" xfId="68" applyFont="1" applyFill="1" applyBorder="1">
      <alignment/>
      <protection/>
    </xf>
    <xf numFmtId="3" fontId="2" fillId="0" borderId="12" xfId="68" applyNumberFormat="1" applyFont="1" applyFill="1" applyBorder="1" applyAlignment="1">
      <alignment horizontal="right"/>
      <protection/>
    </xf>
    <xf numFmtId="3" fontId="25" fillId="0" borderId="12" xfId="68" applyNumberFormat="1" applyFont="1" applyFill="1" applyBorder="1" applyAlignment="1">
      <alignment horizontal="right"/>
      <protection/>
    </xf>
    <xf numFmtId="0" fontId="25" fillId="0" borderId="37" xfId="68" applyFont="1" applyFill="1" applyBorder="1" applyAlignment="1">
      <alignment horizontal="right"/>
      <protection/>
    </xf>
    <xf numFmtId="0" fontId="25" fillId="0" borderId="23" xfId="68" applyFont="1" applyFill="1" applyBorder="1">
      <alignment/>
      <protection/>
    </xf>
    <xf numFmtId="3" fontId="25" fillId="0" borderId="23" xfId="68" applyNumberFormat="1" applyFont="1" applyFill="1" applyBorder="1" applyAlignment="1">
      <alignment horizontal="right"/>
      <protection/>
    </xf>
    <xf numFmtId="0" fontId="2" fillId="0" borderId="0" xfId="68" applyFont="1" applyFill="1" applyBorder="1">
      <alignment/>
      <protection/>
    </xf>
    <xf numFmtId="3" fontId="2" fillId="0" borderId="0" xfId="68" applyNumberFormat="1" applyFont="1" applyFill="1" applyBorder="1" applyAlignment="1">
      <alignment horizontal="right"/>
      <protection/>
    </xf>
    <xf numFmtId="0" fontId="2" fillId="0" borderId="10" xfId="68" applyFont="1" applyFill="1" applyBorder="1" applyAlignment="1">
      <alignment horizontal="center"/>
      <protection/>
    </xf>
    <xf numFmtId="3" fontId="25" fillId="0" borderId="10" xfId="68" applyNumberFormat="1" applyFont="1" applyFill="1" applyBorder="1" applyAlignment="1">
      <alignment horizontal="right"/>
      <protection/>
    </xf>
    <xf numFmtId="0" fontId="25" fillId="0" borderId="89" xfId="68" applyFont="1" applyFill="1" applyBorder="1" applyAlignment="1">
      <alignment horizontal="left"/>
      <protection/>
    </xf>
    <xf numFmtId="0" fontId="2" fillId="0" borderId="113" xfId="68" applyFont="1" applyFill="1" applyBorder="1" applyAlignment="1">
      <alignment horizontal="left"/>
      <protection/>
    </xf>
    <xf numFmtId="0" fontId="25" fillId="0" borderId="63" xfId="68" applyFont="1" applyFill="1" applyBorder="1" applyAlignment="1">
      <alignment horizontal="center"/>
      <protection/>
    </xf>
    <xf numFmtId="0" fontId="2" fillId="0" borderId="46" xfId="68" applyFont="1" applyFill="1" applyBorder="1" applyAlignment="1">
      <alignment horizontal="left"/>
      <protection/>
    </xf>
    <xf numFmtId="0" fontId="25" fillId="0" borderId="46" xfId="68" applyFont="1" applyFill="1" applyBorder="1" applyAlignment="1">
      <alignment horizontal="left"/>
      <protection/>
    </xf>
    <xf numFmtId="0" fontId="2" fillId="0" borderId="46" xfId="68" applyFont="1" applyFill="1" applyBorder="1">
      <alignment/>
      <protection/>
    </xf>
    <xf numFmtId="0" fontId="2" fillId="0" borderId="0" xfId="68" applyFont="1" applyFill="1" applyAlignment="1">
      <alignment vertical="center"/>
      <protection/>
    </xf>
    <xf numFmtId="0" fontId="25" fillId="0" borderId="63" xfId="68" applyFont="1" applyFill="1" applyBorder="1" applyAlignment="1">
      <alignment horizontal="center" vertical="center"/>
      <protection/>
    </xf>
    <xf numFmtId="0" fontId="2" fillId="0" borderId="46" xfId="68" applyFont="1" applyFill="1" applyBorder="1" applyAlignment="1">
      <alignment vertical="center" wrapText="1"/>
      <protection/>
    </xf>
    <xf numFmtId="3" fontId="2" fillId="0" borderId="11" xfId="68" applyNumberFormat="1" applyFont="1" applyFill="1" applyBorder="1" applyAlignment="1">
      <alignment horizontal="right" vertical="center"/>
      <protection/>
    </xf>
    <xf numFmtId="3" fontId="25" fillId="0" borderId="11" xfId="68" applyNumberFormat="1" applyFont="1" applyFill="1" applyBorder="1" applyAlignment="1">
      <alignment horizontal="right" vertical="center"/>
      <protection/>
    </xf>
    <xf numFmtId="3" fontId="25" fillId="0" borderId="0" xfId="68" applyNumberFormat="1" applyFont="1" applyFill="1" applyAlignment="1">
      <alignment horizontal="right" vertical="center"/>
      <protection/>
    </xf>
    <xf numFmtId="3" fontId="2" fillId="0" borderId="0" xfId="68" applyNumberFormat="1" applyFont="1" applyFill="1" applyAlignment="1">
      <alignment vertical="center"/>
      <protection/>
    </xf>
    <xf numFmtId="0" fontId="25" fillId="0" borderId="46" xfId="68" applyFont="1" applyFill="1" applyBorder="1">
      <alignment/>
      <protection/>
    </xf>
    <xf numFmtId="3" fontId="25" fillId="0" borderId="11" xfId="68" applyNumberFormat="1" applyFont="1" applyFill="1" applyBorder="1">
      <alignment/>
      <protection/>
    </xf>
    <xf numFmtId="0" fontId="25" fillId="0" borderId="92" xfId="68" applyFont="1" applyFill="1" applyBorder="1">
      <alignment/>
      <protection/>
    </xf>
    <xf numFmtId="3" fontId="2" fillId="0" borderId="48" xfId="68" applyNumberFormat="1" applyFont="1" applyFill="1" applyBorder="1" applyAlignment="1">
      <alignment horizontal="right"/>
      <protection/>
    </xf>
    <xf numFmtId="0" fontId="25" fillId="0" borderId="88" xfId="68" applyFont="1" applyFill="1" applyBorder="1">
      <alignment/>
      <protection/>
    </xf>
    <xf numFmtId="0" fontId="25" fillId="0" borderId="35" xfId="68" applyFont="1" applyFill="1" applyBorder="1" applyAlignment="1">
      <alignment horizontal="left"/>
      <protection/>
    </xf>
    <xf numFmtId="0" fontId="25" fillId="0" borderId="22" xfId="68" applyFont="1" applyFill="1" applyBorder="1" applyAlignment="1">
      <alignment horizontal="center"/>
      <protection/>
    </xf>
    <xf numFmtId="3" fontId="25" fillId="0" borderId="14" xfId="68" applyNumberFormat="1" applyFont="1" applyFill="1" applyBorder="1" applyAlignment="1">
      <alignment horizontal="right"/>
      <protection/>
    </xf>
    <xf numFmtId="3" fontId="2" fillId="0" borderId="14" xfId="68" applyNumberFormat="1" applyFont="1" applyFill="1" applyBorder="1" applyAlignment="1">
      <alignment horizontal="right"/>
      <protection/>
    </xf>
    <xf numFmtId="4" fontId="2" fillId="0" borderId="0" xfId="68" applyNumberFormat="1" applyFont="1" applyFill="1">
      <alignment/>
      <protection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0" fontId="25" fillId="0" borderId="26" xfId="58" applyFont="1" applyBorder="1" applyAlignment="1">
      <alignment horizontal="center"/>
      <protection/>
    </xf>
    <xf numFmtId="0" fontId="25" fillId="0" borderId="26" xfId="58" applyFont="1" applyBorder="1" applyAlignment="1">
      <alignment horizontal="center" wrapText="1"/>
      <protection/>
    </xf>
    <xf numFmtId="0" fontId="2" fillId="0" borderId="26" xfId="58" applyFill="1" applyBorder="1">
      <alignment/>
      <protection/>
    </xf>
    <xf numFmtId="0" fontId="2" fillId="0" borderId="26" xfId="58" applyFont="1" applyFill="1" applyBorder="1">
      <alignment/>
      <protection/>
    </xf>
    <xf numFmtId="3" fontId="2" fillId="0" borderId="26" xfId="58" applyNumberFormat="1" applyFill="1" applyBorder="1">
      <alignment/>
      <protection/>
    </xf>
    <xf numFmtId="3" fontId="2" fillId="0" borderId="26" xfId="58" applyNumberFormat="1" applyFill="1" applyBorder="1" applyAlignment="1">
      <alignment/>
      <protection/>
    </xf>
    <xf numFmtId="3" fontId="2" fillId="0" borderId="26" xfId="58" applyNumberFormat="1" applyBorder="1">
      <alignment/>
      <protection/>
    </xf>
    <xf numFmtId="0" fontId="2" fillId="0" borderId="26" xfId="58" applyBorder="1">
      <alignment/>
      <protection/>
    </xf>
    <xf numFmtId="0" fontId="25" fillId="0" borderId="26" xfId="58" applyFont="1" applyFill="1" applyBorder="1">
      <alignment/>
      <protection/>
    </xf>
    <xf numFmtId="0" fontId="25" fillId="0" borderId="26" xfId="58" applyFont="1" applyBorder="1">
      <alignment/>
      <protection/>
    </xf>
    <xf numFmtId="3" fontId="25" fillId="0" borderId="26" xfId="58" applyNumberFormat="1" applyFont="1" applyBorder="1">
      <alignment/>
      <protection/>
    </xf>
    <xf numFmtId="3" fontId="2" fillId="0" borderId="0" xfId="58" applyNumberFormat="1">
      <alignment/>
      <protection/>
    </xf>
    <xf numFmtId="0" fontId="54" fillId="0" borderId="0" xfId="0" applyFont="1" applyFill="1" applyBorder="1" applyAlignment="1">
      <alignment horizontal="center" vertical="top" wrapText="1"/>
    </xf>
    <xf numFmtId="3" fontId="5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56" fillId="0" borderId="26" xfId="0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3" fontId="3" fillId="0" borderId="26" xfId="0" applyNumberFormat="1" applyFont="1" applyFill="1" applyBorder="1" applyAlignment="1">
      <alignment/>
    </xf>
    <xf numFmtId="0" fontId="56" fillId="0" borderId="26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vertical="center" wrapText="1"/>
    </xf>
    <xf numFmtId="3" fontId="56" fillId="0" borderId="26" xfId="0" applyNumberFormat="1" applyFont="1" applyFill="1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vertical="center"/>
    </xf>
    <xf numFmtId="3" fontId="57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1" fillId="0" borderId="0" xfId="65" applyFont="1" applyAlignment="1">
      <alignment horizontal="center" vertical="center" wrapText="1"/>
      <protection/>
    </xf>
    <xf numFmtId="0" fontId="1" fillId="0" borderId="0" xfId="65" applyFont="1" applyAlignment="1">
      <alignment horizontal="left" vertical="center"/>
      <protection/>
    </xf>
    <xf numFmtId="166" fontId="1" fillId="0" borderId="0" xfId="46" applyNumberFormat="1" applyFont="1" applyFill="1" applyBorder="1" applyAlignment="1" applyProtection="1">
      <alignment horizontal="center" vertical="center"/>
      <protection/>
    </xf>
    <xf numFmtId="0" fontId="1" fillId="0" borderId="0" xfId="65">
      <alignment/>
      <protection/>
    </xf>
    <xf numFmtId="0" fontId="58" fillId="0" borderId="0" xfId="65" applyFont="1" applyAlignment="1">
      <alignment horizontal="center" vertical="center"/>
      <protection/>
    </xf>
    <xf numFmtId="166" fontId="59" fillId="0" borderId="0" xfId="46" applyNumberFormat="1" applyFont="1" applyFill="1" applyBorder="1" applyAlignment="1" applyProtection="1">
      <alignment horizontal="center" vertical="center"/>
      <protection/>
    </xf>
    <xf numFmtId="0" fontId="58" fillId="0" borderId="26" xfId="65" applyFont="1" applyBorder="1" applyAlignment="1">
      <alignment horizontal="center" vertical="center" wrapText="1"/>
      <protection/>
    </xf>
    <xf numFmtId="166" fontId="58" fillId="0" borderId="26" xfId="46" applyNumberFormat="1" applyFont="1" applyFill="1" applyBorder="1" applyAlignment="1" applyProtection="1">
      <alignment horizontal="center" vertical="center"/>
      <protection/>
    </xf>
    <xf numFmtId="0" fontId="58" fillId="0" borderId="26" xfId="65" applyFont="1" applyBorder="1" applyAlignment="1">
      <alignment horizontal="left" vertical="center" wrapText="1"/>
      <protection/>
    </xf>
    <xf numFmtId="0" fontId="58" fillId="0" borderId="0" xfId="65" applyFont="1">
      <alignment/>
      <protection/>
    </xf>
    <xf numFmtId="0" fontId="1" fillId="0" borderId="26" xfId="65" applyFont="1" applyBorder="1" applyAlignment="1">
      <alignment horizontal="center" vertical="center" wrapText="1"/>
      <protection/>
    </xf>
    <xf numFmtId="0" fontId="60" fillId="0" borderId="26" xfId="65" applyFont="1" applyBorder="1">
      <alignment/>
      <protection/>
    </xf>
    <xf numFmtId="166" fontId="60" fillId="0" borderId="26" xfId="46" applyNumberFormat="1" applyFont="1" applyFill="1" applyBorder="1" applyAlignment="1" applyProtection="1">
      <alignment horizontal="center" vertical="center"/>
      <protection/>
    </xf>
    <xf numFmtId="0" fontId="58" fillId="0" borderId="26" xfId="65" applyFont="1" applyBorder="1" applyAlignment="1">
      <alignment vertical="center" wrapText="1"/>
      <protection/>
    </xf>
    <xf numFmtId="0" fontId="58" fillId="0" borderId="0" xfId="65" applyFont="1" applyAlignment="1">
      <alignment horizontal="center" vertical="center" wrapText="1"/>
      <protection/>
    </xf>
    <xf numFmtId="0" fontId="60" fillId="0" borderId="26" xfId="65" applyFont="1" applyBorder="1" applyAlignment="1">
      <alignment/>
      <protection/>
    </xf>
    <xf numFmtId="0" fontId="1" fillId="0" borderId="0" xfId="65" applyAlignment="1">
      <alignment horizontal="center" vertical="center" wrapText="1"/>
      <protection/>
    </xf>
    <xf numFmtId="0" fontId="60" fillId="0" borderId="26" xfId="65" applyFont="1" applyBorder="1" applyAlignment="1">
      <alignment horizontal="center" vertical="center" wrapText="1"/>
      <protection/>
    </xf>
    <xf numFmtId="0" fontId="60" fillId="0" borderId="0" xfId="65" applyFont="1">
      <alignment/>
      <protection/>
    </xf>
    <xf numFmtId="166" fontId="1" fillId="0" borderId="26" xfId="46" applyNumberFormat="1" applyFont="1" applyFill="1" applyBorder="1" applyAlignment="1" applyProtection="1">
      <alignment horizontal="right" vertical="center"/>
      <protection/>
    </xf>
    <xf numFmtId="166" fontId="58" fillId="0" borderId="26" xfId="46" applyNumberFormat="1" applyFont="1" applyFill="1" applyBorder="1" applyAlignment="1" applyProtection="1">
      <alignment horizontal="right" vertical="center"/>
      <protection/>
    </xf>
    <xf numFmtId="0" fontId="58" fillId="0" borderId="0" xfId="65" applyFont="1" applyAlignment="1">
      <alignment horizontal="left" vertical="center" wrapText="1"/>
      <protection/>
    </xf>
    <xf numFmtId="0" fontId="2" fillId="0" borderId="0" xfId="68" applyFont="1" applyFill="1">
      <alignment/>
      <protection/>
    </xf>
    <xf numFmtId="0" fontId="5" fillId="0" borderId="156" xfId="59" applyFont="1" applyFill="1" applyBorder="1" applyAlignment="1">
      <alignment horizontal="center" vertical="center" wrapText="1"/>
      <protection/>
    </xf>
    <xf numFmtId="0" fontId="10" fillId="0" borderId="156" xfId="59" applyFont="1" applyFill="1" applyBorder="1" applyAlignment="1">
      <alignment vertical="center"/>
      <protection/>
    </xf>
    <xf numFmtId="0" fontId="4" fillId="0" borderId="157" xfId="59" applyFont="1" applyFill="1" applyBorder="1" applyAlignment="1">
      <alignment vertical="center"/>
      <protection/>
    </xf>
    <xf numFmtId="3" fontId="5" fillId="0" borderId="158" xfId="59" applyNumberFormat="1" applyFont="1" applyFill="1" applyBorder="1" applyAlignment="1">
      <alignment horizontal="center" vertical="center"/>
      <protection/>
    </xf>
    <xf numFmtId="0" fontId="10" fillId="0" borderId="159" xfId="59" applyFont="1" applyFill="1" applyBorder="1" applyAlignment="1">
      <alignment vertical="center"/>
      <protection/>
    </xf>
    <xf numFmtId="3" fontId="5" fillId="0" borderId="158" xfId="59" applyNumberFormat="1" applyFont="1" applyFill="1" applyBorder="1" applyAlignment="1">
      <alignment vertical="center"/>
      <protection/>
    </xf>
    <xf numFmtId="3" fontId="11" fillId="0" borderId="158" xfId="59" applyNumberFormat="1" applyFont="1" applyFill="1" applyBorder="1" applyAlignment="1">
      <alignment horizontal="right" vertical="center"/>
      <protection/>
    </xf>
    <xf numFmtId="0" fontId="5" fillId="0" borderId="23" xfId="59" applyFont="1" applyFill="1" applyBorder="1" applyAlignment="1">
      <alignment vertical="center" wrapText="1"/>
      <protection/>
    </xf>
    <xf numFmtId="0" fontId="5" fillId="0" borderId="37" xfId="59" applyFont="1" applyFill="1" applyBorder="1" applyAlignment="1">
      <alignment vertical="center" wrapText="1"/>
      <protection/>
    </xf>
    <xf numFmtId="0" fontId="5" fillId="0" borderId="42" xfId="59" applyFont="1" applyFill="1" applyBorder="1" applyAlignment="1">
      <alignment vertical="center" wrapText="1"/>
      <protection/>
    </xf>
    <xf numFmtId="0" fontId="5" fillId="0" borderId="60" xfId="59" applyFont="1" applyFill="1" applyBorder="1" applyAlignment="1">
      <alignment vertical="center" wrapText="1"/>
      <protection/>
    </xf>
    <xf numFmtId="0" fontId="4" fillId="0" borderId="112" xfId="59" applyFont="1" applyFill="1" applyBorder="1" applyAlignment="1">
      <alignment vertical="center"/>
      <protection/>
    </xf>
    <xf numFmtId="0" fontId="11" fillId="0" borderId="160" xfId="59" applyFont="1" applyFill="1" applyBorder="1" applyAlignment="1">
      <alignment horizontal="center" vertical="center"/>
      <protection/>
    </xf>
    <xf numFmtId="0" fontId="4" fillId="0" borderId="161" xfId="59" applyFont="1" applyFill="1" applyBorder="1" applyAlignment="1">
      <alignment vertical="center"/>
      <protection/>
    </xf>
    <xf numFmtId="0" fontId="19" fillId="0" borderId="42" xfId="59" applyFont="1" applyFill="1" applyBorder="1" applyAlignment="1">
      <alignment vertical="center" wrapText="1"/>
      <protection/>
    </xf>
    <xf numFmtId="0" fontId="19" fillId="0" borderId="37" xfId="59" applyFont="1" applyFill="1" applyBorder="1" applyAlignment="1">
      <alignment vertical="center" wrapText="1"/>
      <protection/>
    </xf>
    <xf numFmtId="3" fontId="6" fillId="0" borderId="29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vertical="center"/>
    </xf>
    <xf numFmtId="2" fontId="15" fillId="0" borderId="38" xfId="0" applyNumberFormat="1" applyFont="1" applyFill="1" applyBorder="1" applyAlignment="1">
      <alignment vertical="center"/>
    </xf>
    <xf numFmtId="2" fontId="15" fillId="0" borderId="64" xfId="0" applyNumberFormat="1" applyFont="1" applyFill="1" applyBorder="1" applyAlignment="1">
      <alignment vertical="center"/>
    </xf>
    <xf numFmtId="2" fontId="15" fillId="0" borderId="88" xfId="0" applyNumberFormat="1" applyFont="1" applyFill="1" applyBorder="1" applyAlignment="1">
      <alignment vertical="center"/>
    </xf>
    <xf numFmtId="2" fontId="15" fillId="0" borderId="162" xfId="0" applyNumberFormat="1" applyFont="1" applyFill="1" applyBorder="1" applyAlignment="1">
      <alignment vertical="center"/>
    </xf>
    <xf numFmtId="2" fontId="15" fillId="0" borderId="9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46" fillId="0" borderId="163" xfId="0" applyFont="1" applyBorder="1" applyAlignment="1">
      <alignment horizontal="center" wrapText="1"/>
    </xf>
    <xf numFmtId="0" fontId="46" fillId="0" borderId="164" xfId="0" applyFont="1" applyBorder="1" applyAlignment="1">
      <alignment horizontal="center"/>
    </xf>
    <xf numFmtId="2" fontId="46" fillId="0" borderId="164" xfId="0" applyNumberFormat="1" applyFont="1" applyBorder="1" applyAlignment="1">
      <alignment horizontal="center"/>
    </xf>
    <xf numFmtId="3" fontId="46" fillId="0" borderId="164" xfId="0" applyNumberFormat="1" applyFont="1" applyBorder="1" applyAlignment="1">
      <alignment horizontal="center"/>
    </xf>
    <xf numFmtId="0" fontId="40" fillId="0" borderId="165" xfId="0" applyFont="1" applyFill="1" applyBorder="1" applyAlignment="1">
      <alignment horizontal="center"/>
    </xf>
    <xf numFmtId="2" fontId="47" fillId="0" borderId="166" xfId="0" applyNumberFormat="1" applyFont="1" applyBorder="1" applyAlignment="1">
      <alignment horizontal="center" vertical="center" wrapText="1"/>
    </xf>
    <xf numFmtId="2" fontId="45" fillId="0" borderId="167" xfId="0" applyNumberFormat="1" applyFont="1" applyFill="1" applyBorder="1" applyAlignment="1">
      <alignment/>
    </xf>
    <xf numFmtId="4" fontId="45" fillId="0" borderId="167" xfId="0" applyNumberFormat="1" applyFont="1" applyFill="1" applyBorder="1" applyAlignment="1">
      <alignment horizontal="right"/>
    </xf>
    <xf numFmtId="2" fontId="45" fillId="0" borderId="168" xfId="0" applyNumberFormat="1" applyFont="1" applyFill="1" applyBorder="1" applyAlignment="1">
      <alignment vertical="center"/>
    </xf>
    <xf numFmtId="2" fontId="45" fillId="0" borderId="169" xfId="0" applyNumberFormat="1" applyFont="1" applyFill="1" applyBorder="1" applyAlignment="1">
      <alignment vertical="center"/>
    </xf>
    <xf numFmtId="0" fontId="39" fillId="0" borderId="161" xfId="0" applyFont="1" applyFill="1" applyBorder="1" applyAlignment="1">
      <alignment/>
    </xf>
    <xf numFmtId="2" fontId="47" fillId="0" borderId="170" xfId="0" applyNumberFormat="1" applyFont="1" applyBorder="1" applyAlignment="1">
      <alignment horizontal="center" vertical="center" wrapText="1"/>
    </xf>
    <xf numFmtId="2" fontId="45" fillId="0" borderId="168" xfId="0" applyNumberFormat="1" applyFont="1" applyFill="1" applyBorder="1" applyAlignment="1">
      <alignment/>
    </xf>
    <xf numFmtId="0" fontId="39" fillId="0" borderId="161" xfId="0" applyFont="1" applyFill="1" applyBorder="1" applyAlignment="1">
      <alignment horizontal="center"/>
    </xf>
    <xf numFmtId="0" fontId="47" fillId="0" borderId="171" xfId="0" applyFont="1" applyFill="1" applyBorder="1" applyAlignment="1">
      <alignment wrapText="1" shrinkToFit="1"/>
    </xf>
    <xf numFmtId="3" fontId="47" fillId="0" borderId="172" xfId="0" applyNumberFormat="1" applyFont="1" applyFill="1" applyBorder="1" applyAlignment="1">
      <alignment/>
    </xf>
    <xf numFmtId="2" fontId="45" fillId="0" borderId="172" xfId="0" applyNumberFormat="1" applyFont="1" applyFill="1" applyBorder="1" applyAlignment="1">
      <alignment horizontal="right"/>
    </xf>
    <xf numFmtId="4" fontId="47" fillId="0" borderId="172" xfId="0" applyNumberFormat="1" applyFont="1" applyFill="1" applyBorder="1" applyAlignment="1">
      <alignment/>
    </xf>
    <xf numFmtId="164" fontId="47" fillId="0" borderId="172" xfId="0" applyNumberFormat="1" applyFont="1" applyFill="1" applyBorder="1" applyAlignment="1">
      <alignment horizontal="right"/>
    </xf>
    <xf numFmtId="3" fontId="47" fillId="0" borderId="173" xfId="0" applyNumberFormat="1" applyFont="1" applyFill="1" applyBorder="1" applyAlignment="1">
      <alignment/>
    </xf>
    <xf numFmtId="2" fontId="45" fillId="0" borderId="174" xfId="0" applyNumberFormat="1" applyFont="1" applyFill="1" applyBorder="1" applyAlignment="1">
      <alignment/>
    </xf>
    <xf numFmtId="0" fontId="0" fillId="0" borderId="161" xfId="0" applyFont="1" applyFill="1" applyBorder="1" applyAlignment="1">
      <alignment/>
    </xf>
    <xf numFmtId="0" fontId="38" fillId="0" borderId="175" xfId="63" applyNumberFormat="1" applyFont="1" applyFill="1" applyBorder="1" applyAlignment="1" applyProtection="1">
      <alignment wrapText="1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horizontal="center" vertical="center"/>
      <protection/>
    </xf>
    <xf numFmtId="3" fontId="23" fillId="0" borderId="0" xfId="64" applyNumberFormat="1" applyFont="1" applyFill="1" applyAlignment="1">
      <alignment horizontal="right" vertical="center"/>
      <protection/>
    </xf>
    <xf numFmtId="3" fontId="12" fillId="0" borderId="0" xfId="62" applyNumberFormat="1" applyFont="1" applyFill="1" applyAlignment="1">
      <alignment horizontal="right" vertical="center"/>
      <protection/>
    </xf>
    <xf numFmtId="3" fontId="12" fillId="0" borderId="0" xfId="61" applyNumberFormat="1" applyFont="1" applyFill="1" applyAlignment="1">
      <alignment horizontal="right" vertical="center"/>
      <protection/>
    </xf>
    <xf numFmtId="0" fontId="15" fillId="0" borderId="0" xfId="64" applyFont="1" applyFill="1">
      <alignment/>
      <protection/>
    </xf>
    <xf numFmtId="0" fontId="23" fillId="0" borderId="0" xfId="64" applyFont="1" applyFill="1">
      <alignment/>
      <protection/>
    </xf>
    <xf numFmtId="0" fontId="23" fillId="0" borderId="0" xfId="64" applyFont="1" applyFill="1" applyAlignment="1">
      <alignment vertic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0" fontId="39" fillId="0" borderId="23" xfId="67" applyFont="1" applyFill="1" applyBorder="1" applyAlignment="1">
      <alignment horizontal="center" vertical="center" wrapText="1"/>
      <protection/>
    </xf>
    <xf numFmtId="0" fontId="39" fillId="0" borderId="0" xfId="67" applyFont="1" applyFill="1" applyAlignment="1">
      <alignment horizontal="center" vertical="center" wrapText="1"/>
      <protection/>
    </xf>
    <xf numFmtId="0" fontId="39" fillId="0" borderId="15" xfId="67" applyFont="1" applyFill="1" applyBorder="1" applyAlignment="1">
      <alignment horizontal="center" vertical="center" wrapText="1"/>
      <protection/>
    </xf>
    <xf numFmtId="0" fontId="39" fillId="0" borderId="45" xfId="67" applyFont="1" applyFill="1" applyBorder="1" applyAlignment="1">
      <alignment horizontal="center" vertical="center" wrapText="1"/>
      <protection/>
    </xf>
    <xf numFmtId="0" fontId="39" fillId="0" borderId="36" xfId="67" applyFont="1" applyFill="1" applyBorder="1" applyAlignment="1">
      <alignment horizontal="center" vertical="center" wrapText="1"/>
      <protection/>
    </xf>
    <xf numFmtId="0" fontId="39" fillId="0" borderId="20" xfId="67" applyFont="1" applyFill="1" applyBorder="1" applyAlignment="1">
      <alignment horizontal="center" vertical="center" wrapText="1"/>
      <protection/>
    </xf>
    <xf numFmtId="0" fontId="39" fillId="0" borderId="0" xfId="67" applyFont="1" applyFill="1">
      <alignment/>
      <protection/>
    </xf>
    <xf numFmtId="0" fontId="41" fillId="0" borderId="23" xfId="67" applyFont="1" applyFill="1" applyBorder="1" applyAlignment="1">
      <alignment horizontal="center" vertical="center"/>
      <protection/>
    </xf>
    <xf numFmtId="0" fontId="41" fillId="0" borderId="116" xfId="67" applyFont="1" applyFill="1" applyBorder="1" applyAlignment="1">
      <alignment horizontal="center" vertical="center"/>
      <protection/>
    </xf>
    <xf numFmtId="0" fontId="41" fillId="0" borderId="90" xfId="67" applyFont="1" applyFill="1" applyBorder="1" applyAlignment="1">
      <alignment horizontal="center" vertical="center"/>
      <protection/>
    </xf>
    <xf numFmtId="0" fontId="41" fillId="0" borderId="24" xfId="67" applyFont="1" applyFill="1" applyBorder="1" applyAlignment="1">
      <alignment horizontal="center" vertical="center"/>
      <protection/>
    </xf>
    <xf numFmtId="0" fontId="40" fillId="0" borderId="0" xfId="67" applyFont="1" applyFill="1" applyAlignment="1">
      <alignment vertical="center"/>
      <protection/>
    </xf>
    <xf numFmtId="0" fontId="39" fillId="0" borderId="48" xfId="66" applyFont="1" applyFill="1" applyBorder="1" applyAlignment="1">
      <alignment horizontal="center" vertical="center"/>
      <protection/>
    </xf>
    <xf numFmtId="0" fontId="39" fillId="0" borderId="54" xfId="66" applyFont="1" applyFill="1" applyBorder="1" applyAlignment="1">
      <alignment horizontal="left" vertical="center" wrapText="1"/>
      <protection/>
    </xf>
    <xf numFmtId="3" fontId="39" fillId="0" borderId="48" xfId="66" applyNumberFormat="1" applyFont="1" applyFill="1" applyBorder="1" applyAlignment="1">
      <alignment vertical="center"/>
      <protection/>
    </xf>
    <xf numFmtId="3" fontId="39" fillId="0" borderId="54" xfId="66" applyNumberFormat="1" applyFont="1" applyFill="1" applyBorder="1" applyAlignment="1">
      <alignment vertical="center"/>
      <protection/>
    </xf>
    <xf numFmtId="3" fontId="39" fillId="0" borderId="40" xfId="0" applyNumberFormat="1" applyFont="1" applyFill="1" applyBorder="1" applyAlignment="1">
      <alignment vertical="center" wrapText="1"/>
    </xf>
    <xf numFmtId="3" fontId="39" fillId="0" borderId="67" xfId="66" applyNumberFormat="1" applyFont="1" applyFill="1" applyBorder="1" applyAlignment="1">
      <alignment vertical="center"/>
      <protection/>
    </xf>
    <xf numFmtId="3" fontId="39" fillId="0" borderId="40" xfId="66" applyNumberFormat="1" applyFont="1" applyFill="1" applyBorder="1" applyAlignment="1">
      <alignment vertical="center"/>
      <protection/>
    </xf>
    <xf numFmtId="0" fontId="39" fillId="0" borderId="0" xfId="67" applyFont="1" applyFill="1" applyAlignment="1">
      <alignment vertical="center"/>
      <protection/>
    </xf>
    <xf numFmtId="0" fontId="39" fillId="0" borderId="54" xfId="67" applyFont="1" applyFill="1" applyBorder="1" applyAlignment="1">
      <alignment horizontal="left" vertical="center" wrapText="1"/>
      <protection/>
    </xf>
    <xf numFmtId="0" fontId="39" fillId="0" borderId="40" xfId="67" applyFont="1" applyFill="1" applyBorder="1" applyAlignment="1">
      <alignment horizontal="left" vertical="center" wrapText="1"/>
      <protection/>
    </xf>
    <xf numFmtId="3" fontId="39" fillId="0" borderId="48" xfId="67" applyNumberFormat="1" applyFont="1" applyFill="1" applyBorder="1" applyAlignment="1">
      <alignment vertical="center"/>
      <protection/>
    </xf>
    <xf numFmtId="3" fontId="39" fillId="0" borderId="54" xfId="67" applyNumberFormat="1" applyFont="1" applyFill="1" applyBorder="1" applyAlignment="1">
      <alignment vertical="center"/>
      <protection/>
    </xf>
    <xf numFmtId="3" fontId="39" fillId="0" borderId="67" xfId="67" applyNumberFormat="1" applyFont="1" applyFill="1" applyBorder="1" applyAlignment="1">
      <alignment vertical="center"/>
      <protection/>
    </xf>
    <xf numFmtId="3" fontId="39" fillId="0" borderId="40" xfId="67" applyNumberFormat="1" applyFont="1" applyFill="1" applyBorder="1" applyAlignment="1">
      <alignment vertical="center"/>
      <protection/>
    </xf>
    <xf numFmtId="0" fontId="39" fillId="0" borderId="0" xfId="67" applyFont="1" applyFill="1" applyAlignment="1">
      <alignment vertical="center" wrapText="1"/>
      <protection/>
    </xf>
    <xf numFmtId="0" fontId="40" fillId="0" borderId="90" xfId="67" applyFont="1" applyFill="1" applyBorder="1" applyAlignment="1">
      <alignment vertical="center"/>
      <protection/>
    </xf>
    <xf numFmtId="3" fontId="40" fillId="0" borderId="23" xfId="67" applyNumberFormat="1" applyFont="1" applyFill="1" applyBorder="1" applyAlignment="1">
      <alignment vertical="center"/>
      <protection/>
    </xf>
    <xf numFmtId="3" fontId="40" fillId="0" borderId="116" xfId="67" applyNumberFormat="1" applyFont="1" applyFill="1" applyBorder="1" applyAlignment="1">
      <alignment vertical="center"/>
      <protection/>
    </xf>
    <xf numFmtId="3" fontId="40" fillId="0" borderId="88" xfId="67" applyNumberFormat="1" applyFont="1" applyFill="1" applyBorder="1" applyAlignment="1">
      <alignment vertical="center"/>
      <protection/>
    </xf>
    <xf numFmtId="3" fontId="40" fillId="0" borderId="24" xfId="67" applyNumberFormat="1" applyFont="1" applyFill="1" applyBorder="1" applyAlignment="1">
      <alignment vertical="center"/>
      <protection/>
    </xf>
    <xf numFmtId="0" fontId="1" fillId="0" borderId="0" xfId="67" applyFont="1" applyFill="1">
      <alignment/>
      <protection/>
    </xf>
    <xf numFmtId="0" fontId="1" fillId="0" borderId="0" xfId="67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0" fontId="1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48" fillId="0" borderId="61" xfId="0" applyFont="1" applyFill="1" applyBorder="1" applyAlignment="1">
      <alignment wrapText="1"/>
    </xf>
    <xf numFmtId="3" fontId="48" fillId="0" borderId="48" xfId="0" applyNumberFormat="1" applyFont="1" applyFill="1" applyBorder="1" applyAlignment="1">
      <alignment horizontal="right" vertical="center"/>
    </xf>
    <xf numFmtId="3" fontId="52" fillId="0" borderId="23" xfId="0" applyNumberFormat="1" applyFont="1" applyFill="1" applyBorder="1" applyAlignment="1">
      <alignment horizontal="right" vertical="center"/>
    </xf>
    <xf numFmtId="0" fontId="52" fillId="0" borderId="42" xfId="0" applyFont="1" applyFill="1" applyBorder="1" applyAlignment="1">
      <alignment horizontal="left" vertical="center" wrapText="1"/>
    </xf>
    <xf numFmtId="0" fontId="48" fillId="0" borderId="102" xfId="0" applyFont="1" applyFill="1" applyBorder="1" applyAlignment="1">
      <alignment/>
    </xf>
    <xf numFmtId="0" fontId="52" fillId="0" borderId="37" xfId="0" applyFont="1" applyFill="1" applyBorder="1" applyAlignment="1">
      <alignment/>
    </xf>
    <xf numFmtId="0" fontId="39" fillId="0" borderId="114" xfId="66" applyFont="1" applyFill="1" applyBorder="1" applyAlignment="1">
      <alignment horizontal="left" vertical="center" wrapText="1"/>
      <protection/>
    </xf>
    <xf numFmtId="0" fontId="5" fillId="0" borderId="0" xfId="59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59" applyFont="1" applyFill="1" applyAlignment="1">
      <alignment vertical="center"/>
      <protection/>
    </xf>
    <xf numFmtId="0" fontId="8" fillId="0" borderId="176" xfId="0" applyFont="1" applyFill="1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78" xfId="0" applyFont="1" applyFill="1" applyBorder="1" applyAlignment="1">
      <alignment horizontal="center" vertical="center"/>
    </xf>
    <xf numFmtId="0" fontId="5" fillId="0" borderId="13" xfId="59" applyFont="1" applyFill="1" applyBorder="1" applyAlignment="1">
      <alignment horizontal="center" vertical="center"/>
      <protection/>
    </xf>
    <xf numFmtId="3" fontId="6" fillId="0" borderId="48" xfId="0" applyNumberFormat="1" applyFont="1" applyFill="1" applyBorder="1" applyAlignment="1">
      <alignment horizontal="center" vertical="center" wrapText="1"/>
    </xf>
    <xf numFmtId="3" fontId="4" fillId="0" borderId="179" xfId="59" applyNumberFormat="1" applyFont="1" applyFill="1" applyBorder="1" applyAlignment="1">
      <alignment horizontal="right" vertical="center" wrapText="1"/>
      <protection/>
    </xf>
    <xf numFmtId="3" fontId="4" fillId="0" borderId="18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Alignment="1">
      <alignment vertical="center"/>
      <protection/>
    </xf>
    <xf numFmtId="3" fontId="5" fillId="0" borderId="57" xfId="59" applyNumberFormat="1" applyFont="1" applyFill="1" applyBorder="1" applyAlignment="1">
      <alignment horizontal="right" vertical="center" wrapText="1"/>
      <protection/>
    </xf>
    <xf numFmtId="3" fontId="5" fillId="0" borderId="181" xfId="59" applyNumberFormat="1" applyFont="1" applyFill="1" applyBorder="1" applyAlignment="1">
      <alignment horizontal="right" vertical="center" wrapText="1"/>
      <protection/>
    </xf>
    <xf numFmtId="3" fontId="4" fillId="0" borderId="13" xfId="59" applyNumberFormat="1" applyFont="1" applyFill="1" applyBorder="1" applyAlignment="1">
      <alignment horizontal="right" vertical="center"/>
      <protection/>
    </xf>
    <xf numFmtId="3" fontId="5" fillId="0" borderId="182" xfId="59" applyNumberFormat="1" applyFont="1" applyFill="1" applyBorder="1" applyAlignment="1">
      <alignment horizontal="right" vertical="center"/>
      <protection/>
    </xf>
    <xf numFmtId="3" fontId="4" fillId="0" borderId="181" xfId="59" applyNumberFormat="1" applyFont="1" applyFill="1" applyBorder="1" applyAlignment="1">
      <alignment horizontal="right" vertical="center"/>
      <protection/>
    </xf>
    <xf numFmtId="0" fontId="4" fillId="0" borderId="12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183" xfId="59" applyFont="1" applyFill="1" applyBorder="1" applyAlignment="1">
      <alignment vertical="center"/>
      <protection/>
    </xf>
    <xf numFmtId="0" fontId="4" fillId="0" borderId="180" xfId="59" applyFont="1" applyFill="1" applyBorder="1" applyAlignment="1">
      <alignment vertical="center"/>
      <protection/>
    </xf>
    <xf numFmtId="0" fontId="4" fillId="0" borderId="184" xfId="59" applyFont="1" applyFill="1" applyBorder="1" applyAlignment="1">
      <alignment vertical="center"/>
      <protection/>
    </xf>
    <xf numFmtId="3" fontId="5" fillId="0" borderId="180" xfId="59" applyNumberFormat="1" applyFont="1" applyFill="1" applyBorder="1" applyAlignment="1">
      <alignment horizontal="right" vertical="center"/>
      <protection/>
    </xf>
    <xf numFmtId="3" fontId="4" fillId="0" borderId="185" xfId="59" applyNumberFormat="1" applyFont="1" applyFill="1" applyBorder="1" applyAlignment="1">
      <alignment horizontal="right" vertical="center"/>
      <protection/>
    </xf>
    <xf numFmtId="3" fontId="4" fillId="0" borderId="186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horizontal="center" vertical="center"/>
      <protection/>
    </xf>
    <xf numFmtId="3" fontId="4" fillId="0" borderId="187" xfId="59" applyNumberFormat="1" applyFont="1" applyFill="1" applyBorder="1" applyAlignment="1">
      <alignment horizontal="right" vertical="center"/>
      <protection/>
    </xf>
    <xf numFmtId="3" fontId="5" fillId="0" borderId="188" xfId="59" applyNumberFormat="1" applyFont="1" applyFill="1" applyBorder="1" applyAlignment="1">
      <alignment horizontal="right" vertical="center" wrapText="1"/>
      <protection/>
    </xf>
    <xf numFmtId="3" fontId="4" fillId="0" borderId="182" xfId="59" applyNumberFormat="1" applyFont="1" applyFill="1" applyBorder="1" applyAlignment="1">
      <alignment horizontal="right" vertical="center"/>
      <protection/>
    </xf>
    <xf numFmtId="3" fontId="5" fillId="0" borderId="179" xfId="59" applyNumberFormat="1" applyFont="1" applyFill="1" applyBorder="1" applyAlignment="1">
      <alignment horizontal="right" vertical="center"/>
      <protection/>
    </xf>
    <xf numFmtId="3" fontId="4" fillId="0" borderId="180" xfId="59" applyNumberFormat="1" applyFont="1" applyFill="1" applyBorder="1" applyAlignment="1">
      <alignment horizontal="right" vertical="center"/>
      <protection/>
    </xf>
    <xf numFmtId="0" fontId="4" fillId="0" borderId="23" xfId="59" applyFont="1" applyFill="1" applyBorder="1" applyAlignment="1">
      <alignment horizontal="left" vertical="center" wrapText="1"/>
      <protection/>
    </xf>
    <xf numFmtId="3" fontId="4" fillId="0" borderId="14" xfId="59" applyNumberFormat="1" applyFont="1" applyFill="1" applyBorder="1" applyAlignment="1">
      <alignment horizontal="right" vertical="center" wrapText="1"/>
      <protection/>
    </xf>
    <xf numFmtId="3" fontId="4" fillId="0" borderId="189" xfId="59" applyNumberFormat="1" applyFont="1" applyFill="1" applyBorder="1" applyAlignment="1">
      <alignment horizontal="right" vertical="center"/>
      <protection/>
    </xf>
    <xf numFmtId="0" fontId="5" fillId="0" borderId="158" xfId="59" applyFont="1" applyFill="1" applyBorder="1" applyAlignment="1">
      <alignment horizontal="center" vertical="center" wrapText="1"/>
      <protection/>
    </xf>
    <xf numFmtId="0" fontId="11" fillId="0" borderId="159" xfId="59" applyFont="1" applyFill="1" applyBorder="1" applyAlignment="1">
      <alignment horizontal="center" vertical="center"/>
      <protection/>
    </xf>
    <xf numFmtId="3" fontId="5" fillId="0" borderId="158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Alignment="1">
      <alignment horizontal="center" vertical="center"/>
      <protection/>
    </xf>
    <xf numFmtId="42" fontId="4" fillId="0" borderId="0" xfId="59" applyNumberFormat="1" applyFont="1" applyFill="1" applyAlignment="1">
      <alignment vertical="center"/>
      <protection/>
    </xf>
    <xf numFmtId="167" fontId="53" fillId="0" borderId="0" xfId="0" applyNumberFormat="1" applyFont="1" applyFill="1" applyAlignment="1">
      <alignment/>
    </xf>
    <xf numFmtId="167" fontId="53" fillId="0" borderId="0" xfId="0" applyNumberFormat="1" applyFont="1" applyFill="1" applyBorder="1" applyAlignment="1">
      <alignment/>
    </xf>
    <xf numFmtId="167" fontId="34" fillId="0" borderId="0" xfId="0" applyNumberFormat="1" applyFont="1" applyFill="1" applyBorder="1" applyAlignment="1">
      <alignment/>
    </xf>
    <xf numFmtId="167" fontId="62" fillId="0" borderId="0" xfId="0" applyNumberFormat="1" applyFont="1" applyFill="1" applyAlignment="1">
      <alignment horizontal="center"/>
    </xf>
    <xf numFmtId="167" fontId="53" fillId="0" borderId="0" xfId="0" applyNumberFormat="1" applyFont="1" applyFill="1" applyAlignment="1">
      <alignment vertical="center"/>
    </xf>
    <xf numFmtId="3" fontId="4" fillId="0" borderId="106" xfId="59" applyNumberFormat="1" applyFont="1" applyFill="1" applyBorder="1" applyAlignment="1">
      <alignment horizontal="right" vertical="center" wrapText="1"/>
      <protection/>
    </xf>
    <xf numFmtId="3" fontId="9" fillId="0" borderId="104" xfId="59" applyNumberFormat="1" applyFont="1" applyFill="1" applyBorder="1" applyAlignment="1">
      <alignment horizontal="right" vertical="center" wrapText="1"/>
      <protection/>
    </xf>
    <xf numFmtId="3" fontId="19" fillId="0" borderId="106" xfId="59" applyNumberFormat="1" applyFont="1" applyFill="1" applyBorder="1" applyAlignment="1">
      <alignment horizontal="right" vertical="center" wrapText="1"/>
      <protection/>
    </xf>
    <xf numFmtId="3" fontId="19" fillId="0" borderId="107" xfId="59" applyNumberFormat="1" applyFont="1" applyFill="1" applyBorder="1" applyAlignment="1">
      <alignment horizontal="right" vertical="center"/>
      <protection/>
    </xf>
    <xf numFmtId="3" fontId="9" fillId="0" borderId="104" xfId="59" applyNumberFormat="1" applyFont="1" applyFill="1" applyBorder="1" applyAlignment="1">
      <alignment horizontal="right" vertical="center"/>
      <protection/>
    </xf>
    <xf numFmtId="3" fontId="9" fillId="0" borderId="108" xfId="59" applyNumberFormat="1" applyFont="1" applyFill="1" applyBorder="1" applyAlignment="1">
      <alignment horizontal="right" vertical="center"/>
      <protection/>
    </xf>
    <xf numFmtId="3" fontId="9" fillId="0" borderId="106" xfId="59" applyNumberFormat="1" applyFont="1" applyFill="1" applyBorder="1" applyAlignment="1">
      <alignment horizontal="right" vertical="center"/>
      <protection/>
    </xf>
    <xf numFmtId="0" fontId="9" fillId="0" borderId="105" xfId="59" applyFont="1" applyFill="1" applyBorder="1" applyAlignment="1">
      <alignment vertical="center"/>
      <protection/>
    </xf>
    <xf numFmtId="0" fontId="9" fillId="0" borderId="109" xfId="59" applyFont="1" applyFill="1" applyBorder="1" applyAlignment="1">
      <alignment vertical="center"/>
      <protection/>
    </xf>
    <xf numFmtId="3" fontId="19" fillId="0" borderId="105" xfId="59" applyNumberFormat="1" applyFont="1" applyFill="1" applyBorder="1" applyAlignment="1">
      <alignment horizontal="right" vertical="center"/>
      <protection/>
    </xf>
    <xf numFmtId="3" fontId="9" fillId="0" borderId="110" xfId="59" applyNumberFormat="1" applyFont="1" applyFill="1" applyBorder="1" applyAlignment="1">
      <alignment horizontal="right" vertical="center"/>
      <protection/>
    </xf>
    <xf numFmtId="3" fontId="9" fillId="0" borderId="105" xfId="59" applyNumberFormat="1" applyFont="1" applyFill="1" applyBorder="1" applyAlignment="1">
      <alignment horizontal="right" vertical="center"/>
      <protection/>
    </xf>
    <xf numFmtId="3" fontId="19" fillId="0" borderId="104" xfId="59" applyNumberFormat="1" applyFont="1" applyFill="1" applyBorder="1" applyAlignment="1">
      <alignment horizontal="right" vertical="center"/>
      <protection/>
    </xf>
    <xf numFmtId="3" fontId="9" fillId="0" borderId="109" xfId="59" applyNumberFormat="1" applyFont="1" applyFill="1" applyBorder="1" applyAlignment="1">
      <alignment horizontal="right" vertical="center"/>
      <protection/>
    </xf>
    <xf numFmtId="3" fontId="38" fillId="33" borderId="183" xfId="0" applyNumberFormat="1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/>
    </xf>
    <xf numFmtId="0" fontId="38" fillId="0" borderId="190" xfId="0" applyFont="1" applyFill="1" applyBorder="1" applyAlignment="1">
      <alignment horizontal="center" vertical="center" wrapText="1"/>
    </xf>
    <xf numFmtId="3" fontId="48" fillId="0" borderId="180" xfId="69" applyNumberFormat="1" applyFont="1" applyFill="1" applyBorder="1">
      <alignment/>
      <protection/>
    </xf>
    <xf numFmtId="3" fontId="48" fillId="0" borderId="180" xfId="63" applyNumberFormat="1" applyFont="1" applyFill="1" applyBorder="1" applyAlignment="1" applyProtection="1">
      <alignment/>
      <protection/>
    </xf>
    <xf numFmtId="3" fontId="48" fillId="0" borderId="180" xfId="63" applyNumberFormat="1" applyFont="1" applyFill="1" applyBorder="1" applyAlignment="1" applyProtection="1">
      <alignment vertical="center"/>
      <protection/>
    </xf>
    <xf numFmtId="3" fontId="48" fillId="0" borderId="184" xfId="63" applyNumberFormat="1" applyFont="1" applyFill="1" applyBorder="1" applyAlignment="1" applyProtection="1">
      <alignment vertical="center"/>
      <protection/>
    </xf>
    <xf numFmtId="3" fontId="38" fillId="0" borderId="180" xfId="63" applyNumberFormat="1" applyFont="1" applyFill="1" applyBorder="1" applyAlignment="1" applyProtection="1">
      <alignment vertical="center"/>
      <protection/>
    </xf>
    <xf numFmtId="3" fontId="38" fillId="0" borderId="174" xfId="63" applyNumberFormat="1" applyFont="1" applyFill="1" applyBorder="1" applyAlignment="1" applyProtection="1">
      <alignment/>
      <protection/>
    </xf>
    <xf numFmtId="0" fontId="39" fillId="0" borderId="114" xfId="67" applyFont="1" applyFill="1" applyBorder="1" applyAlignment="1">
      <alignment horizontal="left" vertical="center" wrapText="1"/>
      <protection/>
    </xf>
    <xf numFmtId="0" fontId="39" fillId="0" borderId="89" xfId="66" applyFont="1" applyFill="1" applyBorder="1" applyAlignment="1">
      <alignment horizontal="left" vertical="center" wrapText="1"/>
      <protection/>
    </xf>
    <xf numFmtId="0" fontId="39" fillId="0" borderId="67" xfId="66" applyFont="1" applyFill="1" applyBorder="1" applyAlignment="1">
      <alignment horizontal="left" vertical="center" wrapText="1"/>
      <protection/>
    </xf>
    <xf numFmtId="3" fontId="39" fillId="0" borderId="41" xfId="67" applyNumberFormat="1" applyFont="1" applyFill="1" applyBorder="1" applyAlignment="1">
      <alignment vertical="center"/>
      <protection/>
    </xf>
    <xf numFmtId="3" fontId="39" fillId="0" borderId="121" xfId="67" applyNumberFormat="1" applyFont="1" applyFill="1" applyBorder="1" applyAlignment="1">
      <alignment vertical="center"/>
      <protection/>
    </xf>
    <xf numFmtId="3" fontId="39" fillId="0" borderId="92" xfId="67" applyNumberFormat="1" applyFont="1" applyFill="1" applyBorder="1" applyAlignment="1">
      <alignment vertical="center"/>
      <protection/>
    </xf>
    <xf numFmtId="3" fontId="39" fillId="0" borderId="72" xfId="67" applyNumberFormat="1" applyFont="1" applyFill="1" applyBorder="1" applyAlignment="1">
      <alignment vertical="center"/>
      <protection/>
    </xf>
    <xf numFmtId="3" fontId="39" fillId="0" borderId="41" xfId="66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15" fillId="0" borderId="4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167" fontId="23" fillId="0" borderId="52" xfId="0" applyNumberFormat="1" applyFont="1" applyFill="1" applyBorder="1" applyAlignment="1">
      <alignment/>
    </xf>
    <xf numFmtId="167" fontId="23" fillId="0" borderId="161" xfId="0" applyNumberFormat="1" applyFont="1" applyFill="1" applyBorder="1" applyAlignment="1">
      <alignment/>
    </xf>
    <xf numFmtId="167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/>
    </xf>
    <xf numFmtId="0" fontId="38" fillId="0" borderId="60" xfId="0" applyFont="1" applyFill="1" applyBorder="1" applyAlignment="1">
      <alignment horizontal="center"/>
    </xf>
    <xf numFmtId="0" fontId="38" fillId="0" borderId="43" xfId="0" applyFont="1" applyFill="1" applyBorder="1" applyAlignment="1" applyProtection="1">
      <alignment horizontal="left" vertical="center" wrapText="1"/>
      <protection locked="0"/>
    </xf>
    <xf numFmtId="0" fontId="48" fillId="0" borderId="43" xfId="0" applyFont="1" applyFill="1" applyBorder="1" applyAlignment="1" applyProtection="1">
      <alignment horizontal="left" vertical="center" wrapText="1"/>
      <protection locked="0"/>
    </xf>
    <xf numFmtId="0" fontId="48" fillId="0" borderId="51" xfId="57" applyFont="1" applyFill="1" applyBorder="1" applyAlignment="1">
      <alignment horizontal="left"/>
      <protection/>
    </xf>
    <xf numFmtId="3" fontId="48" fillId="0" borderId="10" xfId="57" applyNumberFormat="1" applyFont="1" applyFill="1" applyBorder="1" applyAlignment="1">
      <alignment/>
      <protection/>
    </xf>
    <xf numFmtId="0" fontId="48" fillId="0" borderId="57" xfId="57" applyFont="1" applyFill="1" applyBorder="1" applyAlignment="1">
      <alignment horizontal="left"/>
      <protection/>
    </xf>
    <xf numFmtId="0" fontId="48" fillId="0" borderId="57" xfId="57" applyFont="1" applyFill="1" applyBorder="1" applyAlignment="1">
      <alignment horizontal="left" wrapText="1"/>
      <protection/>
    </xf>
    <xf numFmtId="3" fontId="48" fillId="0" borderId="11" xfId="57" applyNumberFormat="1" applyFont="1" applyFill="1" applyBorder="1" applyAlignment="1">
      <alignment horizontal="right"/>
      <protection/>
    </xf>
    <xf numFmtId="3" fontId="48" fillId="0" borderId="12" xfId="57" applyNumberFormat="1" applyFont="1" applyFill="1" applyBorder="1" applyAlignment="1">
      <alignment horizontal="right"/>
      <protection/>
    </xf>
    <xf numFmtId="3" fontId="48" fillId="0" borderId="29" xfId="57" applyNumberFormat="1" applyFont="1" applyFill="1" applyBorder="1" applyAlignment="1">
      <alignment horizontal="right"/>
      <protection/>
    </xf>
    <xf numFmtId="166" fontId="60" fillId="0" borderId="26" xfId="48" applyNumberFormat="1" applyFont="1" applyFill="1" applyBorder="1" applyAlignment="1" applyProtection="1">
      <alignment horizontal="center" vertical="center"/>
      <protection/>
    </xf>
    <xf numFmtId="3" fontId="25" fillId="0" borderId="25" xfId="68" applyNumberFormat="1" applyFont="1" applyFill="1" applyBorder="1" applyAlignment="1">
      <alignment horizontal="right"/>
      <protection/>
    </xf>
    <xf numFmtId="3" fontId="25" fillId="0" borderId="0" xfId="68" applyNumberFormat="1" applyFont="1" applyFill="1" applyBorder="1" applyAlignment="1">
      <alignment horizontal="right"/>
      <protection/>
    </xf>
    <xf numFmtId="0" fontId="39" fillId="0" borderId="41" xfId="66" applyFont="1" applyFill="1" applyBorder="1" applyAlignment="1">
      <alignment horizontal="center" vertical="center"/>
      <protection/>
    </xf>
    <xf numFmtId="0" fontId="39" fillId="0" borderId="11" xfId="66" applyFont="1" applyFill="1" applyBorder="1" applyAlignment="1">
      <alignment horizontal="center" vertical="center"/>
      <protection/>
    </xf>
    <xf numFmtId="0" fontId="39" fillId="0" borderId="69" xfId="67" applyFont="1" applyFill="1" applyBorder="1" applyAlignment="1">
      <alignment horizontal="left" vertical="center" wrapText="1"/>
      <protection/>
    </xf>
    <xf numFmtId="0" fontId="39" fillId="0" borderId="71" xfId="67" applyFont="1" applyFill="1" applyBorder="1" applyAlignment="1">
      <alignment horizontal="left" vertical="center" wrapText="1"/>
      <protection/>
    </xf>
    <xf numFmtId="0" fontId="39" fillId="0" borderId="65" xfId="67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0" fontId="8" fillId="0" borderId="0" xfId="57" applyFont="1" applyFill="1" applyBorder="1" applyAlignment="1">
      <alignment horizontal="center" vertical="center" wrapText="1"/>
      <protection/>
    </xf>
    <xf numFmtId="3" fontId="4" fillId="0" borderId="62" xfId="59" applyNumberFormat="1" applyFont="1" applyFill="1" applyBorder="1" applyAlignment="1">
      <alignment horizontal="right" vertical="center" wrapText="1"/>
      <protection/>
    </xf>
    <xf numFmtId="3" fontId="5" fillId="0" borderId="58" xfId="59" applyNumberFormat="1" applyFont="1" applyFill="1" applyBorder="1" applyAlignment="1">
      <alignment horizontal="right" vertical="center"/>
      <protection/>
    </xf>
    <xf numFmtId="3" fontId="4" fillId="0" borderId="58" xfId="59" applyNumberFormat="1" applyFont="1" applyFill="1" applyBorder="1" applyAlignment="1">
      <alignment horizontal="right" vertical="center"/>
      <protection/>
    </xf>
    <xf numFmtId="3" fontId="9" fillId="0" borderId="58" xfId="59" applyNumberFormat="1" applyFont="1" applyFill="1" applyBorder="1" applyAlignment="1">
      <alignment horizontal="right" vertical="center" wrapText="1"/>
      <protection/>
    </xf>
    <xf numFmtId="3" fontId="4" fillId="0" borderId="60" xfId="59" applyNumberFormat="1" applyFont="1" applyFill="1" applyBorder="1" applyAlignment="1">
      <alignment horizontal="right" vertical="center"/>
      <protection/>
    </xf>
    <xf numFmtId="3" fontId="5" fillId="0" borderId="15" xfId="59" applyNumberFormat="1" applyFont="1" applyFill="1" applyBorder="1" applyAlignment="1">
      <alignment horizontal="right" vertical="center"/>
      <protection/>
    </xf>
    <xf numFmtId="3" fontId="5" fillId="0" borderId="41" xfId="59" applyNumberFormat="1" applyFont="1" applyFill="1" applyBorder="1" applyAlignment="1">
      <alignment horizontal="right" vertical="center" wrapText="1"/>
      <protection/>
    </xf>
    <xf numFmtId="3" fontId="5" fillId="0" borderId="12" xfId="59" applyNumberFormat="1" applyFont="1" applyFill="1" applyBorder="1" applyAlignment="1">
      <alignment horizontal="right" vertical="center"/>
      <protection/>
    </xf>
    <xf numFmtId="3" fontId="5" fillId="0" borderId="41" xfId="59" applyNumberFormat="1" applyFont="1" applyFill="1" applyBorder="1" applyAlignment="1">
      <alignment horizontal="right" vertical="center"/>
      <protection/>
    </xf>
    <xf numFmtId="3" fontId="5" fillId="0" borderId="159" xfId="59" applyNumberFormat="1" applyFont="1" applyFill="1" applyBorder="1" applyAlignment="1">
      <alignment horizontal="center" vertical="center"/>
      <protection/>
    </xf>
    <xf numFmtId="3" fontId="4" fillId="0" borderId="191" xfId="59" applyNumberFormat="1" applyFont="1" applyFill="1" applyBorder="1" applyAlignment="1">
      <alignment horizontal="right" vertical="center" wrapText="1"/>
      <protection/>
    </xf>
    <xf numFmtId="3" fontId="5" fillId="0" borderId="192" xfId="59" applyNumberFormat="1" applyFont="1" applyFill="1" applyBorder="1" applyAlignment="1">
      <alignment horizontal="right" vertical="center" wrapText="1"/>
      <protection/>
    </xf>
    <xf numFmtId="3" fontId="5" fillId="0" borderId="193" xfId="59" applyNumberFormat="1" applyFont="1" applyFill="1" applyBorder="1" applyAlignment="1">
      <alignment horizontal="right" vertical="center"/>
      <protection/>
    </xf>
    <xf numFmtId="3" fontId="5" fillId="0" borderId="194" xfId="59" applyNumberFormat="1" applyFont="1" applyFill="1" applyBorder="1" applyAlignment="1">
      <alignment horizontal="right" vertical="center"/>
      <protection/>
    </xf>
    <xf numFmtId="3" fontId="4" fillId="0" borderId="195" xfId="59" applyNumberFormat="1" applyFont="1" applyFill="1" applyBorder="1" applyAlignment="1">
      <alignment horizontal="right" vertical="center"/>
      <protection/>
    </xf>
    <xf numFmtId="3" fontId="4" fillId="0" borderId="192" xfId="59" applyNumberFormat="1" applyFont="1" applyFill="1" applyBorder="1" applyAlignment="1">
      <alignment horizontal="right" vertical="center"/>
      <protection/>
    </xf>
    <xf numFmtId="3" fontId="4" fillId="0" borderId="194" xfId="59" applyNumberFormat="1" applyFont="1" applyFill="1" applyBorder="1" applyAlignment="1">
      <alignment horizontal="right" vertical="center"/>
      <protection/>
    </xf>
    <xf numFmtId="0" fontId="4" fillId="0" borderId="191" xfId="59" applyFont="1" applyFill="1" applyBorder="1" applyAlignment="1">
      <alignment vertical="center"/>
      <protection/>
    </xf>
    <xf numFmtId="0" fontId="4" fillId="0" borderId="196" xfId="59" applyFont="1" applyFill="1" applyBorder="1" applyAlignment="1">
      <alignment vertical="center"/>
      <protection/>
    </xf>
    <xf numFmtId="3" fontId="5" fillId="0" borderId="191" xfId="59" applyNumberFormat="1" applyFont="1" applyFill="1" applyBorder="1" applyAlignment="1">
      <alignment horizontal="right" vertical="center"/>
      <protection/>
    </xf>
    <xf numFmtId="3" fontId="4" fillId="0" borderId="197" xfId="59" applyNumberFormat="1" applyFont="1" applyFill="1" applyBorder="1" applyAlignment="1">
      <alignment horizontal="right" vertical="center"/>
      <protection/>
    </xf>
    <xf numFmtId="3" fontId="4" fillId="0" borderId="191" xfId="59" applyNumberFormat="1" applyFont="1" applyFill="1" applyBorder="1" applyAlignment="1">
      <alignment horizontal="right" vertical="center"/>
      <protection/>
    </xf>
    <xf numFmtId="3" fontId="4" fillId="0" borderId="196" xfId="59" applyNumberFormat="1" applyFont="1" applyFill="1" applyBorder="1" applyAlignment="1">
      <alignment horizontal="right" vertical="center"/>
      <protection/>
    </xf>
    <xf numFmtId="3" fontId="5" fillId="0" borderId="198" xfId="59" applyNumberFormat="1" applyFont="1" applyFill="1" applyBorder="1" applyAlignment="1">
      <alignment horizontal="right" vertical="center" wrapText="1"/>
      <protection/>
    </xf>
    <xf numFmtId="0" fontId="0" fillId="0" borderId="106" xfId="0" applyBorder="1" applyAlignment="1">
      <alignment/>
    </xf>
    <xf numFmtId="3" fontId="4" fillId="0" borderId="197" xfId="59" applyNumberFormat="1" applyFont="1" applyFill="1" applyBorder="1" applyAlignment="1">
      <alignment horizontal="right" vertical="center" wrapText="1"/>
      <protection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52" xfId="0" applyBorder="1" applyAlignment="1">
      <alignment/>
    </xf>
    <xf numFmtId="0" fontId="0" fillId="0" borderId="161" xfId="0" applyBorder="1" applyAlignment="1">
      <alignment/>
    </xf>
    <xf numFmtId="3" fontId="0" fillId="0" borderId="52" xfId="0" applyNumberFormat="1" applyBorder="1" applyAlignment="1">
      <alignment/>
    </xf>
    <xf numFmtId="3" fontId="4" fillId="0" borderId="62" xfId="59" applyNumberFormat="1" applyFont="1" applyFill="1" applyBorder="1" applyAlignment="1">
      <alignment horizontal="right" vertical="center"/>
      <protection/>
    </xf>
    <xf numFmtId="3" fontId="5" fillId="0" borderId="59" xfId="59" applyNumberFormat="1" applyFont="1" applyFill="1" applyBorder="1" applyAlignment="1">
      <alignment horizontal="right" vertical="center"/>
      <protection/>
    </xf>
    <xf numFmtId="3" fontId="5" fillId="0" borderId="159" xfId="59" applyNumberFormat="1" applyFont="1" applyFill="1" applyBorder="1" applyAlignment="1">
      <alignment vertical="center"/>
      <protection/>
    </xf>
    <xf numFmtId="3" fontId="6" fillId="0" borderId="102" xfId="0" applyNumberFormat="1" applyFont="1" applyFill="1" applyBorder="1" applyAlignment="1">
      <alignment horizontal="center" vertical="center" wrapText="1"/>
    </xf>
    <xf numFmtId="3" fontId="5" fillId="0" borderId="199" xfId="59" applyNumberFormat="1" applyFont="1" applyFill="1" applyBorder="1" applyAlignment="1">
      <alignment horizontal="right" vertical="center"/>
      <protection/>
    </xf>
    <xf numFmtId="3" fontId="4" fillId="0" borderId="194" xfId="59" applyNumberFormat="1" applyFont="1" applyFill="1" applyBorder="1" applyAlignment="1">
      <alignment horizontal="right" vertical="center" wrapText="1"/>
      <protection/>
    </xf>
    <xf numFmtId="3" fontId="5" fillId="0" borderId="200" xfId="59" applyNumberFormat="1" applyFont="1" applyFill="1" applyBorder="1" applyAlignment="1">
      <alignment horizontal="right" vertical="center" wrapText="1"/>
      <protection/>
    </xf>
    <xf numFmtId="3" fontId="6" fillId="0" borderId="97" xfId="0" applyNumberFormat="1" applyFont="1" applyFill="1" applyBorder="1" applyAlignment="1">
      <alignment horizontal="center" vertical="center" wrapText="1"/>
    </xf>
    <xf numFmtId="3" fontId="4" fillId="0" borderId="98" xfId="59" applyNumberFormat="1" applyFont="1" applyFill="1" applyBorder="1" applyAlignment="1">
      <alignment horizontal="right" vertical="center" wrapText="1"/>
      <protection/>
    </xf>
    <xf numFmtId="3" fontId="4" fillId="0" borderId="98" xfId="59" applyNumberFormat="1" applyFont="1" applyFill="1" applyBorder="1" applyAlignment="1">
      <alignment horizontal="right" vertical="center"/>
      <protection/>
    </xf>
    <xf numFmtId="3" fontId="4" fillId="0" borderId="161" xfId="59" applyNumberFormat="1" applyFont="1" applyFill="1" applyBorder="1" applyAlignment="1">
      <alignment horizontal="right" vertical="center"/>
      <protection/>
    </xf>
    <xf numFmtId="0" fontId="4" fillId="0" borderId="52" xfId="59" applyFont="1" applyFill="1" applyBorder="1" applyAlignment="1">
      <alignment vertical="center"/>
      <protection/>
    </xf>
    <xf numFmtId="3" fontId="5" fillId="0" borderId="52" xfId="59" applyNumberFormat="1" applyFont="1" applyFill="1" applyBorder="1" applyAlignment="1">
      <alignment horizontal="right" vertical="center"/>
      <protection/>
    </xf>
    <xf numFmtId="3" fontId="5" fillId="0" borderId="161" xfId="59" applyNumberFormat="1" applyFont="1" applyFill="1" applyBorder="1" applyAlignment="1">
      <alignment horizontal="right" vertical="center" wrapText="1"/>
      <protection/>
    </xf>
    <xf numFmtId="0" fontId="4" fillId="0" borderId="197" xfId="59" applyFont="1" applyFill="1" applyBorder="1" applyAlignment="1">
      <alignment vertical="center"/>
      <protection/>
    </xf>
    <xf numFmtId="0" fontId="4" fillId="0" borderId="201" xfId="59" applyFont="1" applyFill="1" applyBorder="1" applyAlignment="1">
      <alignment vertical="center"/>
      <protection/>
    </xf>
    <xf numFmtId="3" fontId="4" fillId="0" borderId="198" xfId="59" applyNumberFormat="1" applyFont="1" applyFill="1" applyBorder="1" applyAlignment="1">
      <alignment horizontal="right" vertical="center"/>
      <protection/>
    </xf>
    <xf numFmtId="3" fontId="4" fillId="0" borderId="97" xfId="59" applyNumberFormat="1" applyFont="1" applyFill="1" applyBorder="1" applyAlignment="1">
      <alignment horizontal="right" vertical="center"/>
      <protection/>
    </xf>
    <xf numFmtId="3" fontId="19" fillId="0" borderId="41" xfId="59" applyNumberFormat="1" applyFont="1" applyFill="1" applyBorder="1" applyAlignment="1">
      <alignment horizontal="right" vertical="center" wrapText="1"/>
      <protection/>
    </xf>
    <xf numFmtId="3" fontId="4" fillId="0" borderId="41" xfId="59" applyNumberFormat="1" applyFont="1" applyFill="1" applyBorder="1" applyAlignment="1">
      <alignment horizontal="right" vertical="center"/>
      <protection/>
    </xf>
    <xf numFmtId="3" fontId="5" fillId="0" borderId="13" xfId="59" applyNumberFormat="1" applyFont="1" applyFill="1" applyBorder="1" applyAlignment="1">
      <alignment vertical="center"/>
      <protection/>
    </xf>
    <xf numFmtId="0" fontId="4" fillId="0" borderId="106" xfId="59" applyFont="1" applyFill="1" applyBorder="1" applyAlignment="1">
      <alignment vertical="center"/>
      <protection/>
    </xf>
    <xf numFmtId="3" fontId="5" fillId="0" borderId="139" xfId="59" applyNumberFormat="1" applyFont="1" applyFill="1" applyBorder="1" applyAlignment="1">
      <alignment horizontal="right" vertical="center" wrapText="1"/>
      <protection/>
    </xf>
    <xf numFmtId="3" fontId="11" fillId="0" borderId="159" xfId="59" applyNumberFormat="1" applyFont="1" applyFill="1" applyBorder="1" applyAlignment="1">
      <alignment horizontal="right" vertical="center"/>
      <protection/>
    </xf>
    <xf numFmtId="0" fontId="42" fillId="0" borderId="99" xfId="57" applyFont="1" applyFill="1" applyBorder="1" applyAlignment="1">
      <alignment horizontal="center" vertical="center"/>
      <protection/>
    </xf>
    <xf numFmtId="0" fontId="17" fillId="0" borderId="97" xfId="0" applyFont="1" applyBorder="1" applyAlignment="1">
      <alignment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21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37" xfId="59" applyNumberFormat="1" applyFont="1" applyFill="1" applyBorder="1" applyAlignment="1">
      <alignment horizontal="right" vertical="center"/>
      <protection/>
    </xf>
    <xf numFmtId="3" fontId="5" fillId="0" borderId="48" xfId="59" applyNumberFormat="1" applyFont="1" applyFill="1" applyBorder="1" applyAlignment="1">
      <alignment horizontal="right" vertical="center"/>
      <protection/>
    </xf>
    <xf numFmtId="0" fontId="4" fillId="0" borderId="41" xfId="59" applyFont="1" applyFill="1" applyBorder="1" applyAlignment="1">
      <alignment vertical="center"/>
      <protection/>
    </xf>
    <xf numFmtId="0" fontId="4" fillId="0" borderId="13" xfId="59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3" fontId="4" fillId="0" borderId="202" xfId="59" applyNumberFormat="1" applyFont="1" applyFill="1" applyBorder="1" applyAlignment="1">
      <alignment horizontal="right" vertical="center" wrapText="1"/>
      <protection/>
    </xf>
    <xf numFmtId="3" fontId="4" fillId="0" borderId="203" xfId="59" applyNumberFormat="1" applyFont="1" applyFill="1" applyBorder="1" applyAlignment="1">
      <alignment horizontal="right" vertical="center" wrapText="1"/>
      <protection/>
    </xf>
    <xf numFmtId="3" fontId="4" fillId="0" borderId="204" xfId="59" applyNumberFormat="1" applyFont="1" applyFill="1" applyBorder="1" applyAlignment="1">
      <alignment horizontal="right" vertical="center" wrapText="1"/>
      <protection/>
    </xf>
    <xf numFmtId="3" fontId="4" fillId="0" borderId="205" xfId="59" applyNumberFormat="1" applyFont="1" applyFill="1" applyBorder="1" applyAlignment="1">
      <alignment horizontal="right" vertical="center" wrapText="1"/>
      <protection/>
    </xf>
    <xf numFmtId="3" fontId="4" fillId="0" borderId="206" xfId="59" applyNumberFormat="1" applyFont="1" applyFill="1" applyBorder="1" applyAlignment="1">
      <alignment horizontal="right" vertical="center" wrapText="1"/>
      <protection/>
    </xf>
    <xf numFmtId="3" fontId="6" fillId="0" borderId="110" xfId="0" applyNumberFormat="1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3" fontId="9" fillId="0" borderId="62" xfId="59" applyNumberFormat="1" applyFont="1" applyFill="1" applyBorder="1" applyAlignment="1">
      <alignment horizontal="right" vertical="center" wrapText="1"/>
      <protection/>
    </xf>
    <xf numFmtId="3" fontId="19" fillId="0" borderId="62" xfId="59" applyNumberFormat="1" applyFont="1" applyFill="1" applyBorder="1" applyAlignment="1">
      <alignment horizontal="right" vertical="center" wrapText="1"/>
      <protection/>
    </xf>
    <xf numFmtId="3" fontId="9" fillId="0" borderId="58" xfId="59" applyNumberFormat="1" applyFont="1" applyFill="1" applyBorder="1" applyAlignment="1">
      <alignment horizontal="right" vertical="center"/>
      <protection/>
    </xf>
    <xf numFmtId="3" fontId="9" fillId="0" borderId="48" xfId="59" applyNumberFormat="1" applyFont="1" applyFill="1" applyBorder="1" applyAlignment="1">
      <alignment horizontal="right" vertical="center" wrapText="1"/>
      <protection/>
    </xf>
    <xf numFmtId="3" fontId="19" fillId="0" borderId="12" xfId="59" applyNumberFormat="1" applyFont="1" applyFill="1" applyBorder="1" applyAlignment="1">
      <alignment horizontal="right" vertical="center"/>
      <protection/>
    </xf>
    <xf numFmtId="3" fontId="19" fillId="0" borderId="41" xfId="59" applyNumberFormat="1" applyFont="1" applyFill="1" applyBorder="1" applyAlignment="1">
      <alignment horizontal="right" vertical="center"/>
      <protection/>
    </xf>
    <xf numFmtId="3" fontId="19" fillId="0" borderId="106" xfId="59" applyNumberFormat="1" applyFont="1" applyFill="1" applyBorder="1" applyAlignment="1">
      <alignment horizontal="right" vertical="center"/>
      <protection/>
    </xf>
    <xf numFmtId="3" fontId="9" fillId="0" borderId="161" xfId="59" applyNumberFormat="1" applyFont="1" applyFill="1" applyBorder="1" applyAlignment="1">
      <alignment horizontal="right" vertical="center"/>
      <protection/>
    </xf>
    <xf numFmtId="0" fontId="9" fillId="0" borderId="52" xfId="59" applyFont="1" applyFill="1" applyBorder="1" applyAlignment="1">
      <alignment vertical="center"/>
      <protection/>
    </xf>
    <xf numFmtId="3" fontId="19" fillId="0" borderId="52" xfId="59" applyNumberFormat="1" applyFont="1" applyFill="1" applyBorder="1" applyAlignment="1">
      <alignment horizontal="right" vertical="center"/>
      <protection/>
    </xf>
    <xf numFmtId="3" fontId="9" fillId="0" borderId="52" xfId="59" applyNumberFormat="1" applyFont="1" applyFill="1" applyBorder="1" applyAlignment="1">
      <alignment horizontal="right" vertical="center"/>
      <protection/>
    </xf>
    <xf numFmtId="3" fontId="5" fillId="0" borderId="62" xfId="59" applyNumberFormat="1" applyFont="1" applyFill="1" applyBorder="1" applyAlignment="1">
      <alignment horizontal="right" vertical="center" wrapText="1"/>
      <protection/>
    </xf>
    <xf numFmtId="0" fontId="8" fillId="0" borderId="207" xfId="57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3" fontId="9" fillId="0" borderId="52" xfId="59" applyNumberFormat="1" applyFont="1" applyFill="1" applyBorder="1" applyAlignment="1">
      <alignment horizontal="right" vertical="center" wrapText="1"/>
      <protection/>
    </xf>
    <xf numFmtId="3" fontId="38" fillId="33" borderId="97" xfId="0" applyNumberFormat="1" applyFont="1" applyFill="1" applyBorder="1" applyAlignment="1">
      <alignment horizontal="center" vertical="center" wrapText="1"/>
    </xf>
    <xf numFmtId="167" fontId="4" fillId="0" borderId="11" xfId="59" applyNumberFormat="1" applyFont="1" applyFill="1" applyBorder="1" applyAlignment="1">
      <alignment vertical="center" wrapText="1"/>
      <protection/>
    </xf>
    <xf numFmtId="3" fontId="5" fillId="0" borderId="11" xfId="59" applyNumberFormat="1" applyFont="1" applyFill="1" applyBorder="1" applyAlignment="1">
      <alignment vertical="center"/>
      <protection/>
    </xf>
    <xf numFmtId="3" fontId="4" fillId="0" borderId="25" xfId="59" applyNumberFormat="1" applyFont="1" applyFill="1" applyBorder="1" applyAlignment="1">
      <alignment horizontal="right" vertical="center" wrapText="1"/>
      <protection/>
    </xf>
    <xf numFmtId="3" fontId="19" fillId="0" borderId="25" xfId="59" applyNumberFormat="1" applyFont="1" applyFill="1" applyBorder="1" applyAlignment="1">
      <alignment horizontal="right" vertical="center" wrapText="1"/>
      <protection/>
    </xf>
    <xf numFmtId="3" fontId="9" fillId="0" borderId="25" xfId="59" applyNumberFormat="1" applyFont="1" applyFill="1" applyBorder="1" applyAlignment="1">
      <alignment horizontal="right" vertical="center" wrapText="1"/>
      <protection/>
    </xf>
    <xf numFmtId="3" fontId="4" fillId="0" borderId="25" xfId="59" applyNumberFormat="1" applyFont="1" applyFill="1" applyBorder="1" applyAlignment="1">
      <alignment horizontal="right" vertical="center"/>
      <protection/>
    </xf>
    <xf numFmtId="3" fontId="5" fillId="0" borderId="25" xfId="59" applyNumberFormat="1" applyFont="1" applyFill="1" applyBorder="1" applyAlignment="1">
      <alignment horizontal="right" vertical="center" wrapText="1"/>
      <protection/>
    </xf>
    <xf numFmtId="3" fontId="5" fillId="0" borderId="25" xfId="59" applyNumberFormat="1" applyFont="1" applyFill="1" applyBorder="1" applyAlignment="1">
      <alignment horizontal="right" vertical="center"/>
      <protection/>
    </xf>
    <xf numFmtId="167" fontId="0" fillId="0" borderId="98" xfId="0" applyNumberFormat="1" applyBorder="1" applyAlignment="1">
      <alignment/>
    </xf>
    <xf numFmtId="167" fontId="0" fillId="0" borderId="52" xfId="0" applyNumberFormat="1" applyBorder="1" applyAlignment="1">
      <alignment/>
    </xf>
    <xf numFmtId="167" fontId="0" fillId="0" borderId="106" xfId="0" applyNumberFormat="1" applyBorder="1" applyAlignment="1">
      <alignment/>
    </xf>
    <xf numFmtId="3" fontId="5" fillId="0" borderId="56" xfId="59" applyNumberFormat="1" applyFont="1" applyFill="1" applyBorder="1" applyAlignment="1">
      <alignment horizontal="right" vertical="center"/>
      <protection/>
    </xf>
    <xf numFmtId="3" fontId="5" fillId="0" borderId="151" xfId="59" applyNumberFormat="1" applyFont="1" applyFill="1" applyBorder="1" applyAlignment="1">
      <alignment horizontal="right" vertical="center"/>
      <protection/>
    </xf>
    <xf numFmtId="3" fontId="4" fillId="0" borderId="146" xfId="59" applyNumberFormat="1" applyFont="1" applyFill="1" applyBorder="1" applyAlignment="1">
      <alignment horizontal="right" vertical="center" wrapText="1"/>
      <protection/>
    </xf>
    <xf numFmtId="0" fontId="0" fillId="0" borderId="146" xfId="0" applyBorder="1" applyAlignment="1">
      <alignment/>
    </xf>
    <xf numFmtId="3" fontId="49" fillId="0" borderId="52" xfId="57" applyNumberFormat="1" applyFont="1" applyFill="1" applyBorder="1" applyAlignment="1">
      <alignment horizontal="right" vertical="center"/>
      <protection/>
    </xf>
    <xf numFmtId="3" fontId="48" fillId="0" borderId="52" xfId="57" applyNumberFormat="1" applyFont="1" applyFill="1" applyBorder="1" applyAlignment="1">
      <alignment vertical="center"/>
      <protection/>
    </xf>
    <xf numFmtId="3" fontId="48" fillId="0" borderId="52" xfId="57" applyNumberFormat="1" applyFont="1" applyFill="1" applyBorder="1" applyAlignment="1">
      <alignment horizontal="right" vertical="center"/>
      <protection/>
    </xf>
    <xf numFmtId="0" fontId="38" fillId="0" borderId="201" xfId="57" applyFont="1" applyFill="1" applyBorder="1" applyAlignment="1">
      <alignment horizontal="center" vertical="center"/>
      <protection/>
    </xf>
    <xf numFmtId="0" fontId="38" fillId="0" borderId="97" xfId="57" applyFont="1" applyFill="1" applyBorder="1" applyAlignment="1">
      <alignment horizontal="center"/>
      <protection/>
    </xf>
    <xf numFmtId="0" fontId="38" fillId="0" borderId="97" xfId="57" applyFont="1" applyFill="1" applyBorder="1" applyAlignment="1">
      <alignment horizontal="center" vertical="center" wrapText="1"/>
      <protection/>
    </xf>
    <xf numFmtId="3" fontId="48" fillId="0" borderId="106" xfId="63" applyNumberFormat="1" applyFont="1" applyFill="1" applyBorder="1" applyAlignment="1" applyProtection="1">
      <alignment vertical="center"/>
      <protection/>
    </xf>
    <xf numFmtId="0" fontId="38" fillId="0" borderId="97" xfId="0" applyFont="1" applyFill="1" applyBorder="1" applyAlignment="1">
      <alignment horizontal="center" vertical="center" wrapText="1"/>
    </xf>
    <xf numFmtId="3" fontId="48" fillId="0" borderId="98" xfId="69" applyNumberFormat="1" applyFont="1" applyFill="1" applyBorder="1">
      <alignment/>
      <protection/>
    </xf>
    <xf numFmtId="3" fontId="48" fillId="0" borderId="52" xfId="63" applyNumberFormat="1" applyFont="1" applyFill="1" applyBorder="1" applyAlignment="1" applyProtection="1">
      <alignment vertical="center"/>
      <protection/>
    </xf>
    <xf numFmtId="3" fontId="38" fillId="0" borderId="52" xfId="63" applyNumberFormat="1" applyFont="1" applyFill="1" applyBorder="1" applyAlignment="1" applyProtection="1">
      <alignment vertical="center"/>
      <protection/>
    </xf>
    <xf numFmtId="0" fontId="21" fillId="0" borderId="120" xfId="0" applyFont="1" applyFill="1" applyBorder="1" applyAlignment="1">
      <alignment horizontal="center" vertical="center"/>
    </xf>
    <xf numFmtId="3" fontId="2" fillId="0" borderId="208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3" fontId="48" fillId="0" borderId="209" xfId="57" applyNumberFormat="1" applyFont="1" applyFill="1" applyBorder="1" applyAlignment="1">
      <alignment horizontal="right" vertical="center"/>
      <protection/>
    </xf>
    <xf numFmtId="3" fontId="48" fillId="0" borderId="209" xfId="63" applyNumberFormat="1" applyFont="1" applyFill="1" applyBorder="1" applyAlignment="1" applyProtection="1">
      <alignment/>
      <protection/>
    </xf>
    <xf numFmtId="3" fontId="25" fillId="0" borderId="46" xfId="0" applyNumberFormat="1" applyFont="1" applyFill="1" applyBorder="1" applyAlignment="1">
      <alignment horizontal="right" vertical="center"/>
    </xf>
    <xf numFmtId="3" fontId="25" fillId="0" borderId="46" xfId="63" applyNumberFormat="1" applyFont="1" applyFill="1" applyBorder="1" applyAlignment="1" applyProtection="1">
      <alignment vertical="center"/>
      <protection/>
    </xf>
    <xf numFmtId="3" fontId="2" fillId="0" borderId="46" xfId="63" applyNumberFormat="1" applyFont="1" applyFill="1" applyBorder="1" applyAlignment="1" applyProtection="1">
      <alignment/>
      <protection/>
    </xf>
    <xf numFmtId="3" fontId="25" fillId="0" borderId="46" xfId="63" applyNumberFormat="1" applyFont="1" applyFill="1" applyBorder="1" applyAlignment="1" applyProtection="1">
      <alignment/>
      <protection/>
    </xf>
    <xf numFmtId="3" fontId="2" fillId="0" borderId="46" xfId="63" applyNumberFormat="1" applyFont="1" applyFill="1" applyBorder="1" applyAlignment="1" applyProtection="1">
      <alignment vertical="center"/>
      <protection/>
    </xf>
    <xf numFmtId="3" fontId="48" fillId="0" borderId="46" xfId="0" applyNumberFormat="1" applyFont="1" applyFill="1" applyBorder="1" applyAlignment="1">
      <alignment/>
    </xf>
    <xf numFmtId="3" fontId="48" fillId="0" borderId="46" xfId="0" applyNumberFormat="1" applyFont="1" applyFill="1" applyBorder="1" applyAlignment="1">
      <alignment horizontal="right" vertical="center"/>
    </xf>
    <xf numFmtId="3" fontId="38" fillId="0" borderId="46" xfId="0" applyNumberFormat="1" applyFont="1" applyFill="1" applyBorder="1" applyAlignment="1">
      <alignment horizontal="right" vertical="center"/>
    </xf>
    <xf numFmtId="3" fontId="48" fillId="0" borderId="91" xfId="0" applyNumberFormat="1" applyFont="1" applyFill="1" applyBorder="1" applyAlignment="1">
      <alignment horizontal="right" vertical="center"/>
    </xf>
    <xf numFmtId="3" fontId="38" fillId="0" borderId="36" xfId="0" applyNumberFormat="1" applyFont="1" applyFill="1" applyBorder="1" applyAlignment="1">
      <alignment horizontal="right" vertical="center"/>
    </xf>
    <xf numFmtId="3" fontId="48" fillId="0" borderId="36" xfId="0" applyNumberFormat="1" applyFont="1" applyFill="1" applyBorder="1" applyAlignment="1">
      <alignment horizontal="right" vertical="center"/>
    </xf>
    <xf numFmtId="0" fontId="21" fillId="0" borderId="98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3" fontId="2" fillId="0" borderId="2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48" fillId="0" borderId="11" xfId="57" applyNumberFormat="1" applyFont="1" applyFill="1" applyBorder="1" applyAlignment="1">
      <alignment horizontal="right" vertical="center"/>
      <protection/>
    </xf>
    <xf numFmtId="3" fontId="48" fillId="0" borderId="11" xfId="63" applyNumberFormat="1" applyFont="1" applyFill="1" applyBorder="1" applyAlignment="1" applyProtection="1">
      <alignment/>
      <protection/>
    </xf>
    <xf numFmtId="3" fontId="25" fillId="0" borderId="11" xfId="0" applyNumberFormat="1" applyFont="1" applyFill="1" applyBorder="1" applyAlignment="1">
      <alignment horizontal="right" vertical="center"/>
    </xf>
    <xf numFmtId="3" fontId="25" fillId="0" borderId="11" xfId="63" applyNumberFormat="1" applyFont="1" applyFill="1" applyBorder="1" applyAlignment="1" applyProtection="1">
      <alignment vertical="center"/>
      <protection/>
    </xf>
    <xf numFmtId="3" fontId="2" fillId="0" borderId="11" xfId="63" applyNumberFormat="1" applyFont="1" applyFill="1" applyBorder="1" applyAlignment="1" applyProtection="1">
      <alignment/>
      <protection/>
    </xf>
    <xf numFmtId="3" fontId="25" fillId="0" borderId="11" xfId="63" applyNumberFormat="1" applyFont="1" applyFill="1" applyBorder="1" applyAlignment="1" applyProtection="1">
      <alignment/>
      <protection/>
    </xf>
    <xf numFmtId="3" fontId="2" fillId="0" borderId="11" xfId="63" applyNumberFormat="1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right" vertic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4" xfId="0" applyNumberFormat="1" applyFont="1" applyFill="1" applyBorder="1" applyAlignment="1">
      <alignment horizontal="right" vertical="center"/>
    </xf>
    <xf numFmtId="3" fontId="48" fillId="0" borderId="23" xfId="0" applyNumberFormat="1" applyFont="1" applyFill="1" applyBorder="1" applyAlignment="1">
      <alignment horizontal="right" vertical="center"/>
    </xf>
    <xf numFmtId="0" fontId="38" fillId="34" borderId="13" xfId="0" applyFont="1" applyFill="1" applyBorder="1" applyAlignment="1">
      <alignment horizontal="center" vertical="center" wrapText="1"/>
    </xf>
    <xf numFmtId="3" fontId="48" fillId="0" borderId="15" xfId="57" applyNumberFormat="1" applyFont="1" applyFill="1" applyBorder="1" applyAlignment="1">
      <alignment/>
      <protection/>
    </xf>
    <xf numFmtId="0" fontId="38" fillId="0" borderId="23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/>
    </xf>
    <xf numFmtId="3" fontId="48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48" fillId="0" borderId="42" xfId="0" applyFont="1" applyFill="1" applyBorder="1" applyAlignment="1">
      <alignment horizontal="left"/>
    </xf>
    <xf numFmtId="3" fontId="39" fillId="0" borderId="11" xfId="67" applyNumberFormat="1" applyFont="1" applyFill="1" applyBorder="1" applyAlignment="1">
      <alignment vertical="center"/>
      <protection/>
    </xf>
    <xf numFmtId="3" fontId="39" fillId="0" borderId="11" xfId="66" applyNumberFormat="1" applyFont="1" applyFill="1" applyBorder="1" applyAlignment="1">
      <alignment vertical="center"/>
      <protection/>
    </xf>
    <xf numFmtId="3" fontId="39" fillId="0" borderId="14" xfId="67" applyNumberFormat="1" applyFont="1" applyFill="1" applyBorder="1" applyAlignment="1">
      <alignment vertical="center"/>
      <protection/>
    </xf>
    <xf numFmtId="3" fontId="39" fillId="0" borderId="14" xfId="66" applyNumberFormat="1" applyFont="1" applyFill="1" applyBorder="1" applyAlignment="1">
      <alignment vertical="center"/>
      <protection/>
    </xf>
    <xf numFmtId="0" fontId="39" fillId="0" borderId="28" xfId="67" applyFont="1" applyFill="1" applyBorder="1" applyAlignment="1">
      <alignment horizontal="left" vertical="center" wrapText="1"/>
      <protection/>
    </xf>
    <xf numFmtId="0" fontId="39" fillId="0" borderId="63" xfId="67" applyFont="1" applyFill="1" applyBorder="1" applyAlignment="1">
      <alignment horizontal="left" vertical="center" wrapText="1"/>
      <protection/>
    </xf>
    <xf numFmtId="0" fontId="39" fillId="0" borderId="44" xfId="67" applyFont="1" applyFill="1" applyBorder="1" applyAlignment="1">
      <alignment horizontal="left" vertical="center" wrapText="1"/>
      <protection/>
    </xf>
    <xf numFmtId="0" fontId="65" fillId="0" borderId="0" xfId="0" applyFont="1" applyFill="1" applyAlignment="1">
      <alignment horizontal="left" vertical="center"/>
    </xf>
    <xf numFmtId="0" fontId="8" fillId="0" borderId="211" xfId="0" applyFont="1" applyFill="1" applyBorder="1" applyAlignment="1">
      <alignment horizontal="center" vertical="center"/>
    </xf>
    <xf numFmtId="3" fontId="6" fillId="0" borderId="183" xfId="0" applyNumberFormat="1" applyFont="1" applyFill="1" applyBorder="1" applyAlignment="1">
      <alignment horizontal="center" vertical="center" wrapText="1"/>
    </xf>
    <xf numFmtId="3" fontId="5" fillId="0" borderId="188" xfId="59" applyNumberFormat="1" applyFont="1" applyFill="1" applyBorder="1" applyAlignment="1">
      <alignment horizontal="right" vertical="center"/>
      <protection/>
    </xf>
    <xf numFmtId="3" fontId="4" fillId="0" borderId="212" xfId="59" applyNumberFormat="1" applyFont="1" applyFill="1" applyBorder="1" applyAlignment="1">
      <alignment horizontal="right" vertical="center" wrapText="1"/>
      <protection/>
    </xf>
    <xf numFmtId="3" fontId="4" fillId="0" borderId="183" xfId="59" applyNumberFormat="1" applyFont="1" applyFill="1" applyBorder="1" applyAlignment="1">
      <alignment horizontal="right" vertical="center" wrapText="1"/>
      <protection/>
    </xf>
    <xf numFmtId="0" fontId="5" fillId="0" borderId="213" xfId="59" applyFont="1" applyFill="1" applyBorder="1" applyAlignment="1">
      <alignment horizontal="center" vertical="center"/>
      <protection/>
    </xf>
    <xf numFmtId="3" fontId="4" fillId="0" borderId="188" xfId="59" applyNumberFormat="1" applyFont="1" applyFill="1" applyBorder="1" applyAlignment="1">
      <alignment horizontal="right" vertical="center"/>
      <protection/>
    </xf>
    <xf numFmtId="0" fontId="5" fillId="0" borderId="191" xfId="59" applyFont="1" applyFill="1" applyBorder="1" applyAlignment="1">
      <alignment horizontal="center" vertical="center" wrapText="1"/>
      <protection/>
    </xf>
    <xf numFmtId="3" fontId="5" fillId="0" borderId="174" xfId="59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0" fontId="8" fillId="0" borderId="97" xfId="57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0" fontId="11" fillId="0" borderId="23" xfId="59" applyFont="1" applyFill="1" applyBorder="1" applyAlignment="1">
      <alignment horizontal="center" vertical="center" wrapText="1"/>
      <protection/>
    </xf>
    <xf numFmtId="0" fontId="11" fillId="0" borderId="158" xfId="59" applyFont="1" applyFill="1" applyBorder="1" applyAlignment="1">
      <alignment horizontal="center" vertical="center" wrapText="1"/>
      <protection/>
    </xf>
    <xf numFmtId="0" fontId="8" fillId="0" borderId="99" xfId="57" applyFont="1" applyFill="1" applyBorder="1" applyAlignment="1">
      <alignment horizontal="center" vertical="center" wrapText="1"/>
      <protection/>
    </xf>
    <xf numFmtId="0" fontId="8" fillId="0" borderId="60" xfId="59" applyFont="1" applyFill="1" applyBorder="1" applyAlignment="1">
      <alignment horizontal="center" vertical="center" wrapText="1"/>
      <protection/>
    </xf>
    <xf numFmtId="0" fontId="4" fillId="0" borderId="100" xfId="59" applyFont="1" applyFill="1" applyBorder="1" applyAlignment="1">
      <alignment vertical="center" wrapText="1"/>
      <protection/>
    </xf>
    <xf numFmtId="0" fontId="4" fillId="0" borderId="101" xfId="59" applyFont="1" applyFill="1" applyBorder="1" applyAlignment="1">
      <alignment vertical="center"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5" fillId="0" borderId="58" xfId="59" applyFont="1" applyFill="1" applyBorder="1" applyAlignment="1">
      <alignment vertical="center" wrapText="1"/>
      <protection/>
    </xf>
    <xf numFmtId="0" fontId="11" fillId="0" borderId="37" xfId="59" applyFont="1" applyFill="1" applyBorder="1" applyAlignment="1">
      <alignment horizontal="center" vertical="center" wrapText="1"/>
      <protection/>
    </xf>
    <xf numFmtId="0" fontId="11" fillId="0" borderId="138" xfId="59" applyFont="1" applyFill="1" applyBorder="1" applyAlignment="1">
      <alignment horizontal="center" vertical="center" wrapText="1"/>
      <protection/>
    </xf>
    <xf numFmtId="0" fontId="4" fillId="0" borderId="214" xfId="59" applyFont="1" applyFill="1" applyBorder="1" applyAlignment="1">
      <alignment vertical="center" wrapText="1"/>
      <protection/>
    </xf>
    <xf numFmtId="0" fontId="4" fillId="0" borderId="87" xfId="59" applyFont="1" applyFill="1" applyBorder="1" applyAlignment="1">
      <alignment vertical="center" wrapText="1"/>
      <protection/>
    </xf>
    <xf numFmtId="3" fontId="0" fillId="0" borderId="0" xfId="0" applyNumberFormat="1" applyAlignment="1">
      <alignment wrapText="1"/>
    </xf>
    <xf numFmtId="0" fontId="8" fillId="0" borderId="127" xfId="57" applyFont="1" applyFill="1" applyBorder="1" applyAlignment="1">
      <alignment horizontal="center" vertical="center" wrapText="1"/>
      <protection/>
    </xf>
    <xf numFmtId="0" fontId="11" fillId="0" borderId="160" xfId="59" applyFont="1" applyFill="1" applyBorder="1" applyAlignment="1">
      <alignment horizontal="center" vertical="center" wrapText="1"/>
      <protection/>
    </xf>
    <xf numFmtId="0" fontId="5" fillId="0" borderId="51" xfId="59" applyFont="1" applyFill="1" applyBorder="1" applyAlignment="1">
      <alignment horizontal="left" vertical="center" wrapText="1"/>
      <protection/>
    </xf>
    <xf numFmtId="0" fontId="5" fillId="0" borderId="214" xfId="59" applyFont="1" applyFill="1" applyBorder="1" applyAlignment="1">
      <alignment horizontal="left" vertical="center" wrapText="1"/>
      <protection/>
    </xf>
    <xf numFmtId="0" fontId="5" fillId="0" borderId="39" xfId="59" applyFont="1" applyFill="1" applyBorder="1" applyAlignment="1">
      <alignment horizontal="left" vertical="center" wrapText="1"/>
      <protection/>
    </xf>
    <xf numFmtId="0" fontId="5" fillId="0" borderId="90" xfId="59" applyFont="1" applyFill="1" applyBorder="1" applyAlignment="1">
      <alignment vertical="center" wrapText="1"/>
      <protection/>
    </xf>
    <xf numFmtId="0" fontId="4" fillId="0" borderId="114" xfId="59" applyFont="1" applyFill="1" applyBorder="1" applyAlignment="1">
      <alignment horizontal="left" vertical="center" wrapText="1"/>
      <protection/>
    </xf>
    <xf numFmtId="0" fontId="4" fillId="0" borderId="39" xfId="59" applyFont="1" applyFill="1" applyBorder="1" applyAlignment="1">
      <alignment horizontal="left" vertical="center" wrapText="1"/>
      <protection/>
    </xf>
    <xf numFmtId="3" fontId="48" fillId="0" borderId="215" xfId="57" applyNumberFormat="1" applyFont="1" applyFill="1" applyBorder="1" applyAlignment="1">
      <alignment vertical="center"/>
      <protection/>
    </xf>
    <xf numFmtId="3" fontId="49" fillId="0" borderId="215" xfId="57" applyNumberFormat="1" applyFont="1" applyFill="1" applyBorder="1" applyAlignment="1">
      <alignment horizontal="right" vertical="center"/>
      <protection/>
    </xf>
    <xf numFmtId="3" fontId="49" fillId="0" borderId="110" xfId="57" applyNumberFormat="1" applyFont="1" applyFill="1" applyBorder="1" applyAlignment="1">
      <alignment horizontal="right" vertical="center"/>
      <protection/>
    </xf>
    <xf numFmtId="0" fontId="38" fillId="0" borderId="216" xfId="57" applyFont="1" applyFill="1" applyBorder="1" applyAlignment="1">
      <alignment horizontal="center" vertical="center"/>
      <protection/>
    </xf>
    <xf numFmtId="3" fontId="48" fillId="0" borderId="110" xfId="57" applyNumberFormat="1" applyFont="1" applyFill="1" applyBorder="1" applyAlignment="1">
      <alignment vertical="center"/>
      <protection/>
    </xf>
    <xf numFmtId="0" fontId="15" fillId="0" borderId="10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217" xfId="0" applyFont="1" applyBorder="1" applyAlignment="1">
      <alignment vertical="center"/>
    </xf>
    <xf numFmtId="0" fontId="6" fillId="0" borderId="217" xfId="0" applyFont="1" applyFill="1" applyBorder="1" applyAlignment="1">
      <alignment vertical="center"/>
    </xf>
    <xf numFmtId="0" fontId="15" fillId="37" borderId="94" xfId="0" applyFont="1" applyFill="1" applyBorder="1" applyAlignment="1">
      <alignment vertical="center"/>
    </xf>
    <xf numFmtId="0" fontId="15" fillId="0" borderId="9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48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2" fontId="15" fillId="0" borderId="218" xfId="0" applyNumberFormat="1" applyFont="1" applyBorder="1" applyAlignment="1">
      <alignment vertical="center"/>
    </xf>
    <xf numFmtId="2" fontId="15" fillId="0" borderId="2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2" fontId="15" fillId="0" borderId="219" xfId="0" applyNumberFormat="1" applyFont="1" applyBorder="1" applyAlignment="1">
      <alignment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99" xfId="0" applyFont="1" applyFill="1" applyBorder="1" applyAlignment="1">
      <alignment horizontal="center" vertical="center" wrapText="1"/>
    </xf>
    <xf numFmtId="0" fontId="38" fillId="34" borderId="37" xfId="0" applyFont="1" applyFill="1" applyBorder="1" applyAlignment="1">
      <alignment horizontal="center" vertical="center" wrapText="1"/>
    </xf>
    <xf numFmtId="3" fontId="38" fillId="0" borderId="37" xfId="0" applyNumberFormat="1" applyFont="1" applyFill="1" applyBorder="1" applyAlignment="1">
      <alignment horizontal="right"/>
    </xf>
    <xf numFmtId="3" fontId="48" fillId="0" borderId="37" xfId="57" applyNumberFormat="1" applyFont="1" applyFill="1" applyBorder="1" applyAlignment="1">
      <alignment/>
      <protection/>
    </xf>
    <xf numFmtId="3" fontId="52" fillId="0" borderId="16" xfId="0" applyNumberFormat="1" applyFont="1" applyFill="1" applyBorder="1" applyAlignment="1">
      <alignment horizontal="right"/>
    </xf>
    <xf numFmtId="3" fontId="48" fillId="0" borderId="62" xfId="0" applyNumberFormat="1" applyFont="1" applyFill="1" applyBorder="1" applyAlignment="1">
      <alignment horizontal="right" vertical="center"/>
    </xf>
    <xf numFmtId="3" fontId="52" fillId="0" borderId="37" xfId="0" applyNumberFormat="1" applyFont="1" applyFill="1" applyBorder="1" applyAlignment="1">
      <alignment horizontal="right" vertical="center"/>
    </xf>
    <xf numFmtId="3" fontId="48" fillId="0" borderId="100" xfId="0" applyNumberFormat="1" applyFont="1" applyFill="1" applyBorder="1" applyAlignment="1">
      <alignment horizontal="right" vertical="center"/>
    </xf>
    <xf numFmtId="3" fontId="48" fillId="0" borderId="25" xfId="0" applyNumberFormat="1" applyFont="1" applyFill="1" applyBorder="1" applyAlignment="1">
      <alignment horizontal="right" vertical="center"/>
    </xf>
    <xf numFmtId="3" fontId="38" fillId="0" borderId="152" xfId="0" applyNumberFormat="1" applyFont="1" applyFill="1" applyBorder="1" applyAlignment="1">
      <alignment horizontal="right"/>
    </xf>
    <xf numFmtId="3" fontId="38" fillId="0" borderId="60" xfId="0" applyNumberFormat="1" applyFont="1" applyFill="1" applyBorder="1" applyAlignment="1">
      <alignment horizontal="right"/>
    </xf>
    <xf numFmtId="0" fontId="38" fillId="0" borderId="98" xfId="0" applyFont="1" applyFill="1" applyBorder="1" applyAlignment="1">
      <alignment horizontal="center" vertical="center"/>
    </xf>
    <xf numFmtId="0" fontId="38" fillId="34" borderId="52" xfId="0" applyFont="1" applyFill="1" applyBorder="1" applyAlignment="1">
      <alignment horizontal="center" vertical="center" wrapText="1"/>
    </xf>
    <xf numFmtId="3" fontId="38" fillId="0" borderId="52" xfId="0" applyNumberFormat="1" applyFont="1" applyFill="1" applyBorder="1" applyAlignment="1">
      <alignment horizontal="right"/>
    </xf>
    <xf numFmtId="3" fontId="48" fillId="0" borderId="52" xfId="57" applyNumberFormat="1" applyFont="1" applyFill="1" applyBorder="1" applyAlignment="1">
      <alignment/>
      <protection/>
    </xf>
    <xf numFmtId="3" fontId="52" fillId="0" borderId="52" xfId="0" applyNumberFormat="1" applyFont="1" applyFill="1" applyBorder="1" applyAlignment="1">
      <alignment horizontal="right"/>
    </xf>
    <xf numFmtId="3" fontId="48" fillId="0" borderId="52" xfId="0" applyNumberFormat="1" applyFont="1" applyFill="1" applyBorder="1" applyAlignment="1">
      <alignment horizontal="right" vertical="center"/>
    </xf>
    <xf numFmtId="3" fontId="52" fillId="0" borderId="52" xfId="0" applyNumberFormat="1" applyFont="1" applyFill="1" applyBorder="1" applyAlignment="1">
      <alignment horizontal="right" vertical="center"/>
    </xf>
    <xf numFmtId="3" fontId="48" fillId="0" borderId="220" xfId="57" applyNumberFormat="1" applyFont="1" applyFill="1" applyBorder="1" applyAlignment="1">
      <alignment/>
      <protection/>
    </xf>
    <xf numFmtId="3" fontId="38" fillId="0" borderId="220" xfId="0" applyNumberFormat="1" applyFont="1" applyFill="1" applyBorder="1" applyAlignment="1">
      <alignment horizontal="right"/>
    </xf>
    <xf numFmtId="3" fontId="52" fillId="0" borderId="220" xfId="0" applyNumberFormat="1" applyFont="1" applyFill="1" applyBorder="1" applyAlignment="1">
      <alignment horizontal="right"/>
    </xf>
    <xf numFmtId="3" fontId="48" fillId="0" borderId="220" xfId="0" applyNumberFormat="1" applyFont="1" applyFill="1" applyBorder="1" applyAlignment="1">
      <alignment horizontal="right" vertical="center"/>
    </xf>
    <xf numFmtId="3" fontId="52" fillId="0" borderId="220" xfId="0" applyNumberFormat="1" applyFont="1" applyFill="1" applyBorder="1" applyAlignment="1">
      <alignment horizontal="right" vertical="center"/>
    </xf>
    <xf numFmtId="3" fontId="48" fillId="0" borderId="221" xfId="0" applyNumberFormat="1" applyFont="1" applyFill="1" applyBorder="1" applyAlignment="1">
      <alignment horizontal="right" vertical="center"/>
    </xf>
    <xf numFmtId="3" fontId="48" fillId="0" borderId="222" xfId="0" applyNumberFormat="1" applyFont="1" applyFill="1" applyBorder="1" applyAlignment="1">
      <alignment horizontal="right" vertical="center"/>
    </xf>
    <xf numFmtId="3" fontId="48" fillId="0" borderId="223" xfId="0" applyNumberFormat="1" applyFont="1" applyFill="1" applyBorder="1" applyAlignment="1">
      <alignment horizontal="right" vertical="center"/>
    </xf>
    <xf numFmtId="0" fontId="48" fillId="0" borderId="58" xfId="0" applyFont="1" applyFill="1" applyBorder="1" applyAlignment="1">
      <alignment horizontal="center"/>
    </xf>
    <xf numFmtId="0" fontId="48" fillId="0" borderId="62" xfId="0" applyFont="1" applyFill="1" applyBorder="1" applyAlignment="1">
      <alignment/>
    </xf>
    <xf numFmtId="0" fontId="48" fillId="0" borderId="79" xfId="57" applyFont="1" applyFill="1" applyBorder="1" applyAlignment="1">
      <alignment horizontal="left"/>
      <protection/>
    </xf>
    <xf numFmtId="3" fontId="48" fillId="0" borderId="30" xfId="57" applyNumberFormat="1" applyFont="1" applyFill="1" applyBorder="1" applyAlignment="1">
      <alignment horizontal="right"/>
      <protection/>
    </xf>
    <xf numFmtId="3" fontId="48" fillId="0" borderId="180" xfId="0" applyNumberFormat="1" applyFont="1" applyFill="1" applyBorder="1" applyAlignment="1">
      <alignment horizontal="right" vertical="center"/>
    </xf>
    <xf numFmtId="0" fontId="48" fillId="0" borderId="28" xfId="57" applyFont="1" applyFill="1" applyBorder="1" applyAlignment="1">
      <alignment horizontal="left"/>
      <protection/>
    </xf>
    <xf numFmtId="0" fontId="17" fillId="0" borderId="97" xfId="0" applyFont="1" applyBorder="1" applyAlignment="1">
      <alignment horizontal="center"/>
    </xf>
    <xf numFmtId="0" fontId="8" fillId="0" borderId="43" xfId="59" applyFont="1" applyFill="1" applyBorder="1" applyAlignment="1">
      <alignment horizontal="center" vertical="center" wrapText="1"/>
      <protection/>
    </xf>
    <xf numFmtId="0" fontId="42" fillId="0" borderId="224" xfId="57" applyFont="1" applyFill="1" applyBorder="1" applyAlignment="1">
      <alignment horizontal="center" vertical="center"/>
      <protection/>
    </xf>
    <xf numFmtId="3" fontId="6" fillId="0" borderId="114" xfId="0" applyNumberFormat="1" applyFont="1" applyFill="1" applyBorder="1" applyAlignment="1">
      <alignment horizontal="center" vertical="center" wrapText="1"/>
    </xf>
    <xf numFmtId="3" fontId="5" fillId="0" borderId="90" xfId="59" applyNumberFormat="1" applyFont="1" applyFill="1" applyBorder="1" applyAlignment="1">
      <alignment horizontal="right" vertical="center"/>
      <protection/>
    </xf>
    <xf numFmtId="3" fontId="4" fillId="0" borderId="214" xfId="59" applyNumberFormat="1" applyFont="1" applyFill="1" applyBorder="1" applyAlignment="1">
      <alignment horizontal="right" vertical="center" wrapText="1"/>
      <protection/>
    </xf>
    <xf numFmtId="0" fontId="0" fillId="0" borderId="53" xfId="0" applyBorder="1" applyAlignment="1">
      <alignment/>
    </xf>
    <xf numFmtId="0" fontId="0" fillId="0" borderId="225" xfId="0" applyBorder="1" applyAlignment="1">
      <alignment/>
    </xf>
    <xf numFmtId="0" fontId="5" fillId="0" borderId="193" xfId="59" applyFont="1" applyFill="1" applyBorder="1" applyAlignment="1">
      <alignment horizontal="center" vertical="center" wrapText="1"/>
      <protection/>
    </xf>
    <xf numFmtId="0" fontId="5" fillId="0" borderId="199" xfId="59" applyFont="1" applyFill="1" applyBorder="1" applyAlignment="1">
      <alignment horizontal="center" vertical="center" wrapText="1"/>
      <protection/>
    </xf>
    <xf numFmtId="0" fontId="5" fillId="0" borderId="194" xfId="59" applyFont="1" applyFill="1" applyBorder="1" applyAlignment="1">
      <alignment horizontal="center" vertical="center" wrapText="1"/>
      <protection/>
    </xf>
    <xf numFmtId="0" fontId="5" fillId="0" borderId="191" xfId="59" applyFont="1" applyFill="1" applyBorder="1" applyAlignment="1">
      <alignment horizontal="center" vertical="center"/>
      <protection/>
    </xf>
    <xf numFmtId="0" fontId="5" fillId="0" borderId="192" xfId="59" applyFont="1" applyFill="1" applyBorder="1" applyAlignment="1">
      <alignment horizontal="center" vertical="center"/>
      <protection/>
    </xf>
    <xf numFmtId="0" fontId="8" fillId="0" borderId="224" xfId="57" applyFont="1" applyFill="1" applyBorder="1" applyAlignment="1">
      <alignment horizontal="center" vertical="center"/>
      <protection/>
    </xf>
    <xf numFmtId="0" fontId="5" fillId="0" borderId="90" xfId="59" applyFont="1" applyFill="1" applyBorder="1" applyAlignment="1">
      <alignment horizontal="center" vertical="center" wrapText="1"/>
      <protection/>
    </xf>
    <xf numFmtId="0" fontId="5" fillId="0" borderId="214" xfId="59" applyFont="1" applyFill="1" applyBorder="1" applyAlignment="1">
      <alignment horizontal="center" vertical="center" wrapText="1"/>
      <protection/>
    </xf>
    <xf numFmtId="0" fontId="5" fillId="0" borderId="39" xfId="59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/>
    </xf>
    <xf numFmtId="3" fontId="5" fillId="0" borderId="226" xfId="59" applyNumberFormat="1" applyFont="1" applyFill="1" applyBorder="1" applyAlignment="1">
      <alignment horizontal="right" vertical="center"/>
      <protection/>
    </xf>
    <xf numFmtId="3" fontId="4" fillId="0" borderId="226" xfId="59" applyNumberFormat="1" applyFont="1" applyFill="1" applyBorder="1" applyAlignment="1">
      <alignment horizontal="right" vertical="center"/>
      <protection/>
    </xf>
    <xf numFmtId="3" fontId="4" fillId="0" borderId="226" xfId="59" applyNumberFormat="1" applyFont="1" applyFill="1" applyBorder="1" applyAlignment="1">
      <alignment horizontal="right" vertical="center" wrapText="1"/>
      <protection/>
    </xf>
    <xf numFmtId="3" fontId="19" fillId="0" borderId="52" xfId="59" applyNumberFormat="1" applyFont="1" applyFill="1" applyBorder="1" applyAlignment="1">
      <alignment horizontal="right" vertical="center" wrapText="1"/>
      <protection/>
    </xf>
    <xf numFmtId="3" fontId="19" fillId="0" borderId="226" xfId="59" applyNumberFormat="1" applyFont="1" applyFill="1" applyBorder="1" applyAlignment="1">
      <alignment horizontal="right" vertical="center" wrapText="1"/>
      <protection/>
    </xf>
    <xf numFmtId="0" fontId="0" fillId="0" borderId="227" xfId="0" applyBorder="1" applyAlignment="1">
      <alignment/>
    </xf>
    <xf numFmtId="3" fontId="5" fillId="0" borderId="201" xfId="59" applyNumberFormat="1" applyFont="1" applyFill="1" applyBorder="1" applyAlignment="1">
      <alignment horizontal="right" vertical="center"/>
      <protection/>
    </xf>
    <xf numFmtId="3" fontId="5" fillId="0" borderId="228" xfId="59" applyNumberFormat="1" applyFont="1" applyFill="1" applyBorder="1" applyAlignment="1">
      <alignment horizontal="right" vertical="center"/>
      <protection/>
    </xf>
    <xf numFmtId="3" fontId="48" fillId="0" borderId="0" xfId="63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38" fillId="0" borderId="98" xfId="57" applyFont="1" applyFill="1" applyBorder="1" applyAlignment="1">
      <alignment horizontal="center"/>
      <protection/>
    </xf>
    <xf numFmtId="0" fontId="38" fillId="0" borderId="52" xfId="57" applyFont="1" applyFill="1" applyBorder="1" applyAlignment="1">
      <alignment horizontal="center" vertical="center"/>
      <protection/>
    </xf>
    <xf numFmtId="3" fontId="38" fillId="0" borderId="161" xfId="57" applyNumberFormat="1" applyFont="1" applyFill="1" applyBorder="1" applyAlignment="1">
      <alignment horizontal="right" vertical="center"/>
      <protection/>
    </xf>
    <xf numFmtId="3" fontId="48" fillId="0" borderId="15" xfId="0" applyNumberFormat="1" applyFont="1" applyFill="1" applyBorder="1" applyAlignment="1">
      <alignment horizontal="right" vertical="center"/>
    </xf>
    <xf numFmtId="3" fontId="38" fillId="33" borderId="102" xfId="0" applyNumberFormat="1" applyFont="1" applyFill="1" applyBorder="1" applyAlignment="1">
      <alignment horizontal="center" vertical="center" wrapText="1"/>
    </xf>
    <xf numFmtId="3" fontId="5" fillId="0" borderId="102" xfId="59" applyNumberFormat="1" applyFont="1" applyFill="1" applyBorder="1" applyAlignment="1">
      <alignment horizontal="right" vertical="center" wrapText="1"/>
      <protection/>
    </xf>
    <xf numFmtId="3" fontId="5" fillId="0" borderId="25" xfId="59" applyNumberFormat="1" applyFont="1" applyFill="1" applyBorder="1" applyAlignment="1">
      <alignment vertical="center"/>
      <protection/>
    </xf>
    <xf numFmtId="3" fontId="19" fillId="0" borderId="37" xfId="59" applyNumberFormat="1" applyFont="1" applyFill="1" applyBorder="1" applyAlignment="1">
      <alignment horizontal="right" vertical="center"/>
      <protection/>
    </xf>
    <xf numFmtId="0" fontId="6" fillId="0" borderId="97" xfId="0" applyFont="1" applyFill="1" applyBorder="1" applyAlignment="1">
      <alignment horizontal="center"/>
    </xf>
    <xf numFmtId="3" fontId="5" fillId="0" borderId="216" xfId="59" applyNumberFormat="1" applyFont="1" applyFill="1" applyBorder="1" applyAlignment="1">
      <alignment horizontal="right" vertical="center" wrapText="1"/>
      <protection/>
    </xf>
    <xf numFmtId="3" fontId="5" fillId="0" borderId="52" xfId="59" applyNumberFormat="1" applyFont="1" applyFill="1" applyBorder="1" applyAlignment="1">
      <alignment horizontal="right" vertical="center" wrapText="1"/>
      <protection/>
    </xf>
    <xf numFmtId="0" fontId="5" fillId="0" borderId="52" xfId="59" applyFont="1" applyFill="1" applyBorder="1" applyAlignment="1">
      <alignment vertical="center"/>
      <protection/>
    </xf>
    <xf numFmtId="0" fontId="4" fillId="0" borderId="52" xfId="59" applyFont="1" applyFill="1" applyBorder="1" applyAlignment="1">
      <alignment horizontal="left" vertical="center" wrapText="1"/>
      <protection/>
    </xf>
    <xf numFmtId="3" fontId="5" fillId="0" borderId="221" xfId="59" applyNumberFormat="1" applyFont="1" applyFill="1" applyBorder="1" applyAlignment="1">
      <alignment horizontal="right" vertical="center" wrapText="1"/>
      <protection/>
    </xf>
    <xf numFmtId="3" fontId="5" fillId="0" borderId="201" xfId="59" applyNumberFormat="1" applyFont="1" applyFill="1" applyBorder="1" applyAlignment="1">
      <alignment horizontal="right" vertical="center" wrapText="1"/>
      <protection/>
    </xf>
    <xf numFmtId="3" fontId="5" fillId="0" borderId="221" xfId="59" applyNumberFormat="1" applyFont="1" applyFill="1" applyBorder="1" applyAlignment="1">
      <alignment vertical="center"/>
      <protection/>
    </xf>
    <xf numFmtId="3" fontId="4" fillId="0" borderId="201" xfId="59" applyNumberFormat="1" applyFont="1" applyFill="1" applyBorder="1" applyAlignment="1">
      <alignment horizontal="right" vertical="center"/>
      <protection/>
    </xf>
    <xf numFmtId="3" fontId="4" fillId="0" borderId="221" xfId="5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/>
    </xf>
    <xf numFmtId="3" fontId="4" fillId="0" borderId="221" xfId="59" applyNumberFormat="1" applyFont="1" applyFill="1" applyBorder="1" applyAlignment="1">
      <alignment horizontal="right" vertical="center" wrapText="1"/>
      <protection/>
    </xf>
    <xf numFmtId="3" fontId="4" fillId="0" borderId="201" xfId="59" applyNumberFormat="1" applyFont="1" applyFill="1" applyBorder="1" applyAlignment="1">
      <alignment horizontal="right" vertical="center" wrapText="1"/>
      <protection/>
    </xf>
    <xf numFmtId="3" fontId="5" fillId="0" borderId="97" xfId="59" applyNumberFormat="1" applyFont="1" applyFill="1" applyBorder="1" applyAlignment="1">
      <alignment horizontal="right" vertical="center" wrapText="1"/>
      <protection/>
    </xf>
    <xf numFmtId="0" fontId="5" fillId="0" borderId="62" xfId="59" applyFont="1" applyFill="1" applyBorder="1" applyAlignment="1">
      <alignment vertical="center" wrapText="1"/>
      <protection/>
    </xf>
    <xf numFmtId="3" fontId="4" fillId="0" borderId="109" xfId="59" applyNumberFormat="1" applyFont="1" applyFill="1" applyBorder="1" applyAlignment="1">
      <alignment horizontal="right" vertical="center" wrapText="1"/>
      <protection/>
    </xf>
    <xf numFmtId="0" fontId="18" fillId="0" borderId="102" xfId="59" applyFont="1" applyFill="1" applyBorder="1" applyAlignment="1">
      <alignment vertical="center"/>
      <protection/>
    </xf>
    <xf numFmtId="3" fontId="5" fillId="0" borderId="103" xfId="59" applyNumberFormat="1" applyFont="1" applyFill="1" applyBorder="1" applyAlignment="1">
      <alignment horizontal="right" vertical="center" wrapText="1"/>
      <protection/>
    </xf>
    <xf numFmtId="3" fontId="38" fillId="33" borderId="229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/>
    </xf>
    <xf numFmtId="0" fontId="41" fillId="0" borderId="230" xfId="0" applyFont="1" applyFill="1" applyBorder="1" applyAlignment="1">
      <alignment/>
    </xf>
    <xf numFmtId="0" fontId="46" fillId="0" borderId="230" xfId="0" applyFont="1" applyFill="1" applyBorder="1" applyAlignment="1" applyProtection="1">
      <alignment horizontal="center" vertical="center" wrapText="1"/>
      <protection locked="0"/>
    </xf>
    <xf numFmtId="0" fontId="46" fillId="0" borderId="231" xfId="0" applyFont="1" applyFill="1" applyBorder="1" applyAlignment="1">
      <alignment horizontal="center" vertical="center"/>
    </xf>
    <xf numFmtId="0" fontId="46" fillId="0" borderId="97" xfId="0" applyFont="1" applyFill="1" applyBorder="1" applyAlignment="1">
      <alignment horizontal="center" vertical="center"/>
    </xf>
    <xf numFmtId="0" fontId="33" fillId="0" borderId="232" xfId="0" applyFont="1" applyFill="1" applyBorder="1" applyAlignment="1">
      <alignment horizontal="center"/>
    </xf>
    <xf numFmtId="0" fontId="21" fillId="0" borderId="230" xfId="0" applyFont="1" applyFill="1" applyBorder="1" applyAlignment="1" applyProtection="1">
      <alignment horizontal="center" vertical="center" wrapText="1"/>
      <protection locked="0"/>
    </xf>
    <xf numFmtId="0" fontId="21" fillId="0" borderId="232" xfId="0" applyFont="1" applyFill="1" applyBorder="1" applyAlignment="1">
      <alignment horizontal="center" vertical="center"/>
    </xf>
    <xf numFmtId="0" fontId="1" fillId="0" borderId="27" xfId="57" applyFont="1" applyFill="1" applyBorder="1" applyAlignment="1" applyProtection="1">
      <alignment horizontal="left" vertical="center" wrapText="1"/>
      <protection locked="0"/>
    </xf>
    <xf numFmtId="0" fontId="38" fillId="0" borderId="27" xfId="63" applyNumberFormat="1" applyFont="1" applyFill="1" applyBorder="1" applyAlignment="1" applyProtection="1">
      <alignment horizontal="left" wrapText="1"/>
      <protection/>
    </xf>
    <xf numFmtId="3" fontId="38" fillId="0" borderId="46" xfId="63" applyNumberFormat="1" applyFont="1" applyFill="1" applyBorder="1" applyAlignment="1" applyProtection="1">
      <alignment/>
      <protection/>
    </xf>
    <xf numFmtId="3" fontId="38" fillId="0" borderId="11" xfId="63" applyNumberFormat="1" applyFont="1" applyFill="1" applyBorder="1" applyAlignment="1" applyProtection="1">
      <alignment/>
      <protection/>
    </xf>
    <xf numFmtId="0" fontId="38" fillId="0" borderId="100" xfId="0" applyFont="1" applyFill="1" applyBorder="1" applyAlignment="1">
      <alignment horizontal="center"/>
    </xf>
    <xf numFmtId="0" fontId="38" fillId="0" borderId="214" xfId="0" applyFont="1" applyFill="1" applyBorder="1" applyAlignment="1" applyProtection="1">
      <alignment horizontal="left" vertical="center" wrapText="1"/>
      <protection locked="0"/>
    </xf>
    <xf numFmtId="3" fontId="38" fillId="0" borderId="113" xfId="0" applyNumberFormat="1" applyFont="1" applyFill="1" applyBorder="1" applyAlignment="1">
      <alignment horizontal="right" vertical="center"/>
    </xf>
    <xf numFmtId="0" fontId="38" fillId="0" borderId="101" xfId="0" applyFont="1" applyFill="1" applyBorder="1" applyAlignment="1">
      <alignment horizontal="center"/>
    </xf>
    <xf numFmtId="0" fontId="38" fillId="0" borderId="87" xfId="0" applyFont="1" applyFill="1" applyBorder="1" applyAlignment="1" applyProtection="1">
      <alignment horizontal="left" vertical="center" wrapText="1"/>
      <protection locked="0"/>
    </xf>
    <xf numFmtId="3" fontId="38" fillId="0" borderId="147" xfId="0" applyNumberFormat="1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right" vertical="center"/>
    </xf>
    <xf numFmtId="3" fontId="38" fillId="0" borderId="88" xfId="0" applyNumberFormat="1" applyFont="1" applyFill="1" applyBorder="1" applyAlignment="1">
      <alignment horizontal="right" vertical="center"/>
    </xf>
    <xf numFmtId="0" fontId="0" fillId="0" borderId="0" xfId="64" applyFont="1" applyFill="1" applyAlignment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62" xfId="59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5" fillId="0" borderId="58" xfId="59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8" fillId="0" borderId="0" xfId="57" applyFont="1" applyFill="1" applyBorder="1" applyAlignment="1">
      <alignment horizontal="center" vertical="center" wrapText="1"/>
      <protection/>
    </xf>
    <xf numFmtId="0" fontId="5" fillId="0" borderId="57" xfId="5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8" fillId="0" borderId="0" xfId="57" applyFont="1" applyFill="1" applyBorder="1" applyAlignment="1">
      <alignment horizontal="center" vertical="center"/>
      <protection/>
    </xf>
    <xf numFmtId="0" fontId="19" fillId="0" borderId="62" xfId="59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233" xfId="0" applyFont="1" applyFill="1" applyBorder="1" applyAlignment="1">
      <alignment horizontal="center"/>
    </xf>
    <xf numFmtId="0" fontId="0" fillId="0" borderId="233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/>
    </xf>
    <xf numFmtId="0" fontId="40" fillId="0" borderId="90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 vertical="center" wrapText="1"/>
    </xf>
    <xf numFmtId="0" fontId="0" fillId="0" borderId="21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67" fontId="24" fillId="0" borderId="234" xfId="0" applyNumberFormat="1" applyFont="1" applyFill="1" applyBorder="1" applyAlignment="1">
      <alignment horizontal="center"/>
    </xf>
    <xf numFmtId="0" fontId="24" fillId="0" borderId="235" xfId="0" applyFont="1" applyBorder="1" applyAlignment="1">
      <alignment horizontal="center"/>
    </xf>
    <xf numFmtId="0" fontId="24" fillId="0" borderId="236" xfId="0" applyFont="1" applyBorder="1" applyAlignment="1">
      <alignment horizontal="center"/>
    </xf>
    <xf numFmtId="167" fontId="24" fillId="0" borderId="203" xfId="0" applyNumberFormat="1" applyFont="1" applyFill="1" applyBorder="1" applyAlignment="1">
      <alignment horizontal="center" vertical="center" wrapText="1"/>
    </xf>
    <xf numFmtId="0" fontId="24" fillId="0" borderId="237" xfId="0" applyFont="1" applyBorder="1" applyAlignment="1">
      <alignment horizontal="center" vertical="center" wrapText="1"/>
    </xf>
    <xf numFmtId="0" fontId="24" fillId="0" borderId="23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/>
    </xf>
    <xf numFmtId="0" fontId="51" fillId="0" borderId="1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40" fillId="0" borderId="90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6" fillId="0" borderId="21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wrapText="1"/>
    </xf>
    <xf numFmtId="164" fontId="45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38" fillId="0" borderId="10" xfId="57" applyFont="1" applyFill="1" applyBorder="1" applyAlignment="1">
      <alignment horizontal="center" vertical="center"/>
      <protection/>
    </xf>
    <xf numFmtId="0" fontId="38" fillId="0" borderId="100" xfId="57" applyFont="1" applyFill="1" applyBorder="1" applyAlignment="1">
      <alignment horizontal="center" vertical="center"/>
      <protection/>
    </xf>
    <xf numFmtId="0" fontId="38" fillId="0" borderId="25" xfId="57" applyFont="1" applyFill="1" applyBorder="1" applyAlignment="1" applyProtection="1">
      <alignment horizontal="center" vertical="center"/>
      <protection locked="0"/>
    </xf>
    <xf numFmtId="0" fontId="38" fillId="0" borderId="39" xfId="57" applyFont="1" applyFill="1" applyBorder="1" applyAlignment="1" applyProtection="1">
      <alignment horizontal="center" vertical="center"/>
      <protection locked="0"/>
    </xf>
    <xf numFmtId="0" fontId="38" fillId="0" borderId="88" xfId="57" applyFont="1" applyFill="1" applyBorder="1" applyAlignment="1">
      <alignment horizontal="center"/>
      <protection/>
    </xf>
    <xf numFmtId="0" fontId="38" fillId="0" borderId="90" xfId="57" applyFont="1" applyFill="1" applyBorder="1" applyAlignment="1">
      <alignment horizontal="center"/>
      <protection/>
    </xf>
    <xf numFmtId="0" fontId="38" fillId="0" borderId="11" xfId="57" applyFont="1" applyFill="1" applyBorder="1" applyAlignment="1" applyProtection="1">
      <alignment horizontal="center" vertical="center" wrapText="1"/>
      <protection locked="0"/>
    </xf>
    <xf numFmtId="0" fontId="38" fillId="0" borderId="25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/>
    </xf>
    <xf numFmtId="0" fontId="17" fillId="0" borderId="127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35" fillId="0" borderId="16" xfId="0" applyFont="1" applyFill="1" applyBorder="1" applyAlignment="1">
      <alignment horizontal="center" vertical="center"/>
    </xf>
    <xf numFmtId="0" fontId="38" fillId="0" borderId="25" xfId="0" applyFont="1" applyFill="1" applyBorder="1" applyAlignment="1" applyProtection="1">
      <alignment horizontal="left" vertical="center" wrapText="1"/>
      <protection locked="0"/>
    </xf>
    <xf numFmtId="0" fontId="48" fillId="0" borderId="27" xfId="0" applyFont="1" applyFill="1" applyBorder="1" applyAlignment="1">
      <alignment/>
    </xf>
    <xf numFmtId="0" fontId="48" fillId="0" borderId="39" xfId="0" applyFont="1" applyFill="1" applyBorder="1" applyAlignment="1" applyProtection="1">
      <alignment horizontal="left" vertical="center" wrapText="1"/>
      <protection locked="0"/>
    </xf>
    <xf numFmtId="0" fontId="48" fillId="0" borderId="39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8" fillId="0" borderId="39" xfId="0" applyFont="1" applyFill="1" applyBorder="1" applyAlignment="1" applyProtection="1">
      <alignment horizontal="left" vertical="center" wrapText="1"/>
      <protection locked="0"/>
    </xf>
    <xf numFmtId="0" fontId="38" fillId="34" borderId="90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58" applyFont="1" applyBorder="1" applyAlignment="1">
      <alignment horizontal="center"/>
      <protection/>
    </xf>
    <xf numFmtId="0" fontId="54" fillId="0" borderId="0" xfId="0" applyFont="1" applyFill="1" applyBorder="1" applyAlignment="1">
      <alignment horizontal="center" vertical="top" wrapText="1"/>
    </xf>
    <xf numFmtId="3" fontId="55" fillId="0" borderId="0" xfId="0" applyNumberFormat="1" applyFont="1" applyFill="1" applyBorder="1" applyAlignment="1">
      <alignment horizontal="right" vertical="top" wrapText="1"/>
    </xf>
    <xf numFmtId="0" fontId="58" fillId="0" borderId="26" xfId="65" applyFont="1" applyBorder="1" applyAlignment="1">
      <alignment horizontal="center" vertical="center" wrapText="1"/>
      <protection/>
    </xf>
    <xf numFmtId="0" fontId="61" fillId="0" borderId="0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39" fillId="0" borderId="23" xfId="67" applyFont="1" applyFill="1" applyBorder="1" applyAlignment="1">
      <alignment horizontal="center" vertical="center" wrapText="1"/>
      <protection/>
    </xf>
    <xf numFmtId="0" fontId="39" fillId="0" borderId="116" xfId="67" applyFont="1" applyFill="1" applyBorder="1" applyAlignment="1">
      <alignment horizontal="center" vertical="center" wrapText="1"/>
      <protection/>
    </xf>
    <xf numFmtId="0" fontId="39" fillId="0" borderId="64" xfId="67" applyFont="1" applyFill="1" applyBorder="1" applyAlignment="1">
      <alignment horizontal="center" vertical="center" wrapText="1"/>
      <protection/>
    </xf>
    <xf numFmtId="0" fontId="39" fillId="0" borderId="37" xfId="67" applyFont="1" applyFill="1" applyBorder="1" applyAlignment="1">
      <alignment horizontal="center" vertical="center" wrapText="1"/>
      <protection/>
    </xf>
    <xf numFmtId="0" fontId="39" fillId="0" borderId="23" xfId="6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"/>
      <protection/>
    </xf>
    <xf numFmtId="0" fontId="25" fillId="0" borderId="23" xfId="68" applyFont="1" applyFill="1" applyBorder="1" applyAlignment="1">
      <alignment horizontal="center"/>
      <protection/>
    </xf>
    <xf numFmtId="0" fontId="25" fillId="0" borderId="37" xfId="68" applyFont="1" applyFill="1" applyBorder="1" applyAlignment="1">
      <alignment horizont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_4_2009_R_7_mell" xfId="58"/>
    <cellStyle name="Normál_főtábla terv" xfId="59"/>
    <cellStyle name="Normál_gördülő2_2008eredeti" xfId="60"/>
    <cellStyle name="Normál_gördülő2_4_2009_R_16_mell" xfId="61"/>
    <cellStyle name="Normál_gördülő2_pályázatok_4_2009_R_16_mell" xfId="62"/>
    <cellStyle name="Normál_kiad2004eredeti HIVATALI AJÁNLOTT" xfId="63"/>
    <cellStyle name="Normál_kiadásössz" xfId="64"/>
    <cellStyle name="Normál_közvr8" xfId="65"/>
    <cellStyle name="Normál_ÖSSZESSÍTETT pályázatok" xfId="66"/>
    <cellStyle name="Normál_ÖSSZESSÍTETT pályázatok_4_2009_R_16_mell" xfId="67"/>
    <cellStyle name="Normál_ÜTEMTERV" xfId="68"/>
    <cellStyle name="Normál_x4. sz. melléklet-VÜZ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6E6E6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69FFFF"/>
      <rgbColor rgb="00FF99CC"/>
      <rgbColor rgb="00CC99FF"/>
      <rgbColor rgb="00F2DCDB"/>
      <rgbColor rgb="003366FF"/>
      <rgbColor rgb="0033CCCC"/>
      <rgbColor rgb="0099CC00"/>
      <rgbColor rgb="00FFD320"/>
      <rgbColor rgb="00FF9900"/>
      <rgbColor rgb="00E46C0A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="75" zoomScaleNormal="75" zoomScaleSheetLayoutView="50" zoomScalePageLayoutView="0" workbookViewId="0" topLeftCell="A1">
      <selection activeCell="B1" sqref="B1"/>
    </sheetView>
  </sheetViews>
  <sheetFormatPr defaultColWidth="12.125" defaultRowHeight="12.75"/>
  <cols>
    <col min="1" max="1" width="9.00390625" style="1350" customWidth="1"/>
    <col min="2" max="2" width="120.625" style="1350" customWidth="1"/>
    <col min="3" max="4" width="16.875" style="1384" customWidth="1"/>
    <col min="5" max="5" width="15.375" style="1358" customWidth="1"/>
    <col min="6" max="6" width="9.00390625" style="1350" customWidth="1"/>
    <col min="7" max="7" width="90.375" style="1350" customWidth="1"/>
    <col min="8" max="9" width="23.50390625" style="1358" customWidth="1"/>
    <col min="10" max="10" width="21.125" style="1358" customWidth="1"/>
    <col min="11" max="16384" width="12.125" style="1350" customWidth="1"/>
  </cols>
  <sheetData>
    <row r="1" spans="1:10" ht="24" customHeight="1">
      <c r="A1" s="1"/>
      <c r="B1" s="1349" t="s">
        <v>740</v>
      </c>
      <c r="C1" s="1338"/>
      <c r="D1" s="1338"/>
      <c r="E1" s="1338"/>
      <c r="F1" s="1"/>
      <c r="G1" s="2"/>
      <c r="H1" s="1338"/>
      <c r="I1" s="1338"/>
      <c r="J1" s="3"/>
    </row>
    <row r="2" spans="1:10" ht="19.5" customHeight="1">
      <c r="A2" s="1"/>
      <c r="B2" s="1620"/>
      <c r="C2" s="1338"/>
      <c r="D2" s="1338"/>
      <c r="E2" s="1338"/>
      <c r="F2" s="1"/>
      <c r="G2" s="2"/>
      <c r="H2" s="1338"/>
      <c r="I2" s="1338"/>
      <c r="J2" s="3"/>
    </row>
    <row r="3" spans="1:10" ht="24.75" customHeight="1">
      <c r="A3" s="1792" t="s">
        <v>561</v>
      </c>
      <c r="B3" s="1792"/>
      <c r="C3" s="1792"/>
      <c r="D3" s="1792"/>
      <c r="E3" s="1792"/>
      <c r="F3" s="1792"/>
      <c r="G3" s="1792"/>
      <c r="H3" s="1792"/>
      <c r="I3" s="1792"/>
      <c r="J3" s="1792"/>
    </row>
    <row r="4" spans="1:10" s="1348" customFormat="1" ht="24.75" customHeight="1" thickBot="1">
      <c r="A4" s="1351"/>
      <c r="B4" s="1351"/>
      <c r="C4" s="1351"/>
      <c r="D4" s="1351"/>
      <c r="E4" s="1351"/>
      <c r="F4" s="1351"/>
      <c r="G4" s="1351"/>
      <c r="H4" s="1351"/>
      <c r="I4" s="1351"/>
      <c r="J4" s="1351" t="s">
        <v>370</v>
      </c>
    </row>
    <row r="5" spans="1:10" ht="24.75" customHeight="1">
      <c r="A5" s="1621" t="s">
        <v>118</v>
      </c>
      <c r="B5" s="1352" t="s">
        <v>142</v>
      </c>
      <c r="C5" s="1352" t="s">
        <v>363</v>
      </c>
      <c r="D5" s="1352" t="s">
        <v>364</v>
      </c>
      <c r="E5" s="1352" t="s">
        <v>365</v>
      </c>
      <c r="F5" s="1352" t="s">
        <v>367</v>
      </c>
      <c r="G5" s="1352" t="s">
        <v>368</v>
      </c>
      <c r="H5" s="1352" t="s">
        <v>230</v>
      </c>
      <c r="I5" s="1352" t="s">
        <v>369</v>
      </c>
      <c r="J5" s="1353" t="s">
        <v>560</v>
      </c>
    </row>
    <row r="6" spans="1:10" ht="81" customHeight="1" thickBot="1">
      <c r="A6" s="1229"/>
      <c r="B6" s="1354" t="s">
        <v>2</v>
      </c>
      <c r="C6" s="1355" t="s">
        <v>563</v>
      </c>
      <c r="D6" s="1355" t="s">
        <v>677</v>
      </c>
      <c r="E6" s="1355" t="s">
        <v>678</v>
      </c>
      <c r="F6" s="150"/>
      <c r="G6" s="1354" t="s">
        <v>3</v>
      </c>
      <c r="H6" s="1355" t="s">
        <v>563</v>
      </c>
      <c r="I6" s="1355" t="s">
        <v>677</v>
      </c>
      <c r="J6" s="1622" t="s">
        <v>678</v>
      </c>
    </row>
    <row r="7" spans="1:10" ht="20.25" customHeight="1" thickBot="1">
      <c r="A7" s="685"/>
      <c r="B7" s="152" t="s">
        <v>4</v>
      </c>
      <c r="C7" s="92">
        <f>SUM(C8+C21+C27+C39)</f>
        <v>1914823</v>
      </c>
      <c r="D7" s="92">
        <f>SUM(D8+D21+D27+D39)</f>
        <v>1993148.3</v>
      </c>
      <c r="E7" s="92">
        <f>SUM(E8+E21+E27+E39)</f>
        <v>0</v>
      </c>
      <c r="F7" s="153"/>
      <c r="G7" s="152" t="s">
        <v>5</v>
      </c>
      <c r="H7" s="92">
        <f>SUM(H8:H12)</f>
        <v>2842239</v>
      </c>
      <c r="I7" s="92">
        <f>SUM(I8:I12)</f>
        <v>3536715</v>
      </c>
      <c r="J7" s="1623">
        <f>SUM(J8:J12)</f>
        <v>0</v>
      </c>
    </row>
    <row r="8" spans="1:10" ht="20.25" customHeight="1">
      <c r="A8" s="686" t="s">
        <v>6</v>
      </c>
      <c r="B8" s="5" t="s">
        <v>7</v>
      </c>
      <c r="C8" s="6">
        <f>SUM(C9+C16+C17+C18+C19+C20)</f>
        <v>575876</v>
      </c>
      <c r="D8" s="6">
        <f>SUM(D9+D16+D17+D18+D19+D20)</f>
        <v>628022</v>
      </c>
      <c r="E8" s="6">
        <f>SUM(E9+E16+E17+E18+E19+E20)</f>
        <v>0</v>
      </c>
      <c r="F8" s="4" t="s">
        <v>6</v>
      </c>
      <c r="G8" s="154" t="s">
        <v>8</v>
      </c>
      <c r="H8" s="1356">
        <v>1016033</v>
      </c>
      <c r="I8" s="1356">
        <f>1043541+5020</f>
        <v>1048561</v>
      </c>
      <c r="J8" s="1624"/>
    </row>
    <row r="9" spans="1:10" ht="20.25" customHeight="1">
      <c r="A9" s="687" t="s">
        <v>9</v>
      </c>
      <c r="B9" s="8" t="s">
        <v>10</v>
      </c>
      <c r="C9" s="9">
        <f>SUM(C10:C15)</f>
        <v>445892</v>
      </c>
      <c r="D9" s="9">
        <f>SUM(D10:D15)</f>
        <v>456259</v>
      </c>
      <c r="E9" s="9">
        <f>SUM(E10:E15)</f>
        <v>0</v>
      </c>
      <c r="F9" s="7" t="s">
        <v>11</v>
      </c>
      <c r="G9" s="19" t="s">
        <v>12</v>
      </c>
      <c r="H9" s="1357">
        <v>204881</v>
      </c>
      <c r="I9" s="1357">
        <f>210434+1118</f>
        <v>211552</v>
      </c>
      <c r="J9" s="358"/>
    </row>
    <row r="10" spans="1:10" ht="24" customHeight="1">
      <c r="A10" s="687">
        <v>2</v>
      </c>
      <c r="B10" s="10" t="s">
        <v>13</v>
      </c>
      <c r="C10" s="11">
        <v>16100</v>
      </c>
      <c r="D10" s="11">
        <v>16100</v>
      </c>
      <c r="E10" s="11"/>
      <c r="F10" s="7" t="s">
        <v>14</v>
      </c>
      <c r="G10" s="19" t="s">
        <v>15</v>
      </c>
      <c r="H10" s="1357">
        <v>753918</v>
      </c>
      <c r="I10" s="1357">
        <f>776997+476-1327</f>
        <v>776146</v>
      </c>
      <c r="J10" s="358"/>
    </row>
    <row r="11" spans="1:10" ht="22.5" customHeight="1">
      <c r="A11" s="687">
        <v>3</v>
      </c>
      <c r="B11" s="10" t="s">
        <v>16</v>
      </c>
      <c r="C11" s="11">
        <v>262577</v>
      </c>
      <c r="D11" s="11">
        <v>262577</v>
      </c>
      <c r="E11" s="11"/>
      <c r="F11" s="7" t="s">
        <v>17</v>
      </c>
      <c r="G11" s="19" t="s">
        <v>18</v>
      </c>
      <c r="H11" s="1357">
        <v>43855</v>
      </c>
      <c r="I11" s="1357">
        <v>43855</v>
      </c>
      <c r="J11" s="358"/>
    </row>
    <row r="12" spans="1:12" ht="24.75" customHeight="1">
      <c r="A12" s="687" t="s">
        <v>23</v>
      </c>
      <c r="B12" s="10" t="s">
        <v>19</v>
      </c>
      <c r="C12" s="11">
        <v>152049</v>
      </c>
      <c r="D12" s="11">
        <v>159558</v>
      </c>
      <c r="E12" s="11"/>
      <c r="F12" s="7" t="s">
        <v>20</v>
      </c>
      <c r="G12" s="19" t="s">
        <v>21</v>
      </c>
      <c r="H12" s="1357">
        <v>823552</v>
      </c>
      <c r="I12" s="1357">
        <f>1456602-1</f>
        <v>1456601</v>
      </c>
      <c r="J12" s="1625"/>
      <c r="L12" s="1358"/>
    </row>
    <row r="13" spans="1:10" ht="18" customHeight="1">
      <c r="A13" s="687">
        <v>4</v>
      </c>
      <c r="B13" s="10" t="s">
        <v>22</v>
      </c>
      <c r="C13" s="11">
        <v>15166</v>
      </c>
      <c r="D13" s="11">
        <v>16487</v>
      </c>
      <c r="E13" s="11"/>
      <c r="F13" s="1793"/>
      <c r="G13" s="156"/>
      <c r="H13" s="1359"/>
      <c r="I13" s="1359"/>
      <c r="J13" s="1360"/>
    </row>
    <row r="14" spans="1:10" ht="30" customHeight="1">
      <c r="A14" s="687">
        <v>5</v>
      </c>
      <c r="B14" s="10" t="s">
        <v>238</v>
      </c>
      <c r="C14" s="11">
        <v>0</v>
      </c>
      <c r="D14" s="11">
        <v>1537</v>
      </c>
      <c r="E14" s="11"/>
      <c r="F14" s="1793"/>
      <c r="G14" s="1"/>
      <c r="H14" s="157"/>
      <c r="I14" s="157"/>
      <c r="J14" s="1360"/>
    </row>
    <row r="15" spans="1:12" ht="20.25" customHeight="1">
      <c r="A15" s="687" t="s">
        <v>25</v>
      </c>
      <c r="B15" s="10" t="s">
        <v>239</v>
      </c>
      <c r="C15" s="11"/>
      <c r="D15" s="11"/>
      <c r="E15" s="11"/>
      <c r="F15" s="1793"/>
      <c r="G15" s="1"/>
      <c r="H15" s="157"/>
      <c r="I15" s="157"/>
      <c r="J15" s="1360"/>
      <c r="L15" s="1358"/>
    </row>
    <row r="16" spans="1:10" ht="20.25" customHeight="1">
      <c r="A16" s="687">
        <v>6</v>
      </c>
      <c r="B16" s="13" t="s">
        <v>24</v>
      </c>
      <c r="C16" s="11"/>
      <c r="D16" s="11"/>
      <c r="E16" s="11"/>
      <c r="F16" s="1793"/>
      <c r="G16" s="3"/>
      <c r="H16" s="157"/>
      <c r="I16" s="157"/>
      <c r="J16" s="1360"/>
    </row>
    <row r="17" spans="1:10" ht="20.25" customHeight="1">
      <c r="A17" s="687">
        <v>7</v>
      </c>
      <c r="B17" s="13" t="s">
        <v>26</v>
      </c>
      <c r="C17" s="11"/>
      <c r="D17" s="11"/>
      <c r="E17" s="11"/>
      <c r="F17" s="1793"/>
      <c r="G17" s="1"/>
      <c r="H17" s="157"/>
      <c r="I17" s="157"/>
      <c r="J17" s="1360"/>
    </row>
    <row r="18" spans="1:10" ht="20.25" customHeight="1">
      <c r="A18" s="687" t="s">
        <v>27</v>
      </c>
      <c r="B18" s="13" t="s">
        <v>28</v>
      </c>
      <c r="C18" s="14"/>
      <c r="D18" s="14"/>
      <c r="E18" s="14"/>
      <c r="F18" s="1793"/>
      <c r="G18" s="1"/>
      <c r="H18" s="157"/>
      <c r="I18" s="157"/>
      <c r="J18" s="1360"/>
    </row>
    <row r="19" spans="1:10" ht="29.25" customHeight="1">
      <c r="A19" s="687">
        <v>8</v>
      </c>
      <c r="B19" s="13" t="s">
        <v>30</v>
      </c>
      <c r="C19" s="14"/>
      <c r="D19" s="14"/>
      <c r="E19" s="14"/>
      <c r="F19" s="1793"/>
      <c r="G19" s="1"/>
      <c r="H19" s="157"/>
      <c r="I19" s="157"/>
      <c r="J19" s="1360"/>
    </row>
    <row r="20" spans="1:10" ht="29.25" customHeight="1">
      <c r="A20" s="687">
        <v>9</v>
      </c>
      <c r="B20" s="13" t="s">
        <v>32</v>
      </c>
      <c r="C20" s="14">
        <v>129984</v>
      </c>
      <c r="D20" s="14">
        <f>165626+476+5661</f>
        <v>171763</v>
      </c>
      <c r="E20" s="14"/>
      <c r="F20" s="1793"/>
      <c r="G20" s="1"/>
      <c r="H20" s="157"/>
      <c r="I20" s="157"/>
      <c r="J20" s="1360"/>
    </row>
    <row r="21" spans="1:10" ht="20.25" customHeight="1">
      <c r="A21" s="688" t="s">
        <v>11</v>
      </c>
      <c r="B21" s="159" t="s">
        <v>243</v>
      </c>
      <c r="C21" s="9">
        <f>SUM(C22+C23+C24+C26)</f>
        <v>1081000</v>
      </c>
      <c r="D21" s="9">
        <f>SUM(D22+D23+D24+D26)</f>
        <v>1081000</v>
      </c>
      <c r="E21" s="9">
        <f>SUM(E22:E26)-E25</f>
        <v>0</v>
      </c>
      <c r="F21" s="160"/>
      <c r="G21" s="1"/>
      <c r="H21" s="157"/>
      <c r="I21" s="157"/>
      <c r="J21" s="1360"/>
    </row>
    <row r="22" spans="1:10" ht="20.25" customHeight="1">
      <c r="A22" s="688">
        <v>1</v>
      </c>
      <c r="B22" s="161" t="s">
        <v>240</v>
      </c>
      <c r="C22" s="162"/>
      <c r="D22" s="162"/>
      <c r="E22" s="12"/>
      <c r="F22" s="160"/>
      <c r="G22" s="1"/>
      <c r="H22" s="157"/>
      <c r="I22" s="157"/>
      <c r="J22" s="1360"/>
    </row>
    <row r="23" spans="1:10" ht="20.25" customHeight="1">
      <c r="A23" s="688">
        <v>2</v>
      </c>
      <c r="B23" s="161" t="s">
        <v>81</v>
      </c>
      <c r="C23" s="162">
        <v>208000</v>
      </c>
      <c r="D23" s="162">
        <v>208000</v>
      </c>
      <c r="E23" s="162"/>
      <c r="F23" s="160"/>
      <c r="G23" s="1"/>
      <c r="H23" s="157"/>
      <c r="I23" s="157"/>
      <c r="J23" s="1360"/>
    </row>
    <row r="24" spans="1:10" ht="20.25" customHeight="1">
      <c r="A24" s="688">
        <v>3</v>
      </c>
      <c r="B24" s="161" t="s">
        <v>82</v>
      </c>
      <c r="C24" s="194">
        <v>870000</v>
      </c>
      <c r="D24" s="194">
        <v>870000</v>
      </c>
      <c r="E24" s="194"/>
      <c r="F24" s="160"/>
      <c r="G24" s="1"/>
      <c r="H24" s="157"/>
      <c r="I24" s="157"/>
      <c r="J24" s="1360"/>
    </row>
    <row r="25" spans="1:10" ht="20.25" customHeight="1">
      <c r="A25" s="688">
        <v>4</v>
      </c>
      <c r="B25" s="161" t="s">
        <v>407</v>
      </c>
      <c r="C25" s="162">
        <v>39000</v>
      </c>
      <c r="D25" s="162">
        <v>39000</v>
      </c>
      <c r="E25" s="162"/>
      <c r="F25" s="160"/>
      <c r="G25" s="1"/>
      <c r="H25" s="157"/>
      <c r="I25" s="157"/>
      <c r="J25" s="1360"/>
    </row>
    <row r="26" spans="1:10" ht="20.25" customHeight="1">
      <c r="A26" s="688">
        <v>5</v>
      </c>
      <c r="B26" s="161" t="s">
        <v>83</v>
      </c>
      <c r="C26" s="162">
        <v>3000</v>
      </c>
      <c r="D26" s="162">
        <v>3000</v>
      </c>
      <c r="E26" s="162"/>
      <c r="F26" s="160"/>
      <c r="G26" s="3"/>
      <c r="H26" s="157"/>
      <c r="I26" s="157"/>
      <c r="J26" s="1360"/>
    </row>
    <row r="27" spans="1:10" ht="20.25" customHeight="1">
      <c r="A27" s="688" t="s">
        <v>14</v>
      </c>
      <c r="B27" s="159" t="s">
        <v>34</v>
      </c>
      <c r="C27" s="9">
        <f>SUM(C28:C38)</f>
        <v>257740</v>
      </c>
      <c r="D27" s="9">
        <f>SUM(D28:D38)</f>
        <v>280856.3</v>
      </c>
      <c r="E27" s="9">
        <f>SUM(E28:E38)</f>
        <v>0</v>
      </c>
      <c r="F27" s="160"/>
      <c r="G27" s="1"/>
      <c r="H27" s="157"/>
      <c r="I27" s="157"/>
      <c r="J27" s="1360"/>
    </row>
    <row r="28" spans="1:10" ht="20.25" customHeight="1">
      <c r="A28" s="688">
        <v>1</v>
      </c>
      <c r="B28" s="15" t="s">
        <v>35</v>
      </c>
      <c r="C28" s="97"/>
      <c r="D28" s="97">
        <v>156</v>
      </c>
      <c r="E28" s="97"/>
      <c r="F28" s="160"/>
      <c r="G28" s="1"/>
      <c r="H28" s="157"/>
      <c r="I28" s="157"/>
      <c r="J28" s="1360"/>
    </row>
    <row r="29" spans="1:10" ht="20.25" customHeight="1">
      <c r="A29" s="688">
        <v>2</v>
      </c>
      <c r="B29" s="15" t="s">
        <v>36</v>
      </c>
      <c r="C29" s="112">
        <v>153308</v>
      </c>
      <c r="D29" s="112">
        <v>153308</v>
      </c>
      <c r="E29" s="112"/>
      <c r="F29" s="160"/>
      <c r="G29" s="1"/>
      <c r="H29" s="157"/>
      <c r="I29" s="157"/>
      <c r="J29" s="1360"/>
    </row>
    <row r="30" spans="1:10" ht="20.25" customHeight="1">
      <c r="A30" s="688">
        <v>3</v>
      </c>
      <c r="B30" s="15" t="s">
        <v>37</v>
      </c>
      <c r="C30" s="112">
        <v>8840</v>
      </c>
      <c r="D30" s="112">
        <v>8840</v>
      </c>
      <c r="E30" s="112"/>
      <c r="F30" s="160"/>
      <c r="G30" s="1"/>
      <c r="H30" s="157"/>
      <c r="I30" s="157"/>
      <c r="J30" s="1360"/>
    </row>
    <row r="31" spans="1:10" ht="20.25" customHeight="1">
      <c r="A31" s="688">
        <v>4</v>
      </c>
      <c r="B31" s="15" t="s">
        <v>38</v>
      </c>
      <c r="C31" s="112">
        <v>460</v>
      </c>
      <c r="D31" s="112">
        <v>460</v>
      </c>
      <c r="E31" s="112"/>
      <c r="F31" s="160"/>
      <c r="G31" s="1"/>
      <c r="H31" s="157"/>
      <c r="I31" s="157"/>
      <c r="J31" s="1360"/>
    </row>
    <row r="32" spans="1:10" ht="20.25" customHeight="1">
      <c r="A32" s="688">
        <v>5</v>
      </c>
      <c r="B32" s="15" t="s">
        <v>39</v>
      </c>
      <c r="C32" s="112">
        <v>44210</v>
      </c>
      <c r="D32" s="112">
        <v>44210</v>
      </c>
      <c r="E32" s="112"/>
      <c r="F32" s="160"/>
      <c r="G32" s="1"/>
      <c r="H32" s="157"/>
      <c r="I32" s="157"/>
      <c r="J32" s="1360"/>
    </row>
    <row r="33" spans="1:10" ht="20.25" customHeight="1">
      <c r="A33" s="688">
        <v>6</v>
      </c>
      <c r="B33" s="15" t="s">
        <v>40</v>
      </c>
      <c r="C33" s="112">
        <v>50912</v>
      </c>
      <c r="D33" s="112">
        <v>50945</v>
      </c>
      <c r="E33" s="112"/>
      <c r="F33" s="160"/>
      <c r="G33" s="1"/>
      <c r="H33" s="157"/>
      <c r="I33" s="157"/>
      <c r="J33" s="1360"/>
    </row>
    <row r="34" spans="1:10" ht="20.25" customHeight="1">
      <c r="A34" s="688">
        <v>7</v>
      </c>
      <c r="B34" s="15" t="s">
        <v>41</v>
      </c>
      <c r="C34" s="112">
        <v>0</v>
      </c>
      <c r="D34" s="112">
        <f>(C34*103%)</f>
        <v>0</v>
      </c>
      <c r="E34" s="112"/>
      <c r="F34" s="160"/>
      <c r="G34" s="1"/>
      <c r="H34" s="157"/>
      <c r="I34" s="157"/>
      <c r="J34" s="1360"/>
    </row>
    <row r="35" spans="1:10" ht="20.25" customHeight="1">
      <c r="A35" s="688">
        <v>8</v>
      </c>
      <c r="B35" s="15" t="s">
        <v>42</v>
      </c>
      <c r="C35" s="112">
        <v>10</v>
      </c>
      <c r="D35" s="112">
        <f>(C35*103%)</f>
        <v>10.3</v>
      </c>
      <c r="E35" s="112"/>
      <c r="F35" s="160"/>
      <c r="G35" s="1"/>
      <c r="H35" s="157"/>
      <c r="I35" s="157"/>
      <c r="J35" s="1360"/>
    </row>
    <row r="36" spans="1:10" ht="20.25" customHeight="1">
      <c r="A36" s="688">
        <v>9</v>
      </c>
      <c r="B36" s="15" t="s">
        <v>43</v>
      </c>
      <c r="C36" s="112"/>
      <c r="D36" s="112"/>
      <c r="E36" s="112"/>
      <c r="F36" s="160"/>
      <c r="G36" s="1"/>
      <c r="H36" s="157"/>
      <c r="I36" s="157"/>
      <c r="J36" s="1360"/>
    </row>
    <row r="37" spans="1:10" ht="20.25" customHeight="1">
      <c r="A37" s="688">
        <v>10</v>
      </c>
      <c r="B37" s="15" t="s">
        <v>244</v>
      </c>
      <c r="C37" s="112"/>
      <c r="D37" s="112">
        <v>638</v>
      </c>
      <c r="E37" s="112"/>
      <c r="F37" s="160"/>
      <c r="G37" s="1"/>
      <c r="H37" s="157"/>
      <c r="I37" s="157"/>
      <c r="J37" s="1360"/>
    </row>
    <row r="38" spans="1:10" ht="20.25" customHeight="1">
      <c r="A38" s="688">
        <v>11</v>
      </c>
      <c r="B38" s="15" t="s">
        <v>44</v>
      </c>
      <c r="C38" s="112"/>
      <c r="D38" s="112">
        <v>22289</v>
      </c>
      <c r="E38" s="112"/>
      <c r="F38" s="160"/>
      <c r="G38" s="1"/>
      <c r="H38" s="157"/>
      <c r="I38" s="157"/>
      <c r="J38" s="1360"/>
    </row>
    <row r="39" spans="1:10" ht="20.25" customHeight="1">
      <c r="A39" s="692" t="s">
        <v>17</v>
      </c>
      <c r="B39" s="159" t="s">
        <v>45</v>
      </c>
      <c r="C39" s="96">
        <f>SUM(C40:C44)</f>
        <v>207</v>
      </c>
      <c r="D39" s="96">
        <f>SUM(D40:D44)</f>
        <v>3270</v>
      </c>
      <c r="E39" s="96">
        <f>SUM(E40:E44)</f>
        <v>0</v>
      </c>
      <c r="F39" s="160"/>
      <c r="G39" s="1"/>
      <c r="H39" s="157"/>
      <c r="I39" s="157"/>
      <c r="J39" s="1360"/>
    </row>
    <row r="40" spans="1:10" ht="20.25" customHeight="1">
      <c r="A40" s="692">
        <v>1</v>
      </c>
      <c r="B40" s="15" t="s">
        <v>46</v>
      </c>
      <c r="C40" s="12"/>
      <c r="D40" s="12"/>
      <c r="E40" s="9"/>
      <c r="F40" s="160"/>
      <c r="G40" s="1"/>
      <c r="H40" s="157"/>
      <c r="I40" s="157"/>
      <c r="J40" s="1360"/>
    </row>
    <row r="41" spans="1:10" ht="28.5" customHeight="1">
      <c r="A41" s="692">
        <v>2</v>
      </c>
      <c r="B41" s="10" t="s">
        <v>245</v>
      </c>
      <c r="C41" s="16"/>
      <c r="D41" s="16"/>
      <c r="E41" s="16"/>
      <c r="F41" s="160"/>
      <c r="G41" s="1"/>
      <c r="H41" s="157"/>
      <c r="I41" s="157"/>
      <c r="J41" s="1360"/>
    </row>
    <row r="42" spans="1:10" ht="28.5" customHeight="1">
      <c r="A42" s="692">
        <v>3</v>
      </c>
      <c r="B42" s="10" t="s">
        <v>246</v>
      </c>
      <c r="C42" s="16"/>
      <c r="D42" s="16"/>
      <c r="E42" s="11"/>
      <c r="F42" s="160"/>
      <c r="G42" s="1"/>
      <c r="H42" s="157"/>
      <c r="I42" s="157"/>
      <c r="J42" s="1360"/>
    </row>
    <row r="43" spans="1:10" ht="19.5" customHeight="1">
      <c r="A43" s="692">
        <v>4</v>
      </c>
      <c r="B43" s="10" t="s">
        <v>47</v>
      </c>
      <c r="C43" s="16"/>
      <c r="D43" s="16"/>
      <c r="E43" s="16"/>
      <c r="F43" s="160"/>
      <c r="G43" s="1"/>
      <c r="H43" s="157"/>
      <c r="I43" s="157"/>
      <c r="J43" s="1360"/>
    </row>
    <row r="44" spans="1:10" ht="20.25" customHeight="1" thickBot="1">
      <c r="A44" s="692">
        <v>5</v>
      </c>
      <c r="B44" s="17" t="s">
        <v>48</v>
      </c>
      <c r="C44" s="1361">
        <v>207</v>
      </c>
      <c r="D44" s="1361">
        <f>2795+475</f>
        <v>3270</v>
      </c>
      <c r="E44" s="1361"/>
      <c r="F44" s="165"/>
      <c r="G44" s="166"/>
      <c r="H44" s="94"/>
      <c r="I44" s="94"/>
      <c r="J44" s="1362"/>
    </row>
    <row r="45" spans="1:10" ht="20.25" customHeight="1" thickBot="1">
      <c r="A45" s="690"/>
      <c r="B45" s="152" t="s">
        <v>49</v>
      </c>
      <c r="C45" s="92">
        <f>SUM(C46+C52+C58)</f>
        <v>253966</v>
      </c>
      <c r="D45" s="92">
        <f>SUM(D46+D52+D58)</f>
        <v>254366</v>
      </c>
      <c r="E45" s="92">
        <f>SUM(E46+E52+E58)</f>
        <v>0</v>
      </c>
      <c r="F45" s="168"/>
      <c r="G45" s="152" t="s">
        <v>50</v>
      </c>
      <c r="H45" s="566">
        <f>SUM(H46:H48)</f>
        <v>1688411</v>
      </c>
      <c r="I45" s="566">
        <f>SUM(I46:I48)</f>
        <v>1712497</v>
      </c>
      <c r="J45" s="1376">
        <f>SUM(J46:J48)</f>
        <v>0</v>
      </c>
    </row>
    <row r="46" spans="1:10" ht="20.25" customHeight="1">
      <c r="A46" s="688" t="s">
        <v>261</v>
      </c>
      <c r="B46" s="5" t="s">
        <v>51</v>
      </c>
      <c r="C46" s="178">
        <f>SUM(C47:C51)</f>
        <v>253546</v>
      </c>
      <c r="D46" s="178">
        <f>SUM(D47:D51)</f>
        <v>253546</v>
      </c>
      <c r="E46" s="178">
        <f>SUM(E47:E51)</f>
        <v>0</v>
      </c>
      <c r="F46" s="170" t="s">
        <v>52</v>
      </c>
      <c r="G46" s="171" t="s">
        <v>53</v>
      </c>
      <c r="H46" s="565">
        <v>1555344</v>
      </c>
      <c r="I46" s="11">
        <f>1577704+1726</f>
        <v>1579430</v>
      </c>
      <c r="J46" s="1357"/>
    </row>
    <row r="47" spans="1:11" ht="29.25" customHeight="1">
      <c r="A47" s="688">
        <v>1</v>
      </c>
      <c r="B47" s="10" t="s">
        <v>54</v>
      </c>
      <c r="C47" s="11"/>
      <c r="D47" s="11"/>
      <c r="E47" s="11"/>
      <c r="F47" s="170" t="s">
        <v>55</v>
      </c>
      <c r="G47" s="161" t="s">
        <v>56</v>
      </c>
      <c r="H47" s="565">
        <v>133067</v>
      </c>
      <c r="I47" s="11">
        <v>133067</v>
      </c>
      <c r="J47" s="1357"/>
      <c r="K47" s="1358"/>
    </row>
    <row r="48" spans="1:10" ht="29.25" customHeight="1" thickBot="1">
      <c r="A48" s="688">
        <v>2</v>
      </c>
      <c r="B48" s="10" t="s">
        <v>57</v>
      </c>
      <c r="C48" s="11"/>
      <c r="D48" s="11"/>
      <c r="E48" s="11"/>
      <c r="F48" s="170" t="s">
        <v>58</v>
      </c>
      <c r="G48" s="172" t="s">
        <v>59</v>
      </c>
      <c r="H48" s="567">
        <v>0</v>
      </c>
      <c r="I48" s="11"/>
      <c r="J48" s="1357"/>
    </row>
    <row r="49" spans="1:10" ht="29.25" customHeight="1">
      <c r="A49" s="688">
        <v>3</v>
      </c>
      <c r="B49" s="10" t="s">
        <v>312</v>
      </c>
      <c r="C49" s="11"/>
      <c r="D49" s="11"/>
      <c r="E49" s="11"/>
      <c r="F49" s="174"/>
      <c r="G49" s="175"/>
      <c r="H49" s="733"/>
      <c r="I49" s="733"/>
      <c r="J49" s="1363"/>
    </row>
    <row r="50" spans="1:10" ht="21" customHeight="1">
      <c r="A50" s="688">
        <v>4</v>
      </c>
      <c r="B50" s="10" t="s">
        <v>61</v>
      </c>
      <c r="C50" s="11"/>
      <c r="D50" s="11"/>
      <c r="E50" s="11"/>
      <c r="F50" s="160"/>
      <c r="G50" s="175"/>
      <c r="H50" s="733"/>
      <c r="I50" s="733"/>
      <c r="J50" s="1363"/>
    </row>
    <row r="51" spans="1:10" ht="20.25" customHeight="1">
      <c r="A51" s="688">
        <v>5</v>
      </c>
      <c r="B51" s="10" t="s">
        <v>62</v>
      </c>
      <c r="C51" s="11">
        <v>253546</v>
      </c>
      <c r="D51" s="11">
        <v>253546</v>
      </c>
      <c r="E51" s="14"/>
      <c r="F51" s="160"/>
      <c r="G51" s="175"/>
      <c r="H51" s="733"/>
      <c r="I51" s="733"/>
      <c r="J51" s="1363"/>
    </row>
    <row r="52" spans="1:10" ht="20.25" customHeight="1">
      <c r="A52" s="688" t="s">
        <v>52</v>
      </c>
      <c r="B52" s="19" t="s">
        <v>63</v>
      </c>
      <c r="C52" s="96">
        <f>SUM(C53:C57)</f>
        <v>0</v>
      </c>
      <c r="D52" s="96">
        <f>SUM(D53:D57)</f>
        <v>400</v>
      </c>
      <c r="E52" s="96">
        <v>0</v>
      </c>
      <c r="F52" s="160"/>
      <c r="G52" s="175"/>
      <c r="H52" s="733"/>
      <c r="I52" s="733"/>
      <c r="J52" s="1363"/>
    </row>
    <row r="53" spans="1:10" ht="20.25" customHeight="1">
      <c r="A53" s="688">
        <v>1</v>
      </c>
      <c r="B53" s="15" t="s">
        <v>64</v>
      </c>
      <c r="C53" s="16"/>
      <c r="D53" s="16"/>
      <c r="E53" s="16"/>
      <c r="F53" s="160"/>
      <c r="G53" s="175"/>
      <c r="H53" s="733"/>
      <c r="I53" s="733"/>
      <c r="J53" s="1363"/>
    </row>
    <row r="54" spans="1:10" ht="20.25" customHeight="1">
      <c r="A54" s="688">
        <v>2</v>
      </c>
      <c r="B54" s="15" t="s">
        <v>65</v>
      </c>
      <c r="C54" s="16"/>
      <c r="D54" s="16"/>
      <c r="E54" s="16"/>
      <c r="F54" s="160"/>
      <c r="G54" s="175"/>
      <c r="H54" s="733"/>
      <c r="I54" s="733"/>
      <c r="J54" s="1363"/>
    </row>
    <row r="55" spans="1:10" ht="20.25" customHeight="1">
      <c r="A55" s="688">
        <v>3</v>
      </c>
      <c r="B55" s="15" t="s">
        <v>66</v>
      </c>
      <c r="C55" s="16"/>
      <c r="D55" s="16">
        <v>400</v>
      </c>
      <c r="E55" s="16"/>
      <c r="F55" s="160"/>
      <c r="G55" s="175"/>
      <c r="H55" s="733"/>
      <c r="I55" s="733"/>
      <c r="J55" s="1363"/>
    </row>
    <row r="56" spans="1:10" ht="20.25" customHeight="1">
      <c r="A56" s="688">
        <v>4</v>
      </c>
      <c r="B56" s="15" t="s">
        <v>314</v>
      </c>
      <c r="C56" s="16"/>
      <c r="D56" s="16"/>
      <c r="E56" s="16"/>
      <c r="F56" s="160"/>
      <c r="G56" s="175"/>
      <c r="H56" s="733"/>
      <c r="I56" s="733"/>
      <c r="J56" s="1363"/>
    </row>
    <row r="57" spans="1:10" ht="20.25" customHeight="1">
      <c r="A57" s="688">
        <v>5</v>
      </c>
      <c r="B57" s="15" t="s">
        <v>68</v>
      </c>
      <c r="C57" s="12"/>
      <c r="D57" s="12"/>
      <c r="E57" s="9"/>
      <c r="F57" s="160"/>
      <c r="G57" s="175"/>
      <c r="H57" s="733"/>
      <c r="I57" s="733"/>
      <c r="J57" s="1363"/>
    </row>
    <row r="58" spans="1:10" ht="29.25" customHeight="1">
      <c r="A58" s="692" t="s">
        <v>55</v>
      </c>
      <c r="B58" s="159" t="s">
        <v>69</v>
      </c>
      <c r="C58" s="96">
        <f>SUM(C59:C62)</f>
        <v>420</v>
      </c>
      <c r="D58" s="96">
        <f>SUM(D59:D62)</f>
        <v>420</v>
      </c>
      <c r="E58" s="96">
        <f>SUM(E59:E62)</f>
        <v>0</v>
      </c>
      <c r="F58" s="160"/>
      <c r="G58" s="175"/>
      <c r="H58" s="733"/>
      <c r="I58" s="733"/>
      <c r="J58" s="1363"/>
    </row>
    <row r="59" spans="1:10" ht="29.25" customHeight="1">
      <c r="A59" s="692">
        <v>1</v>
      </c>
      <c r="B59" s="15" t="s">
        <v>70</v>
      </c>
      <c r="C59" s="11"/>
      <c r="D59" s="11"/>
      <c r="E59" s="11"/>
      <c r="F59" s="160"/>
      <c r="G59" s="175"/>
      <c r="H59" s="733"/>
      <c r="I59" s="733"/>
      <c r="J59" s="1363"/>
    </row>
    <row r="60" spans="1:10" ht="21" customHeight="1">
      <c r="A60" s="692">
        <v>2</v>
      </c>
      <c r="B60" s="10" t="s">
        <v>247</v>
      </c>
      <c r="C60" s="18"/>
      <c r="D60" s="18"/>
      <c r="E60" s="18"/>
      <c r="F60" s="160"/>
      <c r="G60" s="175"/>
      <c r="H60" s="733"/>
      <c r="I60" s="733"/>
      <c r="J60" s="1363"/>
    </row>
    <row r="61" spans="1:10" ht="45" customHeight="1">
      <c r="A61" s="692">
        <v>3</v>
      </c>
      <c r="B61" s="1364" t="s">
        <v>248</v>
      </c>
      <c r="C61" s="90"/>
      <c r="D61" s="90"/>
      <c r="E61" s="90"/>
      <c r="F61" s="160"/>
      <c r="G61" s="175"/>
      <c r="H61" s="733"/>
      <c r="I61" s="733"/>
      <c r="J61" s="1363"/>
    </row>
    <row r="62" spans="1:10" ht="49.5" customHeight="1" thickBot="1">
      <c r="A62" s="1626">
        <v>4</v>
      </c>
      <c r="B62" s="1365" t="s">
        <v>71</v>
      </c>
      <c r="C62" s="173">
        <v>420</v>
      </c>
      <c r="D62" s="173">
        <v>420</v>
      </c>
      <c r="E62" s="173"/>
      <c r="F62" s="160"/>
      <c r="G62" s="175"/>
      <c r="H62" s="733"/>
      <c r="I62" s="733"/>
      <c r="J62" s="1363"/>
    </row>
    <row r="63" spans="1:10" ht="40.5" customHeight="1" thickBot="1">
      <c r="A63" s="693"/>
      <c r="B63" s="152" t="s">
        <v>72</v>
      </c>
      <c r="C63" s="178">
        <f>SUM(C64:C73)</f>
        <v>1121654</v>
      </c>
      <c r="D63" s="178">
        <f>SUM(D64:D73)</f>
        <v>1121654</v>
      </c>
      <c r="E63" s="178">
        <f>SUM(E64:E73)</f>
        <v>0</v>
      </c>
      <c r="F63" s="168"/>
      <c r="G63" s="152" t="s">
        <v>73</v>
      </c>
      <c r="H63" s="342">
        <f>SUM(H64:H73)</f>
        <v>11681</v>
      </c>
      <c r="I63" s="342">
        <f>SUM(I64:I73)</f>
        <v>11681</v>
      </c>
      <c r="J63" s="1627">
        <f>SUM(J64:J73)</f>
        <v>0</v>
      </c>
    </row>
    <row r="64" spans="1:10" ht="39" customHeight="1">
      <c r="A64" s="687">
        <v>1</v>
      </c>
      <c r="B64" s="106" t="s">
        <v>293</v>
      </c>
      <c r="C64" s="11"/>
      <c r="D64" s="11"/>
      <c r="E64" s="11"/>
      <c r="F64" s="179" t="s">
        <v>9</v>
      </c>
      <c r="G64" s="106" t="s">
        <v>296</v>
      </c>
      <c r="H64" s="564"/>
      <c r="I64" s="564"/>
      <c r="J64" s="1366"/>
    </row>
    <row r="65" spans="1:10" ht="20.25" customHeight="1">
      <c r="A65" s="687">
        <v>2</v>
      </c>
      <c r="B65" s="20" t="s">
        <v>249</v>
      </c>
      <c r="C65" s="11"/>
      <c r="D65" s="11"/>
      <c r="E65" s="11"/>
      <c r="F65" s="7" t="s">
        <v>23</v>
      </c>
      <c r="G65" s="20" t="s">
        <v>257</v>
      </c>
      <c r="H65" s="12"/>
      <c r="I65" s="12"/>
      <c r="J65" s="1367"/>
    </row>
    <row r="66" spans="1:10" ht="20.25" customHeight="1">
      <c r="A66" s="687">
        <v>3</v>
      </c>
      <c r="B66" s="20" t="s">
        <v>250</v>
      </c>
      <c r="C66" s="11"/>
      <c r="D66" s="11"/>
      <c r="E66" s="11"/>
      <c r="F66" s="179" t="s">
        <v>25</v>
      </c>
      <c r="G66" s="20" t="s">
        <v>258</v>
      </c>
      <c r="H66" s="180"/>
      <c r="I66" s="180"/>
      <c r="J66" s="1368"/>
    </row>
    <row r="67" spans="1:10" ht="20.25" customHeight="1">
      <c r="A67" s="687">
        <v>4</v>
      </c>
      <c r="B67" s="20" t="s">
        <v>251</v>
      </c>
      <c r="C67" s="11"/>
      <c r="D67" s="11"/>
      <c r="E67" s="11"/>
      <c r="F67" s="7" t="s">
        <v>27</v>
      </c>
      <c r="G67" s="20" t="s">
        <v>259</v>
      </c>
      <c r="H67" s="9"/>
      <c r="I67" s="9"/>
      <c r="J67" s="1369"/>
    </row>
    <row r="68" spans="1:10" ht="38.25" customHeight="1">
      <c r="A68" s="687">
        <v>5</v>
      </c>
      <c r="B68" s="20" t="s">
        <v>256</v>
      </c>
      <c r="C68" s="11"/>
      <c r="D68" s="11"/>
      <c r="E68" s="11"/>
      <c r="F68" s="179" t="s">
        <v>29</v>
      </c>
      <c r="G68" s="20" t="s">
        <v>260</v>
      </c>
      <c r="H68" s="181"/>
      <c r="I68" s="181"/>
      <c r="J68" s="1370"/>
    </row>
    <row r="69" spans="1:10" ht="32.25" customHeight="1">
      <c r="A69" s="687">
        <v>6</v>
      </c>
      <c r="B69" s="21" t="s">
        <v>294</v>
      </c>
      <c r="C69" s="22"/>
      <c r="D69" s="22"/>
      <c r="E69" s="22"/>
      <c r="F69" s="7" t="s">
        <v>31</v>
      </c>
      <c r="G69" s="20" t="s">
        <v>297</v>
      </c>
      <c r="H69" s="11"/>
      <c r="I69" s="11"/>
      <c r="J69" s="1371"/>
    </row>
    <row r="70" spans="1:10" ht="20.25" customHeight="1">
      <c r="A70" s="687">
        <v>7</v>
      </c>
      <c r="B70" s="20" t="s">
        <v>252</v>
      </c>
      <c r="C70" s="9">
        <v>1121654</v>
      </c>
      <c r="D70" s="9">
        <v>1121654</v>
      </c>
      <c r="E70" s="9"/>
      <c r="F70" s="179" t="s">
        <v>74</v>
      </c>
      <c r="G70" s="21" t="s">
        <v>298</v>
      </c>
      <c r="H70" s="11"/>
      <c r="I70" s="11"/>
      <c r="J70" s="1371"/>
    </row>
    <row r="71" spans="1:10" ht="20.25" customHeight="1">
      <c r="A71" s="687">
        <v>8</v>
      </c>
      <c r="B71" s="20" t="s">
        <v>315</v>
      </c>
      <c r="C71" s="9"/>
      <c r="D71" s="9"/>
      <c r="E71" s="9"/>
      <c r="F71" s="179" t="s">
        <v>77</v>
      </c>
      <c r="G71" s="20" t="s">
        <v>289</v>
      </c>
      <c r="H71" s="11"/>
      <c r="I71" s="11"/>
      <c r="J71" s="1371"/>
    </row>
    <row r="72" spans="1:10" ht="20.25" customHeight="1">
      <c r="A72" s="687">
        <v>9</v>
      </c>
      <c r="B72" s="20" t="s">
        <v>254</v>
      </c>
      <c r="C72" s="9"/>
      <c r="D72" s="9"/>
      <c r="E72" s="9"/>
      <c r="F72" s="1372"/>
      <c r="G72" s="20" t="s">
        <v>350</v>
      </c>
      <c r="H72" s="11">
        <v>11681</v>
      </c>
      <c r="I72" s="11">
        <v>11681</v>
      </c>
      <c r="J72" s="1371"/>
    </row>
    <row r="73" spans="1:13" ht="20.25" customHeight="1" thickBot="1">
      <c r="A73" s="687">
        <v>10</v>
      </c>
      <c r="B73" s="29" t="s">
        <v>255</v>
      </c>
      <c r="C73" s="98"/>
      <c r="D73" s="98"/>
      <c r="E73" s="98"/>
      <c r="F73" s="91"/>
      <c r="G73" s="95"/>
      <c r="H73" s="22"/>
      <c r="I73" s="22"/>
      <c r="J73" s="1373"/>
      <c r="M73" s="1358"/>
    </row>
    <row r="74" spans="1:10" ht="40.5" customHeight="1" thickBot="1">
      <c r="A74" s="693"/>
      <c r="B74" s="152" t="s">
        <v>75</v>
      </c>
      <c r="C74" s="182">
        <f>SUM(C75:C84)</f>
        <v>1251888</v>
      </c>
      <c r="D74" s="182">
        <f>SUM(D75:D84)</f>
        <v>1891725</v>
      </c>
      <c r="E74" s="182"/>
      <c r="F74" s="91"/>
      <c r="G74" s="152" t="s">
        <v>76</v>
      </c>
      <c r="H74" s="568">
        <f>SUM(H75:H83)</f>
        <v>0</v>
      </c>
      <c r="I74" s="568"/>
      <c r="J74" s="1374">
        <f>SUM(J75:J83)</f>
        <v>0</v>
      </c>
    </row>
    <row r="75" spans="1:10" ht="38.25" customHeight="1" thickBot="1">
      <c r="A75" s="687">
        <v>1</v>
      </c>
      <c r="B75" s="106" t="s">
        <v>293</v>
      </c>
      <c r="C75" s="11"/>
      <c r="D75" s="11"/>
      <c r="E75" s="11"/>
      <c r="F75" s="179" t="s">
        <v>9</v>
      </c>
      <c r="G75" s="106" t="s">
        <v>296</v>
      </c>
      <c r="H75" s="105"/>
      <c r="I75" s="105"/>
      <c r="J75" s="1375"/>
    </row>
    <row r="76" spans="1:10" ht="20.25" customHeight="1">
      <c r="A76" s="687">
        <v>2</v>
      </c>
      <c r="B76" s="20" t="s">
        <v>249</v>
      </c>
      <c r="C76" s="11"/>
      <c r="D76" s="11"/>
      <c r="E76" s="11"/>
      <c r="F76" s="7" t="s">
        <v>23</v>
      </c>
      <c r="G76" s="20" t="s">
        <v>257</v>
      </c>
      <c r="H76" s="6"/>
      <c r="I76" s="6"/>
      <c r="J76" s="1376"/>
    </row>
    <row r="77" spans="1:10" ht="20.25" customHeight="1">
      <c r="A77" s="687">
        <v>3</v>
      </c>
      <c r="B77" s="20" t="s">
        <v>250</v>
      </c>
      <c r="C77" s="11"/>
      <c r="D77" s="11"/>
      <c r="E77" s="11"/>
      <c r="F77" s="7" t="s">
        <v>25</v>
      </c>
      <c r="G77" s="20" t="s">
        <v>258</v>
      </c>
      <c r="H77" s="9"/>
      <c r="I77" s="9"/>
      <c r="J77" s="1369"/>
    </row>
    <row r="78" spans="1:10" ht="20.25" customHeight="1">
      <c r="A78" s="687">
        <v>4</v>
      </c>
      <c r="B78" s="20" t="s">
        <v>251</v>
      </c>
      <c r="C78" s="11"/>
      <c r="D78" s="11"/>
      <c r="E78" s="11"/>
      <c r="F78" s="7" t="s">
        <v>27</v>
      </c>
      <c r="G78" s="20" t="s">
        <v>259</v>
      </c>
      <c r="H78" s="9"/>
      <c r="I78" s="9"/>
      <c r="J78" s="1369"/>
    </row>
    <row r="79" spans="1:10" ht="33" customHeight="1">
      <c r="A79" s="687">
        <v>5</v>
      </c>
      <c r="B79" s="20" t="s">
        <v>256</v>
      </c>
      <c r="C79" s="11"/>
      <c r="D79" s="11"/>
      <c r="E79" s="11"/>
      <c r="F79" s="7" t="s">
        <v>29</v>
      </c>
      <c r="G79" s="20" t="s">
        <v>260</v>
      </c>
      <c r="H79" s="11"/>
      <c r="I79" s="11"/>
      <c r="J79" s="1377"/>
    </row>
    <row r="80" spans="1:10" ht="28.5" customHeight="1">
      <c r="A80" s="687">
        <v>6</v>
      </c>
      <c r="B80" s="20" t="s">
        <v>252</v>
      </c>
      <c r="C80" s="11">
        <v>1251888</v>
      </c>
      <c r="D80" s="11">
        <v>1891725</v>
      </c>
      <c r="E80" s="11"/>
      <c r="F80" s="7" t="s">
        <v>31</v>
      </c>
      <c r="G80" s="20" t="s">
        <v>297</v>
      </c>
      <c r="H80" s="11"/>
      <c r="I80" s="11"/>
      <c r="J80" s="1371"/>
    </row>
    <row r="81" spans="1:10" ht="16.5" customHeight="1">
      <c r="A81" s="687">
        <v>7</v>
      </c>
      <c r="B81" s="20" t="s">
        <v>253</v>
      </c>
      <c r="C81" s="105"/>
      <c r="D81" s="105"/>
      <c r="E81" s="105"/>
      <c r="F81" s="183" t="s">
        <v>74</v>
      </c>
      <c r="G81" s="21" t="s">
        <v>298</v>
      </c>
      <c r="H81" s="11"/>
      <c r="I81" s="11"/>
      <c r="J81" s="1371"/>
    </row>
    <row r="82" spans="1:10" ht="16.5" customHeight="1" thickBot="1">
      <c r="A82" s="1628">
        <v>8</v>
      </c>
      <c r="B82" s="21" t="s">
        <v>254</v>
      </c>
      <c r="C82" s="11"/>
      <c r="D82" s="11"/>
      <c r="E82" s="11"/>
      <c r="F82" s="7" t="s">
        <v>77</v>
      </c>
      <c r="G82" s="20" t="s">
        <v>289</v>
      </c>
      <c r="H82" s="11"/>
      <c r="I82" s="11"/>
      <c r="J82" s="1371"/>
    </row>
    <row r="83" spans="1:10" ht="16.5" customHeight="1" thickBot="1">
      <c r="A83" s="1628">
        <v>9</v>
      </c>
      <c r="B83" s="1378" t="s">
        <v>255</v>
      </c>
      <c r="C83" s="1379"/>
      <c r="D83" s="24"/>
      <c r="E83" s="24"/>
      <c r="F83" s="184"/>
      <c r="G83" s="29"/>
      <c r="H83" s="22"/>
      <c r="I83" s="22"/>
      <c r="J83" s="1373"/>
    </row>
    <row r="84" spans="1:10" ht="16.5" customHeight="1" thickBot="1">
      <c r="A84" s="1628">
        <v>10</v>
      </c>
      <c r="B84" s="1378"/>
      <c r="C84" s="24"/>
      <c r="D84" s="24"/>
      <c r="E84" s="24"/>
      <c r="F84" s="185"/>
      <c r="G84" s="23"/>
      <c r="H84" s="343"/>
      <c r="I84" s="343"/>
      <c r="J84" s="1380"/>
    </row>
    <row r="85" spans="1:10" ht="15.75" thickBot="1">
      <c r="A85" s="1231"/>
      <c r="B85" s="1381" t="s">
        <v>295</v>
      </c>
      <c r="C85" s="1232">
        <f>SUM(C7+C45+C63+C74+C83)</f>
        <v>4542331</v>
      </c>
      <c r="D85" s="1232">
        <f>SUM(D7+D45+D63+D74+D83)</f>
        <v>5260893.3</v>
      </c>
      <c r="E85" s="1232">
        <f>SUM(E7+E45+E63+E74+E83)</f>
        <v>0</v>
      </c>
      <c r="F85" s="1233"/>
      <c r="G85" s="1382" t="s">
        <v>79</v>
      </c>
      <c r="H85" s="1383">
        <f>SUM(H7+H45+H63+H74)</f>
        <v>4542331</v>
      </c>
      <c r="I85" s="1383">
        <f>SUM(I7+I45+I63+I74)</f>
        <v>5260893</v>
      </c>
      <c r="J85" s="1629">
        <f>SUM(J7+J45+J63+J74)</f>
        <v>0</v>
      </c>
    </row>
    <row r="86" spans="8:10" ht="15">
      <c r="H86" s="1385"/>
      <c r="I86" s="1385"/>
      <c r="J86" s="1350"/>
    </row>
    <row r="88" spans="8:9" ht="15">
      <c r="H88" s="1385"/>
      <c r="I88" s="1385"/>
    </row>
    <row r="89" ht="15">
      <c r="F89" s="1358"/>
    </row>
    <row r="91" ht="15">
      <c r="G91" s="1358"/>
    </row>
    <row r="118" spans="2:10" ht="15">
      <c r="B118" s="1358"/>
      <c r="C118" s="1358"/>
      <c r="D118" s="1358"/>
      <c r="E118" s="1350"/>
      <c r="F118" s="1358"/>
      <c r="G118" s="1358"/>
      <c r="J118" s="1350"/>
    </row>
    <row r="119" spans="2:10" ht="15">
      <c r="B119" s="1358"/>
      <c r="C119" s="1358"/>
      <c r="D119" s="1358"/>
      <c r="E119" s="1350"/>
      <c r="F119" s="1358"/>
      <c r="G119" s="1358"/>
      <c r="J119" s="1350"/>
    </row>
    <row r="120" spans="2:10" ht="15">
      <c r="B120" s="1358"/>
      <c r="C120" s="1358"/>
      <c r="D120" s="1358"/>
      <c r="E120" s="1350"/>
      <c r="F120" s="1358"/>
      <c r="G120" s="1358"/>
      <c r="J120" s="1350"/>
    </row>
    <row r="121" spans="2:10" ht="15">
      <c r="B121" s="1358"/>
      <c r="C121" s="1358"/>
      <c r="D121" s="1358"/>
      <c r="E121" s="1350"/>
      <c r="F121" s="1358"/>
      <c r="G121" s="1358"/>
      <c r="J121" s="1350"/>
    </row>
    <row r="122" spans="2:10" ht="15">
      <c r="B122" s="1358"/>
      <c r="C122" s="1358"/>
      <c r="D122" s="1358"/>
      <c r="E122" s="1350"/>
      <c r="F122" s="1358"/>
      <c r="G122" s="1358"/>
      <c r="J122" s="1350"/>
    </row>
    <row r="123" spans="2:10" ht="15">
      <c r="B123" s="1358"/>
      <c r="C123" s="1358"/>
      <c r="D123" s="1358"/>
      <c r="E123" s="1350"/>
      <c r="F123" s="1358"/>
      <c r="G123" s="1358"/>
      <c r="J123" s="1350"/>
    </row>
    <row r="124" spans="2:10" ht="15">
      <c r="B124" s="1358"/>
      <c r="C124" s="1358"/>
      <c r="D124" s="1358"/>
      <c r="E124" s="1350"/>
      <c r="F124" s="1358"/>
      <c r="G124" s="1358"/>
      <c r="J124" s="1350"/>
    </row>
    <row r="125" spans="2:10" ht="15">
      <c r="B125" s="1358"/>
      <c r="C125" s="1358"/>
      <c r="D125" s="1358"/>
      <c r="E125" s="1350"/>
      <c r="F125" s="1358"/>
      <c r="G125" s="1358"/>
      <c r="J125" s="1350"/>
    </row>
    <row r="126" spans="2:10" ht="15">
      <c r="B126" s="1358"/>
      <c r="C126" s="1358"/>
      <c r="D126" s="1358"/>
      <c r="E126" s="1350"/>
      <c r="F126" s="1358"/>
      <c r="G126" s="1358"/>
      <c r="J126" s="1350"/>
    </row>
    <row r="127" spans="2:10" ht="15">
      <c r="B127" s="1358"/>
      <c r="C127" s="1358"/>
      <c r="D127" s="1358"/>
      <c r="E127" s="1350"/>
      <c r="F127" s="1358"/>
      <c r="G127" s="1358"/>
      <c r="J127" s="1350"/>
    </row>
    <row r="128" spans="2:10" ht="15">
      <c r="B128" s="1358"/>
      <c r="C128" s="1358"/>
      <c r="D128" s="1358"/>
      <c r="E128" s="1350"/>
      <c r="F128" s="1358"/>
      <c r="G128" s="1358"/>
      <c r="J128" s="1350"/>
    </row>
    <row r="129" spans="2:10" ht="15">
      <c r="B129" s="1358"/>
      <c r="C129" s="1358"/>
      <c r="D129" s="1358"/>
      <c r="E129" s="1350"/>
      <c r="F129" s="1358"/>
      <c r="G129" s="1358"/>
      <c r="J129" s="1350"/>
    </row>
    <row r="130" spans="2:10" ht="15">
      <c r="B130" s="1358"/>
      <c r="C130" s="1358"/>
      <c r="D130" s="1358"/>
      <c r="E130" s="1350"/>
      <c r="F130" s="1358"/>
      <c r="G130" s="1358"/>
      <c r="J130" s="1350"/>
    </row>
    <row r="131" spans="2:10" ht="15">
      <c r="B131" s="1358"/>
      <c r="C131" s="1358"/>
      <c r="D131" s="1358"/>
      <c r="E131" s="1350"/>
      <c r="F131" s="1358"/>
      <c r="G131" s="1358"/>
      <c r="J131" s="1350"/>
    </row>
    <row r="132" spans="2:10" ht="15">
      <c r="B132" s="1358"/>
      <c r="C132" s="1358"/>
      <c r="D132" s="1358"/>
      <c r="E132" s="1350"/>
      <c r="F132" s="1358"/>
      <c r="G132" s="1358"/>
      <c r="J132" s="1350"/>
    </row>
    <row r="133" spans="2:10" ht="15">
      <c r="B133" s="1358"/>
      <c r="C133" s="1358"/>
      <c r="D133" s="1358"/>
      <c r="E133" s="1350"/>
      <c r="F133" s="1358"/>
      <c r="G133" s="1358"/>
      <c r="J133" s="1350"/>
    </row>
    <row r="134" spans="2:10" ht="15">
      <c r="B134" s="1358"/>
      <c r="C134" s="1358"/>
      <c r="D134" s="1358"/>
      <c r="E134" s="1350"/>
      <c r="F134" s="1358"/>
      <c r="G134" s="1358"/>
      <c r="J134" s="1350"/>
    </row>
    <row r="135" spans="2:10" ht="15">
      <c r="B135" s="1358"/>
      <c r="C135" s="1358"/>
      <c r="D135" s="1358"/>
      <c r="E135" s="1350"/>
      <c r="F135" s="1358"/>
      <c r="G135" s="1358"/>
      <c r="J135" s="1350"/>
    </row>
    <row r="136" spans="2:10" ht="15">
      <c r="B136" s="1358"/>
      <c r="C136" s="1358"/>
      <c r="D136" s="1358"/>
      <c r="E136" s="1350"/>
      <c r="F136" s="1358"/>
      <c r="G136" s="1358"/>
      <c r="J136" s="1350"/>
    </row>
    <row r="137" spans="2:10" ht="15">
      <c r="B137" s="1358"/>
      <c r="C137" s="1358"/>
      <c r="D137" s="1358"/>
      <c r="E137" s="1350"/>
      <c r="F137" s="1358"/>
      <c r="G137" s="1358"/>
      <c r="J137" s="1350"/>
    </row>
    <row r="138" spans="2:10" ht="15">
      <c r="B138" s="1358"/>
      <c r="C138" s="1358"/>
      <c r="D138" s="1358"/>
      <c r="E138" s="1350"/>
      <c r="F138" s="1358"/>
      <c r="G138" s="1358"/>
      <c r="J138" s="1350"/>
    </row>
    <row r="139" spans="2:10" ht="15">
      <c r="B139" s="1358"/>
      <c r="C139" s="1358"/>
      <c r="D139" s="1358"/>
      <c r="E139" s="1350"/>
      <c r="F139" s="1358"/>
      <c r="G139" s="1358"/>
      <c r="J139" s="1350"/>
    </row>
    <row r="140" spans="2:10" ht="15">
      <c r="B140" s="1358"/>
      <c r="C140" s="1358"/>
      <c r="D140" s="1358"/>
      <c r="E140" s="1350"/>
      <c r="F140" s="1358"/>
      <c r="G140" s="1358"/>
      <c r="J140" s="1350"/>
    </row>
    <row r="141" spans="2:10" ht="15">
      <c r="B141" s="1358"/>
      <c r="C141" s="1358"/>
      <c r="D141" s="1358"/>
      <c r="E141" s="1350"/>
      <c r="F141" s="1358"/>
      <c r="G141" s="1358"/>
      <c r="J141" s="1350"/>
    </row>
    <row r="142" spans="2:10" ht="15">
      <c r="B142" s="1358"/>
      <c r="C142" s="1358"/>
      <c r="D142" s="1358"/>
      <c r="E142" s="1350"/>
      <c r="F142" s="1358"/>
      <c r="G142" s="1358"/>
      <c r="J142" s="1350"/>
    </row>
    <row r="143" spans="2:10" ht="15">
      <c r="B143" s="1358"/>
      <c r="C143" s="1358"/>
      <c r="D143" s="1358"/>
      <c r="E143" s="1350"/>
      <c r="F143" s="1358"/>
      <c r="G143" s="1358"/>
      <c r="J143" s="1350"/>
    </row>
    <row r="144" spans="2:10" ht="15">
      <c r="B144" s="1358"/>
      <c r="C144" s="1358"/>
      <c r="D144" s="1358"/>
      <c r="E144" s="1350"/>
      <c r="F144" s="1358"/>
      <c r="G144" s="1358"/>
      <c r="J144" s="1350"/>
    </row>
    <row r="145" spans="2:10" ht="15">
      <c r="B145" s="1358"/>
      <c r="C145" s="1358"/>
      <c r="D145" s="1358"/>
      <c r="E145" s="1350"/>
      <c r="F145" s="1358"/>
      <c r="G145" s="1358"/>
      <c r="J145" s="1350"/>
    </row>
    <row r="146" spans="2:10" ht="15">
      <c r="B146" s="1358"/>
      <c r="C146" s="1358"/>
      <c r="D146" s="1358"/>
      <c r="E146" s="1350"/>
      <c r="F146" s="1358"/>
      <c r="G146" s="1358"/>
      <c r="J146" s="1350"/>
    </row>
    <row r="147" spans="2:10" ht="15">
      <c r="B147" s="1358"/>
      <c r="C147" s="1358"/>
      <c r="D147" s="1358"/>
      <c r="E147" s="1350"/>
      <c r="F147" s="1358"/>
      <c r="G147" s="1358"/>
      <c r="J147" s="1350"/>
    </row>
    <row r="148" spans="2:10" ht="15">
      <c r="B148" s="1358"/>
      <c r="C148" s="1358"/>
      <c r="D148" s="1358"/>
      <c r="E148" s="1350"/>
      <c r="F148" s="1358"/>
      <c r="G148" s="1358"/>
      <c r="J148" s="1350"/>
    </row>
    <row r="149" spans="2:10" ht="15">
      <c r="B149" s="1358"/>
      <c r="C149" s="1358"/>
      <c r="D149" s="1358"/>
      <c r="E149" s="1350"/>
      <c r="F149" s="1358"/>
      <c r="G149" s="1358"/>
      <c r="J149" s="1350"/>
    </row>
    <row r="150" spans="2:10" ht="15">
      <c r="B150" s="1358"/>
      <c r="C150" s="1358"/>
      <c r="D150" s="1358"/>
      <c r="E150" s="1350"/>
      <c r="F150" s="1358"/>
      <c r="G150" s="1358"/>
      <c r="J150" s="1350"/>
    </row>
  </sheetData>
  <sheetProtection selectLockedCells="1" selectUnlockedCells="1"/>
  <mergeCells count="2">
    <mergeCell ref="A3:J3"/>
    <mergeCell ref="F13:F20"/>
  </mergeCells>
  <printOptions/>
  <pageMargins left="0.31496062992125984" right="0.31496062992125984" top="0.31496062992125984" bottom="0.15748031496062992" header="0.31496062992125984" footer="0.3937007874015748"/>
  <pageSetup horizontalDpi="600" verticalDpi="600" orientation="landscape" paperSize="9" scale="45" r:id="rId1"/>
  <rowBreaks count="1" manualBreakCount="1">
    <brk id="4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90" zoomScaleSheetLayoutView="90" zoomScalePageLayoutView="0" workbookViewId="0" topLeftCell="A13">
      <selection activeCell="B1" sqref="B1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5.375" style="0" customWidth="1"/>
    <col min="4" max="4" width="16.125" style="0" customWidth="1"/>
    <col min="5" max="5" width="16.00390625" style="0" customWidth="1"/>
    <col min="7" max="7" width="49.00390625" style="0" customWidth="1"/>
    <col min="8" max="10" width="16.125" style="0" customWidth="1"/>
  </cols>
  <sheetData>
    <row r="1" spans="1:10" ht="15.75">
      <c r="A1" s="1"/>
      <c r="B1" s="1630" t="s">
        <v>706</v>
      </c>
      <c r="C1" s="346"/>
      <c r="D1" s="346"/>
      <c r="E1" s="346"/>
      <c r="F1" s="1"/>
      <c r="H1" s="3"/>
      <c r="I1" s="3"/>
      <c r="J1" s="3"/>
    </row>
    <row r="2" spans="1:10" ht="15.75">
      <c r="A2" s="1"/>
      <c r="B2" s="1631"/>
      <c r="C2" s="346"/>
      <c r="D2" s="346"/>
      <c r="E2" s="346"/>
      <c r="F2" s="1"/>
      <c r="H2" s="3"/>
      <c r="I2" s="3"/>
      <c r="J2" s="3"/>
    </row>
    <row r="3" spans="1:10" ht="15.75">
      <c r="A3" s="1794" t="s">
        <v>571</v>
      </c>
      <c r="B3" s="1794"/>
      <c r="C3" s="1794"/>
      <c r="D3" s="1794"/>
      <c r="E3" s="1794"/>
      <c r="F3" s="1794"/>
      <c r="G3" s="1794"/>
      <c r="H3" s="1794"/>
      <c r="I3" s="347"/>
      <c r="J3" s="347"/>
    </row>
    <row r="4" spans="1:10" ht="16.5" thickBot="1">
      <c r="A4" s="347"/>
      <c r="C4" s="347"/>
      <c r="D4" s="347"/>
      <c r="E4" s="347"/>
      <c r="F4" s="347"/>
      <c r="H4" s="347"/>
      <c r="I4" s="347"/>
      <c r="J4" s="347"/>
    </row>
    <row r="5" spans="1:10" ht="16.5" thickBot="1">
      <c r="A5" s="655" t="s">
        <v>118</v>
      </c>
      <c r="B5" s="1647" t="s">
        <v>142</v>
      </c>
      <c r="C5" s="348" t="s">
        <v>363</v>
      </c>
      <c r="D5" s="348" t="s">
        <v>364</v>
      </c>
      <c r="E5" s="348" t="s">
        <v>365</v>
      </c>
      <c r="F5" s="348" t="s">
        <v>366</v>
      </c>
      <c r="G5" s="1636" t="s">
        <v>367</v>
      </c>
      <c r="H5" s="349" t="s">
        <v>368</v>
      </c>
      <c r="I5" s="349" t="s">
        <v>230</v>
      </c>
      <c r="J5" s="349" t="s">
        <v>369</v>
      </c>
    </row>
    <row r="6" spans="1:11" ht="48" thickBot="1">
      <c r="A6" s="656"/>
      <c r="B6" t="s">
        <v>2</v>
      </c>
      <c r="C6" s="1355" t="s">
        <v>563</v>
      </c>
      <c r="D6" s="1355" t="s">
        <v>677</v>
      </c>
      <c r="E6" s="1355" t="s">
        <v>678</v>
      </c>
      <c r="F6" s="418"/>
      <c r="G6" s="1637" t="s">
        <v>3</v>
      </c>
      <c r="H6" s="1355" t="s">
        <v>563</v>
      </c>
      <c r="I6" s="1355" t="s">
        <v>677</v>
      </c>
      <c r="J6" s="1355" t="s">
        <v>678</v>
      </c>
      <c r="K6" s="927"/>
    </row>
    <row r="7" spans="1:10" ht="15" thickBot="1">
      <c r="A7" s="656"/>
      <c r="B7" t="s">
        <v>4</v>
      </c>
      <c r="C7" s="92">
        <f>SUM(C8+C21+C27+C39)</f>
        <v>43070</v>
      </c>
      <c r="D7" s="92">
        <f>SUM(D8+D21+D27+D39)</f>
        <v>43259</v>
      </c>
      <c r="E7" s="357"/>
      <c r="F7" s="185"/>
      <c r="G7" t="s">
        <v>5</v>
      </c>
      <c r="H7" s="339">
        <f>SUM(H8:H12)</f>
        <v>110383</v>
      </c>
      <c r="I7" s="339">
        <f>SUM(I8:I12)</f>
        <v>109245</v>
      </c>
      <c r="J7" s="339">
        <f>SUM(J8:J12)</f>
        <v>0</v>
      </c>
    </row>
    <row r="8" spans="1:10" ht="24.75" customHeight="1">
      <c r="A8" s="656" t="s">
        <v>6</v>
      </c>
      <c r="B8" s="1649" t="s">
        <v>7</v>
      </c>
      <c r="C8" s="6">
        <f>SUM(C9+C16+C17+C18+C19+C20)</f>
        <v>0</v>
      </c>
      <c r="D8" s="6"/>
      <c r="E8" s="6"/>
      <c r="F8" s="4" t="s">
        <v>6</v>
      </c>
      <c r="G8" t="s">
        <v>8</v>
      </c>
      <c r="H8" s="1481">
        <v>32863</v>
      </c>
      <c r="I8" s="1495">
        <v>32896</v>
      </c>
      <c r="J8" s="1495"/>
    </row>
    <row r="9" spans="1:10" ht="31.5" customHeight="1">
      <c r="A9" s="656" t="s">
        <v>9</v>
      </c>
      <c r="B9" t="s">
        <v>10</v>
      </c>
      <c r="C9" s="9">
        <f>SUM(C10:C15)</f>
        <v>0</v>
      </c>
      <c r="D9" s="9"/>
      <c r="E9" s="9"/>
      <c r="F9" s="7" t="s">
        <v>11</v>
      </c>
      <c r="G9" t="s">
        <v>12</v>
      </c>
      <c r="H9" s="1466">
        <v>7207</v>
      </c>
      <c r="I9" s="358">
        <v>7207</v>
      </c>
      <c r="J9" s="358"/>
    </row>
    <row r="10" spans="1:10" ht="36.75" customHeight="1">
      <c r="A10" s="656"/>
      <c r="B10" t="s">
        <v>13</v>
      </c>
      <c r="C10" s="12"/>
      <c r="D10" s="12"/>
      <c r="E10" s="12"/>
      <c r="F10" s="7" t="s">
        <v>14</v>
      </c>
      <c r="G10" t="s">
        <v>15</v>
      </c>
      <c r="H10" s="1466">
        <v>70313</v>
      </c>
      <c r="I10" s="358">
        <f>70469-1327</f>
        <v>69142</v>
      </c>
      <c r="J10" s="358"/>
    </row>
    <row r="11" spans="1:10" ht="31.5" customHeight="1">
      <c r="A11" s="656"/>
      <c r="B11" t="s">
        <v>16</v>
      </c>
      <c r="C11" s="12"/>
      <c r="D11" s="12"/>
      <c r="E11" s="12"/>
      <c r="F11" s="7" t="s">
        <v>17</v>
      </c>
      <c r="G11" t="s">
        <v>18</v>
      </c>
      <c r="H11" s="1466"/>
      <c r="I11" s="358"/>
      <c r="J11" s="358"/>
    </row>
    <row r="12" spans="1:10" ht="30" customHeight="1">
      <c r="A12" s="656"/>
      <c r="B12" t="s">
        <v>19</v>
      </c>
      <c r="C12" s="12"/>
      <c r="D12" s="12"/>
      <c r="E12" s="12"/>
      <c r="F12" s="7" t="s">
        <v>20</v>
      </c>
      <c r="G12" t="s">
        <v>21</v>
      </c>
      <c r="H12" s="1466"/>
      <c r="I12" s="358"/>
      <c r="J12" s="358"/>
    </row>
    <row r="13" spans="1:10" ht="37.5" customHeight="1">
      <c r="A13" s="656"/>
      <c r="B13" t="s">
        <v>22</v>
      </c>
      <c r="C13" s="12"/>
      <c r="D13" s="1487"/>
      <c r="E13" s="1487"/>
      <c r="F13" s="1793"/>
      <c r="H13" s="1467"/>
      <c r="I13" s="403"/>
      <c r="J13" s="403"/>
    </row>
    <row r="14" spans="1:10" ht="40.5" customHeight="1">
      <c r="A14" s="656"/>
      <c r="B14" t="s">
        <v>238</v>
      </c>
      <c r="C14" s="12"/>
      <c r="D14" s="1487"/>
      <c r="E14" s="1487"/>
      <c r="F14" s="1793"/>
      <c r="H14" s="1467"/>
      <c r="I14" s="403"/>
      <c r="J14" s="403"/>
    </row>
    <row r="15" spans="1:10" ht="25.5" customHeight="1">
      <c r="A15" s="656"/>
      <c r="B15" t="s">
        <v>239</v>
      </c>
      <c r="C15" s="12"/>
      <c r="D15" s="180"/>
      <c r="E15" s="180"/>
      <c r="F15" s="1793"/>
      <c r="H15" s="1467"/>
      <c r="I15" s="403"/>
      <c r="J15" s="403"/>
    </row>
    <row r="16" spans="1:10" ht="24" customHeight="1">
      <c r="A16" s="656">
        <v>2</v>
      </c>
      <c r="B16" t="s">
        <v>24</v>
      </c>
      <c r="C16" s="12"/>
      <c r="D16" s="180"/>
      <c r="E16" s="180"/>
      <c r="F16" s="1793"/>
      <c r="H16" s="1467"/>
      <c r="I16" s="403"/>
      <c r="J16" s="403"/>
    </row>
    <row r="17" spans="1:10" ht="44.25" customHeight="1">
      <c r="A17" s="656">
        <v>3</v>
      </c>
      <c r="B17" t="s">
        <v>26</v>
      </c>
      <c r="C17" s="12"/>
      <c r="D17" s="180"/>
      <c r="E17" s="180"/>
      <c r="F17" s="1793"/>
      <c r="H17" s="1467"/>
      <c r="I17" s="403"/>
      <c r="J17" s="403"/>
    </row>
    <row r="18" spans="1:10" ht="32.25" customHeight="1">
      <c r="A18" s="656">
        <v>4</v>
      </c>
      <c r="B18" t="s">
        <v>28</v>
      </c>
      <c r="C18" s="12"/>
      <c r="D18" s="180"/>
      <c r="E18" s="180"/>
      <c r="F18" s="1793"/>
      <c r="H18" s="1467"/>
      <c r="I18" s="403"/>
      <c r="J18" s="403"/>
    </row>
    <row r="19" spans="1:10" ht="27.75" customHeight="1">
      <c r="A19" s="656">
        <v>5</v>
      </c>
      <c r="B19" t="s">
        <v>30</v>
      </c>
      <c r="C19" s="12"/>
      <c r="D19" s="180"/>
      <c r="E19" s="180"/>
      <c r="F19" s="1793"/>
      <c r="H19" s="1467"/>
      <c r="I19" s="403"/>
      <c r="J19" s="403"/>
    </row>
    <row r="20" spans="1:10" ht="30" customHeight="1">
      <c r="A20" s="656">
        <v>6</v>
      </c>
      <c r="B20" t="s">
        <v>32</v>
      </c>
      <c r="C20" s="12"/>
      <c r="D20" s="180"/>
      <c r="E20" s="180"/>
      <c r="F20" s="1793"/>
      <c r="H20" s="1467"/>
      <c r="I20" s="403"/>
      <c r="J20" s="403"/>
    </row>
    <row r="21" spans="1:10" ht="15">
      <c r="A21" s="657" t="s">
        <v>11</v>
      </c>
      <c r="B21" t="s">
        <v>243</v>
      </c>
      <c r="C21" s="9">
        <f>SUM(C22:C26)</f>
        <v>0</v>
      </c>
      <c r="D21" s="1464"/>
      <c r="E21" s="1464"/>
      <c r="F21" s="160"/>
      <c r="H21" s="1467"/>
      <c r="I21" s="403"/>
      <c r="J21" s="403"/>
    </row>
    <row r="22" spans="1:10" ht="15">
      <c r="A22" s="657">
        <v>1</v>
      </c>
      <c r="B22" t="s">
        <v>240</v>
      </c>
      <c r="C22" s="162"/>
      <c r="D22" s="105"/>
      <c r="E22" s="105"/>
      <c r="F22" s="160"/>
      <c r="H22" s="1467"/>
      <c r="I22" s="403"/>
      <c r="J22" s="403"/>
    </row>
    <row r="23" spans="1:10" ht="15">
      <c r="A23" s="657">
        <v>2</v>
      </c>
      <c r="B23" t="s">
        <v>241</v>
      </c>
      <c r="C23" s="162"/>
      <c r="D23" s="105"/>
      <c r="E23" s="105"/>
      <c r="F23" s="160"/>
      <c r="H23" s="1467"/>
      <c r="I23" s="403"/>
      <c r="J23" s="403"/>
    </row>
    <row r="24" spans="1:10" ht="15">
      <c r="A24" s="657">
        <v>3</v>
      </c>
      <c r="B24" t="s">
        <v>242</v>
      </c>
      <c r="C24" s="162"/>
      <c r="D24" s="105"/>
      <c r="E24" s="105"/>
      <c r="F24" s="160"/>
      <c r="H24" s="1467"/>
      <c r="I24" s="403"/>
      <c r="J24" s="403"/>
    </row>
    <row r="25" spans="1:10" ht="15">
      <c r="A25" s="657">
        <v>4</v>
      </c>
      <c r="B25" t="s">
        <v>81</v>
      </c>
      <c r="C25" s="162"/>
      <c r="D25" s="105"/>
      <c r="E25" s="105"/>
      <c r="F25" s="160"/>
      <c r="H25" s="1467"/>
      <c r="I25" s="403"/>
      <c r="J25" s="403"/>
    </row>
    <row r="26" spans="1:10" ht="15">
      <c r="A26" s="657">
        <v>5</v>
      </c>
      <c r="B26" t="s">
        <v>82</v>
      </c>
      <c r="C26" s="162"/>
      <c r="D26" s="105"/>
      <c r="E26" s="105"/>
      <c r="F26" s="160"/>
      <c r="H26" s="1467"/>
      <c r="I26" s="403"/>
      <c r="J26" s="403"/>
    </row>
    <row r="27" spans="1:10" ht="15">
      <c r="A27" s="657" t="s">
        <v>14</v>
      </c>
      <c r="B27" t="s">
        <v>34</v>
      </c>
      <c r="C27" s="9">
        <f>SUM(C28:C38)</f>
        <v>43070</v>
      </c>
      <c r="D27" s="9">
        <f>SUM(D28:D38)</f>
        <v>43259</v>
      </c>
      <c r="E27" s="9">
        <f>SUM(E28:E38)</f>
        <v>0</v>
      </c>
      <c r="F27" s="160"/>
      <c r="H27" s="1467"/>
      <c r="I27" s="403"/>
      <c r="J27" s="403"/>
    </row>
    <row r="28" spans="1:10" ht="27.75" customHeight="1">
      <c r="A28" s="657">
        <v>1</v>
      </c>
      <c r="B28" t="s">
        <v>35</v>
      </c>
      <c r="C28" s="97"/>
      <c r="D28" s="1464">
        <v>156</v>
      </c>
      <c r="E28" s="1464"/>
      <c r="F28" s="160"/>
      <c r="H28" s="1467"/>
      <c r="I28" s="403"/>
      <c r="J28" s="403"/>
    </row>
    <row r="29" spans="1:10" ht="20.25" customHeight="1">
      <c r="A29" s="657">
        <v>2</v>
      </c>
      <c r="B29" t="s">
        <v>36</v>
      </c>
      <c r="C29" s="112">
        <f>533+3500+23740+6641+2</f>
        <v>34416</v>
      </c>
      <c r="D29" s="1506">
        <v>34416</v>
      </c>
      <c r="E29" s="1506"/>
      <c r="F29" s="160"/>
      <c r="H29" s="1467"/>
      <c r="I29" s="403"/>
      <c r="J29" s="403"/>
    </row>
    <row r="30" spans="1:10" ht="24" customHeight="1">
      <c r="A30" s="657">
        <v>3</v>
      </c>
      <c r="B30" t="s">
        <v>37</v>
      </c>
      <c r="C30" s="112"/>
      <c r="D30" s="1506"/>
      <c r="E30" s="1506"/>
      <c r="F30" s="160"/>
      <c r="H30" s="1467"/>
      <c r="I30" s="403"/>
      <c r="J30" s="403"/>
    </row>
    <row r="31" spans="1:10" ht="24.75" customHeight="1">
      <c r="A31" s="657">
        <v>4</v>
      </c>
      <c r="B31" t="s">
        <v>38</v>
      </c>
      <c r="C31" s="112"/>
      <c r="D31" s="1506"/>
      <c r="E31" s="1506"/>
      <c r="F31" s="160"/>
      <c r="H31" s="1467"/>
      <c r="I31" s="403"/>
      <c r="J31" s="403"/>
    </row>
    <row r="32" spans="1:10" ht="23.25" customHeight="1">
      <c r="A32" s="657">
        <v>5</v>
      </c>
      <c r="B32" t="s">
        <v>39</v>
      </c>
      <c r="C32" s="112"/>
      <c r="D32" s="1506"/>
      <c r="E32" s="1506"/>
      <c r="F32" s="160"/>
      <c r="H32" s="1467"/>
      <c r="I32" s="403"/>
      <c r="J32" s="403"/>
    </row>
    <row r="33" spans="1:10" ht="33" customHeight="1">
      <c r="A33" s="657">
        <v>6</v>
      </c>
      <c r="B33" t="s">
        <v>40</v>
      </c>
      <c r="C33" s="112">
        <f>7200+1454</f>
        <v>8654</v>
      </c>
      <c r="D33" s="1506">
        <f>8654+33</f>
        <v>8687</v>
      </c>
      <c r="E33" s="1506"/>
      <c r="F33" s="160"/>
      <c r="H33" s="1467"/>
      <c r="I33" s="403"/>
      <c r="J33" s="403"/>
    </row>
    <row r="34" spans="1:10" ht="27.75" customHeight="1">
      <c r="A34" s="657">
        <v>7</v>
      </c>
      <c r="B34" t="s">
        <v>41</v>
      </c>
      <c r="C34" s="112"/>
      <c r="D34" s="1506"/>
      <c r="E34" s="1506"/>
      <c r="F34" s="160"/>
      <c r="H34" s="1467"/>
      <c r="I34" s="403"/>
      <c r="J34" s="403"/>
    </row>
    <row r="35" spans="1:10" ht="20.25" customHeight="1">
      <c r="A35" s="657">
        <v>8</v>
      </c>
      <c r="B35" t="s">
        <v>42</v>
      </c>
      <c r="C35" s="112"/>
      <c r="D35" s="1506"/>
      <c r="E35" s="1506"/>
      <c r="F35" s="160"/>
      <c r="H35" s="1467"/>
      <c r="I35" s="403"/>
      <c r="J35" s="403"/>
    </row>
    <row r="36" spans="1:10" ht="30" customHeight="1">
      <c r="A36" s="657">
        <v>9</v>
      </c>
      <c r="B36" t="s">
        <v>43</v>
      </c>
      <c r="C36" s="112"/>
      <c r="D36" s="1506"/>
      <c r="E36" s="1506"/>
      <c r="F36" s="160"/>
      <c r="H36" s="1467"/>
      <c r="I36" s="403"/>
      <c r="J36" s="403"/>
    </row>
    <row r="37" spans="1:10" ht="14.25" customHeight="1">
      <c r="A37" s="657">
        <v>10</v>
      </c>
      <c r="B37" t="s">
        <v>244</v>
      </c>
      <c r="C37" s="112"/>
      <c r="D37" s="1506"/>
      <c r="E37" s="1506"/>
      <c r="F37" s="160"/>
      <c r="H37" s="1467"/>
      <c r="I37" s="403"/>
      <c r="J37" s="403"/>
    </row>
    <row r="38" spans="1:10" ht="17.25" customHeight="1">
      <c r="A38" s="657">
        <v>11</v>
      </c>
      <c r="B38" t="s">
        <v>44</v>
      </c>
      <c r="C38" s="112"/>
      <c r="D38" s="1506"/>
      <c r="E38" s="1506"/>
      <c r="F38" s="160"/>
      <c r="H38" s="1467"/>
      <c r="I38" s="403"/>
      <c r="J38" s="403"/>
    </row>
    <row r="39" spans="1:10" ht="15">
      <c r="A39" s="657" t="s">
        <v>17</v>
      </c>
      <c r="B39" t="s">
        <v>45</v>
      </c>
      <c r="C39" s="96">
        <f>SUM(C40:C44)</f>
        <v>0</v>
      </c>
      <c r="D39" s="1505"/>
      <c r="E39" s="1505"/>
      <c r="F39" s="160"/>
      <c r="H39" s="1467"/>
      <c r="I39" s="403"/>
      <c r="J39" s="403"/>
    </row>
    <row r="40" spans="1:10" ht="26.25" customHeight="1">
      <c r="A40" s="657">
        <v>1</v>
      </c>
      <c r="B40" t="s">
        <v>46</v>
      </c>
      <c r="C40" s="97"/>
      <c r="D40" s="1464"/>
      <c r="E40" s="1464"/>
      <c r="F40" s="160"/>
      <c r="H40" s="1467"/>
      <c r="I40" s="403"/>
      <c r="J40" s="403"/>
    </row>
    <row r="41" spans="1:10" ht="33" customHeight="1">
      <c r="A41" s="657">
        <v>2</v>
      </c>
      <c r="B41" t="s">
        <v>245</v>
      </c>
      <c r="C41" s="112"/>
      <c r="D41" s="1506"/>
      <c r="E41" s="1506"/>
      <c r="F41" s="160"/>
      <c r="H41" s="1467"/>
      <c r="I41" s="403"/>
      <c r="J41" s="403"/>
    </row>
    <row r="42" spans="1:10" ht="28.5" customHeight="1">
      <c r="A42" s="657">
        <v>3</v>
      </c>
      <c r="B42" t="s">
        <v>246</v>
      </c>
      <c r="C42" s="112"/>
      <c r="D42" s="1506"/>
      <c r="E42" s="1506"/>
      <c r="F42" s="160"/>
      <c r="H42" s="1467"/>
      <c r="I42" s="403"/>
      <c r="J42" s="403"/>
    </row>
    <row r="43" spans="1:10" ht="15.75" thickBot="1">
      <c r="A43" s="657">
        <v>4</v>
      </c>
      <c r="B43" t="s">
        <v>47</v>
      </c>
      <c r="C43" s="164"/>
      <c r="D43" s="1506"/>
      <c r="E43" s="1506"/>
      <c r="F43" s="160"/>
      <c r="H43" s="1467"/>
      <c r="I43" s="403"/>
      <c r="J43" s="403"/>
    </row>
    <row r="44" spans="1:10" ht="28.5" customHeight="1" thickBot="1">
      <c r="A44" s="657">
        <v>5</v>
      </c>
      <c r="B44" t="s">
        <v>48</v>
      </c>
      <c r="C44" s="93"/>
      <c r="D44" s="357"/>
      <c r="E44" s="357"/>
      <c r="F44" s="165"/>
      <c r="H44" s="1468"/>
      <c r="I44" s="757"/>
      <c r="J44" s="757"/>
    </row>
    <row r="45" spans="1:10" ht="15.75" thickBot="1">
      <c r="A45" s="657"/>
      <c r="B45" t="s">
        <v>49</v>
      </c>
      <c r="C45" s="6">
        <f>SUM(C46+C52+C58)</f>
        <v>0</v>
      </c>
      <c r="D45" s="1461"/>
      <c r="E45" s="1461"/>
      <c r="F45" s="168"/>
      <c r="G45" t="s">
        <v>50</v>
      </c>
      <c r="H45" s="1472">
        <f>SUM(H46:H48)</f>
        <v>946</v>
      </c>
      <c r="I45" s="1472">
        <f>SUM(I46:I48)</f>
        <v>2273</v>
      </c>
      <c r="J45" s="1496"/>
    </row>
    <row r="46" spans="1:10" ht="15">
      <c r="A46" s="657" t="s">
        <v>261</v>
      </c>
      <c r="B46" s="1649" t="s">
        <v>51</v>
      </c>
      <c r="C46" s="14">
        <f>SUM(C47:C51)</f>
        <v>0</v>
      </c>
      <c r="D46" s="178"/>
      <c r="E46" s="178"/>
      <c r="F46" s="170" t="s">
        <v>52</v>
      </c>
      <c r="G46" s="1638" t="s">
        <v>53</v>
      </c>
      <c r="H46" s="1466">
        <v>946</v>
      </c>
      <c r="I46" s="1466">
        <f>946+1327</f>
        <v>2273</v>
      </c>
      <c r="J46" s="358"/>
    </row>
    <row r="47" spans="1:10" ht="31.5" customHeight="1">
      <c r="A47" s="657">
        <v>1</v>
      </c>
      <c r="B47" t="s">
        <v>54</v>
      </c>
      <c r="C47" s="112"/>
      <c r="D47" s="564"/>
      <c r="E47" s="564"/>
      <c r="F47" s="170" t="s">
        <v>55</v>
      </c>
      <c r="G47" t="s">
        <v>56</v>
      </c>
      <c r="H47" s="1466"/>
      <c r="I47" s="358"/>
      <c r="J47" s="358"/>
    </row>
    <row r="48" spans="1:10" ht="29.25" customHeight="1" thickBot="1">
      <c r="A48" s="657">
        <v>2</v>
      </c>
      <c r="B48" t="s">
        <v>57</v>
      </c>
      <c r="C48" s="112"/>
      <c r="D48" s="564"/>
      <c r="E48" s="564"/>
      <c r="F48" s="170" t="s">
        <v>58</v>
      </c>
      <c r="G48" s="1639" t="s">
        <v>59</v>
      </c>
      <c r="H48" s="1470"/>
      <c r="I48" s="1497"/>
      <c r="J48" s="1497"/>
    </row>
    <row r="49" spans="1:10" ht="27" customHeight="1">
      <c r="A49" s="657">
        <v>3</v>
      </c>
      <c r="B49" t="s">
        <v>60</v>
      </c>
      <c r="C49" s="112"/>
      <c r="D49" s="180"/>
      <c r="E49" s="180"/>
      <c r="F49" s="174"/>
      <c r="G49" s="1640"/>
      <c r="H49" s="1471"/>
      <c r="I49" s="407"/>
      <c r="J49" s="407"/>
    </row>
    <row r="50" spans="1:10" ht="29.25" customHeight="1">
      <c r="A50" s="657">
        <v>4</v>
      </c>
      <c r="B50" t="s">
        <v>61</v>
      </c>
      <c r="C50" s="112"/>
      <c r="D50" s="1506"/>
      <c r="E50" s="1506"/>
      <c r="F50" s="160"/>
      <c r="G50" s="1640"/>
      <c r="H50" s="1471"/>
      <c r="I50" s="407"/>
      <c r="J50" s="407"/>
    </row>
    <row r="51" spans="1:10" ht="30.75" customHeight="1">
      <c r="A51" s="657">
        <v>5</v>
      </c>
      <c r="B51" t="s">
        <v>62</v>
      </c>
      <c r="C51" s="97"/>
      <c r="D51" s="1464"/>
      <c r="E51" s="1464"/>
      <c r="F51" s="160"/>
      <c r="G51" s="1640"/>
      <c r="H51" s="1471"/>
      <c r="I51" s="407"/>
      <c r="J51" s="407"/>
    </row>
    <row r="52" spans="1:10" ht="25.5" customHeight="1">
      <c r="A52" s="657" t="s">
        <v>52</v>
      </c>
      <c r="B52" t="s">
        <v>63</v>
      </c>
      <c r="C52" s="96">
        <f>SUM(C53:C57)</f>
        <v>0</v>
      </c>
      <c r="D52" s="1505"/>
      <c r="E52" s="1505"/>
      <c r="F52" s="160"/>
      <c r="G52" s="1640"/>
      <c r="H52" s="1471"/>
      <c r="I52" s="407"/>
      <c r="J52" s="407"/>
    </row>
    <row r="53" spans="1:10" ht="25.5" customHeight="1">
      <c r="A53" s="657">
        <v>1</v>
      </c>
      <c r="B53" t="s">
        <v>64</v>
      </c>
      <c r="C53" s="112"/>
      <c r="D53" s="1506"/>
      <c r="E53" s="1506"/>
      <c r="F53" s="160"/>
      <c r="G53" s="1640"/>
      <c r="H53" s="407"/>
      <c r="I53" s="407"/>
      <c r="J53" s="407"/>
    </row>
    <row r="54" spans="1:10" ht="28.5" customHeight="1">
      <c r="A54" s="657">
        <v>2</v>
      </c>
      <c r="B54" t="s">
        <v>65</v>
      </c>
      <c r="C54" s="112"/>
      <c r="D54" s="1506"/>
      <c r="E54" s="1506"/>
      <c r="F54" s="160"/>
      <c r="G54" s="1640"/>
      <c r="H54" s="407"/>
      <c r="I54" s="407"/>
      <c r="J54" s="407"/>
    </row>
    <row r="55" spans="1:10" ht="21.75" customHeight="1">
      <c r="A55" s="657">
        <v>3</v>
      </c>
      <c r="B55" t="s">
        <v>66</v>
      </c>
      <c r="C55" s="112"/>
      <c r="D55" s="1506"/>
      <c r="E55" s="1506"/>
      <c r="F55" s="160"/>
      <c r="G55" s="1640"/>
      <c r="H55" s="407"/>
      <c r="I55" s="407"/>
      <c r="J55" s="407"/>
    </row>
    <row r="56" spans="1:10" ht="23.25" customHeight="1">
      <c r="A56" s="657">
        <v>4</v>
      </c>
      <c r="B56" t="s">
        <v>409</v>
      </c>
      <c r="C56" s="112"/>
      <c r="D56" s="1506"/>
      <c r="E56" s="1506"/>
      <c r="F56" s="160"/>
      <c r="G56" s="1640"/>
      <c r="H56" s="407"/>
      <c r="I56" s="407"/>
      <c r="J56" s="407"/>
    </row>
    <row r="57" spans="1:10" ht="22.5" customHeight="1">
      <c r="A57" s="657">
        <v>5</v>
      </c>
      <c r="B57" t="s">
        <v>68</v>
      </c>
      <c r="C57" s="97"/>
      <c r="D57" s="1464"/>
      <c r="E57" s="1464"/>
      <c r="F57" s="160"/>
      <c r="G57" s="1640"/>
      <c r="H57" s="407"/>
      <c r="I57" s="407"/>
      <c r="J57" s="407"/>
    </row>
    <row r="58" spans="1:10" ht="15">
      <c r="A58" s="657" t="s">
        <v>55</v>
      </c>
      <c r="B58" t="s">
        <v>69</v>
      </c>
      <c r="C58" s="96">
        <f>SUM(C59:C62)</f>
        <v>0</v>
      </c>
      <c r="D58" s="1505"/>
      <c r="E58" s="1505"/>
      <c r="F58" s="160"/>
      <c r="G58" s="1640"/>
      <c r="H58" s="407"/>
      <c r="I58" s="407"/>
      <c r="J58" s="407"/>
    </row>
    <row r="59" spans="1:10" ht="31.5" customHeight="1">
      <c r="A59" s="657">
        <v>1</v>
      </c>
      <c r="B59" t="s">
        <v>70</v>
      </c>
      <c r="C59" s="112"/>
      <c r="D59" s="1506"/>
      <c r="E59" s="1506"/>
      <c r="F59" s="160"/>
      <c r="G59" s="1640"/>
      <c r="H59" s="407"/>
      <c r="I59" s="407"/>
      <c r="J59" s="407"/>
    </row>
    <row r="60" spans="1:10" ht="29.25" customHeight="1">
      <c r="A60" s="657">
        <v>2</v>
      </c>
      <c r="B60" t="s">
        <v>247</v>
      </c>
      <c r="C60" s="164"/>
      <c r="D60" s="1506"/>
      <c r="E60" s="1506"/>
      <c r="F60" s="160"/>
      <c r="G60" s="1640"/>
      <c r="H60" s="407"/>
      <c r="I60" s="407"/>
      <c r="J60" s="407"/>
    </row>
    <row r="61" spans="1:10" ht="26.25" customHeight="1" thickBot="1">
      <c r="A61" s="657">
        <v>3</v>
      </c>
      <c r="B61" t="s">
        <v>248</v>
      </c>
      <c r="C61" s="176"/>
      <c r="D61" s="1506"/>
      <c r="E61" s="1506"/>
      <c r="F61" s="160"/>
      <c r="G61" s="1640"/>
      <c r="H61" s="407"/>
      <c r="I61" s="407"/>
      <c r="J61" s="407"/>
    </row>
    <row r="62" spans="1:10" ht="24" customHeight="1" thickBot="1">
      <c r="A62" s="657">
        <v>4</v>
      </c>
      <c r="B62" t="s">
        <v>71</v>
      </c>
      <c r="C62" s="93"/>
      <c r="D62" s="1464"/>
      <c r="E62" s="1464"/>
      <c r="F62" s="160"/>
      <c r="G62" s="1640"/>
      <c r="H62" s="407"/>
      <c r="I62" s="407"/>
      <c r="J62" s="407"/>
    </row>
    <row r="63" spans="1:10" ht="15.75" thickBot="1">
      <c r="A63" s="656"/>
      <c r="B63" t="s">
        <v>72</v>
      </c>
      <c r="C63" s="178">
        <f>SUM(C64:C72)</f>
        <v>67313</v>
      </c>
      <c r="D63" s="178">
        <f>SUM(D64:D72)</f>
        <v>67313</v>
      </c>
      <c r="E63" s="1462"/>
      <c r="F63" s="168"/>
      <c r="G63" t="s">
        <v>73</v>
      </c>
      <c r="H63" s="405">
        <f>SUM(H64:H72)</f>
        <v>0</v>
      </c>
      <c r="I63" s="1496"/>
      <c r="J63" s="1496"/>
    </row>
    <row r="64" spans="1:10" ht="30" customHeight="1">
      <c r="A64" s="656">
        <v>1</v>
      </c>
      <c r="B64" t="s">
        <v>410</v>
      </c>
      <c r="C64" s="112"/>
      <c r="D64" s="564"/>
      <c r="E64" s="564"/>
      <c r="F64" s="179" t="s">
        <v>9</v>
      </c>
      <c r="G64" t="s">
        <v>411</v>
      </c>
      <c r="H64" s="408"/>
      <c r="I64" s="1498"/>
      <c r="J64" s="1498"/>
    </row>
    <row r="65" spans="1:10" ht="33.75" customHeight="1">
      <c r="A65" s="656">
        <v>2</v>
      </c>
      <c r="B65" t="s">
        <v>249</v>
      </c>
      <c r="C65" s="112"/>
      <c r="D65" s="12"/>
      <c r="E65" s="12"/>
      <c r="F65" s="7" t="s">
        <v>23</v>
      </c>
      <c r="G65" t="s">
        <v>257</v>
      </c>
      <c r="H65" s="408"/>
      <c r="I65" s="1498"/>
      <c r="J65" s="1498"/>
    </row>
    <row r="66" spans="1:10" ht="27" customHeight="1">
      <c r="A66" s="656">
        <v>3</v>
      </c>
      <c r="B66" t="s">
        <v>250</v>
      </c>
      <c r="C66" s="112"/>
      <c r="D66" s="12"/>
      <c r="E66" s="12"/>
      <c r="F66" s="7" t="s">
        <v>25</v>
      </c>
      <c r="G66" t="s">
        <v>258</v>
      </c>
      <c r="H66" s="409"/>
      <c r="I66" s="1498"/>
      <c r="J66" s="1498"/>
    </row>
    <row r="67" spans="1:10" ht="28.5" customHeight="1">
      <c r="A67" s="656">
        <v>4</v>
      </c>
      <c r="B67" t="s">
        <v>251</v>
      </c>
      <c r="C67" s="112"/>
      <c r="D67" s="112"/>
      <c r="E67" s="112"/>
      <c r="F67" s="7" t="s">
        <v>27</v>
      </c>
      <c r="G67" t="s">
        <v>259</v>
      </c>
      <c r="H67" s="410"/>
      <c r="I67" s="1499"/>
      <c r="J67" s="1499"/>
    </row>
    <row r="68" spans="1:10" ht="27.75" customHeight="1">
      <c r="A68" s="656">
        <v>5</v>
      </c>
      <c r="B68" t="s">
        <v>252</v>
      </c>
      <c r="C68" s="112">
        <v>3314</v>
      </c>
      <c r="D68" s="112">
        <v>3314</v>
      </c>
      <c r="E68" s="112"/>
      <c r="F68" s="7" t="s">
        <v>29</v>
      </c>
      <c r="G68" t="s">
        <v>412</v>
      </c>
      <c r="H68" s="411"/>
      <c r="I68" s="731"/>
      <c r="J68" s="731"/>
    </row>
    <row r="69" spans="1:10" ht="15">
      <c r="A69" s="656">
        <v>6</v>
      </c>
      <c r="B69" t="s">
        <v>253</v>
      </c>
      <c r="C69" s="164"/>
      <c r="D69" s="164"/>
      <c r="E69" s="164"/>
      <c r="F69" s="7" t="s">
        <v>31</v>
      </c>
      <c r="G69" t="s">
        <v>413</v>
      </c>
      <c r="H69" s="412"/>
      <c r="I69" s="731"/>
      <c r="J69" s="731"/>
    </row>
    <row r="70" spans="1:10" ht="33.75" customHeight="1" thickBot="1">
      <c r="A70" s="656">
        <v>7</v>
      </c>
      <c r="B70" t="s">
        <v>414</v>
      </c>
      <c r="C70" s="97"/>
      <c r="D70" s="355"/>
      <c r="E70" s="355"/>
      <c r="F70" s="183" t="s">
        <v>74</v>
      </c>
      <c r="G70" t="s">
        <v>415</v>
      </c>
      <c r="H70" s="412"/>
      <c r="I70" s="731"/>
      <c r="J70" s="731"/>
    </row>
    <row r="71" spans="1:10" ht="24.75" customHeight="1" thickBot="1">
      <c r="A71" s="656">
        <v>8</v>
      </c>
      <c r="B71" t="s">
        <v>254</v>
      </c>
      <c r="C71" s="97">
        <f>64945-946</f>
        <v>63999</v>
      </c>
      <c r="D71" s="1488">
        <f>64945-D80</f>
        <v>63999</v>
      </c>
      <c r="E71" s="1488"/>
      <c r="F71" s="168"/>
      <c r="H71" s="412"/>
      <c r="I71" s="731"/>
      <c r="J71" s="731"/>
    </row>
    <row r="72" spans="1:10" ht="26.25" customHeight="1" thickBot="1">
      <c r="A72" s="656">
        <v>9</v>
      </c>
      <c r="B72" t="s">
        <v>255</v>
      </c>
      <c r="C72" s="99"/>
      <c r="D72" s="1488"/>
      <c r="E72" s="1488"/>
      <c r="F72" s="91"/>
      <c r="G72" s="1641"/>
      <c r="H72" s="412"/>
      <c r="I72" s="731"/>
      <c r="J72" s="731"/>
    </row>
    <row r="73" spans="1:10" ht="15.75" thickBot="1">
      <c r="A73" s="656" t="s">
        <v>9</v>
      </c>
      <c r="B73" t="s">
        <v>75</v>
      </c>
      <c r="C73" s="182">
        <f>SUM(C74:C80)</f>
        <v>946</v>
      </c>
      <c r="D73" s="182">
        <f>SUM(D74:D80)</f>
        <v>946</v>
      </c>
      <c r="E73" s="105"/>
      <c r="F73" s="91"/>
      <c r="G73" t="s">
        <v>76</v>
      </c>
      <c r="H73" s="402">
        <f>SUM(H74:H81)</f>
        <v>0</v>
      </c>
      <c r="I73" s="358"/>
      <c r="J73" s="358"/>
    </row>
    <row r="74" spans="1:10" ht="27.75" customHeight="1" thickBot="1">
      <c r="A74" s="656" t="s">
        <v>23</v>
      </c>
      <c r="B74" t="s">
        <v>256</v>
      </c>
      <c r="C74" s="112"/>
      <c r="D74" s="340"/>
      <c r="E74" s="340"/>
      <c r="F74" s="179" t="s">
        <v>9</v>
      </c>
      <c r="G74" t="s">
        <v>260</v>
      </c>
      <c r="H74" s="406"/>
      <c r="I74" s="731"/>
      <c r="J74" s="731"/>
    </row>
    <row r="75" spans="1:10" ht="28.5" customHeight="1">
      <c r="A75" s="656" t="s">
        <v>25</v>
      </c>
      <c r="B75" t="s">
        <v>416</v>
      </c>
      <c r="C75" s="112"/>
      <c r="D75" s="112"/>
      <c r="E75" s="112"/>
      <c r="F75" s="7" t="s">
        <v>23</v>
      </c>
      <c r="G75" t="s">
        <v>417</v>
      </c>
      <c r="H75" s="413"/>
      <c r="I75" s="1499"/>
      <c r="J75" s="1499"/>
    </row>
    <row r="76" spans="1:10" ht="29.25" customHeight="1">
      <c r="A76" s="656" t="s">
        <v>27</v>
      </c>
      <c r="B76" t="s">
        <v>249</v>
      </c>
      <c r="C76" s="112"/>
      <c r="D76" s="112"/>
      <c r="E76" s="112"/>
      <c r="F76" s="7" t="s">
        <v>25</v>
      </c>
      <c r="G76" t="s">
        <v>418</v>
      </c>
      <c r="H76" s="410"/>
      <c r="I76" s="1499"/>
      <c r="J76" s="1499"/>
    </row>
    <row r="77" spans="1:10" ht="27" customHeight="1">
      <c r="A77" s="656" t="s">
        <v>29</v>
      </c>
      <c r="B77" t="s">
        <v>419</v>
      </c>
      <c r="C77" s="112"/>
      <c r="D77" s="112"/>
      <c r="E77" s="112"/>
      <c r="F77" s="7" t="s">
        <v>27</v>
      </c>
      <c r="G77" t="s">
        <v>420</v>
      </c>
      <c r="H77" s="410"/>
      <c r="I77" s="1499"/>
      <c r="J77" s="1499"/>
    </row>
    <row r="78" spans="1:10" ht="37.5" customHeight="1">
      <c r="A78" s="656" t="s">
        <v>31</v>
      </c>
      <c r="B78" t="s">
        <v>253</v>
      </c>
      <c r="C78" s="112"/>
      <c r="D78" s="112"/>
      <c r="E78" s="112"/>
      <c r="F78" s="7" t="s">
        <v>29</v>
      </c>
      <c r="G78" t="s">
        <v>422</v>
      </c>
      <c r="H78" s="412"/>
      <c r="I78" s="731"/>
      <c r="J78" s="731"/>
    </row>
    <row r="79" spans="1:10" ht="27.75" customHeight="1">
      <c r="A79" s="656" t="s">
        <v>74</v>
      </c>
      <c r="B79" t="s">
        <v>252</v>
      </c>
      <c r="C79" s="112"/>
      <c r="D79" s="112"/>
      <c r="E79" s="112"/>
      <c r="F79" s="7" t="s">
        <v>31</v>
      </c>
      <c r="G79" t="s">
        <v>252</v>
      </c>
      <c r="H79" s="412"/>
      <c r="I79" s="731"/>
      <c r="J79" s="731"/>
    </row>
    <row r="80" spans="1:10" ht="34.5" customHeight="1" thickBot="1">
      <c r="A80" s="656" t="s">
        <v>77</v>
      </c>
      <c r="B80" t="s">
        <v>254</v>
      </c>
      <c r="C80" s="173">
        <v>946</v>
      </c>
      <c r="D80" s="173">
        <v>946</v>
      </c>
      <c r="E80" s="180"/>
      <c r="F80" s="183" t="s">
        <v>74</v>
      </c>
      <c r="G80" t="s">
        <v>253</v>
      </c>
      <c r="H80" s="412"/>
      <c r="I80" s="731"/>
      <c r="J80" s="731"/>
    </row>
    <row r="81" spans="1:10" ht="15.75" thickBot="1">
      <c r="A81" s="658"/>
      <c r="C81" s="352"/>
      <c r="D81" s="732"/>
      <c r="E81" s="732"/>
      <c r="F81" s="184" t="s">
        <v>77</v>
      </c>
      <c r="H81" s="414"/>
      <c r="I81" s="731"/>
      <c r="J81" s="731"/>
    </row>
    <row r="82" spans="1:10" ht="15.75" thickBot="1">
      <c r="A82" s="1242"/>
      <c r="B82" s="1648" t="s">
        <v>78</v>
      </c>
      <c r="C82" s="1234">
        <f>+C7+C45+C63+C73</f>
        <v>111329</v>
      </c>
      <c r="D82" s="1234">
        <f>+D7+D45+D63+D73</f>
        <v>111518</v>
      </c>
      <c r="E82" s="1489"/>
      <c r="F82" s="1233"/>
      <c r="G82" s="1643" t="s">
        <v>79</v>
      </c>
      <c r="H82" s="417">
        <f>SUM(H7+H45+H63+H73)</f>
        <v>111329</v>
      </c>
      <c r="I82" s="417">
        <f>SUM(I7+I45+I63+I73)</f>
        <v>111518</v>
      </c>
      <c r="J82" s="1500"/>
    </row>
    <row r="84" ht="12.75">
      <c r="D84" s="561"/>
    </row>
  </sheetData>
  <sheetProtection/>
  <mergeCells count="2">
    <mergeCell ref="A3:H3"/>
    <mergeCell ref="F13:F2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4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5" width="13.00390625" style="0" customWidth="1"/>
    <col min="7" max="7" width="49.00390625" style="0" customWidth="1"/>
    <col min="8" max="8" width="16.125" style="0" customWidth="1"/>
    <col min="9" max="9" width="19.375" style="0" customWidth="1"/>
    <col min="10" max="10" width="12.50390625" style="0" customWidth="1"/>
  </cols>
  <sheetData>
    <row r="1" spans="1:8" ht="15.75">
      <c r="A1" s="1"/>
      <c r="B1" s="345" t="s">
        <v>714</v>
      </c>
      <c r="C1" s="346"/>
      <c r="D1" s="346"/>
      <c r="E1" s="346"/>
      <c r="F1" s="1"/>
      <c r="G1" s="2"/>
      <c r="H1" s="3"/>
    </row>
    <row r="2" spans="1:8" ht="15.75">
      <c r="A2" s="1"/>
      <c r="B2" s="345"/>
      <c r="C2" s="346"/>
      <c r="D2" s="346"/>
      <c r="E2" s="346"/>
      <c r="F2" s="1"/>
      <c r="G2" s="2"/>
      <c r="H2" s="3"/>
    </row>
    <row r="3" spans="1:8" ht="15.75">
      <c r="A3" s="1794" t="s">
        <v>572</v>
      </c>
      <c r="B3" s="1794"/>
      <c r="C3" s="1794"/>
      <c r="D3" s="1794"/>
      <c r="E3" s="1794"/>
      <c r="F3" s="1794"/>
      <c r="G3" s="1794"/>
      <c r="H3" s="1794"/>
    </row>
    <row r="4" spans="1:8" ht="16.5" thickBot="1">
      <c r="A4" s="347"/>
      <c r="B4" s="347"/>
      <c r="C4" s="347"/>
      <c r="D4" s="347"/>
      <c r="E4" s="347"/>
      <c r="F4" s="347"/>
      <c r="G4" s="347"/>
      <c r="H4" s="347"/>
    </row>
    <row r="5" spans="1:10" ht="16.5" thickBot="1">
      <c r="A5" s="655" t="s">
        <v>118</v>
      </c>
      <c r="B5" s="629" t="s">
        <v>142</v>
      </c>
      <c r="C5" s="348" t="s">
        <v>363</v>
      </c>
      <c r="D5" s="348" t="s">
        <v>364</v>
      </c>
      <c r="E5" s="348" t="s">
        <v>365</v>
      </c>
      <c r="F5" s="348" t="s">
        <v>366</v>
      </c>
      <c r="G5" s="388" t="s">
        <v>367</v>
      </c>
      <c r="H5" s="349" t="s">
        <v>368</v>
      </c>
      <c r="I5" s="1529" t="s">
        <v>230</v>
      </c>
      <c r="J5" s="1529" t="s">
        <v>369</v>
      </c>
    </row>
    <row r="6" spans="1:10" ht="63.75" thickBot="1">
      <c r="A6" s="656"/>
      <c r="B6" s="630" t="s">
        <v>2</v>
      </c>
      <c r="C6" s="1355" t="s">
        <v>563</v>
      </c>
      <c r="D6" s="1355" t="s">
        <v>677</v>
      </c>
      <c r="E6" s="1355" t="s">
        <v>678</v>
      </c>
      <c r="F6" s="418"/>
      <c r="G6" s="419" t="s">
        <v>3</v>
      </c>
      <c r="H6" s="1494" t="s">
        <v>563</v>
      </c>
      <c r="I6" s="1494" t="s">
        <v>677</v>
      </c>
      <c r="J6" s="1494" t="s">
        <v>678</v>
      </c>
    </row>
    <row r="7" spans="1:10" ht="29.25" thickBot="1">
      <c r="A7" s="656"/>
      <c r="B7" s="1238" t="s">
        <v>4</v>
      </c>
      <c r="C7" s="92">
        <f>SUM(C8+C21+C27+C39)</f>
        <v>171856</v>
      </c>
      <c r="D7" s="92">
        <f>SUM(D8+D21+D27+D39)</f>
        <v>207297</v>
      </c>
      <c r="E7" s="92">
        <f>SUM(E8+E21+E27+E39)</f>
        <v>0</v>
      </c>
      <c r="F7" s="185"/>
      <c r="G7" s="1239" t="s">
        <v>5</v>
      </c>
      <c r="H7" s="339">
        <f>SUM(H8:H12)</f>
        <v>1244569</v>
      </c>
      <c r="I7" s="339">
        <f>SUM(I8:I12)</f>
        <v>1288516</v>
      </c>
      <c r="J7" s="339">
        <f>SUM(J8:J12)</f>
        <v>0</v>
      </c>
    </row>
    <row r="8" spans="1:10" ht="24.75" customHeight="1" thickBot="1">
      <c r="A8" s="656" t="s">
        <v>6</v>
      </c>
      <c r="B8" s="632" t="s">
        <v>7</v>
      </c>
      <c r="C8" s="6">
        <f>SUM(C9+C16+C17+C18+C19+C20)</f>
        <v>41571</v>
      </c>
      <c r="D8" s="6">
        <f>SUM(D9+D16+D17+D18+D19+D20)</f>
        <v>76823</v>
      </c>
      <c r="E8" s="6">
        <f>SUM(E9+E16+E17+E18+E19+E20)</f>
        <v>0</v>
      </c>
      <c r="F8" s="4" t="s">
        <v>6</v>
      </c>
      <c r="G8" s="390" t="s">
        <v>8</v>
      </c>
      <c r="H8" s="1525">
        <f>SUM('2_BVO Árpád utcai'!H10+'3_BVO József'!H9+4_Kakas!H9+5_MűvHáz!H9+6_Könyvtár!H8+7_Konyha!H8+8_BGSZ!H8+9_KK!H9+'10_Sportlétes'!H8)</f>
        <v>673062</v>
      </c>
      <c r="I8" s="1525">
        <f>SUM('2_BVO Árpád utcai'!I10+'3_BVO József'!I9+4_Kakas!I9+5_MűvHáz!I9+6_Könyvtár!I8+7_Konyha!I8+8_BGSZ!I8+9_KK!I9+'10_Sportlétes'!I8)</f>
        <v>698735</v>
      </c>
      <c r="J8" s="1525">
        <f>SUM('2_BVO Árpád utcai'!J10+'3_BVO József'!J9+4_Kakas!J9+5_MűvHáz!J9+6_Könyvtár!J8+7_Konyha!J8+8_BGSZ!J8+9_KK!J9+'10_Sportlétes'!J8)</f>
        <v>0</v>
      </c>
    </row>
    <row r="9" spans="1:10" ht="31.5" customHeight="1" thickBot="1">
      <c r="A9" s="656" t="s">
        <v>9</v>
      </c>
      <c r="B9" s="633" t="s">
        <v>10</v>
      </c>
      <c r="C9" s="9">
        <f>SUM(C10:C15)</f>
        <v>0</v>
      </c>
      <c r="D9" s="9">
        <f>SUM(D10:D15)</f>
        <v>0</v>
      </c>
      <c r="E9" s="9">
        <f>SUM(E10:E15)</f>
        <v>0</v>
      </c>
      <c r="F9" s="7" t="s">
        <v>11</v>
      </c>
      <c r="G9" s="391" t="s">
        <v>12</v>
      </c>
      <c r="H9" s="1523">
        <f>SUM('2_BVO Árpád utcai'!H11+'3_BVO József'!H10+4_Kakas!H10+5_MűvHáz!H10+6_Könyvtár!H9+7_Konyha!H9+8_BGSZ!H9+9_KK!H10+'10_Sportlétes'!H9)</f>
        <v>132303</v>
      </c>
      <c r="I9" s="1523">
        <f>SUM('2_BVO Árpád utcai'!I11+'3_BVO József'!I10+4_Kakas!I10+5_MűvHáz!I10+6_Könyvtár!I9+7_Konyha!I9+8_BGSZ!I9+9_KK!I10+'10_Sportlétes'!I9)</f>
        <v>137323</v>
      </c>
      <c r="J9" s="1523">
        <f>SUM('2_BVO Árpád utcai'!J11+'3_BVO József'!J10+4_Kakas!J10+5_MűvHáz!J10+6_Könyvtár!J9+7_Konyha!J9+8_BGSZ!J9+9_KK!J10+'10_Sportlétes'!J9)</f>
        <v>0</v>
      </c>
    </row>
    <row r="10" spans="1:10" ht="36.75" customHeight="1" thickBot="1">
      <c r="A10" s="656"/>
      <c r="B10" s="101" t="s">
        <v>13</v>
      </c>
      <c r="C10" s="12">
        <f>SUM('2_BVO Árpád utcai'!C12+'3_BVO József'!C11+4_Kakas!C11+5_MűvHáz!C11+6_Könyvtár!C10+7_Konyha!C10+8_BGSZ!C10+9_KK!C11)</f>
        <v>0</v>
      </c>
      <c r="D10" s="12">
        <f>SUM('2_BVO Árpád utcai'!D12+'3_BVO József'!D11+4_Kakas!D11+5_MűvHáz!D11+6_Könyvtár!D10+7_Konyha!D10+8_BGSZ!D10+9_KK!D11)</f>
        <v>0</v>
      </c>
      <c r="E10" s="12">
        <f>SUM('2_BVO Árpád utcai'!E12+'3_BVO József'!E11+4_Kakas!E11+5_MűvHáz!E11+6_Könyvtár!E10+7_Konyha!E10+8_BGSZ!E10+9_KK!E11)</f>
        <v>0</v>
      </c>
      <c r="F10" s="7" t="s">
        <v>14</v>
      </c>
      <c r="G10" s="391" t="s">
        <v>15</v>
      </c>
      <c r="H10" s="1523">
        <f>SUM('2_BVO Árpád utcai'!H12+'3_BVO József'!H11+4_Kakas!H11+5_MűvHáz!H11+6_Könyvtár!H10+7_Konyha!H10+8_BGSZ!H10+9_KK!H11+'10_Sportlétes'!H10)</f>
        <v>438804</v>
      </c>
      <c r="I10" s="1523">
        <f>SUM('2_BVO Árpád utcai'!I12+'3_BVO József'!I11+4_Kakas!I11+5_MűvHáz!I11+6_Könyvtár!I10+7_Konyha!I10+8_BGSZ!I10+9_KK!I11+'10_Sportlétes'!I10)</f>
        <v>452058</v>
      </c>
      <c r="J10" s="1523">
        <f>SUM('2_BVO Árpád utcai'!J12+'3_BVO József'!J11+4_Kakas!J11+5_MűvHáz!J11+6_Könyvtár!J10+7_Konyha!J10+8_BGSZ!J10+9_KK!J11+'10_Sportlétes'!J10)</f>
        <v>0</v>
      </c>
    </row>
    <row r="11" spans="1:10" ht="31.5" customHeight="1">
      <c r="A11" s="656"/>
      <c r="B11" s="101" t="s">
        <v>16</v>
      </c>
      <c r="C11" s="12">
        <f>SUM('2_BVO Árpád utcai'!C13+'3_BVO József'!C12+4_Kakas!C12+5_MűvHáz!C12+6_Könyvtár!C11+7_Konyha!C11+8_BGSZ!C11+9_KK!C12)</f>
        <v>0</v>
      </c>
      <c r="D11" s="12">
        <f>SUM('2_BVO Árpád utcai'!D13+'3_BVO József'!D12+4_Kakas!D12+5_MűvHáz!D12+6_Könyvtár!D11+7_Konyha!D11+8_BGSZ!D11+9_KK!D12)</f>
        <v>0</v>
      </c>
      <c r="E11" s="12">
        <f>SUM('2_BVO Árpád utcai'!E13+'3_BVO József'!E12+4_Kakas!E12+5_MűvHáz!E12+6_Könyvtár!E11+7_Konyha!E11+8_BGSZ!E11+9_KK!E12)</f>
        <v>0</v>
      </c>
      <c r="F11" s="7" t="s">
        <v>17</v>
      </c>
      <c r="G11" s="391" t="s">
        <v>18</v>
      </c>
      <c r="H11" s="1523">
        <f>SUM('2_BVO Árpád utcai'!H13+'3_BVO József'!H12+4_Kakas!H12+5_MűvHáz!H12+6_Könyvtár!H11+7_Konyha!H11+8_BGSZ!H11+9_KK!H12+'10_Sportlétes'!H11)</f>
        <v>400</v>
      </c>
      <c r="I11" s="1523">
        <f>SUM('2_BVO Árpád utcai'!I13+'3_BVO József'!I12+4_Kakas!I12+5_MűvHáz!I12+6_Könyvtár!I11+7_Konyha!I11+8_BGSZ!I11+9_KK!I12+'10_Sportlétes'!I11)</f>
        <v>400</v>
      </c>
      <c r="J11" s="1523">
        <f>SUM('2_BVO Árpád utcai'!J13+'3_BVO József'!J12+4_Kakas!J12+5_MűvHáz!J12+6_Könyvtár!J11+7_Konyha!J11+8_BGSZ!J11+9_KK!J12+'10_Sportlétes'!J11)</f>
        <v>0</v>
      </c>
    </row>
    <row r="12" spans="1:10" ht="30" customHeight="1">
      <c r="A12" s="656"/>
      <c r="B12" s="101" t="s">
        <v>19</v>
      </c>
      <c r="C12" s="12">
        <f>SUM('2_BVO Árpád utcai'!C14+'3_BVO József'!C13+4_Kakas!C13+5_MűvHáz!C13+6_Könyvtár!C12+7_Konyha!C12+8_BGSZ!C12+9_KK!C13)</f>
        <v>0</v>
      </c>
      <c r="D12" s="12">
        <f>SUM('2_BVO Árpád utcai'!D14+'3_BVO József'!D13+4_Kakas!D13+5_MűvHáz!D13+6_Könyvtár!D12+7_Konyha!D12+8_BGSZ!D12+9_KK!D13)</f>
        <v>0</v>
      </c>
      <c r="E12" s="12">
        <f>SUM('2_BVO Árpád utcai'!E14+'3_BVO József'!E13+4_Kakas!E13+5_MűvHáz!E13+6_Könyvtár!E12+7_Konyha!E12+8_BGSZ!E12+9_KK!E13)</f>
        <v>0</v>
      </c>
      <c r="F12" s="7" t="s">
        <v>20</v>
      </c>
      <c r="G12" s="391" t="s">
        <v>21</v>
      </c>
      <c r="H12" s="1524">
        <f>SUM('2_BVO Árpád utcai'!H14+'3_BVO József'!H13+4_Kakas!H13+5_MűvHáz!H13+6_Könyvtár!H12+7_Konyha!H12+8_BGSZ!H12+9_KK!H13)</f>
        <v>0</v>
      </c>
      <c r="I12" s="1524">
        <f>SUM('2_BVO Árpád utcai'!I14+'3_BVO József'!I13+4_Kakas!I13+5_MűvHáz!I13+6_Könyvtár!I12+7_Konyha!I12+8_BGSZ!I12+9_KK!I13)</f>
        <v>0</v>
      </c>
      <c r="J12" s="1524">
        <f>SUM('2_BVO Árpád utcai'!J14+'3_BVO József'!J13+4_Kakas!J13+5_MűvHáz!J13+6_Könyvtár!J12+7_Konyha!J12+8_BGSZ!J12+9_KK!J13)</f>
        <v>0</v>
      </c>
    </row>
    <row r="13" spans="1:10" ht="37.5" customHeight="1">
      <c r="A13" s="656"/>
      <c r="B13" s="101" t="s">
        <v>22</v>
      </c>
      <c r="C13" s="12">
        <f>SUM('2_BVO Árpád utcai'!C15+'3_BVO József'!C14+4_Kakas!C14+5_MűvHáz!C14+6_Könyvtár!C13+7_Konyha!C13+8_BGSZ!C13+9_KK!C14)</f>
        <v>0</v>
      </c>
      <c r="D13" s="12">
        <f>SUM('2_BVO Árpád utcai'!D15+'3_BVO József'!D14+4_Kakas!D14+5_MűvHáz!D14+6_Könyvtár!D13+7_Konyha!D13+8_BGSZ!D13+9_KK!D14)</f>
        <v>0</v>
      </c>
      <c r="E13" s="12">
        <f>SUM('2_BVO Árpád utcai'!E15+'3_BVO József'!E14+4_Kakas!E14+5_MűvHáz!E14+6_Könyvtár!E13+7_Konyha!E13+8_BGSZ!E13+9_KK!E14)</f>
        <v>0</v>
      </c>
      <c r="F13" s="1793"/>
      <c r="G13" s="156"/>
      <c r="H13" s="1525">
        <f>SUM('2_BVO Árpád utcai'!H15+'3_BVO József'!H14+4_Kakas!H14+5_MűvHáz!H14+6_Könyvtár!H13+7_Konyha!H13+8_BGSZ!H13+9_KK!H14)</f>
        <v>0</v>
      </c>
      <c r="I13" s="1525">
        <f>SUM('2_BVO Árpád utcai'!I15+'3_BVO József'!I14+4_Kakas!I14+5_MűvHáz!I14+6_Könyvtár!I13+7_Konyha!I13+8_BGSZ!I13+9_KK!I14)</f>
        <v>0</v>
      </c>
      <c r="J13" s="1525">
        <f>SUM('2_BVO Árpád utcai'!J15+'3_BVO József'!J14+4_Kakas!J14+5_MűvHáz!J14+6_Könyvtár!J13+7_Konyha!J13+8_BGSZ!J13+9_KK!J14)</f>
        <v>0</v>
      </c>
    </row>
    <row r="14" spans="1:10" ht="40.5" customHeight="1">
      <c r="A14" s="656"/>
      <c r="B14" s="101" t="s">
        <v>238</v>
      </c>
      <c r="C14" s="12">
        <f>SUM('2_BVO Árpád utcai'!C16+'3_BVO József'!C15+4_Kakas!C15+5_MűvHáz!C15+6_Könyvtár!C14+7_Konyha!C14+8_BGSZ!C14+9_KK!C15)</f>
        <v>0</v>
      </c>
      <c r="D14" s="12">
        <f>SUM('2_BVO Árpád utcai'!D16+'3_BVO József'!D15+4_Kakas!D15+5_MűvHáz!D15+6_Könyvtár!D14+7_Konyha!D14+8_BGSZ!D14+9_KK!D15)</f>
        <v>0</v>
      </c>
      <c r="E14" s="12">
        <f>SUM('2_BVO Árpád utcai'!E16+'3_BVO József'!E15+4_Kakas!E15+5_MűvHáz!E15+6_Könyvtár!E14+7_Konyha!E14+8_BGSZ!E14+9_KK!E15)</f>
        <v>0</v>
      </c>
      <c r="F14" s="1793"/>
      <c r="G14" s="1"/>
      <c r="H14" s="1524">
        <f>SUM('2_BVO Árpád utcai'!H16+'3_BVO József'!H15+4_Kakas!H15+5_MűvHáz!H15+6_Könyvtár!H14+7_Konyha!H14+8_BGSZ!H14+9_KK!H15)</f>
        <v>0</v>
      </c>
      <c r="I14" s="1524">
        <f>SUM('2_BVO Árpád utcai'!I16+'3_BVO József'!I15+4_Kakas!I15+5_MűvHáz!I15+6_Könyvtár!I14+7_Konyha!I14+8_BGSZ!I14+9_KK!I15)</f>
        <v>0</v>
      </c>
      <c r="J14" s="1524">
        <f>SUM('2_BVO Árpád utcai'!J16+'3_BVO József'!J15+4_Kakas!J15+5_MűvHáz!J15+6_Könyvtár!J14+7_Konyha!J14+8_BGSZ!J14+9_KK!J15)</f>
        <v>0</v>
      </c>
    </row>
    <row r="15" spans="1:10" ht="25.5" customHeight="1">
      <c r="A15" s="656"/>
      <c r="B15" s="101" t="s">
        <v>239</v>
      </c>
      <c r="C15" s="12">
        <f>SUM('2_BVO Árpád utcai'!C17+'3_BVO József'!C16+4_Kakas!C16+5_MűvHáz!C16+6_Könyvtár!C15+7_Konyha!C15+8_BGSZ!C15+9_KK!C16)</f>
        <v>0</v>
      </c>
      <c r="D15" s="12">
        <f>SUM('2_BVO Árpád utcai'!D17+'3_BVO József'!D16+4_Kakas!D16+5_MűvHáz!D16+6_Könyvtár!D15+7_Konyha!D15+8_BGSZ!D15+9_KK!D16)</f>
        <v>0</v>
      </c>
      <c r="E15" s="12">
        <f>SUM('2_BVO Árpád utcai'!E17+'3_BVO József'!E16+4_Kakas!E16+5_MűvHáz!E16+6_Könyvtár!E15+7_Konyha!E15+8_BGSZ!E15+9_KK!E16)</f>
        <v>0</v>
      </c>
      <c r="F15" s="1793"/>
      <c r="G15" s="1"/>
      <c r="H15" s="1524">
        <f>SUM('2_BVO Árpád utcai'!H17+'3_BVO József'!H16+4_Kakas!H16+5_MűvHáz!H16+6_Könyvtár!H15+7_Konyha!H15+8_BGSZ!H15+9_KK!H16)</f>
        <v>0</v>
      </c>
      <c r="I15" s="1524">
        <f>SUM('2_BVO Árpád utcai'!I17+'3_BVO József'!I16+4_Kakas!I16+5_MűvHáz!I16+6_Könyvtár!I15+7_Konyha!I15+8_BGSZ!I15+9_KK!I16)</f>
        <v>0</v>
      </c>
      <c r="J15" s="1524">
        <f>SUM('2_BVO Árpád utcai'!J17+'3_BVO József'!J16+4_Kakas!J16+5_MűvHáz!J16+6_Könyvtár!J15+7_Konyha!J15+8_BGSZ!J15+9_KK!J16)</f>
        <v>0</v>
      </c>
    </row>
    <row r="16" spans="1:10" ht="24" customHeight="1">
      <c r="A16" s="656">
        <v>2</v>
      </c>
      <c r="B16" s="634" t="s">
        <v>24</v>
      </c>
      <c r="C16" s="12">
        <f>SUM('2_BVO Árpád utcai'!C18+'3_BVO József'!C17+4_Kakas!C17+5_MűvHáz!C17+6_Könyvtár!C16+7_Konyha!C16+8_BGSZ!C16+9_KK!C17)</f>
        <v>0</v>
      </c>
      <c r="D16" s="12">
        <f>SUM('2_BVO Árpád utcai'!D18+'3_BVO József'!D17+4_Kakas!D17+5_MűvHáz!D17+6_Könyvtár!D16+7_Konyha!D16+8_BGSZ!D16+9_KK!D17)</f>
        <v>0</v>
      </c>
      <c r="E16" s="12">
        <f>SUM('2_BVO Árpád utcai'!E18+'3_BVO József'!E17+4_Kakas!E17+5_MűvHáz!E17+6_Könyvtár!E16+7_Konyha!E16+8_BGSZ!E16+9_KK!E17)</f>
        <v>0</v>
      </c>
      <c r="F16" s="1793"/>
      <c r="G16" s="1"/>
      <c r="H16" s="1524">
        <f>SUM('2_BVO Árpád utcai'!H18+'3_BVO József'!H17+4_Kakas!H17+5_MűvHáz!H17+6_Könyvtár!H16+7_Konyha!H16+8_BGSZ!H16+9_KK!H17)</f>
        <v>0</v>
      </c>
      <c r="I16" s="1524">
        <f>SUM('2_BVO Árpád utcai'!I18+'3_BVO József'!I17+4_Kakas!I17+5_MűvHáz!I17+6_Könyvtár!I16+7_Konyha!I16+8_BGSZ!I16+9_KK!I17)</f>
        <v>0</v>
      </c>
      <c r="J16" s="1524">
        <f>SUM('2_BVO Árpád utcai'!J18+'3_BVO József'!J17+4_Kakas!J17+5_MűvHáz!J17+6_Könyvtár!J16+7_Konyha!J16+8_BGSZ!J16+9_KK!J17)</f>
        <v>0</v>
      </c>
    </row>
    <row r="17" spans="1:10" ht="44.25" customHeight="1">
      <c r="A17" s="656">
        <v>3</v>
      </c>
      <c r="B17" s="634" t="s">
        <v>26</v>
      </c>
      <c r="C17" s="12">
        <f>SUM('2_BVO Árpád utcai'!C19+'3_BVO József'!C18+4_Kakas!C18+5_MűvHáz!C18+6_Könyvtár!C17+7_Konyha!C17+8_BGSZ!C17+9_KK!C18)</f>
        <v>0</v>
      </c>
      <c r="D17" s="12">
        <f>SUM('2_BVO Árpád utcai'!D19+'3_BVO József'!D18+4_Kakas!D18+5_MűvHáz!D18+6_Könyvtár!D17+7_Konyha!D17+8_BGSZ!D17+9_KK!D18)</f>
        <v>0</v>
      </c>
      <c r="E17" s="12">
        <f>SUM('2_BVO Árpád utcai'!E19+'3_BVO József'!E18+4_Kakas!E18+5_MűvHáz!E18+6_Könyvtár!E17+7_Konyha!E17+8_BGSZ!E17+9_KK!E18)</f>
        <v>0</v>
      </c>
      <c r="F17" s="1793"/>
      <c r="G17" s="1"/>
      <c r="H17" s="1524">
        <f>SUM('2_BVO Árpád utcai'!H19+'3_BVO József'!H18+4_Kakas!H18+5_MűvHáz!H18+6_Könyvtár!H17+7_Konyha!H17+8_BGSZ!H17+9_KK!H18)</f>
        <v>0</v>
      </c>
      <c r="I17" s="1524">
        <f>SUM('2_BVO Árpád utcai'!I19+'3_BVO József'!I18+4_Kakas!I18+5_MűvHáz!I18+6_Könyvtár!I17+7_Konyha!I17+8_BGSZ!I17+9_KK!I18)</f>
        <v>0</v>
      </c>
      <c r="J17" s="1524">
        <f>SUM('2_BVO Árpád utcai'!J19+'3_BVO József'!J18+4_Kakas!J18+5_MűvHáz!J18+6_Könyvtár!J17+7_Konyha!J17+8_BGSZ!J17+9_KK!J18)</f>
        <v>0</v>
      </c>
    </row>
    <row r="18" spans="1:10" ht="32.25" customHeight="1">
      <c r="A18" s="656">
        <v>4</v>
      </c>
      <c r="B18" s="634" t="s">
        <v>28</v>
      </c>
      <c r="C18" s="12">
        <f>SUM('2_BVO Árpád utcai'!C20+'3_BVO József'!C19+4_Kakas!C19+5_MűvHáz!C19+6_Könyvtár!C18+7_Konyha!C18+8_BGSZ!C18+9_KK!C19)</f>
        <v>0</v>
      </c>
      <c r="D18" s="12">
        <f>SUM('2_BVO Árpád utcai'!D20+'3_BVO József'!D19+4_Kakas!D19+5_MűvHáz!D19+6_Könyvtár!D18+7_Konyha!D18+8_BGSZ!D18+9_KK!D19)</f>
        <v>0</v>
      </c>
      <c r="E18" s="12">
        <f>SUM('2_BVO Árpád utcai'!E20+'3_BVO József'!E19+4_Kakas!E19+5_MűvHáz!E19+6_Könyvtár!E18+7_Konyha!E18+8_BGSZ!E18+9_KK!E19)</f>
        <v>0</v>
      </c>
      <c r="F18" s="1793"/>
      <c r="G18" s="1"/>
      <c r="H18" s="1524">
        <f>SUM('2_BVO Árpád utcai'!H20+'3_BVO József'!H19+4_Kakas!H19+5_MűvHáz!H19+6_Könyvtár!H18+7_Konyha!H18+8_BGSZ!H18+9_KK!H19)</f>
        <v>0</v>
      </c>
      <c r="I18" s="1524">
        <f>SUM('2_BVO Árpád utcai'!I20+'3_BVO József'!I19+4_Kakas!I19+5_MűvHáz!I19+6_Könyvtár!I18+7_Konyha!I18+8_BGSZ!I18+9_KK!I19)</f>
        <v>0</v>
      </c>
      <c r="J18" s="1524">
        <f>SUM('2_BVO Árpád utcai'!J20+'3_BVO József'!J19+4_Kakas!J19+5_MűvHáz!J19+6_Könyvtár!J18+7_Konyha!J18+8_BGSZ!J18+9_KK!J19)</f>
        <v>0</v>
      </c>
    </row>
    <row r="19" spans="1:10" ht="27.75" customHeight="1">
      <c r="A19" s="656">
        <v>5</v>
      </c>
      <c r="B19" s="634" t="s">
        <v>30</v>
      </c>
      <c r="C19" s="12">
        <f>SUM('2_BVO Árpád utcai'!C21+'3_BVO József'!C20+4_Kakas!C20+5_MűvHáz!C20+6_Könyvtár!C19+7_Konyha!C19+8_BGSZ!C19+9_KK!C20)</f>
        <v>0</v>
      </c>
      <c r="D19" s="12">
        <f>SUM('2_BVO Árpád utcai'!D21+'3_BVO József'!D20+4_Kakas!D20+5_MűvHáz!D20+6_Könyvtár!D19+7_Konyha!D19+8_BGSZ!D19+9_KK!D20)</f>
        <v>0</v>
      </c>
      <c r="E19" s="12">
        <f>SUM('2_BVO Árpád utcai'!E21+'3_BVO József'!E20+4_Kakas!E20+5_MűvHáz!E20+6_Könyvtár!E19+7_Konyha!E19+8_BGSZ!E19+9_KK!E20)</f>
        <v>0</v>
      </c>
      <c r="F19" s="1793"/>
      <c r="G19" s="1"/>
      <c r="H19" s="1524">
        <f>SUM('2_BVO Árpád utcai'!H21+'3_BVO József'!H20+4_Kakas!H20+5_MűvHáz!H20+6_Könyvtár!H19+7_Konyha!H19+8_BGSZ!H19+9_KK!H20)</f>
        <v>0</v>
      </c>
      <c r="I19" s="1524">
        <f>SUM('2_BVO Árpád utcai'!I21+'3_BVO József'!I20+4_Kakas!I20+5_MűvHáz!I20+6_Könyvtár!I19+7_Konyha!I19+8_BGSZ!I19+9_KK!I20)</f>
        <v>0</v>
      </c>
      <c r="J19" s="1524">
        <f>SUM('2_BVO Árpád utcai'!J21+'3_BVO József'!J20+4_Kakas!J20+5_MűvHáz!J20+6_Könyvtár!J19+7_Konyha!J19+8_BGSZ!J19+9_KK!J20)</f>
        <v>0</v>
      </c>
    </row>
    <row r="20" spans="1:10" ht="30" customHeight="1" thickBot="1">
      <c r="A20" s="656">
        <v>6</v>
      </c>
      <c r="B20" s="634" t="s">
        <v>32</v>
      </c>
      <c r="C20" s="12">
        <f>SUM('2_BVO Árpád utcai'!C22+'3_BVO József'!C21+4_Kakas!C21+5_MűvHáz!C21+6_Könyvtár!C20+7_Konyha!C20+8_BGSZ!C20+9_KK!C21)</f>
        <v>41571</v>
      </c>
      <c r="D20" s="12">
        <f>SUM('2_BVO Árpád utcai'!D22+'3_BVO József'!D21+4_Kakas!D21+5_MűvHáz!D21+6_Könyvtár!D20+7_Konyha!D20+8_BGSZ!D20+9_KK!D21)</f>
        <v>76823</v>
      </c>
      <c r="E20" s="12">
        <f>SUM('2_BVO Árpád utcai'!E22+'3_BVO József'!E21+4_Kakas!E21+5_MűvHáz!E21+6_Könyvtár!E20+7_Konyha!E20+8_BGSZ!E20+9_KK!E21)</f>
        <v>0</v>
      </c>
      <c r="F20" s="1793"/>
      <c r="G20" s="1"/>
      <c r="H20" s="1524">
        <f>SUM('2_BVO Árpád utcai'!H22+'3_BVO József'!H21+4_Kakas!H21+5_MűvHáz!H21+6_Könyvtár!H20+7_Konyha!H20+8_BGSZ!H20+9_KK!H21)</f>
        <v>0</v>
      </c>
      <c r="I20" s="1524">
        <f>SUM('2_BVO Árpád utcai'!I22+'3_BVO József'!I21+4_Kakas!I21+5_MűvHáz!I21+6_Könyvtár!I20+7_Konyha!I20+8_BGSZ!I20+9_KK!I21)</f>
        <v>0</v>
      </c>
      <c r="J20" s="1524">
        <f>SUM('2_BVO Árpád utcai'!J22+'3_BVO József'!J21+4_Kakas!J21+5_MűvHáz!J21+6_Könyvtár!J20+7_Konyha!J20+8_BGSZ!J20+9_KK!J21)</f>
        <v>0</v>
      </c>
    </row>
    <row r="21" spans="1:10" ht="15">
      <c r="A21" s="657" t="s">
        <v>11</v>
      </c>
      <c r="B21" s="197" t="s">
        <v>243</v>
      </c>
      <c r="C21" s="9">
        <f>SUM(C22:C26)</f>
        <v>0</v>
      </c>
      <c r="D21" s="1461"/>
      <c r="E21" s="1461"/>
      <c r="F21" s="160"/>
      <c r="G21" s="1"/>
      <c r="H21" s="1524">
        <f>SUM('2_BVO Árpád utcai'!H23+'3_BVO József'!H22+4_Kakas!H22+5_MűvHáz!H22+6_Könyvtár!H21+7_Konyha!H21+8_BGSZ!H21+9_KK!H22)</f>
        <v>0</v>
      </c>
      <c r="I21" s="1524">
        <f>SUM('2_BVO Árpád utcai'!I23+'3_BVO József'!I22+4_Kakas!I22+5_MűvHáz!I22+6_Könyvtár!I21+7_Konyha!I21+8_BGSZ!I21+9_KK!I22)</f>
        <v>0</v>
      </c>
      <c r="J21" s="1524">
        <f>SUM('2_BVO Árpád utcai'!J23+'3_BVO József'!J22+4_Kakas!J22+5_MűvHáz!J22+6_Könyvtár!J21+7_Konyha!J21+8_BGSZ!J21+9_KK!J22)</f>
        <v>0</v>
      </c>
    </row>
    <row r="22" spans="1:10" ht="15">
      <c r="A22" s="657">
        <v>1</v>
      </c>
      <c r="B22" s="635" t="s">
        <v>240</v>
      </c>
      <c r="C22" s="162">
        <f>SUM('2_BVO Árpád utcai'!C24+'3_BVO József'!C23+4_Kakas!C23+5_MűvHáz!C23+6_Könyvtár!C22+7_Konyha!C22+8_BGSZ!C22+9_KK!C23)</f>
        <v>0</v>
      </c>
      <c r="D22" s="105"/>
      <c r="E22" s="105"/>
      <c r="F22" s="160"/>
      <c r="G22" s="1"/>
      <c r="H22" s="1524">
        <f>SUM('2_BVO Árpád utcai'!H24+'3_BVO József'!H23+4_Kakas!H23+5_MűvHáz!H23+6_Könyvtár!H22+7_Konyha!H22+8_BGSZ!H22+9_KK!H23)</f>
        <v>0</v>
      </c>
      <c r="I22" s="1524">
        <f>SUM('2_BVO Árpád utcai'!I24+'3_BVO József'!I23+4_Kakas!I23+5_MűvHáz!I23+6_Könyvtár!I22+7_Konyha!I22+8_BGSZ!I22+9_KK!I23)</f>
        <v>0</v>
      </c>
      <c r="J22" s="1524">
        <f>SUM('2_BVO Árpád utcai'!J24+'3_BVO József'!J23+4_Kakas!J23+5_MűvHáz!J23+6_Könyvtár!J22+7_Konyha!J22+8_BGSZ!J22+9_KK!J23)</f>
        <v>0</v>
      </c>
    </row>
    <row r="23" spans="1:10" ht="15">
      <c r="A23" s="657">
        <v>2</v>
      </c>
      <c r="B23" s="635" t="s">
        <v>241</v>
      </c>
      <c r="C23" s="162">
        <f>SUM('2_BVO Árpád utcai'!C25+'3_BVO József'!C24+4_Kakas!C24+5_MűvHáz!C24+6_Könyvtár!C23+7_Konyha!C23+8_BGSZ!C23+9_KK!C24)</f>
        <v>0</v>
      </c>
      <c r="D23" s="105"/>
      <c r="E23" s="105"/>
      <c r="F23" s="160"/>
      <c r="G23" s="1"/>
      <c r="H23" s="1524">
        <f>SUM('2_BVO Árpád utcai'!H25+'3_BVO József'!H24+4_Kakas!H24+5_MűvHáz!H24+6_Könyvtár!H23+7_Konyha!H23+8_BGSZ!H23+9_KK!H24)</f>
        <v>0</v>
      </c>
      <c r="I23" s="1524">
        <f>SUM('2_BVO Árpád utcai'!I25+'3_BVO József'!I24+4_Kakas!I24+5_MűvHáz!I24+6_Könyvtár!I23+7_Konyha!I23+8_BGSZ!I23+9_KK!I24)</f>
        <v>0</v>
      </c>
      <c r="J23" s="1524">
        <f>SUM('2_BVO Árpád utcai'!J25+'3_BVO József'!J24+4_Kakas!J24+5_MűvHáz!J24+6_Könyvtár!J23+7_Konyha!J23+8_BGSZ!J23+9_KK!J24)</f>
        <v>0</v>
      </c>
    </row>
    <row r="24" spans="1:10" ht="15">
      <c r="A24" s="657">
        <v>3</v>
      </c>
      <c r="B24" s="635" t="s">
        <v>242</v>
      </c>
      <c r="C24" s="162">
        <f>SUM('2_BVO Árpád utcai'!C26+'3_BVO József'!C25+4_Kakas!C25+5_MűvHáz!C25+6_Könyvtár!C24+7_Konyha!C24+8_BGSZ!C24+9_KK!C25)</f>
        <v>0</v>
      </c>
      <c r="D24" s="105"/>
      <c r="E24" s="105"/>
      <c r="F24" s="160"/>
      <c r="G24" s="1"/>
      <c r="H24" s="1524">
        <f>SUM('2_BVO Árpád utcai'!H26+'3_BVO József'!H25+4_Kakas!H25+5_MűvHáz!H25+6_Könyvtár!H24+7_Konyha!H24+8_BGSZ!H24+9_KK!H25)</f>
        <v>0</v>
      </c>
      <c r="I24" s="1524">
        <f>SUM('2_BVO Árpád utcai'!I26+'3_BVO József'!I25+4_Kakas!I25+5_MűvHáz!I25+6_Könyvtár!I24+7_Konyha!I24+8_BGSZ!I24+9_KK!I25)</f>
        <v>0</v>
      </c>
      <c r="J24" s="1524">
        <f>SUM('2_BVO Árpád utcai'!J26+'3_BVO József'!J25+4_Kakas!J25+5_MűvHáz!J25+6_Könyvtár!J24+7_Konyha!J24+8_BGSZ!J24+9_KK!J25)</f>
        <v>0</v>
      </c>
    </row>
    <row r="25" spans="1:10" ht="15">
      <c r="A25" s="657">
        <v>4</v>
      </c>
      <c r="B25" s="635" t="s">
        <v>81</v>
      </c>
      <c r="C25" s="162">
        <f>SUM('2_BVO Árpád utcai'!C27+'3_BVO József'!C26+4_Kakas!C26+5_MűvHáz!C26+6_Könyvtár!C25+7_Konyha!C25+8_BGSZ!C25+9_KK!C26)</f>
        <v>0</v>
      </c>
      <c r="D25" s="105"/>
      <c r="E25" s="105"/>
      <c r="F25" s="160"/>
      <c r="G25" s="1"/>
      <c r="H25" s="1524">
        <f>SUM('2_BVO Árpád utcai'!H27+'3_BVO József'!H26+4_Kakas!H26+5_MűvHáz!H26+6_Könyvtár!H25+7_Konyha!H25+8_BGSZ!H25+9_KK!H26)</f>
        <v>0</v>
      </c>
      <c r="I25" s="1524">
        <f>SUM('2_BVO Árpád utcai'!I27+'3_BVO József'!I26+4_Kakas!I26+5_MűvHáz!I26+6_Könyvtár!I25+7_Konyha!I25+8_BGSZ!I25+9_KK!I26)</f>
        <v>0</v>
      </c>
      <c r="J25" s="1524">
        <f>SUM('2_BVO Árpád utcai'!J27+'3_BVO József'!J26+4_Kakas!J26+5_MűvHáz!J26+6_Könyvtár!J25+7_Konyha!J25+8_BGSZ!J25+9_KK!J26)</f>
        <v>0</v>
      </c>
    </row>
    <row r="26" spans="1:10" ht="15">
      <c r="A26" s="657">
        <v>5</v>
      </c>
      <c r="B26" s="635" t="s">
        <v>82</v>
      </c>
      <c r="C26" s="162">
        <f>SUM('2_BVO Árpád utcai'!C28+'3_BVO József'!C27+4_Kakas!C27+5_MűvHáz!C27+6_Könyvtár!C26+7_Konyha!C26+8_BGSZ!C26+9_KK!C27)</f>
        <v>0</v>
      </c>
      <c r="D26" s="105"/>
      <c r="E26" s="105"/>
      <c r="F26" s="160"/>
      <c r="G26" s="1"/>
      <c r="H26" s="1524">
        <f>SUM('2_BVO Árpád utcai'!H28+'3_BVO József'!H27+4_Kakas!H27+5_MűvHáz!H27+6_Könyvtár!H26+7_Konyha!H26+8_BGSZ!H26+9_KK!H27)</f>
        <v>0</v>
      </c>
      <c r="I26" s="1524">
        <f>SUM('2_BVO Árpád utcai'!I28+'3_BVO József'!I27+4_Kakas!I27+5_MűvHáz!I27+6_Könyvtár!I26+7_Konyha!I26+8_BGSZ!I26+9_KK!I27)</f>
        <v>0</v>
      </c>
      <c r="J26" s="1524">
        <f>SUM('2_BVO Árpád utcai'!J28+'3_BVO József'!J27+4_Kakas!J27+5_MűvHáz!J27+6_Könyvtár!J26+7_Konyha!J26+8_BGSZ!J26+9_KK!J27)</f>
        <v>0</v>
      </c>
    </row>
    <row r="27" spans="1:10" ht="15">
      <c r="A27" s="657" t="s">
        <v>14</v>
      </c>
      <c r="B27" s="197" t="s">
        <v>34</v>
      </c>
      <c r="C27" s="9">
        <f>SUM(C28:C38)</f>
        <v>130285</v>
      </c>
      <c r="D27" s="9">
        <f>SUM(D28:D38)</f>
        <v>130474</v>
      </c>
      <c r="E27" s="9">
        <f>SUM(E28:E38)</f>
        <v>0</v>
      </c>
      <c r="F27" s="160"/>
      <c r="G27" s="1"/>
      <c r="H27" s="1524">
        <f>SUM('2_BVO Árpád utcai'!H29+'3_BVO József'!H28+4_Kakas!H28+5_MűvHáz!H28+6_Könyvtár!H27+7_Konyha!H27+8_BGSZ!H27+9_KK!H28)</f>
        <v>0</v>
      </c>
      <c r="I27" s="1524">
        <f>SUM('2_BVO Árpád utcai'!I29+'3_BVO József'!I28+4_Kakas!I28+5_MűvHáz!I28+6_Könyvtár!I27+7_Konyha!I27+8_BGSZ!I27+9_KK!I28)</f>
        <v>0</v>
      </c>
      <c r="J27" s="1524">
        <f>SUM('2_BVO Árpád utcai'!J29+'3_BVO József'!J28+4_Kakas!J28+5_MűvHáz!J28+6_Könyvtár!J27+7_Konyha!J27+8_BGSZ!J27+9_KK!J28)</f>
        <v>0</v>
      </c>
    </row>
    <row r="28" spans="1:10" ht="27.75" customHeight="1">
      <c r="A28" s="657">
        <v>1</v>
      </c>
      <c r="B28" s="100" t="s">
        <v>35</v>
      </c>
      <c r="C28" s="112">
        <f>SUM('2_BVO Árpád utcai'!C30+'3_BVO József'!C29+4_Kakas!C29+5_MűvHáz!C29+6_Könyvtár!C28+7_Konyha!C28+8_BGSZ!C28+9_KK!C29+'10_Sportlétes'!C28)</f>
        <v>0</v>
      </c>
      <c r="D28" s="112">
        <f>SUM('2_BVO Árpád utcai'!D30+'3_BVO József'!D29+4_Kakas!D29+5_MűvHáz!D29+6_Könyvtár!D28+7_Konyha!D28+8_BGSZ!D28+9_KK!D29+'10_Sportlétes'!D28)</f>
        <v>156</v>
      </c>
      <c r="E28" s="112">
        <f>SUM('2_BVO Árpád utcai'!E30+'3_BVO József'!E29+4_Kakas!E29+5_MűvHáz!E29+6_Könyvtár!E28+7_Konyha!E28+8_BGSZ!E28+9_KK!E29+'10_Sportlétes'!E28)</f>
        <v>0</v>
      </c>
      <c r="F28" s="160"/>
      <c r="G28" s="1"/>
      <c r="H28" s="1524">
        <f>SUM('2_BVO Árpád utcai'!H30+'3_BVO József'!H29+4_Kakas!H29+5_MűvHáz!H29+6_Könyvtár!H28+7_Konyha!H28+8_BGSZ!H28+9_KK!H29)</f>
        <v>0</v>
      </c>
      <c r="I28" s="1524">
        <f>SUM('2_BVO Árpád utcai'!I30+'3_BVO József'!I29+4_Kakas!I29+5_MűvHáz!I29+6_Könyvtár!I28+7_Konyha!I28+8_BGSZ!I28+9_KK!I29)</f>
        <v>0</v>
      </c>
      <c r="J28" s="1524">
        <f>SUM('2_BVO Árpád utcai'!J30+'3_BVO József'!J29+4_Kakas!J29+5_MűvHáz!J29+6_Könyvtár!J28+7_Konyha!J28+8_BGSZ!J28+9_KK!J29)</f>
        <v>0</v>
      </c>
    </row>
    <row r="29" spans="1:13" ht="20.25" customHeight="1">
      <c r="A29" s="657">
        <v>2</v>
      </c>
      <c r="B29" s="100" t="s">
        <v>36</v>
      </c>
      <c r="C29" s="112">
        <f>SUM('2_BVO Árpád utcai'!C31+'3_BVO József'!C30+4_Kakas!C30+5_MűvHáz!C30+6_Könyvtár!C29+7_Konyha!C29+8_BGSZ!C29+9_KK!C30+'10_Sportlétes'!C29)</f>
        <v>51917</v>
      </c>
      <c r="D29" s="112">
        <f>SUM('2_BVO Árpád utcai'!D31+'3_BVO József'!D30+4_Kakas!D30+5_MűvHáz!D30+6_Könyvtár!D29+7_Konyha!D29+8_BGSZ!D29+9_KK!D30+'10_Sportlétes'!D29)</f>
        <v>51917</v>
      </c>
      <c r="E29" s="112">
        <f>SUM('2_BVO Árpád utcai'!E31+'3_BVO József'!E30+4_Kakas!E30+5_MűvHáz!E30+6_Könyvtár!E29+7_Konyha!E29+8_BGSZ!E29+9_KK!E30+'10_Sportlétes'!E29)</f>
        <v>0</v>
      </c>
      <c r="F29" s="160"/>
      <c r="G29" s="1"/>
      <c r="H29" s="1524">
        <f>SUM('2_BVO Árpád utcai'!H31+'3_BVO József'!H30+4_Kakas!H30+5_MűvHáz!H30+6_Könyvtár!H29+7_Konyha!H29+8_BGSZ!H29+9_KK!H30)</f>
        <v>0</v>
      </c>
      <c r="I29" s="1524">
        <f>SUM('2_BVO Árpád utcai'!I31+'3_BVO József'!I30+4_Kakas!I30+5_MűvHáz!I30+6_Könyvtár!I29+7_Konyha!I29+8_BGSZ!I29+9_KK!I30)</f>
        <v>0</v>
      </c>
      <c r="J29" s="1524">
        <f>SUM('2_BVO Árpád utcai'!J31+'3_BVO József'!J30+4_Kakas!J30+5_MűvHáz!J30+6_Könyvtár!J29+7_Konyha!J29+8_BGSZ!J29+9_KK!J30)</f>
        <v>0</v>
      </c>
      <c r="M29" s="561"/>
    </row>
    <row r="30" spans="1:10" ht="24" customHeight="1">
      <c r="A30" s="657">
        <v>3</v>
      </c>
      <c r="B30" s="100" t="s">
        <v>37</v>
      </c>
      <c r="C30" s="112">
        <f>SUM('2_BVO Árpád utcai'!C32+'3_BVO József'!C31+4_Kakas!C31+5_MűvHáz!C31+6_Könyvtár!C30+7_Konyha!C30+8_BGSZ!C30+9_KK!C31+'10_Sportlétes'!C30)</f>
        <v>9491</v>
      </c>
      <c r="D30" s="112">
        <f>SUM('2_BVO Árpád utcai'!D32+'3_BVO József'!D31+4_Kakas!D31+5_MűvHáz!D31+6_Könyvtár!D30+7_Konyha!D30+8_BGSZ!D30+9_KK!D31+'10_Sportlétes'!D30)</f>
        <v>9491</v>
      </c>
      <c r="E30" s="112">
        <f>SUM('2_BVO Árpád utcai'!E32+'3_BVO József'!E31+4_Kakas!E31+5_MűvHáz!E31+6_Könyvtár!E30+7_Konyha!E30+8_BGSZ!E30+9_KK!E31+'10_Sportlétes'!E30)</f>
        <v>0</v>
      </c>
      <c r="F30" s="160"/>
      <c r="G30" s="1"/>
      <c r="H30" s="1524">
        <f>SUM('2_BVO Árpád utcai'!H32+'3_BVO József'!H31+4_Kakas!H31+5_MűvHáz!H31+6_Könyvtár!H30+7_Konyha!H30+8_BGSZ!H30+9_KK!H31)</f>
        <v>0</v>
      </c>
      <c r="I30" s="1524">
        <f>SUM('2_BVO Árpád utcai'!I32+'3_BVO József'!I31+4_Kakas!I31+5_MűvHáz!I31+6_Könyvtár!I30+7_Konyha!I30+8_BGSZ!I30+9_KK!I31)</f>
        <v>0</v>
      </c>
      <c r="J30" s="1524">
        <f>SUM('2_BVO Árpád utcai'!J32+'3_BVO József'!J31+4_Kakas!J31+5_MűvHáz!J31+6_Könyvtár!J30+7_Konyha!J30+8_BGSZ!J30+9_KK!J31)</f>
        <v>0</v>
      </c>
    </row>
    <row r="31" spans="1:10" ht="24.75" customHeight="1">
      <c r="A31" s="657">
        <v>4</v>
      </c>
      <c r="B31" s="100" t="s">
        <v>38</v>
      </c>
      <c r="C31" s="112">
        <f>SUM('2_BVO Árpád utcai'!C33+'3_BVO József'!C32+4_Kakas!C32+5_MűvHáz!C32+6_Könyvtár!C31+7_Konyha!C31+8_BGSZ!C31+9_KK!C32+'10_Sportlétes'!C31)</f>
        <v>0</v>
      </c>
      <c r="D31" s="112">
        <f>SUM('2_BVO Árpád utcai'!D33+'3_BVO József'!D32+4_Kakas!D32+5_MűvHáz!D32+6_Könyvtár!D31+7_Konyha!D31+8_BGSZ!D31+9_KK!D32+'10_Sportlétes'!D31)</f>
        <v>0</v>
      </c>
      <c r="E31" s="112">
        <f>SUM('2_BVO Árpád utcai'!E33+'3_BVO József'!E32+4_Kakas!E32+5_MűvHáz!E32+6_Könyvtár!E31+7_Konyha!E31+8_BGSZ!E31+9_KK!E32+'10_Sportlétes'!E31)</f>
        <v>0</v>
      </c>
      <c r="F31" s="160"/>
      <c r="G31" s="1"/>
      <c r="H31" s="1524">
        <f>SUM('2_BVO Árpád utcai'!H33+'3_BVO József'!H32+4_Kakas!H32+5_MűvHáz!H32+6_Könyvtár!H31+7_Konyha!H31+8_BGSZ!H31+9_KK!H32)</f>
        <v>0</v>
      </c>
      <c r="I31" s="1524">
        <f>SUM('2_BVO Árpád utcai'!I33+'3_BVO József'!I32+4_Kakas!I32+5_MűvHáz!I32+6_Könyvtár!I31+7_Konyha!I31+8_BGSZ!I31+9_KK!I32)</f>
        <v>0</v>
      </c>
      <c r="J31" s="1524">
        <f>SUM('2_BVO Árpád utcai'!J33+'3_BVO József'!J32+4_Kakas!J32+5_MűvHáz!J32+6_Könyvtár!J31+7_Konyha!J31+8_BGSZ!J31+9_KK!J32)</f>
        <v>0</v>
      </c>
    </row>
    <row r="32" spans="1:10" ht="23.25" customHeight="1">
      <c r="A32" s="657">
        <v>5</v>
      </c>
      <c r="B32" s="100" t="s">
        <v>39</v>
      </c>
      <c r="C32" s="112">
        <f>SUM('2_BVO Árpád utcai'!C34+'3_BVO József'!C33+4_Kakas!C33+5_MűvHáz!C33+6_Könyvtár!C32+7_Konyha!C32+8_BGSZ!C32+9_KK!C33+'10_Sportlétes'!C32)</f>
        <v>44210</v>
      </c>
      <c r="D32" s="112">
        <f>SUM('2_BVO Árpád utcai'!D34+'3_BVO József'!D33+4_Kakas!D33+5_MűvHáz!D33+6_Könyvtár!D32+7_Konyha!D32+8_BGSZ!D32+9_KK!D33+'10_Sportlétes'!D32)</f>
        <v>44210</v>
      </c>
      <c r="E32" s="112">
        <f>SUM('2_BVO Árpád utcai'!E34+'3_BVO József'!E33+4_Kakas!E33+5_MűvHáz!E33+6_Könyvtár!E32+7_Konyha!E32+8_BGSZ!E32+9_KK!E33+'10_Sportlétes'!E32)</f>
        <v>0</v>
      </c>
      <c r="F32" s="160"/>
      <c r="G32" s="1"/>
      <c r="H32" s="1524">
        <f>SUM('2_BVO Árpád utcai'!H34+'3_BVO József'!H33+4_Kakas!H33+5_MűvHáz!H33+6_Könyvtár!H32+7_Konyha!H32+8_BGSZ!H32+9_KK!H33)</f>
        <v>0</v>
      </c>
      <c r="I32" s="1524">
        <f>SUM('2_BVO Árpád utcai'!I34+'3_BVO József'!I33+4_Kakas!I33+5_MűvHáz!I33+6_Könyvtár!I32+7_Konyha!I32+8_BGSZ!I32+9_KK!I33)</f>
        <v>0</v>
      </c>
      <c r="J32" s="1524">
        <f>SUM('2_BVO Árpád utcai'!J34+'3_BVO József'!J33+4_Kakas!J33+5_MűvHáz!J33+6_Könyvtár!J32+7_Konyha!J32+8_BGSZ!J32+9_KK!J33)</f>
        <v>0</v>
      </c>
    </row>
    <row r="33" spans="1:10" ht="33" customHeight="1">
      <c r="A33" s="657">
        <v>6</v>
      </c>
      <c r="B33" s="100" t="s">
        <v>40</v>
      </c>
      <c r="C33" s="112">
        <f>SUM('2_BVO Árpád utcai'!C35+'3_BVO József'!C34+4_Kakas!C34+5_MűvHáz!C34+6_Könyvtár!C33+7_Konyha!C33+8_BGSZ!C33+9_KK!C34+'10_Sportlétes'!C33)</f>
        <v>24657</v>
      </c>
      <c r="D33" s="112">
        <f>SUM('2_BVO Árpád utcai'!D35+'3_BVO József'!D34+4_Kakas!D34+5_MűvHáz!D34+6_Könyvtár!D33+7_Konyha!D33+8_BGSZ!D33+9_KK!D34+'10_Sportlétes'!D33)</f>
        <v>24690</v>
      </c>
      <c r="E33" s="112">
        <f>SUM('2_BVO Árpád utcai'!E35+'3_BVO József'!E34+4_Kakas!E34+5_MűvHáz!E34+6_Könyvtár!E33+7_Konyha!E33+8_BGSZ!E33+9_KK!E34+'10_Sportlétes'!E33)</f>
        <v>0</v>
      </c>
      <c r="F33" s="160"/>
      <c r="G33" s="1"/>
      <c r="H33" s="1524">
        <f>SUM('2_BVO Árpád utcai'!H35+'3_BVO József'!H34+4_Kakas!H34+5_MűvHáz!H34+6_Könyvtár!H33+7_Konyha!H33+8_BGSZ!H33+9_KK!H34)</f>
        <v>0</v>
      </c>
      <c r="I33" s="1524">
        <f>SUM('2_BVO Árpád utcai'!I35+'3_BVO József'!I34+4_Kakas!I34+5_MűvHáz!I34+6_Könyvtár!I33+7_Konyha!I33+8_BGSZ!I33+9_KK!I34)</f>
        <v>0</v>
      </c>
      <c r="J33" s="1524">
        <f>SUM('2_BVO Árpád utcai'!J35+'3_BVO József'!J34+4_Kakas!J34+5_MűvHáz!J34+6_Könyvtár!J33+7_Konyha!J33+8_BGSZ!J33+9_KK!J34)</f>
        <v>0</v>
      </c>
    </row>
    <row r="34" spans="1:10" ht="27.75" customHeight="1">
      <c r="A34" s="657">
        <v>7</v>
      </c>
      <c r="B34" s="100" t="s">
        <v>41</v>
      </c>
      <c r="C34" s="112">
        <f>SUM('2_BVO Árpád utcai'!C36+'3_BVO József'!C35+4_Kakas!C35+5_MűvHáz!C35+6_Könyvtár!C34+7_Konyha!C34+8_BGSZ!C34+9_KK!C35+'10_Sportlétes'!C34)</f>
        <v>0</v>
      </c>
      <c r="D34" s="112">
        <f>SUM('2_BVO Árpád utcai'!D36+'3_BVO József'!D35+4_Kakas!D35+5_MűvHáz!D35+6_Könyvtár!D34+7_Konyha!D34+8_BGSZ!D34+9_KK!D35+'10_Sportlétes'!D34)</f>
        <v>0</v>
      </c>
      <c r="E34" s="112">
        <f>SUM('2_BVO Árpád utcai'!E36+'3_BVO József'!E35+4_Kakas!E35+5_MűvHáz!E35+6_Könyvtár!E34+7_Konyha!E34+8_BGSZ!E34+9_KK!E35+'10_Sportlétes'!E34)</f>
        <v>0</v>
      </c>
      <c r="F34" s="160"/>
      <c r="G34" s="1"/>
      <c r="H34" s="1524">
        <f>SUM('2_BVO Árpád utcai'!H36+'3_BVO József'!H35+4_Kakas!H35+5_MűvHáz!H35+6_Könyvtár!H34+7_Konyha!H34+8_BGSZ!H34+9_KK!H35)</f>
        <v>0</v>
      </c>
      <c r="I34" s="1524">
        <f>SUM('2_BVO Árpád utcai'!I36+'3_BVO József'!I35+4_Kakas!I35+5_MűvHáz!I35+6_Könyvtár!I34+7_Konyha!I34+8_BGSZ!I34+9_KK!I35)</f>
        <v>0</v>
      </c>
      <c r="J34" s="1524">
        <f>SUM('2_BVO Árpád utcai'!J36+'3_BVO József'!J35+4_Kakas!J35+5_MűvHáz!J35+6_Könyvtár!J34+7_Konyha!J34+8_BGSZ!J34+9_KK!J35)</f>
        <v>0</v>
      </c>
    </row>
    <row r="35" spans="1:10" ht="20.25" customHeight="1">
      <c r="A35" s="657">
        <v>8</v>
      </c>
      <c r="B35" s="100" t="s">
        <v>42</v>
      </c>
      <c r="C35" s="112">
        <f>SUM('2_BVO Árpád utcai'!C37+'3_BVO József'!C36+4_Kakas!C36+5_MűvHáz!C36+6_Könyvtár!C35+7_Konyha!C35+8_BGSZ!C35+9_KK!C36+'10_Sportlétes'!C35)</f>
        <v>10</v>
      </c>
      <c r="D35" s="112">
        <f>SUM('2_BVO Árpád utcai'!D37+'3_BVO József'!D36+4_Kakas!D36+5_MűvHáz!D36+6_Könyvtár!D35+7_Konyha!D35+8_BGSZ!D35+9_KK!D36+'10_Sportlétes'!D35)</f>
        <v>10</v>
      </c>
      <c r="E35" s="112">
        <f>SUM('2_BVO Árpád utcai'!E37+'3_BVO József'!E36+4_Kakas!E36+5_MűvHáz!E36+6_Könyvtár!E35+7_Konyha!E35+8_BGSZ!E35+9_KK!E36+'10_Sportlétes'!E35)</f>
        <v>0</v>
      </c>
      <c r="F35" s="160"/>
      <c r="G35" s="1"/>
      <c r="H35" s="1524">
        <f>SUM('2_BVO Árpád utcai'!H37+'3_BVO József'!H36+4_Kakas!H36+5_MűvHáz!H36+6_Könyvtár!H35+7_Konyha!H35+8_BGSZ!H35+9_KK!H36)</f>
        <v>0</v>
      </c>
      <c r="I35" s="1524">
        <f>SUM('2_BVO Árpád utcai'!I37+'3_BVO József'!I36+4_Kakas!I36+5_MűvHáz!I36+6_Könyvtár!I35+7_Konyha!I35+8_BGSZ!I35+9_KK!I36)</f>
        <v>0</v>
      </c>
      <c r="J35" s="1524">
        <f>SUM('2_BVO Árpád utcai'!J37+'3_BVO József'!J36+4_Kakas!J36+5_MűvHáz!J36+6_Könyvtár!J35+7_Konyha!J35+8_BGSZ!J35+9_KK!J36)</f>
        <v>0</v>
      </c>
    </row>
    <row r="36" spans="1:10" ht="30" customHeight="1">
      <c r="A36" s="657">
        <v>9</v>
      </c>
      <c r="B36" s="100" t="s">
        <v>43</v>
      </c>
      <c r="C36" s="112">
        <f>SUM('2_BVO Árpád utcai'!C38+'3_BVO József'!C37+4_Kakas!C37+5_MűvHáz!C37+6_Könyvtár!C36+7_Konyha!C36+8_BGSZ!C36+9_KK!C37+'10_Sportlétes'!C36)</f>
        <v>0</v>
      </c>
      <c r="D36" s="112">
        <f>SUM('2_BVO Árpád utcai'!D38+'3_BVO József'!D37+4_Kakas!D37+5_MűvHáz!D37+6_Könyvtár!D36+7_Konyha!D36+8_BGSZ!D36+9_KK!D37+'10_Sportlétes'!D36)</f>
        <v>0</v>
      </c>
      <c r="E36" s="112">
        <f>SUM('2_BVO Árpád utcai'!E38+'3_BVO József'!E37+4_Kakas!E37+5_MűvHáz!E37+6_Könyvtár!E36+7_Konyha!E36+8_BGSZ!E36+9_KK!E37+'10_Sportlétes'!E36)</f>
        <v>0</v>
      </c>
      <c r="F36" s="160"/>
      <c r="G36" s="1"/>
      <c r="H36" s="1524">
        <f>SUM('2_BVO Árpád utcai'!H38+'3_BVO József'!H37+4_Kakas!H37+5_MűvHáz!H37+6_Könyvtár!H36+7_Konyha!H36+8_BGSZ!H36+9_KK!H37)</f>
        <v>0</v>
      </c>
      <c r="I36" s="1524">
        <f>SUM('2_BVO Árpád utcai'!I38+'3_BVO József'!I37+4_Kakas!I37+5_MűvHáz!I37+6_Könyvtár!I36+7_Konyha!I36+8_BGSZ!I36+9_KK!I37)</f>
        <v>0</v>
      </c>
      <c r="J36" s="1524">
        <f>SUM('2_BVO Árpád utcai'!J38+'3_BVO József'!J37+4_Kakas!J37+5_MűvHáz!J37+6_Könyvtár!J36+7_Konyha!J36+8_BGSZ!J36+9_KK!J37)</f>
        <v>0</v>
      </c>
    </row>
    <row r="37" spans="1:10" ht="14.25" customHeight="1">
      <c r="A37" s="657">
        <v>10</v>
      </c>
      <c r="B37" s="100" t="s">
        <v>244</v>
      </c>
      <c r="C37" s="112">
        <f>SUM('2_BVO Árpád utcai'!C39+'3_BVO József'!C38+4_Kakas!C38+5_MűvHáz!C38+6_Könyvtár!C37+7_Konyha!C37+8_BGSZ!C37+9_KK!C38+'10_Sportlétes'!C37)</f>
        <v>0</v>
      </c>
      <c r="D37" s="112">
        <f>SUM('2_BVO Árpád utcai'!D39+'3_BVO József'!D38+4_Kakas!D38+5_MűvHáz!D38+6_Könyvtár!D37+7_Konyha!D37+8_BGSZ!D37+9_KK!D38+'10_Sportlétes'!D37)</f>
        <v>0</v>
      </c>
      <c r="E37" s="112">
        <f>SUM('2_BVO Árpád utcai'!E39+'3_BVO József'!E38+4_Kakas!E38+5_MűvHáz!E38+6_Könyvtár!E37+7_Konyha!E37+8_BGSZ!E37+9_KK!E38+'10_Sportlétes'!E37)</f>
        <v>0</v>
      </c>
      <c r="F37" s="160"/>
      <c r="G37" s="1"/>
      <c r="H37" s="1524">
        <f>SUM('2_BVO Árpád utcai'!H39+'3_BVO József'!H38+4_Kakas!H38+5_MűvHáz!H38+6_Könyvtár!H37+7_Konyha!H37+8_BGSZ!H37+9_KK!H38)</f>
        <v>0</v>
      </c>
      <c r="I37" s="1524">
        <f>SUM('2_BVO Árpád utcai'!I39+'3_BVO József'!I38+4_Kakas!I38+5_MűvHáz!I38+6_Könyvtár!I37+7_Konyha!I37+8_BGSZ!I37+9_KK!I38)</f>
        <v>0</v>
      </c>
      <c r="J37" s="1524">
        <f>SUM('2_BVO Árpád utcai'!J39+'3_BVO József'!J38+4_Kakas!J38+5_MűvHáz!J38+6_Könyvtár!J37+7_Konyha!J37+8_BGSZ!J37+9_KK!J38)</f>
        <v>0</v>
      </c>
    </row>
    <row r="38" spans="1:10" ht="17.25" customHeight="1">
      <c r="A38" s="657">
        <v>11</v>
      </c>
      <c r="B38" s="100" t="s">
        <v>44</v>
      </c>
      <c r="C38" s="112">
        <f>SUM('2_BVO Árpád utcai'!C40+'3_BVO József'!C39+4_Kakas!C39+5_MűvHáz!C39+6_Könyvtár!C38+7_Konyha!C38+8_BGSZ!C38+9_KK!C39+'10_Sportlétes'!C38)</f>
        <v>0</v>
      </c>
      <c r="D38" s="112">
        <f>SUM('2_BVO Árpád utcai'!D40+'3_BVO József'!D39+4_Kakas!D39+5_MűvHáz!D39+6_Könyvtár!D38+7_Konyha!D38+8_BGSZ!D38+9_KK!D39+'10_Sportlétes'!D38)</f>
        <v>0</v>
      </c>
      <c r="E38" s="112">
        <f>SUM('2_BVO Árpád utcai'!E40+'3_BVO József'!E39+4_Kakas!E39+5_MűvHáz!E39+6_Könyvtár!E38+7_Konyha!E38+8_BGSZ!E38+9_KK!E39+'10_Sportlétes'!E38)</f>
        <v>0</v>
      </c>
      <c r="F38" s="160"/>
      <c r="G38" s="1"/>
      <c r="H38" s="1524">
        <f>SUM('2_BVO Árpád utcai'!H40+'3_BVO József'!H39+4_Kakas!H39+5_MűvHáz!H39+6_Könyvtár!H38+7_Konyha!H38+8_BGSZ!H38+9_KK!H39)</f>
        <v>0</v>
      </c>
      <c r="I38" s="1524">
        <f>SUM('2_BVO Árpád utcai'!I40+'3_BVO József'!I39+4_Kakas!I39+5_MűvHáz!I39+6_Könyvtár!I38+7_Konyha!I38+8_BGSZ!I38+9_KK!I39)</f>
        <v>0</v>
      </c>
      <c r="J38" s="1524">
        <f>SUM('2_BVO Árpád utcai'!J40+'3_BVO József'!J39+4_Kakas!J39+5_MűvHáz!J39+6_Könyvtár!J38+7_Konyha!J38+8_BGSZ!J38+9_KK!J39)</f>
        <v>0</v>
      </c>
    </row>
    <row r="39" spans="1:10" ht="15">
      <c r="A39" s="657" t="s">
        <v>17</v>
      </c>
      <c r="B39" s="197" t="s">
        <v>45</v>
      </c>
      <c r="C39" s="96">
        <f>SUM(C40:C44)</f>
        <v>0</v>
      </c>
      <c r="D39" s="96">
        <f>SUM(D40:D44)</f>
        <v>0</v>
      </c>
      <c r="E39" s="96">
        <f>SUM(E40:E44)</f>
        <v>0</v>
      </c>
      <c r="F39" s="160"/>
      <c r="G39" s="1"/>
      <c r="H39" s="1524">
        <f>SUM('2_BVO Árpád utcai'!H41+'3_BVO József'!H40+4_Kakas!H40+5_MűvHáz!H40+6_Könyvtár!H39+7_Konyha!H39+8_BGSZ!H39+9_KK!H40)</f>
        <v>0</v>
      </c>
      <c r="I39" s="1524">
        <f>SUM('2_BVO Árpád utcai'!I41+'3_BVO József'!I40+4_Kakas!I40+5_MűvHáz!I40+6_Könyvtár!I39+7_Konyha!I39+8_BGSZ!I39+9_KK!I40)</f>
        <v>0</v>
      </c>
      <c r="J39" s="1524">
        <f>SUM('2_BVO Árpád utcai'!J41+'3_BVO József'!J40+4_Kakas!J40+5_MűvHáz!J40+6_Könyvtár!J39+7_Konyha!J39+8_BGSZ!J39+9_KK!J40)</f>
        <v>0</v>
      </c>
    </row>
    <row r="40" spans="1:10" ht="26.25" customHeight="1">
      <c r="A40" s="657">
        <v>1</v>
      </c>
      <c r="B40" s="100" t="s">
        <v>46</v>
      </c>
      <c r="C40" s="112">
        <f>SUM('2_BVO Árpád utcai'!C42+'3_BVO József'!C41+4_Kakas!C41+5_MűvHáz!C41+6_Könyvtár!C40+7_Konyha!C40+8_BGSZ!C40+9_KK!C41)</f>
        <v>0</v>
      </c>
      <c r="D40" s="112">
        <f>SUM('2_BVO Árpád utcai'!D42+'3_BVO József'!D41+4_Kakas!D41+5_MűvHáz!D41+6_Könyvtár!D40+7_Konyha!D40+8_BGSZ!D40+9_KK!D41)</f>
        <v>0</v>
      </c>
      <c r="E40" s="112">
        <f>SUM('2_BVO Árpád utcai'!E42+'3_BVO József'!E41+4_Kakas!E41+5_MűvHáz!E41+6_Könyvtár!E40+7_Konyha!E40+8_BGSZ!E40+9_KK!E41)</f>
        <v>0</v>
      </c>
      <c r="F40" s="160"/>
      <c r="G40" s="1"/>
      <c r="H40" s="1524">
        <f>SUM('2_BVO Árpád utcai'!H42+'3_BVO József'!H41+4_Kakas!H41+5_MűvHáz!H41+6_Könyvtár!H40+7_Konyha!H40+8_BGSZ!H40+9_KK!H41)</f>
        <v>0</v>
      </c>
      <c r="I40" s="1524">
        <f>SUM('2_BVO Árpád utcai'!I42+'3_BVO József'!I41+4_Kakas!I41+5_MűvHáz!I41+6_Könyvtár!I40+7_Konyha!I40+8_BGSZ!I40+9_KK!I41)</f>
        <v>0</v>
      </c>
      <c r="J40" s="1524">
        <f>SUM('2_BVO Árpád utcai'!J42+'3_BVO József'!J41+4_Kakas!J41+5_MűvHáz!J41+6_Könyvtár!J40+7_Konyha!J40+8_BGSZ!J40+9_KK!J41)</f>
        <v>0</v>
      </c>
    </row>
    <row r="41" spans="1:10" ht="33" customHeight="1">
      <c r="A41" s="657">
        <v>2</v>
      </c>
      <c r="B41" s="101" t="s">
        <v>245</v>
      </c>
      <c r="C41" s="112">
        <f>SUM('2_BVO Árpád utcai'!C43+'3_BVO József'!C42+4_Kakas!C42+5_MűvHáz!C42+6_Könyvtár!C41+7_Konyha!C41+8_BGSZ!C41+9_KK!C42)</f>
        <v>0</v>
      </c>
      <c r="D41" s="112">
        <f>SUM('2_BVO Árpád utcai'!D43+'3_BVO József'!D42+4_Kakas!D42+5_MűvHáz!D42+6_Könyvtár!D41+7_Konyha!D41+8_BGSZ!D41+9_KK!D42)</f>
        <v>0</v>
      </c>
      <c r="E41" s="112">
        <f>SUM('2_BVO Árpád utcai'!E43+'3_BVO József'!E42+4_Kakas!E42+5_MűvHáz!E42+6_Könyvtár!E41+7_Konyha!E41+8_BGSZ!E41+9_KK!E42)</f>
        <v>0</v>
      </c>
      <c r="F41" s="160"/>
      <c r="G41" s="1"/>
      <c r="H41" s="1524">
        <f>SUM('2_BVO Árpád utcai'!H43+'3_BVO József'!H42+4_Kakas!H42+5_MűvHáz!H42+6_Könyvtár!H41+7_Konyha!H41+8_BGSZ!H41+9_KK!H42)</f>
        <v>0</v>
      </c>
      <c r="I41" s="1524">
        <f>SUM('2_BVO Árpád utcai'!I43+'3_BVO József'!I42+4_Kakas!I42+5_MűvHáz!I42+6_Könyvtár!I41+7_Konyha!I41+8_BGSZ!I41+9_KK!I42)</f>
        <v>0</v>
      </c>
      <c r="J41" s="1524">
        <f>SUM('2_BVO Árpád utcai'!J43+'3_BVO József'!J42+4_Kakas!J42+5_MűvHáz!J42+6_Könyvtár!J41+7_Konyha!J41+8_BGSZ!J41+9_KK!J42)</f>
        <v>0</v>
      </c>
    </row>
    <row r="42" spans="1:10" ht="28.5" customHeight="1">
      <c r="A42" s="657">
        <v>3</v>
      </c>
      <c r="B42" s="101" t="s">
        <v>246</v>
      </c>
      <c r="C42" s="112">
        <f>SUM('2_BVO Árpád utcai'!C44+'3_BVO József'!C43+4_Kakas!C43+5_MűvHáz!C43+6_Könyvtár!C42+7_Konyha!C42+8_BGSZ!C42+9_KK!C43)</f>
        <v>0</v>
      </c>
      <c r="D42" s="112">
        <f>SUM('2_BVO Árpád utcai'!D44+'3_BVO József'!D43+4_Kakas!D43+5_MűvHáz!D43+6_Könyvtár!D42+7_Konyha!D42+8_BGSZ!D42+9_KK!D43)</f>
        <v>0</v>
      </c>
      <c r="E42" s="112">
        <f>SUM('2_BVO Árpád utcai'!E44+'3_BVO József'!E43+4_Kakas!E43+5_MűvHáz!E43+6_Könyvtár!E42+7_Konyha!E42+8_BGSZ!E42+9_KK!E43)</f>
        <v>0</v>
      </c>
      <c r="F42" s="160"/>
      <c r="G42" s="1"/>
      <c r="H42" s="1524">
        <f>SUM('2_BVO Árpád utcai'!H44+'3_BVO József'!H43+4_Kakas!H43+5_MűvHáz!H43+6_Könyvtár!H42+7_Konyha!H42+8_BGSZ!H42+9_KK!H43)</f>
        <v>0</v>
      </c>
      <c r="I42" s="1524">
        <f>SUM('2_BVO Árpád utcai'!I44+'3_BVO József'!I43+4_Kakas!I43+5_MűvHáz!I43+6_Könyvtár!I42+7_Konyha!I42+8_BGSZ!I42+9_KK!I43)</f>
        <v>0</v>
      </c>
      <c r="J42" s="1524">
        <f>SUM('2_BVO Árpád utcai'!J44+'3_BVO József'!J43+4_Kakas!J43+5_MűvHáz!J43+6_Könyvtár!J42+7_Konyha!J42+8_BGSZ!J42+9_KK!J43)</f>
        <v>0</v>
      </c>
    </row>
    <row r="43" spans="1:10" ht="28.5" customHeight="1" thickBot="1">
      <c r="A43" s="657">
        <v>4</v>
      </c>
      <c r="B43" s="101" t="s">
        <v>47</v>
      </c>
      <c r="C43" s="112">
        <f>SUM('2_BVO Árpád utcai'!C45+'3_BVO József'!C44+4_Kakas!C44+5_MűvHáz!C44+6_Könyvtár!C43+7_Konyha!C43+8_BGSZ!C43+9_KK!C44)</f>
        <v>0</v>
      </c>
      <c r="D43" s="112">
        <f>SUM('2_BVO Árpád utcai'!D45+'3_BVO József'!D44+4_Kakas!D44+5_MűvHáz!D44+6_Könyvtár!D43+7_Konyha!D43+8_BGSZ!D43+9_KK!D44)</f>
        <v>0</v>
      </c>
      <c r="E43" s="112">
        <f>SUM('2_BVO Árpád utcai'!E45+'3_BVO József'!E44+4_Kakas!E44+5_MűvHáz!E44+6_Könyvtár!E43+7_Konyha!E43+8_BGSZ!E43+9_KK!E44)</f>
        <v>0</v>
      </c>
      <c r="F43" s="160"/>
      <c r="G43" s="1"/>
      <c r="H43" s="1526">
        <f>SUM('2_BVO Árpád utcai'!H45+'3_BVO József'!H44+4_Kakas!H44+5_MűvHáz!H44+6_Könyvtár!H43+7_Konyha!H43+8_BGSZ!H43+9_KK!H44)</f>
        <v>0</v>
      </c>
      <c r="I43" s="1524">
        <f>SUM('2_BVO Árpád utcai'!I45+'3_BVO József'!I44+4_Kakas!I44+5_MűvHáz!I44+6_Könyvtár!I43+7_Konyha!I43+8_BGSZ!I43+9_KK!I44)</f>
        <v>0</v>
      </c>
      <c r="J43" s="1524">
        <f>SUM('2_BVO Árpád utcai'!J45+'3_BVO József'!J44+4_Kakas!J44+5_MűvHáz!J44+6_Könyvtár!J43+7_Konyha!J43+8_BGSZ!J43+9_KK!J44)</f>
        <v>0</v>
      </c>
    </row>
    <row r="44" spans="1:10" ht="28.5" customHeight="1" thickBot="1">
      <c r="A44" s="657">
        <v>5</v>
      </c>
      <c r="B44" s="636" t="s">
        <v>48</v>
      </c>
      <c r="C44" s="112">
        <f>SUM('2_BVO Árpád utcai'!C46+'3_BVO József'!C45+4_Kakas!C45+5_MűvHáz!C45+6_Könyvtár!C44+7_Konyha!C44+8_BGSZ!C44+9_KK!C45)</f>
        <v>0</v>
      </c>
      <c r="D44" s="112">
        <f>SUM('2_BVO Árpád utcai'!D46+'3_BVO József'!D45+4_Kakas!D45+5_MűvHáz!D45+6_Könyvtár!D44+7_Konyha!D44+8_BGSZ!D44+9_KK!D45)</f>
        <v>0</v>
      </c>
      <c r="E44" s="112">
        <f>SUM('2_BVO Árpád utcai'!E46+'3_BVO József'!E45+4_Kakas!E45+5_MűvHáz!E45+6_Könyvtár!E44+7_Konyha!E44+8_BGSZ!E44+9_KK!E45)</f>
        <v>0</v>
      </c>
      <c r="F44" s="165"/>
      <c r="G44" s="166"/>
      <c r="H44" s="1527">
        <f>SUM('2_BVO Árpád utcai'!H46+'3_BVO József'!H45+4_Kakas!H45+5_MűvHáz!H45+6_Könyvtár!H44+7_Konyha!H44+8_BGSZ!H44+9_KK!H45)</f>
        <v>0</v>
      </c>
      <c r="I44" s="1524">
        <f>SUM('2_BVO Árpád utcai'!I46+'3_BVO József'!I45+4_Kakas!I45+5_MűvHáz!I45+6_Könyvtár!I44+7_Konyha!I44+8_BGSZ!I44+9_KK!I45)</f>
        <v>0</v>
      </c>
      <c r="J44" s="1524">
        <f>SUM('2_BVO Árpád utcai'!J46+'3_BVO József'!J45+4_Kakas!J45+5_MűvHáz!J45+6_Könyvtár!J44+7_Konyha!J44+8_BGSZ!J44+9_KK!J45)</f>
        <v>0</v>
      </c>
    </row>
    <row r="45" spans="1:10" ht="29.25" thickBot="1">
      <c r="A45" s="657"/>
      <c r="B45" s="1238" t="s">
        <v>49</v>
      </c>
      <c r="C45" s="6">
        <f>SUM(C46+C52+C58)</f>
        <v>0</v>
      </c>
      <c r="D45" s="6">
        <f>SUM(D46+D52+D58)</f>
        <v>400</v>
      </c>
      <c r="E45" s="6">
        <f>SUM(E46+E52+E58)</f>
        <v>0</v>
      </c>
      <c r="F45" s="168"/>
      <c r="G45" s="1237" t="s">
        <v>50</v>
      </c>
      <c r="H45" s="1472">
        <f>SUM(H46:H48)</f>
        <v>41266</v>
      </c>
      <c r="I45" s="1472">
        <f>SUM(I46:I48)</f>
        <v>43092</v>
      </c>
      <c r="J45" s="1472">
        <f>SUM(J46:J48)</f>
        <v>0</v>
      </c>
    </row>
    <row r="46" spans="1:10" ht="15">
      <c r="A46" s="657" t="s">
        <v>261</v>
      </c>
      <c r="B46" s="632" t="s">
        <v>51</v>
      </c>
      <c r="C46" s="14">
        <f>SUM(C47:C51)</f>
        <v>0</v>
      </c>
      <c r="D46" s="14">
        <f>SUM(D47:D51)</f>
        <v>0</v>
      </c>
      <c r="E46" s="14">
        <f>SUM(E47:E51)</f>
        <v>0</v>
      </c>
      <c r="F46" s="170" t="s">
        <v>52</v>
      </c>
      <c r="G46" s="392" t="s">
        <v>53</v>
      </c>
      <c r="H46" s="1466">
        <f>SUM('2_BVO Árpád utcai'!H48+'3_BVO József'!H47+4_Kakas!H47+5_MűvHáz!H47+6_Könyvtár!H46+7_Konyha!H46+8_BGSZ!H46+9_KK!H47+'10_Sportlétes'!H46)</f>
        <v>41266</v>
      </c>
      <c r="I46" s="1466">
        <f>SUM('2_BVO Árpád utcai'!I48+'3_BVO József'!I47+4_Kakas!I47+5_MűvHáz!I47+6_Könyvtár!I46+7_Konyha!I46+8_BGSZ!I46+9_KK!I47+'10_Sportlétes'!I46)</f>
        <v>43092</v>
      </c>
      <c r="J46" s="1466">
        <f>SUM('2_BVO Árpád utcai'!J48+'3_BVO József'!J47+4_Kakas!J47+5_MűvHáz!J47+6_Könyvtár!J46+7_Konyha!J46+8_BGSZ!J46+9_KK!J47+'10_Sportlétes'!J46)</f>
        <v>0</v>
      </c>
    </row>
    <row r="47" spans="1:10" ht="31.5" customHeight="1">
      <c r="A47" s="657">
        <v>1</v>
      </c>
      <c r="B47" s="101" t="s">
        <v>54</v>
      </c>
      <c r="C47" s="112">
        <f>SUM('2_BVO Árpád utcai'!C49+'3_BVO József'!C48+4_Kakas!C48+5_MűvHáz!C48+6_Könyvtár!C47+7_Konyha!C47+8_BGSZ!C47+9_KK!C48)</f>
        <v>0</v>
      </c>
      <c r="D47" s="112">
        <f>SUM('2_BVO Árpád utcai'!D49+'3_BVO József'!D48+4_Kakas!D48+5_MűvHáz!D48+6_Könyvtár!D47+7_Konyha!D47+8_BGSZ!D47+9_KK!D48)</f>
        <v>0</v>
      </c>
      <c r="E47" s="112">
        <f>SUM('2_BVO Árpád utcai'!E49+'3_BVO József'!E48+4_Kakas!E48+5_MűvHáz!E48+6_Könyvtár!E47+7_Konyha!E47+8_BGSZ!E47+9_KK!E48)</f>
        <v>0</v>
      </c>
      <c r="F47" s="170" t="s">
        <v>55</v>
      </c>
      <c r="G47" s="350" t="s">
        <v>56</v>
      </c>
      <c r="H47" s="1466">
        <f>SUM('2_BVO Árpád utcai'!H49+'3_BVO József'!H48+4_Kakas!H48+5_MűvHáz!H48+6_Könyvtár!H47+7_Konyha!H47+8_BGSZ!H47+9_KK!H48)</f>
        <v>0</v>
      </c>
      <c r="I47" s="1466">
        <f>SUM('2_BVO Árpád utcai'!I49+'3_BVO József'!I48+4_Kakas!I48+5_MűvHáz!I48+6_Könyvtár!I47+7_Konyha!I47+8_BGSZ!I47+9_KK!I48)</f>
        <v>0</v>
      </c>
      <c r="J47" s="1466">
        <f>SUM('2_BVO Árpád utcai'!J49+'3_BVO József'!J48+4_Kakas!J48+5_MűvHáz!J48+6_Könyvtár!J47+7_Konyha!J47+8_BGSZ!J47+9_KK!J48)</f>
        <v>0</v>
      </c>
    </row>
    <row r="48" spans="1:10" ht="29.25" customHeight="1" thickBot="1">
      <c r="A48" s="657">
        <v>2</v>
      </c>
      <c r="B48" s="101" t="s">
        <v>57</v>
      </c>
      <c r="C48" s="112">
        <f>SUM('2_BVO Árpád utcai'!C50+'3_BVO József'!C49+4_Kakas!C49+5_MűvHáz!C49+6_Könyvtár!C48+7_Konyha!C48+8_BGSZ!C48+9_KK!C49)</f>
        <v>0</v>
      </c>
      <c r="D48" s="112">
        <f>SUM('2_BVO Árpád utcai'!D50+'3_BVO József'!D49+4_Kakas!D49+5_MűvHáz!D49+6_Könyvtár!D48+7_Konyha!D48+8_BGSZ!D48+9_KK!D49)</f>
        <v>0</v>
      </c>
      <c r="E48" s="112">
        <f>SUM('2_BVO Árpád utcai'!E50+'3_BVO József'!E49+4_Kakas!E49+5_MűvHáz!E49+6_Könyvtár!E48+7_Konyha!E48+8_BGSZ!E48+9_KK!E49)</f>
        <v>0</v>
      </c>
      <c r="F48" s="170" t="s">
        <v>58</v>
      </c>
      <c r="G48" s="393" t="s">
        <v>59</v>
      </c>
      <c r="H48" s="1466">
        <f>SUM('2_BVO Árpád utcai'!H50+'3_BVO József'!H49+4_Kakas!H49+5_MűvHáz!H49+6_Könyvtár!H48+7_Konyha!H48+8_BGSZ!H48+9_KK!H49)</f>
        <v>0</v>
      </c>
      <c r="I48" s="1466">
        <f>SUM('2_BVO Árpád utcai'!I50+'3_BVO József'!I49+4_Kakas!I49+5_MűvHáz!I49+6_Könyvtár!I48+7_Konyha!I48+8_BGSZ!I48+9_KK!I49)</f>
        <v>0</v>
      </c>
      <c r="J48" s="1466">
        <f>SUM('2_BVO Árpád utcai'!J50+'3_BVO József'!J49+4_Kakas!J49+5_MűvHáz!J49+6_Könyvtár!J48+7_Konyha!J48+8_BGSZ!J48+9_KK!J49)</f>
        <v>0</v>
      </c>
    </row>
    <row r="49" spans="1:10" ht="27" customHeight="1">
      <c r="A49" s="657">
        <v>3</v>
      </c>
      <c r="B49" s="101" t="s">
        <v>60</v>
      </c>
      <c r="C49" s="112">
        <f>SUM('2_BVO Árpád utcai'!C51+'3_BVO József'!C50+4_Kakas!C50+5_MűvHáz!C50+6_Könyvtár!C49+7_Konyha!C49+8_BGSZ!C49+9_KK!C50)</f>
        <v>0</v>
      </c>
      <c r="D49" s="112">
        <f>SUM('2_BVO Árpád utcai'!D51+'3_BVO József'!D50+4_Kakas!D50+5_MűvHáz!D50+6_Könyvtár!D49+7_Konyha!D49+8_BGSZ!D49+9_KK!D50)</f>
        <v>0</v>
      </c>
      <c r="E49" s="112">
        <f>SUM('2_BVO Árpád utcai'!E51+'3_BVO József'!E50+4_Kakas!E50+5_MűvHáz!E50+6_Könyvtár!E49+7_Konyha!E49+8_BGSZ!E49+9_KK!E50)</f>
        <v>0</v>
      </c>
      <c r="F49" s="174"/>
      <c r="G49" s="175"/>
      <c r="H49" s="1471"/>
      <c r="I49" s="1480"/>
      <c r="J49" s="1480"/>
    </row>
    <row r="50" spans="1:10" ht="29.25" customHeight="1">
      <c r="A50" s="657">
        <v>4</v>
      </c>
      <c r="B50" s="101" t="s">
        <v>61</v>
      </c>
      <c r="C50" s="112">
        <f>SUM('2_BVO Árpád utcai'!C52+'3_BVO József'!C51+4_Kakas!C51+5_MűvHáz!C51+6_Könyvtár!C50+7_Konyha!C50+8_BGSZ!C50+9_KK!C51)</f>
        <v>0</v>
      </c>
      <c r="D50" s="112">
        <f>SUM('2_BVO Árpád utcai'!D52+'3_BVO József'!D51+4_Kakas!D51+5_MűvHáz!D51+6_Könyvtár!D50+7_Konyha!D50+8_BGSZ!D50+9_KK!D51)</f>
        <v>0</v>
      </c>
      <c r="E50" s="112">
        <f>SUM('2_BVO Árpád utcai'!E52+'3_BVO József'!E51+4_Kakas!E51+5_MűvHáz!E51+6_Könyvtár!E50+7_Konyha!E50+8_BGSZ!E50+9_KK!E51)</f>
        <v>0</v>
      </c>
      <c r="F50" s="160"/>
      <c r="G50" s="175"/>
      <c r="H50" s="1471"/>
      <c r="I50" s="1480"/>
      <c r="J50" s="1480"/>
    </row>
    <row r="51" spans="1:10" ht="30.75" customHeight="1">
      <c r="A51" s="657">
        <v>5</v>
      </c>
      <c r="B51" s="101" t="s">
        <v>62</v>
      </c>
      <c r="C51" s="112">
        <f>SUM('2_BVO Árpád utcai'!C53+'3_BVO József'!C52+4_Kakas!C52+5_MűvHáz!C52+6_Könyvtár!C51+7_Konyha!C51+8_BGSZ!C51+9_KK!C52)</f>
        <v>0</v>
      </c>
      <c r="D51" s="112">
        <f>SUM('2_BVO Árpád utcai'!D53+'3_BVO József'!D52+4_Kakas!D52+5_MűvHáz!D52+6_Könyvtár!D51+7_Konyha!D51+8_BGSZ!D51+9_KK!D52)</f>
        <v>0</v>
      </c>
      <c r="E51" s="112">
        <f>SUM('2_BVO Árpád utcai'!E53+'3_BVO József'!E52+4_Kakas!E52+5_MűvHáz!E52+6_Könyvtár!E51+7_Konyha!E51+8_BGSZ!E51+9_KK!E52)</f>
        <v>0</v>
      </c>
      <c r="F51" s="160"/>
      <c r="G51" s="175"/>
      <c r="H51" s="1471"/>
      <c r="I51" s="1480"/>
      <c r="J51" s="1480"/>
    </row>
    <row r="52" spans="1:10" ht="25.5" customHeight="1">
      <c r="A52" s="657" t="s">
        <v>52</v>
      </c>
      <c r="B52" s="637" t="s">
        <v>63</v>
      </c>
      <c r="C52" s="96">
        <f>SUM(C53:C57)</f>
        <v>0</v>
      </c>
      <c r="D52" s="96">
        <f>SUM(D53:D57)</f>
        <v>400</v>
      </c>
      <c r="E52" s="96">
        <f>SUM(E53:E57)</f>
        <v>0</v>
      </c>
      <c r="F52" s="160"/>
      <c r="G52" s="175"/>
      <c r="H52" s="1471"/>
      <c r="I52" s="1480"/>
      <c r="J52" s="1480"/>
    </row>
    <row r="53" spans="1:10" ht="25.5" customHeight="1">
      <c r="A53" s="657">
        <v>1</v>
      </c>
      <c r="B53" s="100" t="s">
        <v>64</v>
      </c>
      <c r="C53" s="112">
        <f>SUM('2_BVO Árpád utcai'!C55+'3_BVO József'!C54+4_Kakas!C54+5_MűvHáz!C54+6_Könyvtár!C53+7_Konyha!C53+8_BGSZ!C53+9_KK!C54)</f>
        <v>0</v>
      </c>
      <c r="D53" s="112">
        <f>SUM('2_BVO Árpád utcai'!D55+'3_BVO József'!D54+4_Kakas!D54+5_MűvHáz!D54+6_Könyvtár!D53+7_Konyha!D53+8_BGSZ!D53+9_KK!D54)</f>
        <v>0</v>
      </c>
      <c r="E53" s="112">
        <f>SUM('2_BVO Árpád utcai'!E55+'3_BVO József'!E54+4_Kakas!E54+5_MűvHáz!E54+6_Könyvtár!E53+7_Konyha!E53+8_BGSZ!E53+9_KK!E54)</f>
        <v>0</v>
      </c>
      <c r="F53" s="160"/>
      <c r="G53" s="175"/>
      <c r="H53" s="1471"/>
      <c r="I53" s="1480"/>
      <c r="J53" s="1480"/>
    </row>
    <row r="54" spans="1:10" ht="28.5" customHeight="1">
      <c r="A54" s="657">
        <v>2</v>
      </c>
      <c r="B54" s="100" t="s">
        <v>65</v>
      </c>
      <c r="C54" s="112">
        <f>SUM('2_BVO Árpád utcai'!C56+'3_BVO József'!C55+4_Kakas!C55+5_MűvHáz!C55+6_Könyvtár!C54+7_Konyha!C54+8_BGSZ!C54+9_KK!C55)</f>
        <v>0</v>
      </c>
      <c r="D54" s="112">
        <f>SUM('2_BVO Árpád utcai'!D56+'3_BVO József'!D55+4_Kakas!D55+5_MűvHáz!D55+6_Könyvtár!D54+7_Konyha!D54+8_BGSZ!D54+9_KK!D55)</f>
        <v>0</v>
      </c>
      <c r="E54" s="112">
        <f>SUM('2_BVO Árpád utcai'!E56+'3_BVO József'!E55+4_Kakas!E55+5_MűvHáz!E55+6_Könyvtár!E54+7_Konyha!E54+8_BGSZ!E54+9_KK!E55)</f>
        <v>0</v>
      </c>
      <c r="F54" s="160"/>
      <c r="G54" s="175"/>
      <c r="H54" s="1471"/>
      <c r="I54" s="1480"/>
      <c r="J54" s="1480"/>
    </row>
    <row r="55" spans="1:10" ht="21.75" customHeight="1">
      <c r="A55" s="657">
        <v>3</v>
      </c>
      <c r="B55" s="100" t="s">
        <v>66</v>
      </c>
      <c r="C55" s="112">
        <f>SUM('2_BVO Árpád utcai'!C57+'3_BVO József'!C56+4_Kakas!C56+5_MűvHáz!C56+6_Könyvtár!C55+7_Konyha!C55+8_BGSZ!C55+9_KK!C56)</f>
        <v>0</v>
      </c>
      <c r="D55" s="112">
        <f>SUM('2_BVO Árpád utcai'!D57+'3_BVO József'!D56+4_Kakas!D56+5_MűvHáz!D56+6_Könyvtár!D55+7_Konyha!D55+8_BGSZ!D55+9_KK!D56)</f>
        <v>400</v>
      </c>
      <c r="E55" s="112">
        <f>SUM('2_BVO Árpád utcai'!E57+'3_BVO József'!E56+4_Kakas!E56+5_MűvHáz!E56+6_Könyvtár!E55+7_Konyha!E55+8_BGSZ!E55+9_KK!E56)</f>
        <v>0</v>
      </c>
      <c r="F55" s="160"/>
      <c r="G55" s="175"/>
      <c r="H55" s="1471"/>
      <c r="I55" s="1480"/>
      <c r="J55" s="1480"/>
    </row>
    <row r="56" spans="1:10" ht="23.25" customHeight="1">
      <c r="A56" s="657">
        <v>4</v>
      </c>
      <c r="B56" s="100" t="s">
        <v>409</v>
      </c>
      <c r="C56" s="112">
        <f>SUM('2_BVO Árpád utcai'!C58+'3_BVO József'!C57+4_Kakas!C57+5_MűvHáz!C57+6_Könyvtár!C56+7_Konyha!C56+8_BGSZ!C56+9_KK!C57)</f>
        <v>0</v>
      </c>
      <c r="D56" s="112">
        <f>SUM('2_BVO Árpád utcai'!D58+'3_BVO József'!D57+4_Kakas!D57+5_MűvHáz!D57+6_Könyvtár!D56+7_Konyha!D56+8_BGSZ!D56+9_KK!D57)</f>
        <v>0</v>
      </c>
      <c r="E56" s="112">
        <f>SUM('2_BVO Árpád utcai'!E58+'3_BVO József'!E57+4_Kakas!E57+5_MűvHáz!E57+6_Könyvtár!E56+7_Konyha!E56+8_BGSZ!E56+9_KK!E57)</f>
        <v>0</v>
      </c>
      <c r="F56" s="160"/>
      <c r="G56" s="175"/>
      <c r="H56" s="1471"/>
      <c r="I56" s="1480"/>
      <c r="J56" s="1480"/>
    </row>
    <row r="57" spans="1:10" ht="22.5" customHeight="1">
      <c r="A57" s="657">
        <v>5</v>
      </c>
      <c r="B57" s="100" t="s">
        <v>68</v>
      </c>
      <c r="C57" s="112">
        <f>SUM('2_BVO Árpád utcai'!C59+'3_BVO József'!C58+4_Kakas!C58+5_MűvHáz!C58+6_Könyvtár!C57+7_Konyha!C57+8_BGSZ!C57+9_KK!C58)</f>
        <v>0</v>
      </c>
      <c r="D57" s="112">
        <f>SUM('2_BVO Árpád utcai'!D59+'3_BVO József'!D58+4_Kakas!D58+5_MűvHáz!D58+6_Könyvtár!D57+7_Konyha!D57+8_BGSZ!D57+9_KK!D58)</f>
        <v>0</v>
      </c>
      <c r="E57" s="112">
        <f>SUM('2_BVO Árpád utcai'!E59+'3_BVO József'!E58+4_Kakas!E58+5_MűvHáz!E58+6_Könyvtár!E57+7_Konyha!E57+8_BGSZ!E57+9_KK!E58)</f>
        <v>0</v>
      </c>
      <c r="F57" s="160"/>
      <c r="G57" s="175"/>
      <c r="H57" s="1471"/>
      <c r="I57" s="1480"/>
      <c r="J57" s="1480"/>
    </row>
    <row r="58" spans="1:10" ht="15">
      <c r="A58" s="657" t="s">
        <v>55</v>
      </c>
      <c r="B58" s="197" t="s">
        <v>69</v>
      </c>
      <c r="C58" s="96">
        <f>SUM(C59:C62)</f>
        <v>0</v>
      </c>
      <c r="D58" s="96">
        <f>SUM(D59:D62)</f>
        <v>0</v>
      </c>
      <c r="E58" s="96">
        <f>SUM(E59:E62)</f>
        <v>0</v>
      </c>
      <c r="F58" s="160"/>
      <c r="G58" s="175"/>
      <c r="H58" s="1471"/>
      <c r="I58" s="1480"/>
      <c r="J58" s="1480"/>
    </row>
    <row r="59" spans="1:10" ht="31.5" customHeight="1">
      <c r="A59" s="657">
        <v>1</v>
      </c>
      <c r="B59" s="100" t="s">
        <v>70</v>
      </c>
      <c r="C59" s="112">
        <f>SUM('2_BVO Árpád utcai'!C61+'3_BVO József'!C60+4_Kakas!C60+5_MűvHáz!C60+6_Könyvtár!C59+7_Konyha!C59+8_BGSZ!C59+9_KK!C60)</f>
        <v>0</v>
      </c>
      <c r="D59" s="112">
        <f>SUM('2_BVO Árpád utcai'!D61+'3_BVO József'!D60+4_Kakas!D60+5_MűvHáz!D60+6_Könyvtár!D59+7_Konyha!D59+8_BGSZ!D59+9_KK!D60)</f>
        <v>0</v>
      </c>
      <c r="E59" s="112">
        <f>SUM('2_BVO Árpád utcai'!E61+'3_BVO József'!E60+4_Kakas!E60+5_MűvHáz!E60+6_Könyvtár!E59+7_Konyha!E59+8_BGSZ!E59+9_KK!E60)</f>
        <v>0</v>
      </c>
      <c r="F59" s="160"/>
      <c r="G59" s="175"/>
      <c r="H59" s="1471"/>
      <c r="I59" s="1480"/>
      <c r="J59" s="1480"/>
    </row>
    <row r="60" spans="1:10" ht="29.25" customHeight="1">
      <c r="A60" s="657">
        <v>2</v>
      </c>
      <c r="B60" s="101" t="s">
        <v>247</v>
      </c>
      <c r="C60" s="112">
        <f>SUM('2_BVO Árpád utcai'!C62+'3_BVO József'!C61+4_Kakas!C61+5_MűvHáz!C61+6_Könyvtár!C60+7_Konyha!C60+8_BGSZ!C60+9_KK!C61)</f>
        <v>0</v>
      </c>
      <c r="D60" s="112">
        <f>SUM('2_BVO Árpád utcai'!D62+'3_BVO József'!D61+4_Kakas!D61+5_MűvHáz!D61+6_Könyvtár!D60+7_Konyha!D60+8_BGSZ!D60+9_KK!D61)</f>
        <v>0</v>
      </c>
      <c r="E60" s="112">
        <f>SUM('2_BVO Árpád utcai'!E62+'3_BVO József'!E61+4_Kakas!E61+5_MűvHáz!E61+6_Könyvtár!E60+7_Konyha!E60+8_BGSZ!E60+9_KK!E61)</f>
        <v>0</v>
      </c>
      <c r="F60" s="160"/>
      <c r="G60" s="175"/>
      <c r="H60" s="1471"/>
      <c r="I60" s="1480"/>
      <c r="J60" s="1480"/>
    </row>
    <row r="61" spans="1:10" ht="26.25" customHeight="1">
      <c r="A61" s="657">
        <v>3</v>
      </c>
      <c r="B61" s="101" t="s">
        <v>248</v>
      </c>
      <c r="C61" s="112">
        <f>SUM('2_BVO Árpád utcai'!C63+'3_BVO József'!C62+4_Kakas!C62+5_MűvHáz!C62+6_Könyvtár!C61+7_Konyha!C61+8_BGSZ!C61+9_KK!C62)</f>
        <v>0</v>
      </c>
      <c r="D61" s="112">
        <f>SUM('2_BVO Árpád utcai'!D63+'3_BVO József'!D62+4_Kakas!D62+5_MűvHáz!D62+6_Könyvtár!D61+7_Konyha!D61+8_BGSZ!D61+9_KK!D62)</f>
        <v>0</v>
      </c>
      <c r="E61" s="112">
        <f>SUM('2_BVO Árpád utcai'!E63+'3_BVO József'!E62+4_Kakas!E62+5_MűvHáz!E62+6_Könyvtár!E61+7_Konyha!E61+8_BGSZ!E61+9_KK!E62)</f>
        <v>0</v>
      </c>
      <c r="F61" s="160"/>
      <c r="G61" s="175"/>
      <c r="H61" s="1471"/>
      <c r="I61" s="1480"/>
      <c r="J61" s="1480"/>
    </row>
    <row r="62" spans="1:10" ht="24" customHeight="1" thickBot="1">
      <c r="A62" s="657">
        <v>4</v>
      </c>
      <c r="B62" s="101" t="s">
        <v>71</v>
      </c>
      <c r="C62" s="112">
        <f>SUM('2_BVO Árpád utcai'!C64+'3_BVO József'!C63+4_Kakas!C63+5_MűvHáz!C63+6_Könyvtár!C62+7_Konyha!C62+8_BGSZ!C62+9_KK!C63)</f>
        <v>0</v>
      </c>
      <c r="D62" s="112">
        <f>SUM('2_BVO Árpád utcai'!D64+'3_BVO József'!D63+4_Kakas!D63+5_MűvHáz!D63+6_Könyvtár!D62+7_Konyha!D62+8_BGSZ!D62+9_KK!D63)</f>
        <v>0</v>
      </c>
      <c r="E62" s="112">
        <f>SUM('2_BVO Árpád utcai'!E64+'3_BVO József'!E63+4_Kakas!E63+5_MűvHáz!E63+6_Könyvtár!E62+7_Konyha!E62+8_BGSZ!E62+9_KK!E63)</f>
        <v>0</v>
      </c>
      <c r="F62" s="160"/>
      <c r="G62" s="175"/>
      <c r="H62" s="1471"/>
      <c r="I62" s="1480"/>
      <c r="J62" s="1480"/>
    </row>
    <row r="63" spans="1:10" ht="29.25" thickBot="1">
      <c r="A63" s="656"/>
      <c r="B63" s="1238" t="s">
        <v>72</v>
      </c>
      <c r="C63" s="178">
        <f>SUM(C64:C72)</f>
        <v>1073564</v>
      </c>
      <c r="D63" s="178">
        <f>SUM(D64:D72)</f>
        <v>1082645</v>
      </c>
      <c r="E63" s="178">
        <f>SUM(E64:E72)</f>
        <v>0</v>
      </c>
      <c r="F63" s="168"/>
      <c r="G63" s="1237" t="s">
        <v>73</v>
      </c>
      <c r="H63" s="1472">
        <f>SUM(H64:H72)</f>
        <v>0</v>
      </c>
      <c r="I63" s="1472">
        <f>SUM(I64:I72)</f>
        <v>0</v>
      </c>
      <c r="J63" s="1472">
        <f>SUM(J64:J72)</f>
        <v>0</v>
      </c>
    </row>
    <row r="64" spans="1:10" ht="30" customHeight="1">
      <c r="A64" s="656">
        <v>1</v>
      </c>
      <c r="B64" s="199" t="s">
        <v>410</v>
      </c>
      <c r="C64" s="112">
        <f>SUM('2_BVO Árpád utcai'!C66+'3_BVO József'!C65+4_Kakas!C65+5_MűvHáz!C65+6_Könyvtár!C64+7_Konyha!C64+8_BGSZ!C64+9_KK!C65)</f>
        <v>0</v>
      </c>
      <c r="D64" s="112">
        <f>SUM('2_BVO Árpád utcai'!D66+'3_BVO József'!D65+4_Kakas!D65+5_MűvHáz!D65+6_Könyvtár!D64+7_Konyha!D64+8_BGSZ!D64+9_KK!D65)</f>
        <v>0</v>
      </c>
      <c r="E64" s="112">
        <f>SUM('2_BVO Árpád utcai'!E66+'3_BVO József'!E65+4_Kakas!E65+5_MűvHáz!E65+6_Könyvtár!E64+7_Konyha!E64+8_BGSZ!E64+9_KK!E65)</f>
        <v>0</v>
      </c>
      <c r="F64" s="179" t="s">
        <v>9</v>
      </c>
      <c r="G64" s="394" t="s">
        <v>411</v>
      </c>
      <c r="H64" s="1473"/>
      <c r="I64" s="1480"/>
      <c r="J64" s="1480"/>
    </row>
    <row r="65" spans="1:10" ht="33.75" customHeight="1">
      <c r="A65" s="656">
        <v>2</v>
      </c>
      <c r="B65" s="638" t="s">
        <v>249</v>
      </c>
      <c r="C65" s="112">
        <f>SUM('2_BVO Árpád utcai'!C67+'3_BVO József'!C66+4_Kakas!C66+5_MűvHáz!C66+6_Könyvtár!C65+7_Konyha!C65+8_BGSZ!C65+9_KK!C66)</f>
        <v>0</v>
      </c>
      <c r="D65" s="112">
        <f>SUM('2_BVO Árpád utcai'!D67+'3_BVO József'!D66+4_Kakas!D66+5_MűvHáz!D66+6_Könyvtár!D65+7_Konyha!D65+8_BGSZ!D65+9_KK!D66)</f>
        <v>0</v>
      </c>
      <c r="E65" s="112">
        <f>SUM('2_BVO Árpád utcai'!E67+'3_BVO József'!E66+4_Kakas!E66+5_MűvHáz!E66+6_Könyvtár!E65+7_Konyha!E65+8_BGSZ!E65+9_KK!E66)</f>
        <v>0</v>
      </c>
      <c r="F65" s="7" t="s">
        <v>23</v>
      </c>
      <c r="G65" s="395" t="s">
        <v>257</v>
      </c>
      <c r="H65" s="1473"/>
      <c r="I65" s="1480"/>
      <c r="J65" s="1480"/>
    </row>
    <row r="66" spans="1:10" ht="27" customHeight="1">
      <c r="A66" s="656">
        <v>3</v>
      </c>
      <c r="B66" s="638" t="s">
        <v>250</v>
      </c>
      <c r="C66" s="112">
        <f>SUM('2_BVO Árpád utcai'!C68+'3_BVO József'!C67+4_Kakas!C67+5_MűvHáz!C67+6_Könyvtár!C66+7_Konyha!C66+8_BGSZ!C66+9_KK!C67)</f>
        <v>0</v>
      </c>
      <c r="D66" s="112">
        <f>SUM('2_BVO Árpád utcai'!D68+'3_BVO József'!D67+4_Kakas!D67+5_MűvHáz!D67+6_Könyvtár!D66+7_Konyha!D66+8_BGSZ!D66+9_KK!D67)</f>
        <v>0</v>
      </c>
      <c r="E66" s="112">
        <f>SUM('2_BVO Árpád utcai'!E68+'3_BVO József'!E67+4_Kakas!E67+5_MűvHáz!E67+6_Könyvtár!E66+7_Konyha!E66+8_BGSZ!E66+9_KK!E67)</f>
        <v>0</v>
      </c>
      <c r="F66" s="7" t="s">
        <v>25</v>
      </c>
      <c r="G66" s="395" t="s">
        <v>258</v>
      </c>
      <c r="H66" s="1474"/>
      <c r="I66" s="1480"/>
      <c r="J66" s="1480"/>
    </row>
    <row r="67" spans="1:10" ht="28.5" customHeight="1">
      <c r="A67" s="656">
        <v>4</v>
      </c>
      <c r="B67" s="638" t="s">
        <v>251</v>
      </c>
      <c r="C67" s="112">
        <f>SUM('2_BVO Árpád utcai'!C69+'3_BVO József'!C68+4_Kakas!C68+5_MűvHáz!C68+6_Könyvtár!C67+7_Konyha!C67+8_BGSZ!C67+9_KK!C68)</f>
        <v>0</v>
      </c>
      <c r="D67" s="112">
        <f>SUM('2_BVO Árpád utcai'!D69+'3_BVO József'!D68+4_Kakas!D68+5_MűvHáz!D68+6_Könyvtár!D67+7_Konyha!D67+8_BGSZ!D67+9_KK!D68)</f>
        <v>0</v>
      </c>
      <c r="E67" s="112">
        <f>SUM('2_BVO Árpád utcai'!E69+'3_BVO József'!E68+4_Kakas!E68+5_MűvHáz!E68+6_Könyvtár!E67+7_Konyha!E67+8_BGSZ!E67+9_KK!E68)</f>
        <v>0</v>
      </c>
      <c r="F67" s="7" t="s">
        <v>27</v>
      </c>
      <c r="G67" s="395" t="s">
        <v>259</v>
      </c>
      <c r="H67" s="1475"/>
      <c r="I67" s="1480"/>
      <c r="J67" s="1480"/>
    </row>
    <row r="68" spans="1:10" ht="27.75" customHeight="1">
      <c r="A68" s="656">
        <v>5</v>
      </c>
      <c r="B68" s="638" t="s">
        <v>252</v>
      </c>
      <c r="C68" s="112">
        <f>SUM('2_BVO Árpád utcai'!C70+'3_BVO József'!C69+4_Kakas!C69+5_MűvHáz!C69+6_Könyvtár!C68+7_Konyha!C68+8_BGSZ!C68+9_KK!C69+'10_Sportlétes'!C68)</f>
        <v>66361</v>
      </c>
      <c r="D68" s="112">
        <f>SUM('2_BVO Árpád utcai'!D70+'3_BVO József'!D69+4_Kakas!D69+5_MűvHáz!D69+6_Könyvtár!D68+7_Konyha!D68+8_BGSZ!D68+9_KK!D69+'10_Sportlétes'!D68)</f>
        <v>66361</v>
      </c>
      <c r="E68" s="112">
        <f>SUM('2_BVO Árpád utcai'!E70+'3_BVO József'!E69+4_Kakas!E69+5_MűvHáz!E69+6_Könyvtár!E68+7_Konyha!E68+8_BGSZ!E68+9_KK!E69+'10_Sportlétes'!E68)</f>
        <v>0</v>
      </c>
      <c r="F68" s="7" t="s">
        <v>29</v>
      </c>
      <c r="G68" s="395" t="s">
        <v>412</v>
      </c>
      <c r="H68" s="1476"/>
      <c r="I68" s="1480"/>
      <c r="J68" s="1480"/>
    </row>
    <row r="69" spans="1:10" ht="22.5" customHeight="1">
      <c r="A69" s="656">
        <v>6</v>
      </c>
      <c r="B69" s="639" t="s">
        <v>253</v>
      </c>
      <c r="C69" s="112">
        <f>SUM('2_BVO Árpád utcai'!C71+'3_BVO József'!C70+4_Kakas!C70+5_MűvHáz!C70+6_Könyvtár!C69+7_Konyha!C69+8_BGSZ!C69+9_KK!C70+'10_Sportlétes'!C69)</f>
        <v>0</v>
      </c>
      <c r="D69" s="112">
        <f>SUM('2_BVO Árpád utcai'!D71+'3_BVO József'!D70+4_Kakas!D70+5_MűvHáz!D70+6_Könyvtár!D69+7_Konyha!D69+8_BGSZ!D69+9_KK!D70+'10_Sportlétes'!D69)</f>
        <v>0</v>
      </c>
      <c r="E69" s="112">
        <f>SUM('2_BVO Árpád utcai'!E71+'3_BVO József'!E70+4_Kakas!E70+5_MűvHáz!E70+6_Könyvtár!E69+7_Konyha!E69+8_BGSZ!E69+9_KK!E70+'10_Sportlétes'!E69)</f>
        <v>0</v>
      </c>
      <c r="F69" s="7" t="s">
        <v>31</v>
      </c>
      <c r="G69" s="395" t="s">
        <v>413</v>
      </c>
      <c r="H69" s="1477"/>
      <c r="I69" s="1480"/>
      <c r="J69" s="1480"/>
    </row>
    <row r="70" spans="1:10" ht="33.75" customHeight="1" thickBot="1">
      <c r="A70" s="656">
        <v>7</v>
      </c>
      <c r="B70" s="638" t="s">
        <v>414</v>
      </c>
      <c r="C70" s="112">
        <f>SUM('2_BVO Árpád utcai'!C72+'3_BVO József'!C71+4_Kakas!C71+5_MűvHáz!C71+6_Könyvtár!C70+7_Konyha!C70+8_BGSZ!C70+9_KK!C71+'10_Sportlétes'!C70)</f>
        <v>0</v>
      </c>
      <c r="D70" s="112">
        <f>SUM('2_BVO Árpád utcai'!D72+'3_BVO József'!D71+4_Kakas!D71+5_MűvHáz!D71+6_Könyvtár!D70+7_Konyha!D70+8_BGSZ!D70+9_KK!D71+'10_Sportlétes'!D70)</f>
        <v>0</v>
      </c>
      <c r="E70" s="112">
        <f>SUM('2_BVO Árpád utcai'!E72+'3_BVO József'!E71+4_Kakas!E71+5_MűvHáz!E71+6_Könyvtár!E70+7_Konyha!E70+8_BGSZ!E70+9_KK!E71+'10_Sportlétes'!E70)</f>
        <v>0</v>
      </c>
      <c r="F70" s="183" t="s">
        <v>74</v>
      </c>
      <c r="G70" s="396" t="s">
        <v>415</v>
      </c>
      <c r="H70" s="1477"/>
      <c r="I70" s="1480"/>
      <c r="J70" s="1480"/>
    </row>
    <row r="71" spans="1:10" ht="24.75" customHeight="1" thickBot="1">
      <c r="A71" s="656">
        <v>8</v>
      </c>
      <c r="B71" s="638" t="s">
        <v>254</v>
      </c>
      <c r="C71" s="112">
        <f>SUM('2_BVO Árpád utcai'!C73+'3_BVO József'!C72+4_Kakas!C72+5_MűvHáz!C72+6_Könyvtár!C71+7_Konyha!C71+8_BGSZ!C71+9_KK!C72+'10_Sportlétes'!C71)</f>
        <v>1007203</v>
      </c>
      <c r="D71" s="112">
        <f>SUM('2_BVO Árpád utcai'!D73+'3_BVO József'!D72+4_Kakas!D72+5_MűvHáz!D72+6_Könyvtár!D71+7_Konyha!D71+8_BGSZ!D71+9_KK!D72+'10_Sportlétes'!D71)</f>
        <v>1016284</v>
      </c>
      <c r="E71" s="112">
        <f>SUM('2_BVO Árpád utcai'!E73+'3_BVO József'!E72+4_Kakas!E72+5_MűvHáz!E72+6_Könyvtár!E71+7_Konyha!E71+8_BGSZ!E71+9_KK!E72+'10_Sportlétes'!E71)</f>
        <v>0</v>
      </c>
      <c r="F71" s="168"/>
      <c r="G71" s="389"/>
      <c r="H71" s="1477"/>
      <c r="I71" s="1480"/>
      <c r="J71" s="1480"/>
    </row>
    <row r="72" spans="1:10" ht="26.25" customHeight="1" thickBot="1">
      <c r="A72" s="656">
        <v>9</v>
      </c>
      <c r="B72" s="640" t="s">
        <v>255</v>
      </c>
      <c r="C72" s="112">
        <f>SUM('2_BVO Árpád utcai'!C74+'3_BVO József'!C73+4_Kakas!C73+5_MűvHáz!C73+6_Könyvtár!C72+7_Konyha!C72+8_BGSZ!C72+9_KK!C73+'10_Sportlétes'!C72)</f>
        <v>0</v>
      </c>
      <c r="D72" s="112">
        <f>SUM('2_BVO Árpád utcai'!D74+'3_BVO József'!D73+4_Kakas!D73+5_MűvHáz!D73+6_Könyvtár!D72+7_Konyha!D72+8_BGSZ!D72+9_KK!D73+'10_Sportlétes'!D72)</f>
        <v>0</v>
      </c>
      <c r="E72" s="112">
        <f>SUM('2_BVO Árpád utcai'!E74+'3_BVO József'!E73+4_Kakas!E73+5_MűvHáz!E73+6_Könyvtár!E72+7_Konyha!E72+8_BGSZ!E72+9_KK!E73+'10_Sportlétes'!E72)</f>
        <v>0</v>
      </c>
      <c r="F72" s="91"/>
      <c r="G72" s="397"/>
      <c r="H72" s="1477"/>
      <c r="I72" s="1480"/>
      <c r="J72" s="1480"/>
    </row>
    <row r="73" spans="1:10" ht="29.25" thickBot="1">
      <c r="A73" s="656" t="s">
        <v>9</v>
      </c>
      <c r="B73" s="1238" t="s">
        <v>75</v>
      </c>
      <c r="C73" s="182">
        <f>SUM(C74:C80)</f>
        <v>40568</v>
      </c>
      <c r="D73" s="182">
        <f>SUM(D74:D80)</f>
        <v>41266</v>
      </c>
      <c r="E73" s="182">
        <f>SUM(E74:E80)</f>
        <v>0</v>
      </c>
      <c r="F73" s="91"/>
      <c r="G73" s="1237" t="s">
        <v>76</v>
      </c>
      <c r="H73" s="1466">
        <f>SUM(H74:H81)</f>
        <v>0</v>
      </c>
      <c r="I73" s="1466">
        <f>SUM(I74:I81)</f>
        <v>0</v>
      </c>
      <c r="J73" s="1466">
        <f>SUM(J74:J81)</f>
        <v>0</v>
      </c>
    </row>
    <row r="74" spans="1:10" ht="27.75" customHeight="1" thickBot="1">
      <c r="A74" s="656" t="s">
        <v>23</v>
      </c>
      <c r="B74" s="641" t="s">
        <v>256</v>
      </c>
      <c r="C74" s="112">
        <f>SUM('2_BVO Árpád utcai'!C76+'3_BVO József'!C76+4_Kakas!C75+5_MűvHáz!C75+6_Könyvtár!C74+7_Konyha!C74+8_BGSZ!C74+9_KK!C75)</f>
        <v>0</v>
      </c>
      <c r="D74" s="112">
        <f>SUM('2_BVO Árpád utcai'!D76+'3_BVO József'!D76+4_Kakas!D75+5_MűvHáz!D75+6_Könyvtár!D74+7_Konyha!D74+8_BGSZ!D74+9_KK!D75)</f>
        <v>0</v>
      </c>
      <c r="E74" s="112">
        <f>SUM('2_BVO Árpád utcai'!E76+'3_BVO József'!E76+4_Kakas!E75+5_MűvHáz!E75+6_Könyvtár!E74+7_Konyha!E74+8_BGSZ!E74+9_KK!E75)</f>
        <v>0</v>
      </c>
      <c r="F74" s="179" t="s">
        <v>9</v>
      </c>
      <c r="G74" s="398" t="s">
        <v>260</v>
      </c>
      <c r="H74" s="1470"/>
      <c r="I74" s="1480"/>
      <c r="J74" s="1480"/>
    </row>
    <row r="75" spans="1:10" ht="28.5" customHeight="1">
      <c r="A75" s="656" t="s">
        <v>25</v>
      </c>
      <c r="B75" s="638" t="s">
        <v>416</v>
      </c>
      <c r="C75" s="112">
        <f>SUM('2_BVO Árpád utcai'!C77+'3_BVO József'!C77+4_Kakas!C76+5_MűvHáz!C76+6_Könyvtár!C75+7_Konyha!C75+8_BGSZ!C75+9_KK!C76)</f>
        <v>0</v>
      </c>
      <c r="D75" s="112">
        <f>SUM('2_BVO Árpád utcai'!D77+'3_BVO József'!D77+4_Kakas!D76+5_MűvHáz!D76+6_Könyvtár!D75+7_Konyha!D75+8_BGSZ!D75+9_KK!D76)</f>
        <v>0</v>
      </c>
      <c r="E75" s="112">
        <f>SUM('2_BVO Árpád utcai'!E77+'3_BVO József'!E77+4_Kakas!E76+5_MűvHáz!E76+6_Könyvtár!E75+7_Konyha!E75+8_BGSZ!E75+9_KK!E76)</f>
        <v>0</v>
      </c>
      <c r="F75" s="7" t="s">
        <v>23</v>
      </c>
      <c r="G75" s="395" t="s">
        <v>417</v>
      </c>
      <c r="H75" s="1469"/>
      <c r="I75" s="1480"/>
      <c r="J75" s="1480"/>
    </row>
    <row r="76" spans="1:10" ht="29.25" customHeight="1">
      <c r="A76" s="656" t="s">
        <v>27</v>
      </c>
      <c r="B76" s="638" t="s">
        <v>249</v>
      </c>
      <c r="C76" s="112">
        <f>SUM('2_BVO Árpád utcai'!C78+'3_BVO József'!C78+4_Kakas!C77+5_MűvHáz!C77+6_Könyvtár!C76+7_Konyha!C76+8_BGSZ!C76+9_KK!C77)</f>
        <v>0</v>
      </c>
      <c r="D76" s="112">
        <f>SUM('2_BVO Árpád utcai'!D78+'3_BVO József'!D78+4_Kakas!D77+5_MűvHáz!D77+6_Könyvtár!D76+7_Konyha!D76+8_BGSZ!D76+9_KK!D77)</f>
        <v>0</v>
      </c>
      <c r="E76" s="112">
        <f>SUM('2_BVO Árpád utcai'!E78+'3_BVO József'!E78+4_Kakas!E77+5_MűvHáz!E77+6_Könyvtár!E76+7_Konyha!E76+8_BGSZ!E76+9_KK!E77)</f>
        <v>0</v>
      </c>
      <c r="F76" s="7" t="s">
        <v>25</v>
      </c>
      <c r="G76" s="395" t="s">
        <v>418</v>
      </c>
      <c r="H76" s="1475"/>
      <c r="I76" s="1480"/>
      <c r="J76" s="1480"/>
    </row>
    <row r="77" spans="1:10" ht="27" customHeight="1">
      <c r="A77" s="656" t="s">
        <v>29</v>
      </c>
      <c r="B77" s="638" t="s">
        <v>419</v>
      </c>
      <c r="C77" s="112">
        <f>SUM('2_BVO Árpád utcai'!C79+'3_BVO József'!C79+4_Kakas!C78+5_MűvHáz!C78+6_Könyvtár!C77+7_Konyha!C77+8_BGSZ!C77+9_KK!C78)</f>
        <v>0</v>
      </c>
      <c r="D77" s="112">
        <f>SUM('2_BVO Árpád utcai'!D79+'3_BVO József'!D79+4_Kakas!D78+5_MűvHáz!D78+6_Könyvtár!D77+7_Konyha!D77+8_BGSZ!D77+9_KK!D78)</f>
        <v>0</v>
      </c>
      <c r="E77" s="112">
        <f>SUM('2_BVO Árpád utcai'!E79+'3_BVO József'!E79+4_Kakas!E78+5_MűvHáz!E78+6_Könyvtár!E77+7_Konyha!E77+8_BGSZ!E77+9_KK!E78)</f>
        <v>0</v>
      </c>
      <c r="F77" s="7" t="s">
        <v>27</v>
      </c>
      <c r="G77" s="395" t="s">
        <v>420</v>
      </c>
      <c r="H77" s="1475"/>
      <c r="I77" s="1480"/>
      <c r="J77" s="1480"/>
    </row>
    <row r="78" spans="1:10" ht="37.5" customHeight="1">
      <c r="A78" s="656" t="s">
        <v>31</v>
      </c>
      <c r="B78" s="638" t="s">
        <v>421</v>
      </c>
      <c r="C78" s="112">
        <f>SUM('2_BVO Árpád utcai'!C80+'3_BVO József'!C80+4_Kakas!C79+5_MűvHáz!C79+6_Könyvtár!C78+7_Konyha!C78+8_BGSZ!C78+9_KK!C79)</f>
        <v>0</v>
      </c>
      <c r="D78" s="112">
        <f>SUM('2_BVO Árpád utcai'!D80+'3_BVO József'!D80+4_Kakas!D79+5_MűvHáz!D79+6_Könyvtár!D78+7_Konyha!D78+8_BGSZ!D78+9_KK!D79)</f>
        <v>0</v>
      </c>
      <c r="E78" s="112">
        <f>SUM('2_BVO Árpád utcai'!E80+'3_BVO József'!E80+4_Kakas!E79+5_MűvHáz!E79+6_Könyvtár!E78+7_Konyha!E78+8_BGSZ!E78+9_KK!E79)</f>
        <v>0</v>
      </c>
      <c r="F78" s="7" t="s">
        <v>29</v>
      </c>
      <c r="G78" s="395" t="s">
        <v>422</v>
      </c>
      <c r="H78" s="1477"/>
      <c r="I78" s="1480"/>
      <c r="J78" s="1480"/>
    </row>
    <row r="79" spans="1:10" ht="27.75" customHeight="1">
      <c r="A79" s="656" t="s">
        <v>74</v>
      </c>
      <c r="B79" s="638" t="s">
        <v>252</v>
      </c>
      <c r="C79" s="112">
        <f>SUM('2_BVO Árpád utcai'!C81+'3_BVO József'!C81+4_Kakas!C80+5_MűvHáz!C80+6_Könyvtár!C79+7_Konyha!C79+8_BGSZ!C79+9_KK!C80+'10_Sportlétes'!C79)</f>
        <v>0</v>
      </c>
      <c r="D79" s="112">
        <f>SUM('2_BVO Árpád utcai'!D81+'3_BVO József'!D81+4_Kakas!D80+5_MűvHáz!D80+6_Könyvtár!D79+7_Konyha!D79+8_BGSZ!D79+9_KK!D80+'10_Sportlétes'!D79)</f>
        <v>0</v>
      </c>
      <c r="E79" s="112">
        <f>SUM('2_BVO Árpád utcai'!E81+'3_BVO József'!E81+4_Kakas!E80+5_MűvHáz!E80+6_Könyvtár!E79+7_Konyha!E79+8_BGSZ!E79+9_KK!E80+'10_Sportlétes'!E79)</f>
        <v>0</v>
      </c>
      <c r="F79" s="7" t="s">
        <v>31</v>
      </c>
      <c r="G79" s="395" t="s">
        <v>252</v>
      </c>
      <c r="H79" s="1477"/>
      <c r="I79" s="1480"/>
      <c r="J79" s="1480"/>
    </row>
    <row r="80" spans="1:10" ht="34.5" customHeight="1">
      <c r="A80" s="656" t="s">
        <v>77</v>
      </c>
      <c r="B80" s="638" t="s">
        <v>254</v>
      </c>
      <c r="C80" s="112">
        <f>SUM('2_BVO Árpád utcai'!C82+'3_BVO József'!C82+4_Kakas!C81+5_MűvHáz!C81+6_Könyvtár!C80+7_Konyha!C80+8_BGSZ!C80+9_KK!C81+'10_Sportlétes'!C80)</f>
        <v>40568</v>
      </c>
      <c r="D80" s="112">
        <f>SUM('2_BVO Árpád utcai'!D82+'3_BVO József'!D84+4_Kakas!D81+5_MűvHáz!D81+6_Könyvtár!D80+7_Konyha!D80+8_BGSZ!D80+9_KK!D81+'10_Sportlétes'!D80)</f>
        <v>41266</v>
      </c>
      <c r="E80" s="112">
        <f>SUM('2_BVO Árpád utcai'!E82+'3_BVO József'!E82+4_Kakas!E81+5_MűvHáz!E81+6_Könyvtár!E80+7_Konyha!E80+8_BGSZ!E80+9_KK!E81+'10_Sportlétes'!E80)</f>
        <v>0</v>
      </c>
      <c r="F80" s="183" t="s">
        <v>74</v>
      </c>
      <c r="G80" s="395" t="s">
        <v>253</v>
      </c>
      <c r="H80" s="1477"/>
      <c r="I80" s="1480"/>
      <c r="J80" s="1480"/>
    </row>
    <row r="81" spans="1:10" ht="15.75" thickBot="1">
      <c r="A81" s="658"/>
      <c r="B81" s="642"/>
      <c r="C81" s="112"/>
      <c r="D81" s="164"/>
      <c r="E81" s="164"/>
      <c r="F81" s="184" t="s">
        <v>77</v>
      </c>
      <c r="G81" s="415"/>
      <c r="H81" s="1478"/>
      <c r="I81" s="1480"/>
      <c r="J81" s="1480"/>
    </row>
    <row r="82" spans="1:10" ht="15.75" thickBot="1">
      <c r="A82" s="1242"/>
      <c r="B82" s="1241" t="s">
        <v>78</v>
      </c>
      <c r="C82" s="97">
        <f>SUM('2_BVO Árpád utcai'!C84+'3_BVO József'!C86+4_Kakas!C83+5_MűvHáz!C83+6_Könyvtár!C82+7_Konyha!C82+8_BGSZ!C82+9_KK!C83+'10_Sportlétes'!C82)</f>
        <v>1285835</v>
      </c>
      <c r="D82" s="97">
        <f>SUM('2_BVO Árpád utcai'!D84+'3_BVO József'!D86+4_Kakas!D83+5_MűvHáz!D83+6_Könyvtár!D82+7_Konyha!D82+8_BGSZ!D82+9_KK!D83+'10_Sportlétes'!D82)</f>
        <v>1331608</v>
      </c>
      <c r="E82" s="97">
        <f>SUM('2_BVO Árpád utcai'!E84+'3_BVO József'!E86+4_Kakas!E83+5_MűvHáz!E83+6_Könyvtár!E82+7_Konyha!E82+8_BGSZ!E82+9_KK!E83+'10_Sportlétes'!E82)</f>
        <v>0</v>
      </c>
      <c r="F82" s="1233"/>
      <c r="G82" s="718" t="s">
        <v>79</v>
      </c>
      <c r="H82" s="1479">
        <f>SUM('2_BVO Árpád utcai'!H84+'3_BVO József'!H86+4_Kakas!H83+5_MűvHáz!H83+6_Könyvtár!H82+7_Konyha!H82+8_BGSZ!H82+9_KK!H83+'10_Sportlétes'!H82)</f>
        <v>1285835</v>
      </c>
      <c r="I82" s="1479">
        <f>SUM('2_BVO Árpád utcai'!I84+'3_BVO József'!I86+4_Kakas!I83+5_MűvHáz!I83+6_Könyvtár!I82+7_Konyha!I82+8_BGSZ!I82+9_KK!I83+'10_Sportlétes'!I82)</f>
        <v>1331608</v>
      </c>
      <c r="J82" s="1479">
        <f>SUM('2_BVO Árpád utcai'!J84+'3_BVO József'!J86+4_Kakas!J83+5_MűvHáz!J83+6_Könyvtár!J82+7_Konyha!J82+8_BGSZ!J82+9_KK!J83+'10_Sportlétes'!J82)</f>
        <v>0</v>
      </c>
    </row>
    <row r="84" ht="12.75">
      <c r="D84" s="561"/>
    </row>
    <row r="86" spans="3:5" ht="12.75">
      <c r="C86" s="561"/>
      <c r="D86" s="561"/>
      <c r="E86" s="561"/>
    </row>
    <row r="88" ht="12.75">
      <c r="D88" s="561"/>
    </row>
  </sheetData>
  <sheetProtection/>
  <mergeCells count="2">
    <mergeCell ref="A3:H3"/>
    <mergeCell ref="F13:F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4.125" style="0" bestFit="1" customWidth="1"/>
    <col min="4" max="5" width="14.125" style="0" customWidth="1"/>
    <col min="7" max="7" width="49.00390625" style="0" customWidth="1"/>
    <col min="8" max="10" width="16.125" style="0" customWidth="1"/>
    <col min="11" max="11" width="19.50390625" style="0" customWidth="1"/>
  </cols>
  <sheetData>
    <row r="1" spans="1:10" ht="15.75">
      <c r="A1" s="359"/>
      <c r="B1" s="149" t="s">
        <v>715</v>
      </c>
      <c r="C1" s="346"/>
      <c r="D1" s="346"/>
      <c r="E1" s="346"/>
      <c r="F1" s="359"/>
      <c r="G1" s="360"/>
      <c r="H1" s="361"/>
      <c r="I1" s="361"/>
      <c r="J1" s="361"/>
    </row>
    <row r="2" spans="1:10" ht="15.75">
      <c r="A2" s="359"/>
      <c r="B2" s="149"/>
      <c r="C2" s="346"/>
      <c r="D2" s="346"/>
      <c r="E2" s="346"/>
      <c r="F2" s="359"/>
      <c r="G2" s="360"/>
      <c r="H2" s="361"/>
      <c r="I2" s="361"/>
      <c r="J2" s="361"/>
    </row>
    <row r="3" spans="1:10" ht="15.75">
      <c r="A3" s="1801" t="s">
        <v>573</v>
      </c>
      <c r="B3" s="1801"/>
      <c r="C3" s="1801"/>
      <c r="D3" s="1801"/>
      <c r="E3" s="1801"/>
      <c r="F3" s="1801"/>
      <c r="G3" s="1801"/>
      <c r="H3" s="1801"/>
      <c r="I3" s="362"/>
      <c r="J3" s="362"/>
    </row>
    <row r="4" spans="1:10" ht="16.5" thickBot="1">
      <c r="A4" s="362"/>
      <c r="B4" s="362"/>
      <c r="C4" s="362"/>
      <c r="D4" s="362"/>
      <c r="E4" s="362"/>
      <c r="F4" s="362"/>
      <c r="G4" s="362"/>
      <c r="H4" s="362"/>
      <c r="I4" s="362"/>
      <c r="J4" s="362"/>
    </row>
    <row r="5" spans="1:10" ht="16.5" thickBot="1">
      <c r="A5" s="348" t="s">
        <v>118</v>
      </c>
      <c r="B5" s="629" t="s">
        <v>142</v>
      </c>
      <c r="C5" s="348" t="s">
        <v>363</v>
      </c>
      <c r="D5" s="348" t="s">
        <v>364</v>
      </c>
      <c r="E5" s="348" t="s">
        <v>365</v>
      </c>
      <c r="F5" s="348" t="s">
        <v>366</v>
      </c>
      <c r="G5" s="388" t="s">
        <v>367</v>
      </c>
      <c r="H5" s="349" t="s">
        <v>368</v>
      </c>
      <c r="I5" s="349" t="s">
        <v>230</v>
      </c>
      <c r="J5" s="349" t="s">
        <v>369</v>
      </c>
    </row>
    <row r="6" spans="1:10" ht="48" thickBot="1">
      <c r="A6" s="644"/>
      <c r="B6" s="630" t="s">
        <v>2</v>
      </c>
      <c r="C6" s="1355" t="s">
        <v>563</v>
      </c>
      <c r="D6" s="1355" t="s">
        <v>677</v>
      </c>
      <c r="E6" s="1355" t="s">
        <v>678</v>
      </c>
      <c r="F6" s="418"/>
      <c r="G6" s="419" t="s">
        <v>3</v>
      </c>
      <c r="H6" s="1355" t="s">
        <v>563</v>
      </c>
      <c r="I6" s="1355" t="s">
        <v>677</v>
      </c>
      <c r="J6" s="1355" t="s">
        <v>678</v>
      </c>
    </row>
    <row r="7" spans="1:10" ht="29.25" thickBot="1">
      <c r="A7" s="671"/>
      <c r="B7" s="1243" t="s">
        <v>4</v>
      </c>
      <c r="C7" s="203">
        <f>SUM(C8+C21+C27+C39)</f>
        <v>1742281</v>
      </c>
      <c r="D7" s="203">
        <f>SUM(D8+D21+D27+D39)</f>
        <v>1781182</v>
      </c>
      <c r="E7" s="203">
        <f>SUM(E8+E21+E27+E39)</f>
        <v>0</v>
      </c>
      <c r="F7" s="363"/>
      <c r="G7" s="1244" t="s">
        <v>5</v>
      </c>
      <c r="H7" s="779">
        <f>SUM(H8:H12)</f>
        <v>1184013</v>
      </c>
      <c r="I7" s="779">
        <f>SUM(I8:I12)</f>
        <v>1830414</v>
      </c>
      <c r="J7" s="779">
        <f>SUM(J8:J12)</f>
        <v>0</v>
      </c>
    </row>
    <row r="8" spans="1:10" ht="24.75" customHeight="1">
      <c r="A8" s="672" t="s">
        <v>6</v>
      </c>
      <c r="B8" s="659" t="s">
        <v>7</v>
      </c>
      <c r="C8" s="365">
        <f>SUM(C9+C16+C17+C18+C19+C20)</f>
        <v>534305</v>
      </c>
      <c r="D8" s="365">
        <f>SUM(D9+D16+D17+D18+D19+D20)</f>
        <v>547216</v>
      </c>
      <c r="E8" s="365">
        <f>SUM(E9+E16+E17+E18+E19+E20)</f>
        <v>0</v>
      </c>
      <c r="F8" s="364" t="s">
        <v>6</v>
      </c>
      <c r="G8" s="420" t="s">
        <v>8</v>
      </c>
      <c r="H8" s="1392">
        <v>71355</v>
      </c>
      <c r="I8" s="1392">
        <v>75244</v>
      </c>
      <c r="J8" s="1392"/>
    </row>
    <row r="9" spans="1:10" ht="31.5" customHeight="1">
      <c r="A9" s="673" t="s">
        <v>9</v>
      </c>
      <c r="B9" s="660" t="s">
        <v>10</v>
      </c>
      <c r="C9" s="368">
        <f>SUM(C10:C15)</f>
        <v>445892</v>
      </c>
      <c r="D9" s="368">
        <f>SUM(D10:D15)</f>
        <v>456259</v>
      </c>
      <c r="E9" s="368">
        <f>SUM(E10:E15)</f>
        <v>0</v>
      </c>
      <c r="F9" s="367" t="s">
        <v>11</v>
      </c>
      <c r="G9" s="421" t="s">
        <v>12</v>
      </c>
      <c r="H9" s="430">
        <v>16260</v>
      </c>
      <c r="I9" s="430">
        <v>17312</v>
      </c>
      <c r="J9" s="430"/>
    </row>
    <row r="10" spans="1:10" ht="36.75" customHeight="1">
      <c r="A10" s="673"/>
      <c r="B10" s="100" t="s">
        <v>13</v>
      </c>
      <c r="C10" s="16">
        <v>16100</v>
      </c>
      <c r="D10" s="16">
        <v>16100</v>
      </c>
      <c r="E10" s="16"/>
      <c r="F10" s="367" t="s">
        <v>14</v>
      </c>
      <c r="G10" s="421" t="s">
        <v>15</v>
      </c>
      <c r="H10" s="430">
        <v>229391</v>
      </c>
      <c r="I10" s="430">
        <f>237436+476</f>
        <v>237912</v>
      </c>
      <c r="J10" s="430"/>
    </row>
    <row r="11" spans="1:10" ht="31.5" customHeight="1">
      <c r="A11" s="673"/>
      <c r="B11" s="100" t="s">
        <v>16</v>
      </c>
      <c r="C11" s="16">
        <v>262577</v>
      </c>
      <c r="D11" s="16">
        <v>262577</v>
      </c>
      <c r="E11" s="16"/>
      <c r="F11" s="367" t="s">
        <v>17</v>
      </c>
      <c r="G11" s="421" t="s">
        <v>18</v>
      </c>
      <c r="H11" s="430">
        <v>43455</v>
      </c>
      <c r="I11" s="430">
        <v>43455</v>
      </c>
      <c r="J11" s="430"/>
    </row>
    <row r="12" spans="1:11" ht="30" customHeight="1">
      <c r="A12" s="673"/>
      <c r="B12" s="100" t="s">
        <v>19</v>
      </c>
      <c r="C12" s="16">
        <v>152049</v>
      </c>
      <c r="D12" s="16">
        <v>159558</v>
      </c>
      <c r="E12" s="16"/>
      <c r="F12" s="367" t="s">
        <v>20</v>
      </c>
      <c r="G12" s="421" t="s">
        <v>423</v>
      </c>
      <c r="H12" s="430">
        <v>823552</v>
      </c>
      <c r="I12" s="430">
        <v>1456491</v>
      </c>
      <c r="J12" s="430"/>
      <c r="K12" s="561"/>
    </row>
    <row r="13" spans="1:10" ht="37.5" customHeight="1">
      <c r="A13" s="673"/>
      <c r="B13" s="100" t="s">
        <v>22</v>
      </c>
      <c r="C13" s="16">
        <v>15166</v>
      </c>
      <c r="D13" s="16">
        <v>16487</v>
      </c>
      <c r="E13" s="16"/>
      <c r="F13" s="1802"/>
      <c r="G13" s="369"/>
      <c r="H13" s="1393"/>
      <c r="I13" s="1393"/>
      <c r="J13" s="1393"/>
    </row>
    <row r="14" spans="1:10" ht="40.5" customHeight="1">
      <c r="A14" s="673"/>
      <c r="B14" s="100" t="s">
        <v>238</v>
      </c>
      <c r="C14" s="16"/>
      <c r="D14" s="1530">
        <v>1537</v>
      </c>
      <c r="E14" s="1530"/>
      <c r="F14" s="1802"/>
      <c r="G14" s="359"/>
      <c r="H14" s="1393"/>
      <c r="I14" s="1393"/>
      <c r="J14" s="1393"/>
    </row>
    <row r="15" spans="1:10" ht="25.5" customHeight="1">
      <c r="A15" s="673"/>
      <c r="B15" s="100" t="s">
        <v>239</v>
      </c>
      <c r="C15" s="16"/>
      <c r="D15" s="1530"/>
      <c r="E15" s="1530"/>
      <c r="F15" s="1802"/>
      <c r="G15" s="359"/>
      <c r="H15" s="1393"/>
      <c r="I15" s="1393"/>
      <c r="J15" s="1393"/>
    </row>
    <row r="16" spans="1:10" ht="24" customHeight="1">
      <c r="A16" s="673">
        <v>2</v>
      </c>
      <c r="B16" s="661" t="s">
        <v>24</v>
      </c>
      <c r="C16" s="16"/>
      <c r="D16" s="1530"/>
      <c r="E16" s="1530"/>
      <c r="F16" s="1802"/>
      <c r="G16" s="359"/>
      <c r="H16" s="1393"/>
      <c r="I16" s="1393"/>
      <c r="J16" s="1393"/>
    </row>
    <row r="17" spans="1:10" ht="44.25" customHeight="1">
      <c r="A17" s="673">
        <v>3</v>
      </c>
      <c r="B17" s="661" t="s">
        <v>26</v>
      </c>
      <c r="C17" s="16"/>
      <c r="D17" s="1530"/>
      <c r="E17" s="1530"/>
      <c r="F17" s="1802"/>
      <c r="G17" s="359"/>
      <c r="H17" s="1393"/>
      <c r="I17" s="1393"/>
      <c r="J17" s="1393"/>
    </row>
    <row r="18" spans="1:10" ht="32.25" customHeight="1">
      <c r="A18" s="673">
        <v>4</v>
      </c>
      <c r="B18" s="661" t="s">
        <v>28</v>
      </c>
      <c r="C18" s="96"/>
      <c r="D18" s="1531"/>
      <c r="E18" s="1531"/>
      <c r="F18" s="1802"/>
      <c r="G18" s="359"/>
      <c r="H18" s="1393"/>
      <c r="I18" s="1393"/>
      <c r="J18" s="1393"/>
    </row>
    <row r="19" spans="1:10" ht="27.75" customHeight="1">
      <c r="A19" s="673">
        <v>5</v>
      </c>
      <c r="B19" s="661" t="s">
        <v>30</v>
      </c>
      <c r="C19" s="96"/>
      <c r="D19" s="1531"/>
      <c r="E19" s="1531"/>
      <c r="F19" s="1802"/>
      <c r="G19" s="359"/>
      <c r="H19" s="1393"/>
      <c r="I19" s="1393"/>
      <c r="J19" s="1393"/>
    </row>
    <row r="20" spans="1:11" ht="30" customHeight="1">
      <c r="A20" s="673">
        <v>6</v>
      </c>
      <c r="B20" s="661" t="s">
        <v>32</v>
      </c>
      <c r="C20" s="96">
        <v>88413</v>
      </c>
      <c r="D20" s="96">
        <f>89637+476+844</f>
        <v>90957</v>
      </c>
      <c r="E20" s="96"/>
      <c r="F20" s="1802"/>
      <c r="G20" s="359"/>
      <c r="H20" s="1393"/>
      <c r="I20" s="1393"/>
      <c r="J20" s="1393"/>
      <c r="K20" s="561"/>
    </row>
    <row r="21" spans="1:10" ht="15">
      <c r="A21" s="674" t="s">
        <v>11</v>
      </c>
      <c r="B21" s="662" t="s">
        <v>243</v>
      </c>
      <c r="C21" s="368">
        <f>SUM(C22:C26)</f>
        <v>1081000</v>
      </c>
      <c r="D21" s="368">
        <f>SUM(D22:D26)</f>
        <v>1081000</v>
      </c>
      <c r="E21" s="368">
        <f>SUM(E22:E26)</f>
        <v>0</v>
      </c>
      <c r="F21" s="370"/>
      <c r="G21" s="359"/>
      <c r="H21" s="1393"/>
      <c r="I21" s="1393"/>
      <c r="J21" s="1393"/>
    </row>
    <row r="22" spans="1:10" ht="15">
      <c r="A22" s="674">
        <v>1</v>
      </c>
      <c r="B22" s="663" t="s">
        <v>240</v>
      </c>
      <c r="C22" s="371"/>
      <c r="D22" s="1532"/>
      <c r="E22" s="1532"/>
      <c r="F22" s="370"/>
      <c r="G22" s="359"/>
      <c r="H22" s="1393"/>
      <c r="I22" s="1393"/>
      <c r="J22" s="1393"/>
    </row>
    <row r="23" spans="1:10" ht="15">
      <c r="A23" s="674">
        <v>2</v>
      </c>
      <c r="B23" s="663" t="s">
        <v>241</v>
      </c>
      <c r="C23" s="371"/>
      <c r="D23" s="1532"/>
      <c r="E23" s="1532"/>
      <c r="F23" s="370"/>
      <c r="G23" s="359"/>
      <c r="H23" s="1393"/>
      <c r="I23" s="1393"/>
      <c r="J23" s="1393"/>
    </row>
    <row r="24" spans="1:10" ht="15">
      <c r="A24" s="674">
        <v>3</v>
      </c>
      <c r="B24" s="663" t="s">
        <v>81</v>
      </c>
      <c r="C24" s="371">
        <v>208000</v>
      </c>
      <c r="D24" s="371">
        <v>208000</v>
      </c>
      <c r="E24" s="371"/>
      <c r="F24" s="370"/>
      <c r="G24" s="359"/>
      <c r="H24" s="1393"/>
      <c r="I24" s="1393"/>
      <c r="J24" s="1393"/>
    </row>
    <row r="25" spans="1:10" ht="15">
      <c r="A25" s="674">
        <v>4</v>
      </c>
      <c r="B25" s="663" t="s">
        <v>82</v>
      </c>
      <c r="C25" s="371">
        <v>870000</v>
      </c>
      <c r="D25" s="371">
        <v>870000</v>
      </c>
      <c r="E25" s="371"/>
      <c r="F25" s="370"/>
      <c r="G25" s="359"/>
      <c r="H25" s="1393"/>
      <c r="I25" s="1393"/>
      <c r="J25" s="1393"/>
    </row>
    <row r="26" spans="1:10" ht="15">
      <c r="A26" s="674">
        <v>5</v>
      </c>
      <c r="B26" s="663" t="s">
        <v>83</v>
      </c>
      <c r="C26" s="371">
        <v>3000</v>
      </c>
      <c r="D26" s="371">
        <v>3000</v>
      </c>
      <c r="E26" s="371"/>
      <c r="F26" s="370"/>
      <c r="G26" s="359"/>
      <c r="H26" s="1393"/>
      <c r="I26" s="1393"/>
      <c r="J26" s="1393"/>
    </row>
    <row r="27" spans="1:10" ht="15">
      <c r="A27" s="674" t="s">
        <v>14</v>
      </c>
      <c r="B27" s="662" t="s">
        <v>34</v>
      </c>
      <c r="C27" s="368">
        <f>SUM(C28:C38)</f>
        <v>126769</v>
      </c>
      <c r="D27" s="368">
        <f>SUM(D28:D38)</f>
        <v>149696</v>
      </c>
      <c r="E27" s="368">
        <f>SUM(E28:E38)</f>
        <v>0</v>
      </c>
      <c r="F27" s="370"/>
      <c r="G27" s="359"/>
      <c r="H27" s="1393"/>
      <c r="I27" s="1393"/>
      <c r="J27" s="1393"/>
    </row>
    <row r="28" spans="1:10" ht="27.75" customHeight="1">
      <c r="A28" s="674">
        <v>1</v>
      </c>
      <c r="B28" s="100" t="s">
        <v>35</v>
      </c>
      <c r="C28" s="371"/>
      <c r="D28" s="1532"/>
      <c r="E28" s="1532"/>
      <c r="F28" s="370"/>
      <c r="G28" s="359"/>
      <c r="H28" s="1393"/>
      <c r="I28" s="1393"/>
      <c r="J28" s="1393"/>
    </row>
    <row r="29" spans="1:10" ht="20.25" customHeight="1">
      <c r="A29" s="674">
        <v>2</v>
      </c>
      <c r="B29" s="100" t="s">
        <v>36</v>
      </c>
      <c r="C29" s="16">
        <f>8899+3500+4000+1500+2300+80000+1</f>
        <v>100200</v>
      </c>
      <c r="D29" s="16">
        <f>8899+3500+4000+1500+2300+80000+1</f>
        <v>100200</v>
      </c>
      <c r="E29" s="16"/>
      <c r="F29" s="370"/>
      <c r="G29" s="359"/>
      <c r="H29" s="1393"/>
      <c r="I29" s="1393"/>
      <c r="J29" s="1393"/>
    </row>
    <row r="30" spans="1:10" ht="24" customHeight="1">
      <c r="A30" s="674">
        <v>3</v>
      </c>
      <c r="B30" s="100" t="s">
        <v>37</v>
      </c>
      <c r="C30" s="16"/>
      <c r="D30" s="1459"/>
      <c r="E30" s="1459"/>
      <c r="F30" s="370"/>
      <c r="G30" s="359"/>
      <c r="H30" s="1393"/>
      <c r="I30" s="1393"/>
      <c r="J30" s="1393"/>
    </row>
    <row r="31" spans="1:10" ht="24.75" customHeight="1">
      <c r="A31" s="674">
        <v>4</v>
      </c>
      <c r="B31" s="100" t="s">
        <v>38</v>
      </c>
      <c r="C31" s="16">
        <v>460</v>
      </c>
      <c r="D31" s="16">
        <v>460</v>
      </c>
      <c r="E31" s="16"/>
      <c r="F31" s="370"/>
      <c r="G31" s="359"/>
      <c r="H31" s="1393"/>
      <c r="I31" s="1393"/>
      <c r="J31" s="1393"/>
    </row>
    <row r="32" spans="1:10" ht="23.25" customHeight="1">
      <c r="A32" s="674">
        <v>5</v>
      </c>
      <c r="B32" s="100" t="s">
        <v>39</v>
      </c>
      <c r="C32" s="16"/>
      <c r="D32" s="1459"/>
      <c r="E32" s="1459"/>
      <c r="F32" s="370"/>
      <c r="G32" s="359"/>
      <c r="H32" s="1393"/>
      <c r="I32" s="1393"/>
      <c r="J32" s="1393"/>
    </row>
    <row r="33" spans="1:10" ht="33" customHeight="1">
      <c r="A33" s="674">
        <v>6</v>
      </c>
      <c r="B33" s="100" t="s">
        <v>40</v>
      </c>
      <c r="C33" s="16">
        <v>26109</v>
      </c>
      <c r="D33" s="16">
        <v>26109</v>
      </c>
      <c r="E33" s="16"/>
      <c r="F33" s="370"/>
      <c r="G33" s="359"/>
      <c r="H33" s="1393"/>
      <c r="I33" s="1393"/>
      <c r="J33" s="1393"/>
    </row>
    <row r="34" spans="1:10" ht="27.75" customHeight="1">
      <c r="A34" s="674">
        <v>7</v>
      </c>
      <c r="B34" s="100" t="s">
        <v>41</v>
      </c>
      <c r="C34" s="16"/>
      <c r="D34" s="1550"/>
      <c r="E34" s="16"/>
      <c r="F34" s="370"/>
      <c r="G34" s="359"/>
      <c r="H34" s="1393"/>
      <c r="I34" s="1393"/>
      <c r="J34" s="1393"/>
    </row>
    <row r="35" spans="1:10" ht="20.25" customHeight="1">
      <c r="A35" s="674">
        <v>8</v>
      </c>
      <c r="B35" s="100" t="s">
        <v>42</v>
      </c>
      <c r="C35" s="16"/>
      <c r="D35" s="1550"/>
      <c r="E35" s="16"/>
      <c r="F35" s="370"/>
      <c r="G35" s="359"/>
      <c r="H35" s="1393"/>
      <c r="I35" s="1393"/>
      <c r="J35" s="1393"/>
    </row>
    <row r="36" spans="1:10" ht="30" customHeight="1">
      <c r="A36" s="674">
        <v>9</v>
      </c>
      <c r="B36" s="100" t="s">
        <v>43</v>
      </c>
      <c r="C36" s="16"/>
      <c r="D36" s="1550"/>
      <c r="E36" s="16"/>
      <c r="F36" s="370"/>
      <c r="G36" s="359"/>
      <c r="H36" s="1393"/>
      <c r="I36" s="1393"/>
      <c r="J36" s="1393"/>
    </row>
    <row r="37" spans="1:10" ht="14.25" customHeight="1">
      <c r="A37" s="674">
        <v>10</v>
      </c>
      <c r="B37" s="100" t="s">
        <v>244</v>
      </c>
      <c r="C37" s="16"/>
      <c r="D37" s="1550">
        <v>638</v>
      </c>
      <c r="E37" s="16"/>
      <c r="F37" s="370"/>
      <c r="G37" s="359"/>
      <c r="H37" s="1393"/>
      <c r="I37" s="1393"/>
      <c r="J37" s="1393"/>
    </row>
    <row r="38" spans="1:10" ht="17.25" customHeight="1">
      <c r="A38" s="674">
        <v>11</v>
      </c>
      <c r="B38" s="100" t="s">
        <v>44</v>
      </c>
      <c r="C38" s="16"/>
      <c r="D38" s="1550">
        <v>22289</v>
      </c>
      <c r="E38" s="16"/>
      <c r="F38" s="370"/>
      <c r="G38" s="359"/>
      <c r="H38" s="1393"/>
      <c r="I38" s="1393"/>
      <c r="J38" s="1393"/>
    </row>
    <row r="39" spans="1:10" ht="15">
      <c r="A39" s="675" t="s">
        <v>17</v>
      </c>
      <c r="B39" s="662" t="s">
        <v>45</v>
      </c>
      <c r="C39" s="96">
        <f>SUM(C40:C44)</f>
        <v>207</v>
      </c>
      <c r="D39" s="96">
        <f>SUM(D40:D44)</f>
        <v>3270</v>
      </c>
      <c r="E39" s="96">
        <f>SUM(E40:E44)</f>
        <v>0</v>
      </c>
      <c r="F39" s="370"/>
      <c r="G39" s="359"/>
      <c r="H39" s="1393"/>
      <c r="I39" s="1393"/>
      <c r="J39" s="1393"/>
    </row>
    <row r="40" spans="1:10" ht="26.25" customHeight="1">
      <c r="A40" s="681">
        <v>1</v>
      </c>
      <c r="B40" s="100" t="s">
        <v>46</v>
      </c>
      <c r="C40" s="371"/>
      <c r="D40" s="1532"/>
      <c r="E40" s="1532"/>
      <c r="F40" s="370"/>
      <c r="G40" s="359"/>
      <c r="H40" s="1393"/>
      <c r="I40" s="1393"/>
      <c r="J40" s="1393"/>
    </row>
    <row r="41" spans="1:10" ht="33" customHeight="1">
      <c r="A41" s="681">
        <v>2</v>
      </c>
      <c r="B41" s="100" t="s">
        <v>245</v>
      </c>
      <c r="C41" s="16"/>
      <c r="D41" s="1459"/>
      <c r="E41" s="1459"/>
      <c r="F41" s="370"/>
      <c r="G41" s="359"/>
      <c r="H41" s="1393"/>
      <c r="I41" s="1393"/>
      <c r="J41" s="1393"/>
    </row>
    <row r="42" spans="1:10" ht="28.5" customHeight="1">
      <c r="A42" s="681">
        <v>3</v>
      </c>
      <c r="B42" s="100" t="s">
        <v>246</v>
      </c>
      <c r="C42" s="16"/>
      <c r="D42" s="1459"/>
      <c r="E42" s="1459"/>
      <c r="F42" s="370"/>
      <c r="G42" s="359"/>
      <c r="H42" s="1393"/>
      <c r="I42" s="1393"/>
      <c r="J42" s="1393"/>
    </row>
    <row r="43" spans="1:10" ht="22.5" customHeight="1" thickBot="1">
      <c r="A43" s="681">
        <v>4</v>
      </c>
      <c r="B43" s="100" t="s">
        <v>47</v>
      </c>
      <c r="C43" s="18"/>
      <c r="D43" s="1459"/>
      <c r="E43" s="1459"/>
      <c r="F43" s="370"/>
      <c r="G43" s="359"/>
      <c r="H43" s="1393"/>
      <c r="I43" s="1393"/>
      <c r="J43" s="1393"/>
    </row>
    <row r="44" spans="1:10" ht="28.5" customHeight="1" thickBot="1">
      <c r="A44" s="681">
        <v>5</v>
      </c>
      <c r="B44" s="636" t="s">
        <v>48</v>
      </c>
      <c r="C44" s="373">
        <v>207</v>
      </c>
      <c r="D44" s="373">
        <f>2795+475</f>
        <v>3270</v>
      </c>
      <c r="E44" s="373"/>
      <c r="F44" s="374"/>
      <c r="G44" s="375"/>
      <c r="H44" s="1394"/>
      <c r="I44" s="1536"/>
      <c r="J44" s="1536"/>
    </row>
    <row r="45" spans="1:10" ht="29.25" thickBot="1">
      <c r="A45" s="676"/>
      <c r="B45" s="1243" t="s">
        <v>49</v>
      </c>
      <c r="C45" s="365">
        <f>SUM(C46+C52+C58)</f>
        <v>253966</v>
      </c>
      <c r="D45" s="365">
        <f>SUM(D46+D52+D58)</f>
        <v>253966</v>
      </c>
      <c r="E45" s="365">
        <f>SUM(E46+E52+E58)</f>
        <v>0</v>
      </c>
      <c r="F45" s="202"/>
      <c r="G45" s="1244" t="s">
        <v>50</v>
      </c>
      <c r="H45" s="1395">
        <f>SUM(H46:H48)</f>
        <v>1629999</v>
      </c>
      <c r="I45" s="1395">
        <f>SUM(I46:I48)</f>
        <v>1652259</v>
      </c>
      <c r="J45" s="1395">
        <f>SUM(J46:J48)</f>
        <v>0</v>
      </c>
    </row>
    <row r="46" spans="1:10" ht="15">
      <c r="A46" s="674" t="s">
        <v>261</v>
      </c>
      <c r="B46" s="659" t="s">
        <v>51</v>
      </c>
      <c r="C46" s="96">
        <f>SUM(C47:C51)</f>
        <v>253546</v>
      </c>
      <c r="D46" s="96">
        <f>SUM(D47:D51)</f>
        <v>253546</v>
      </c>
      <c r="E46" s="96">
        <f>SUM(E47:E51)</f>
        <v>0</v>
      </c>
      <c r="F46" s="376" t="s">
        <v>52</v>
      </c>
      <c r="G46" s="422" t="s">
        <v>53</v>
      </c>
      <c r="H46" s="430">
        <v>1496932</v>
      </c>
      <c r="I46" s="430">
        <v>1519192</v>
      </c>
      <c r="J46" s="430"/>
    </row>
    <row r="47" spans="1:12" ht="31.5" customHeight="1">
      <c r="A47" s="674">
        <v>1</v>
      </c>
      <c r="B47" s="100" t="s">
        <v>54</v>
      </c>
      <c r="C47" s="16"/>
      <c r="D47" s="1533"/>
      <c r="E47" s="1533"/>
      <c r="F47" s="376" t="s">
        <v>55</v>
      </c>
      <c r="G47" s="381" t="s">
        <v>56</v>
      </c>
      <c r="H47" s="430">
        <v>133067</v>
      </c>
      <c r="I47" s="430">
        <v>133067</v>
      </c>
      <c r="J47" s="430"/>
      <c r="L47" s="561"/>
    </row>
    <row r="48" spans="1:10" ht="29.25" customHeight="1" thickBot="1">
      <c r="A48" s="674">
        <v>2</v>
      </c>
      <c r="B48" s="100" t="s">
        <v>57</v>
      </c>
      <c r="C48" s="16"/>
      <c r="D48" s="1533"/>
      <c r="E48" s="1533"/>
      <c r="F48" s="376" t="s">
        <v>58</v>
      </c>
      <c r="G48" s="423" t="s">
        <v>59</v>
      </c>
      <c r="H48" s="1396"/>
      <c r="I48" s="1537"/>
      <c r="J48" s="1537"/>
    </row>
    <row r="49" spans="1:10" ht="27" customHeight="1">
      <c r="A49" s="674">
        <v>3</v>
      </c>
      <c r="B49" s="100" t="s">
        <v>60</v>
      </c>
      <c r="C49" s="16"/>
      <c r="D49" s="1530"/>
      <c r="E49" s="1530"/>
      <c r="F49" s="377"/>
      <c r="G49" s="378"/>
      <c r="H49" s="1397"/>
      <c r="I49" s="1397"/>
      <c r="J49" s="1397"/>
    </row>
    <row r="50" spans="1:10" ht="29.25" customHeight="1">
      <c r="A50" s="674">
        <v>4</v>
      </c>
      <c r="B50" s="100" t="s">
        <v>61</v>
      </c>
      <c r="C50" s="16"/>
      <c r="D50" s="1459"/>
      <c r="E50" s="1459"/>
      <c r="F50" s="370"/>
      <c r="G50" s="378"/>
      <c r="H50" s="1397"/>
      <c r="I50" s="1397"/>
      <c r="J50" s="1397"/>
    </row>
    <row r="51" spans="1:10" ht="30.75" customHeight="1">
      <c r="A51" s="674">
        <v>5</v>
      </c>
      <c r="B51" s="100" t="s">
        <v>62</v>
      </c>
      <c r="C51" s="16">
        <v>253546</v>
      </c>
      <c r="D51" s="16">
        <v>253546</v>
      </c>
      <c r="E51" s="16"/>
      <c r="F51" s="370"/>
      <c r="G51" s="378"/>
      <c r="H51" s="1397"/>
      <c r="I51" s="1397"/>
      <c r="J51" s="1397"/>
    </row>
    <row r="52" spans="1:10" ht="25.5" customHeight="1">
      <c r="A52" s="674" t="s">
        <v>52</v>
      </c>
      <c r="B52" s="664" t="s">
        <v>63</v>
      </c>
      <c r="C52" s="96">
        <f>SUM(C53:C57)</f>
        <v>0</v>
      </c>
      <c r="D52" s="96">
        <f>SUM(D53:D57)</f>
        <v>0</v>
      </c>
      <c r="E52" s="96">
        <f>SUM(E53:E57)</f>
        <v>0</v>
      </c>
      <c r="F52" s="370"/>
      <c r="G52" s="378"/>
      <c r="H52" s="1397"/>
      <c r="I52" s="1397"/>
      <c r="J52" s="1397"/>
    </row>
    <row r="53" spans="1:10" ht="25.5" customHeight="1">
      <c r="A53" s="674">
        <v>1</v>
      </c>
      <c r="B53" s="100" t="s">
        <v>64</v>
      </c>
      <c r="C53" s="16"/>
      <c r="D53" s="1459"/>
      <c r="E53" s="1459"/>
      <c r="F53" s="370"/>
      <c r="G53" s="378"/>
      <c r="H53" s="1397"/>
      <c r="I53" s="1397"/>
      <c r="J53" s="1397"/>
    </row>
    <row r="54" spans="1:10" ht="28.5" customHeight="1">
      <c r="A54" s="674">
        <v>2</v>
      </c>
      <c r="B54" s="100" t="s">
        <v>65</v>
      </c>
      <c r="C54" s="16"/>
      <c r="D54" s="1459"/>
      <c r="E54" s="1459"/>
      <c r="F54" s="370"/>
      <c r="G54" s="378"/>
      <c r="H54" s="1397"/>
      <c r="I54" s="1397"/>
      <c r="J54" s="1397"/>
    </row>
    <row r="55" spans="1:10" ht="21.75" customHeight="1">
      <c r="A55" s="674">
        <v>3</v>
      </c>
      <c r="B55" s="100" t="s">
        <v>66</v>
      </c>
      <c r="C55" s="16"/>
      <c r="D55" s="1459"/>
      <c r="E55" s="1459"/>
      <c r="F55" s="370"/>
      <c r="G55" s="378"/>
      <c r="H55" s="1397"/>
      <c r="I55" s="1397"/>
      <c r="J55" s="1397"/>
    </row>
    <row r="56" spans="1:10" ht="23.25" customHeight="1">
      <c r="A56" s="674">
        <v>4</v>
      </c>
      <c r="B56" s="100" t="s">
        <v>409</v>
      </c>
      <c r="C56" s="16"/>
      <c r="D56" s="1459"/>
      <c r="E56" s="1459"/>
      <c r="F56" s="370"/>
      <c r="G56" s="378"/>
      <c r="H56" s="1397"/>
      <c r="I56" s="1397"/>
      <c r="J56" s="1397"/>
    </row>
    <row r="57" spans="1:10" ht="22.5" customHeight="1">
      <c r="A57" s="674">
        <v>5</v>
      </c>
      <c r="B57" s="100" t="s">
        <v>68</v>
      </c>
      <c r="C57" s="371"/>
      <c r="D57" s="1532"/>
      <c r="E57" s="1532"/>
      <c r="F57" s="370"/>
      <c r="G57" s="378"/>
      <c r="H57" s="1397"/>
      <c r="I57" s="1397"/>
      <c r="J57" s="1397"/>
    </row>
    <row r="58" spans="1:10" ht="15">
      <c r="A58" s="675" t="s">
        <v>55</v>
      </c>
      <c r="B58" s="662" t="s">
        <v>69</v>
      </c>
      <c r="C58" s="96">
        <f>SUM(C59:C62)</f>
        <v>420</v>
      </c>
      <c r="D58" s="96">
        <f>SUM(D59:D62)</f>
        <v>420</v>
      </c>
      <c r="E58" s="96">
        <f>SUM(E59:E62)</f>
        <v>0</v>
      </c>
      <c r="F58" s="370"/>
      <c r="G58" s="378"/>
      <c r="H58" s="1397"/>
      <c r="I58" s="1397"/>
      <c r="J58" s="1397"/>
    </row>
    <row r="59" spans="1:10" ht="31.5" customHeight="1">
      <c r="A59" s="681">
        <v>1</v>
      </c>
      <c r="B59" s="100" t="s">
        <v>70</v>
      </c>
      <c r="C59" s="16"/>
      <c r="D59" s="1459"/>
      <c r="E59" s="1459"/>
      <c r="F59" s="370"/>
      <c r="G59" s="378"/>
      <c r="H59" s="1397"/>
      <c r="I59" s="1397"/>
      <c r="J59" s="1397"/>
    </row>
    <row r="60" spans="1:10" ht="29.25" customHeight="1">
      <c r="A60" s="681">
        <v>2</v>
      </c>
      <c r="B60" s="100" t="s">
        <v>247</v>
      </c>
      <c r="C60" s="18"/>
      <c r="D60" s="1459"/>
      <c r="E60" s="1459"/>
      <c r="F60" s="370"/>
      <c r="G60" s="378"/>
      <c r="H60" s="1397"/>
      <c r="I60" s="1397"/>
      <c r="J60" s="1397"/>
    </row>
    <row r="61" spans="1:10" ht="26.25" customHeight="1" thickBot="1">
      <c r="A61" s="681">
        <v>3</v>
      </c>
      <c r="B61" s="100" t="s">
        <v>248</v>
      </c>
      <c r="C61" s="90"/>
      <c r="D61" s="1459"/>
      <c r="E61" s="1459"/>
      <c r="F61" s="370"/>
      <c r="G61" s="378"/>
      <c r="H61" s="1397"/>
      <c r="I61" s="1397"/>
      <c r="J61" s="1397"/>
    </row>
    <row r="62" spans="1:10" ht="24" customHeight="1" thickBot="1">
      <c r="A62" s="682">
        <v>4</v>
      </c>
      <c r="B62" s="100" t="s">
        <v>424</v>
      </c>
      <c r="C62" s="373">
        <v>420</v>
      </c>
      <c r="D62" s="373">
        <v>420</v>
      </c>
      <c r="E62" s="373"/>
      <c r="F62" s="370"/>
      <c r="G62" s="378"/>
      <c r="H62" s="1397"/>
      <c r="I62" s="1397"/>
      <c r="J62" s="1397"/>
    </row>
    <row r="63" spans="1:10" ht="29.25" thickBot="1">
      <c r="A63" s="677"/>
      <c r="B63" s="1243" t="s">
        <v>72</v>
      </c>
      <c r="C63" s="380">
        <f>SUM(C64:C72)</f>
        <v>1121654</v>
      </c>
      <c r="D63" s="380">
        <f>SUM(D64:D72)</f>
        <v>1121655</v>
      </c>
      <c r="E63" s="380">
        <f>SUM(E64:E72)</f>
        <v>0</v>
      </c>
      <c r="F63" s="202"/>
      <c r="G63" s="1244" t="s">
        <v>73</v>
      </c>
      <c r="H63" s="1395">
        <f>SUM(H64:H72)</f>
        <v>1422951</v>
      </c>
      <c r="I63" s="1395">
        <f>SUM(I64:I72)</f>
        <v>1433028</v>
      </c>
      <c r="J63" s="1395">
        <f>SUM(J64:J72)</f>
        <v>0</v>
      </c>
    </row>
    <row r="64" spans="1:10" ht="30" customHeight="1">
      <c r="A64" s="673">
        <v>1</v>
      </c>
      <c r="B64" s="665" t="s">
        <v>410</v>
      </c>
      <c r="C64" s="16"/>
      <c r="D64" s="1533"/>
      <c r="E64" s="1533"/>
      <c r="F64" s="379" t="s">
        <v>9</v>
      </c>
      <c r="G64" s="424" t="s">
        <v>411</v>
      </c>
      <c r="H64" s="1398"/>
      <c r="I64" s="1538"/>
      <c r="J64" s="1538"/>
    </row>
    <row r="65" spans="1:10" ht="30">
      <c r="A65" s="673">
        <v>2</v>
      </c>
      <c r="B65" s="666" t="s">
        <v>249</v>
      </c>
      <c r="C65" s="16"/>
      <c r="D65" s="16"/>
      <c r="E65" s="16"/>
      <c r="F65" s="367" t="s">
        <v>23</v>
      </c>
      <c r="G65" s="425" t="s">
        <v>257</v>
      </c>
      <c r="H65" s="1398"/>
      <c r="I65" s="1538"/>
      <c r="J65" s="1538"/>
    </row>
    <row r="66" spans="1:10" ht="30">
      <c r="A66" s="673">
        <v>3</v>
      </c>
      <c r="B66" s="666" t="s">
        <v>250</v>
      </c>
      <c r="C66" s="16"/>
      <c r="D66" s="16"/>
      <c r="E66" s="16"/>
      <c r="F66" s="367" t="s">
        <v>25</v>
      </c>
      <c r="G66" s="425" t="s">
        <v>258</v>
      </c>
      <c r="H66" s="1399"/>
      <c r="I66" s="1538"/>
      <c r="J66" s="1538"/>
    </row>
    <row r="67" spans="1:10" ht="30">
      <c r="A67" s="673">
        <v>4</v>
      </c>
      <c r="B67" s="666" t="s">
        <v>251</v>
      </c>
      <c r="C67" s="16"/>
      <c r="D67" s="16"/>
      <c r="E67" s="16"/>
      <c r="F67" s="367" t="s">
        <v>27</v>
      </c>
      <c r="G67" s="425" t="s">
        <v>259</v>
      </c>
      <c r="H67" s="1400"/>
      <c r="I67" s="1539"/>
      <c r="J67" s="1539"/>
    </row>
    <row r="68" spans="1:10" ht="27.75" customHeight="1">
      <c r="A68" s="673">
        <v>5</v>
      </c>
      <c r="B68" s="666" t="s">
        <v>252</v>
      </c>
      <c r="C68" s="16">
        <v>1121654</v>
      </c>
      <c r="D68" s="16">
        <v>1121655</v>
      </c>
      <c r="E68" s="16"/>
      <c r="F68" s="367" t="s">
        <v>29</v>
      </c>
      <c r="G68" s="425" t="s">
        <v>412</v>
      </c>
      <c r="H68" s="1401"/>
      <c r="I68" s="1540"/>
      <c r="J68" s="1540"/>
    </row>
    <row r="69" spans="1:10" ht="45">
      <c r="A69" s="673">
        <v>6</v>
      </c>
      <c r="B69" s="667" t="s">
        <v>253</v>
      </c>
      <c r="C69" s="18"/>
      <c r="D69" s="18"/>
      <c r="E69" s="18"/>
      <c r="F69" s="367" t="s">
        <v>31</v>
      </c>
      <c r="G69" s="425" t="s">
        <v>413</v>
      </c>
      <c r="H69" s="1402"/>
      <c r="I69" s="1540"/>
      <c r="J69" s="1540"/>
    </row>
    <row r="70" spans="1:12" ht="33.75" customHeight="1" thickBot="1">
      <c r="A70" s="673">
        <v>7</v>
      </c>
      <c r="B70" s="666" t="s">
        <v>414</v>
      </c>
      <c r="C70" s="368"/>
      <c r="D70" s="1534"/>
      <c r="E70" s="1534"/>
      <c r="F70" s="382" t="s">
        <v>74</v>
      </c>
      <c r="G70" s="426" t="s">
        <v>415</v>
      </c>
      <c r="H70" s="1402">
        <f>1469682-58412</f>
        <v>1411270</v>
      </c>
      <c r="I70" s="1402">
        <v>1421347</v>
      </c>
      <c r="J70" s="1402"/>
      <c r="L70" s="561"/>
    </row>
    <row r="71" spans="1:10" ht="35.25" customHeight="1" thickBot="1">
      <c r="A71" s="673">
        <v>8</v>
      </c>
      <c r="B71" s="666" t="s">
        <v>254</v>
      </c>
      <c r="C71" s="368"/>
      <c r="D71" s="1535"/>
      <c r="E71" s="1535"/>
      <c r="F71" s="202"/>
      <c r="G71" s="562" t="s">
        <v>444</v>
      </c>
      <c r="H71" s="1402">
        <v>11681</v>
      </c>
      <c r="I71" s="1402">
        <v>11681</v>
      </c>
      <c r="J71" s="1402"/>
    </row>
    <row r="72" spans="1:10" ht="26.25" customHeight="1" thickBot="1">
      <c r="A72" s="673">
        <v>9</v>
      </c>
      <c r="B72" s="668" t="s">
        <v>255</v>
      </c>
      <c r="C72" s="383"/>
      <c r="D72" s="1535"/>
      <c r="E72" s="1535"/>
      <c r="F72" s="372"/>
      <c r="G72" s="427"/>
      <c r="H72" s="1402"/>
      <c r="I72" s="1540"/>
      <c r="J72" s="1540"/>
    </row>
    <row r="73" spans="1:10" ht="29.25" thickBot="1">
      <c r="A73" s="677" t="s">
        <v>9</v>
      </c>
      <c r="B73" s="1243" t="s">
        <v>75</v>
      </c>
      <c r="C73" s="366">
        <f>SUM(C74:C80)</f>
        <v>1177474</v>
      </c>
      <c r="D73" s="366">
        <f>SUM(D74:D80)</f>
        <v>1817310</v>
      </c>
      <c r="E73" s="366">
        <f>SUM(E74:E80)</f>
        <v>0</v>
      </c>
      <c r="F73" s="372"/>
      <c r="G73" s="1244" t="s">
        <v>76</v>
      </c>
      <c r="H73" s="430">
        <f>SUM(H74:H81)</f>
        <v>58412</v>
      </c>
      <c r="I73" s="430">
        <f>SUM(I74:I81)</f>
        <v>58412</v>
      </c>
      <c r="J73" s="430">
        <f>SUM(J74:J81)</f>
        <v>0</v>
      </c>
    </row>
    <row r="74" spans="1:10" ht="27.75" customHeight="1" thickBot="1">
      <c r="A74" s="673" t="s">
        <v>23</v>
      </c>
      <c r="B74" s="669" t="s">
        <v>256</v>
      </c>
      <c r="C74" s="16"/>
      <c r="D74" s="1533"/>
      <c r="E74" s="1533"/>
      <c r="F74" s="379" t="s">
        <v>9</v>
      </c>
      <c r="G74" s="428" t="s">
        <v>260</v>
      </c>
      <c r="H74" s="1396"/>
      <c r="I74" s="1540"/>
      <c r="J74" s="1540"/>
    </row>
    <row r="75" spans="1:10" ht="28.5" customHeight="1">
      <c r="A75" s="673" t="s">
        <v>25</v>
      </c>
      <c r="B75" s="666" t="s">
        <v>416</v>
      </c>
      <c r="C75" s="16"/>
      <c r="D75" s="16"/>
      <c r="E75" s="16"/>
      <c r="F75" s="367" t="s">
        <v>23</v>
      </c>
      <c r="G75" s="425" t="s">
        <v>417</v>
      </c>
      <c r="H75" s="1403"/>
      <c r="I75" s="1539"/>
      <c r="J75" s="1539"/>
    </row>
    <row r="76" spans="1:10" ht="29.25" customHeight="1">
      <c r="A76" s="673" t="s">
        <v>27</v>
      </c>
      <c r="B76" s="666" t="s">
        <v>249</v>
      </c>
      <c r="C76" s="16"/>
      <c r="D76" s="16"/>
      <c r="E76" s="16"/>
      <c r="F76" s="367" t="s">
        <v>25</v>
      </c>
      <c r="G76" s="425" t="s">
        <v>418</v>
      </c>
      <c r="H76" s="1400"/>
      <c r="I76" s="1539"/>
      <c r="J76" s="1539"/>
    </row>
    <row r="77" spans="1:10" ht="27" customHeight="1">
      <c r="A77" s="673" t="s">
        <v>29</v>
      </c>
      <c r="B77" s="666" t="s">
        <v>419</v>
      </c>
      <c r="C77" s="16"/>
      <c r="D77" s="16"/>
      <c r="E77" s="16"/>
      <c r="F77" s="367" t="s">
        <v>27</v>
      </c>
      <c r="G77" s="425" t="s">
        <v>420</v>
      </c>
      <c r="H77" s="1400"/>
      <c r="I77" s="1539"/>
      <c r="J77" s="1539"/>
    </row>
    <row r="78" spans="1:12" ht="37.5" customHeight="1">
      <c r="A78" s="673" t="s">
        <v>31</v>
      </c>
      <c r="B78" s="666" t="s">
        <v>421</v>
      </c>
      <c r="C78" s="16"/>
      <c r="D78" s="16"/>
      <c r="E78" s="16"/>
      <c r="F78" s="367" t="s">
        <v>29</v>
      </c>
      <c r="G78" s="426" t="s">
        <v>415</v>
      </c>
      <c r="H78" s="1402">
        <f>41266+17146</f>
        <v>58412</v>
      </c>
      <c r="I78" s="1402">
        <f>41266+17146</f>
        <v>58412</v>
      </c>
      <c r="J78" s="1402"/>
      <c r="K78" s="561"/>
      <c r="L78" s="561"/>
    </row>
    <row r="79" spans="1:10" ht="27.75" customHeight="1">
      <c r="A79" s="673" t="s">
        <v>74</v>
      </c>
      <c r="B79" s="666" t="s">
        <v>252</v>
      </c>
      <c r="C79" s="16">
        <f>2299128-C68</f>
        <v>1177474</v>
      </c>
      <c r="D79" s="16">
        <v>1817310</v>
      </c>
      <c r="E79" s="16"/>
      <c r="F79" s="367" t="s">
        <v>31</v>
      </c>
      <c r="G79" s="425" t="s">
        <v>252</v>
      </c>
      <c r="H79" s="1402"/>
      <c r="I79" s="1540"/>
      <c r="J79" s="1540"/>
    </row>
    <row r="80" spans="1:11" ht="34.5" customHeight="1" thickBot="1">
      <c r="A80" s="678" t="s">
        <v>77</v>
      </c>
      <c r="B80" s="666" t="s">
        <v>253</v>
      </c>
      <c r="C80" s="384"/>
      <c r="D80" s="90"/>
      <c r="E80" s="90"/>
      <c r="F80" s="382" t="s">
        <v>74</v>
      </c>
      <c r="G80" s="425" t="s">
        <v>253</v>
      </c>
      <c r="H80" s="1402"/>
      <c r="I80" s="1540"/>
      <c r="J80" s="1540"/>
      <c r="K80" s="561"/>
    </row>
    <row r="81" spans="1:10" ht="15.75" thickBot="1">
      <c r="A81" s="679"/>
      <c r="B81" s="670"/>
      <c r="C81" s="203"/>
      <c r="D81" s="203"/>
      <c r="E81" s="203"/>
      <c r="F81" s="386" t="s">
        <v>77</v>
      </c>
      <c r="G81" s="429"/>
      <c r="H81" s="1404"/>
      <c r="I81" s="1540"/>
      <c r="J81" s="1540"/>
    </row>
    <row r="82" spans="1:10" ht="15.75" thickBot="1">
      <c r="A82" s="680"/>
      <c r="B82" s="670" t="s">
        <v>78</v>
      </c>
      <c r="C82" s="387">
        <f>SUM(C7+C45+C63+C73)</f>
        <v>4295375</v>
      </c>
      <c r="D82" s="387">
        <f>SUM(D7+D45+D63+D73)</f>
        <v>4974113</v>
      </c>
      <c r="E82" s="387">
        <f>SUM(E7+E45+E63+E73)</f>
        <v>0</v>
      </c>
      <c r="F82" s="385"/>
      <c r="G82" s="429" t="s">
        <v>79</v>
      </c>
      <c r="H82" s="756">
        <f>SUM(H7+H45+H63+H73)</f>
        <v>4295375</v>
      </c>
      <c r="I82" s="756">
        <f>SUM(I7+I45+I63+I73)</f>
        <v>4974113</v>
      </c>
      <c r="J82" s="756">
        <f>SUM(J7+J45+J63+J73)</f>
        <v>0</v>
      </c>
    </row>
    <row r="83" ht="12.75">
      <c r="K83" s="561"/>
    </row>
    <row r="84" ht="12.75">
      <c r="D84" s="561"/>
    </row>
  </sheetData>
  <sheetProtection/>
  <mergeCells count="2">
    <mergeCell ref="A3:H3"/>
    <mergeCell ref="F13:F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5" width="13.00390625" style="0" customWidth="1"/>
    <col min="7" max="7" width="49.00390625" style="0" customWidth="1"/>
    <col min="8" max="8" width="16.125" style="0" customWidth="1"/>
    <col min="9" max="9" width="12.00390625" style="0" customWidth="1"/>
    <col min="10" max="10" width="13.625" style="0" customWidth="1"/>
  </cols>
  <sheetData>
    <row r="1" spans="1:8" ht="15.75">
      <c r="A1" s="1"/>
      <c r="B1" s="345" t="s">
        <v>716</v>
      </c>
      <c r="C1" s="346"/>
      <c r="D1" s="346"/>
      <c r="E1" s="346"/>
      <c r="F1" s="1"/>
      <c r="G1" s="2"/>
      <c r="H1" s="3"/>
    </row>
    <row r="2" spans="1:8" ht="15.75">
      <c r="A2" s="1"/>
      <c r="B2" s="345"/>
      <c r="C2" s="346"/>
      <c r="D2" s="346"/>
      <c r="E2" s="346"/>
      <c r="F2" s="1"/>
      <c r="G2" s="2"/>
      <c r="H2" s="3"/>
    </row>
    <row r="3" spans="1:8" ht="15.75">
      <c r="A3" s="1794" t="s">
        <v>574</v>
      </c>
      <c r="B3" s="1794"/>
      <c r="C3" s="1794"/>
      <c r="D3" s="1794"/>
      <c r="E3" s="1794"/>
      <c r="F3" s="1794"/>
      <c r="G3" s="1794"/>
      <c r="H3" s="1794"/>
    </row>
    <row r="4" spans="1:8" ht="16.5" thickBot="1">
      <c r="A4" s="347"/>
      <c r="B4" s="347"/>
      <c r="C4" s="347"/>
      <c r="D4" s="347"/>
      <c r="E4" s="347"/>
      <c r="F4" s="347"/>
      <c r="G4" s="347"/>
      <c r="H4" s="347"/>
    </row>
    <row r="5" spans="1:10" ht="16.5" thickBot="1">
      <c r="A5" s="348" t="s">
        <v>118</v>
      </c>
      <c r="B5" s="629" t="s">
        <v>142</v>
      </c>
      <c r="C5" s="348" t="s">
        <v>363</v>
      </c>
      <c r="D5" s="348" t="s">
        <v>364</v>
      </c>
      <c r="E5" s="348" t="s">
        <v>365</v>
      </c>
      <c r="F5" s="348" t="s">
        <v>366</v>
      </c>
      <c r="G5" s="388" t="s">
        <v>367</v>
      </c>
      <c r="H5" s="1511" t="s">
        <v>368</v>
      </c>
      <c r="I5" s="1542" t="s">
        <v>230</v>
      </c>
      <c r="J5" s="1542" t="s">
        <v>369</v>
      </c>
    </row>
    <row r="6" spans="1:10" ht="63.75" thickBot="1">
      <c r="A6" s="644"/>
      <c r="B6" s="630" t="s">
        <v>2</v>
      </c>
      <c r="C6" s="1355" t="s">
        <v>563</v>
      </c>
      <c r="D6" s="1355" t="s">
        <v>677</v>
      </c>
      <c r="E6" s="1355" t="s">
        <v>678</v>
      </c>
      <c r="F6" s="418"/>
      <c r="G6" s="419" t="s">
        <v>3</v>
      </c>
      <c r="H6" s="1490" t="s">
        <v>563</v>
      </c>
      <c r="I6" s="1528" t="s">
        <v>677</v>
      </c>
      <c r="J6" s="1528" t="s">
        <v>678</v>
      </c>
    </row>
    <row r="7" spans="1:10" ht="29.25" thickBot="1">
      <c r="A7" s="645"/>
      <c r="B7" s="1238" t="s">
        <v>4</v>
      </c>
      <c r="C7" s="92">
        <f>SUM(C8+C21+C27+C39)</f>
        <v>686</v>
      </c>
      <c r="D7" s="92">
        <f>SUM(D8+D21+D27+D39)</f>
        <v>4669</v>
      </c>
      <c r="E7" s="92"/>
      <c r="F7" s="153"/>
      <c r="G7" s="1237" t="s">
        <v>5</v>
      </c>
      <c r="H7" s="1491">
        <f>SUM(H8:H12)</f>
        <v>413657</v>
      </c>
      <c r="I7" s="1491">
        <f>SUM(I8:I12)</f>
        <v>417785</v>
      </c>
      <c r="J7" s="400">
        <f>SUM(J8:J12)</f>
        <v>0</v>
      </c>
    </row>
    <row r="8" spans="1:10" ht="24.75" customHeight="1">
      <c r="A8" s="646" t="s">
        <v>6</v>
      </c>
      <c r="B8" s="632" t="s">
        <v>7</v>
      </c>
      <c r="C8" s="6">
        <f>SUM(C9+C16+C17+C18+C19+C20)</f>
        <v>0</v>
      </c>
      <c r="D8" s="6">
        <f>SUM(D9+D16+D17+D18+D19+D20)</f>
        <v>3983</v>
      </c>
      <c r="E8" s="6"/>
      <c r="F8" s="4" t="s">
        <v>6</v>
      </c>
      <c r="G8" s="390" t="s">
        <v>8</v>
      </c>
      <c r="H8" s="1492">
        <v>271616</v>
      </c>
      <c r="I8" s="1492">
        <v>274582</v>
      </c>
      <c r="J8" s="401"/>
    </row>
    <row r="9" spans="1:10" ht="31.5" customHeight="1">
      <c r="A9" s="647" t="s">
        <v>9</v>
      </c>
      <c r="B9" s="633" t="s">
        <v>10</v>
      </c>
      <c r="C9" s="9">
        <f>SUM(C10:C15)</f>
        <v>0</v>
      </c>
      <c r="D9" s="9">
        <f>SUM(D10:D15)</f>
        <v>0</v>
      </c>
      <c r="E9" s="9"/>
      <c r="F9" s="7" t="s">
        <v>11</v>
      </c>
      <c r="G9" s="391" t="s">
        <v>12</v>
      </c>
      <c r="H9" s="1466">
        <v>56318</v>
      </c>
      <c r="I9" s="1466">
        <v>56917</v>
      </c>
      <c r="J9" s="402"/>
    </row>
    <row r="10" spans="1:10" ht="36.75" customHeight="1">
      <c r="A10" s="647"/>
      <c r="B10" s="101" t="s">
        <v>13</v>
      </c>
      <c r="C10" s="11"/>
      <c r="D10" s="11"/>
      <c r="E10" s="11"/>
      <c r="F10" s="7" t="s">
        <v>14</v>
      </c>
      <c r="G10" s="391" t="s">
        <v>15</v>
      </c>
      <c r="H10" s="1466">
        <v>85723</v>
      </c>
      <c r="I10" s="1466">
        <v>86176</v>
      </c>
      <c r="J10" s="402"/>
    </row>
    <row r="11" spans="1:10" ht="31.5" customHeight="1">
      <c r="A11" s="647"/>
      <c r="B11" s="101" t="s">
        <v>16</v>
      </c>
      <c r="C11" s="11"/>
      <c r="D11" s="11"/>
      <c r="E11" s="11"/>
      <c r="F11" s="7" t="s">
        <v>17</v>
      </c>
      <c r="G11" s="391" t="s">
        <v>18</v>
      </c>
      <c r="H11" s="1466"/>
      <c r="I11" s="1480"/>
      <c r="J11" s="1480"/>
    </row>
    <row r="12" spans="1:10" ht="30" customHeight="1">
      <c r="A12" s="647"/>
      <c r="B12" s="101" t="s">
        <v>19</v>
      </c>
      <c r="C12" s="11"/>
      <c r="D12" s="11"/>
      <c r="E12" s="11"/>
      <c r="F12" s="7" t="s">
        <v>20</v>
      </c>
      <c r="G12" s="391" t="s">
        <v>21</v>
      </c>
      <c r="H12" s="1466"/>
      <c r="I12" s="1480">
        <v>110</v>
      </c>
      <c r="J12" s="1480"/>
    </row>
    <row r="13" spans="1:10" ht="37.5" customHeight="1">
      <c r="A13" s="647"/>
      <c r="B13" s="101" t="s">
        <v>22</v>
      </c>
      <c r="C13" s="11"/>
      <c r="D13" s="1456"/>
      <c r="E13" s="1456"/>
      <c r="F13" s="1793"/>
      <c r="G13" s="156"/>
      <c r="H13" s="1467"/>
      <c r="I13" s="1480"/>
      <c r="J13" s="1480"/>
    </row>
    <row r="14" spans="1:10" ht="40.5" customHeight="1">
      <c r="A14" s="647"/>
      <c r="B14" s="101" t="s">
        <v>238</v>
      </c>
      <c r="C14" s="11"/>
      <c r="D14" s="1456"/>
      <c r="E14" s="1456"/>
      <c r="F14" s="1793"/>
      <c r="G14" s="1"/>
      <c r="H14" s="1467"/>
      <c r="I14" s="1480"/>
      <c r="J14" s="1480"/>
    </row>
    <row r="15" spans="1:10" ht="25.5" customHeight="1">
      <c r="A15" s="647"/>
      <c r="B15" s="101" t="s">
        <v>239</v>
      </c>
      <c r="C15" s="11"/>
      <c r="D15" s="1456"/>
      <c r="E15" s="1456"/>
      <c r="F15" s="1793"/>
      <c r="G15" s="1"/>
      <c r="H15" s="1467"/>
      <c r="I15" s="1480"/>
      <c r="J15" s="1480"/>
    </row>
    <row r="16" spans="1:10" ht="24" customHeight="1">
      <c r="A16" s="647">
        <v>2</v>
      </c>
      <c r="B16" s="634" t="s">
        <v>24</v>
      </c>
      <c r="C16" s="11"/>
      <c r="D16" s="1456"/>
      <c r="E16" s="1456"/>
      <c r="F16" s="1793"/>
      <c r="G16" s="1"/>
      <c r="H16" s="1467"/>
      <c r="I16" s="1480"/>
      <c r="J16" s="1480"/>
    </row>
    <row r="17" spans="1:10" ht="44.25" customHeight="1">
      <c r="A17" s="647">
        <v>3</v>
      </c>
      <c r="B17" s="634" t="s">
        <v>26</v>
      </c>
      <c r="C17" s="11"/>
      <c r="D17" s="1456"/>
      <c r="E17" s="1456"/>
      <c r="F17" s="1793"/>
      <c r="G17" s="1"/>
      <c r="H17" s="1467"/>
      <c r="I17" s="1480"/>
      <c r="J17" s="1480"/>
    </row>
    <row r="18" spans="1:10" ht="32.25" customHeight="1">
      <c r="A18" s="647">
        <v>4</v>
      </c>
      <c r="B18" s="634" t="s">
        <v>28</v>
      </c>
      <c r="C18" s="14"/>
      <c r="D18" s="1541"/>
      <c r="E18" s="1541"/>
      <c r="F18" s="1793"/>
      <c r="G18" s="1"/>
      <c r="H18" s="1467"/>
      <c r="I18" s="1480"/>
      <c r="J18" s="1480"/>
    </row>
    <row r="19" spans="1:10" ht="27.75" customHeight="1">
      <c r="A19" s="647">
        <v>5</v>
      </c>
      <c r="B19" s="634" t="s">
        <v>30</v>
      </c>
      <c r="C19" s="14"/>
      <c r="D19" s="1541"/>
      <c r="E19" s="1541"/>
      <c r="F19" s="1793"/>
      <c r="G19" s="1"/>
      <c r="H19" s="1467"/>
      <c r="I19" s="1480"/>
      <c r="J19" s="1480"/>
    </row>
    <row r="20" spans="1:10" ht="30" customHeight="1">
      <c r="A20" s="647">
        <v>6</v>
      </c>
      <c r="B20" s="634" t="s">
        <v>32</v>
      </c>
      <c r="C20" s="14"/>
      <c r="D20" s="1541">
        <v>3983</v>
      </c>
      <c r="E20" s="1541"/>
      <c r="F20" s="1793"/>
      <c r="G20" s="1"/>
      <c r="H20" s="1467"/>
      <c r="I20" s="1480"/>
      <c r="J20" s="1480"/>
    </row>
    <row r="21" spans="1:10" ht="15">
      <c r="A21" s="648" t="s">
        <v>11</v>
      </c>
      <c r="B21" s="197" t="s">
        <v>243</v>
      </c>
      <c r="C21" s="9">
        <f>SUM(C22:C26)</f>
        <v>0</v>
      </c>
      <c r="D21" s="1457"/>
      <c r="E21" s="1457"/>
      <c r="F21" s="160"/>
      <c r="G21" s="1"/>
      <c r="H21" s="1467"/>
      <c r="I21" s="1480"/>
      <c r="J21" s="1480"/>
    </row>
    <row r="22" spans="1:10" ht="15">
      <c r="A22" s="648">
        <v>1</v>
      </c>
      <c r="B22" s="635" t="s">
        <v>240</v>
      </c>
      <c r="C22" s="12"/>
      <c r="D22" s="1458"/>
      <c r="E22" s="1458"/>
      <c r="F22" s="160"/>
      <c r="G22" s="1"/>
      <c r="H22" s="1467"/>
      <c r="I22" s="1480"/>
      <c r="J22" s="1480"/>
    </row>
    <row r="23" spans="1:10" ht="15">
      <c r="A23" s="648">
        <v>2</v>
      </c>
      <c r="B23" s="635" t="s">
        <v>241</v>
      </c>
      <c r="C23" s="12"/>
      <c r="D23" s="1458"/>
      <c r="E23" s="1458"/>
      <c r="F23" s="160"/>
      <c r="G23" s="1"/>
      <c r="H23" s="1467"/>
      <c r="I23" s="1480"/>
      <c r="J23" s="1480"/>
    </row>
    <row r="24" spans="1:10" ht="15">
      <c r="A24" s="648">
        <v>3</v>
      </c>
      <c r="B24" s="635" t="s">
        <v>81</v>
      </c>
      <c r="C24" s="12"/>
      <c r="D24" s="1458"/>
      <c r="E24" s="1458"/>
      <c r="F24" s="160"/>
      <c r="G24" s="1"/>
      <c r="H24" s="1467"/>
      <c r="I24" s="1480"/>
      <c r="J24" s="1480"/>
    </row>
    <row r="25" spans="1:10" ht="15">
      <c r="A25" s="648">
        <v>4</v>
      </c>
      <c r="B25" s="635" t="s">
        <v>82</v>
      </c>
      <c r="C25" s="12"/>
      <c r="D25" s="1458"/>
      <c r="E25" s="1458"/>
      <c r="F25" s="160"/>
      <c r="G25" s="1"/>
      <c r="H25" s="1467"/>
      <c r="I25" s="1480"/>
      <c r="J25" s="1480"/>
    </row>
    <row r="26" spans="1:10" ht="15">
      <c r="A26" s="648">
        <v>5</v>
      </c>
      <c r="B26" s="635" t="s">
        <v>83</v>
      </c>
      <c r="C26" s="12"/>
      <c r="D26" s="1458"/>
      <c r="E26" s="1458"/>
      <c r="F26" s="160"/>
      <c r="G26" s="1"/>
      <c r="H26" s="1467"/>
      <c r="I26" s="1480"/>
      <c r="J26" s="1480"/>
    </row>
    <row r="27" spans="1:10" ht="15">
      <c r="A27" s="648" t="s">
        <v>14</v>
      </c>
      <c r="B27" s="197" t="s">
        <v>34</v>
      </c>
      <c r="C27" s="9">
        <f>SUM(C28:C38)</f>
        <v>686</v>
      </c>
      <c r="D27" s="9">
        <f>SUM(D28:D38)</f>
        <v>686</v>
      </c>
      <c r="E27" s="9">
        <f>SUM(E28:E38)</f>
        <v>0</v>
      </c>
      <c r="F27" s="160"/>
      <c r="G27" s="1"/>
      <c r="H27" s="1467"/>
      <c r="I27" s="1480"/>
      <c r="J27" s="1480"/>
    </row>
    <row r="28" spans="1:10" ht="27.75" customHeight="1">
      <c r="A28" s="648">
        <v>1</v>
      </c>
      <c r="B28" s="100" t="s">
        <v>35</v>
      </c>
      <c r="C28" s="12"/>
      <c r="D28" s="1458"/>
      <c r="E28" s="1458"/>
      <c r="F28" s="160"/>
      <c r="G28" s="1"/>
      <c r="H28" s="1467"/>
      <c r="I28" s="1480"/>
      <c r="J28" s="1480"/>
    </row>
    <row r="29" spans="1:10" ht="20.25" customHeight="1">
      <c r="A29" s="648">
        <v>2</v>
      </c>
      <c r="B29" s="100" t="s">
        <v>36</v>
      </c>
      <c r="C29" s="16">
        <v>540</v>
      </c>
      <c r="D29" s="16">
        <v>540</v>
      </c>
      <c r="E29" s="16"/>
      <c r="F29" s="160"/>
      <c r="G29" s="1"/>
      <c r="H29" s="1467"/>
      <c r="I29" s="1480"/>
      <c r="J29" s="1480"/>
    </row>
    <row r="30" spans="1:10" ht="24" customHeight="1">
      <c r="A30" s="648">
        <v>3</v>
      </c>
      <c r="B30" s="100" t="s">
        <v>37</v>
      </c>
      <c r="C30" s="1543"/>
      <c r="D30" s="1543"/>
      <c r="E30" s="1543"/>
      <c r="F30" s="160"/>
      <c r="G30" s="1"/>
      <c r="H30" s="1467"/>
      <c r="I30" s="1480"/>
      <c r="J30" s="1480"/>
    </row>
    <row r="31" spans="1:10" ht="24.75" customHeight="1">
      <c r="A31" s="648">
        <v>4</v>
      </c>
      <c r="B31" s="100" t="s">
        <v>38</v>
      </c>
      <c r="C31" s="16"/>
      <c r="D31" s="16"/>
      <c r="E31" s="16"/>
      <c r="F31" s="160"/>
      <c r="G31" s="1"/>
      <c r="H31" s="1467"/>
      <c r="I31" s="1480"/>
      <c r="J31" s="1480"/>
    </row>
    <row r="32" spans="1:10" ht="23.25" customHeight="1">
      <c r="A32" s="648">
        <v>5</v>
      </c>
      <c r="B32" s="100" t="s">
        <v>39</v>
      </c>
      <c r="C32" s="16"/>
      <c r="D32" s="1459"/>
      <c r="E32" s="1459"/>
      <c r="F32" s="160"/>
      <c r="G32" s="1"/>
      <c r="H32" s="1467"/>
      <c r="I32" s="1480"/>
      <c r="J32" s="1480"/>
    </row>
    <row r="33" spans="1:10" ht="33" customHeight="1">
      <c r="A33" s="648">
        <v>6</v>
      </c>
      <c r="B33" s="100" t="s">
        <v>40</v>
      </c>
      <c r="C33" s="16">
        <v>146</v>
      </c>
      <c r="D33" s="16">
        <v>146</v>
      </c>
      <c r="E33" s="16"/>
      <c r="F33" s="160"/>
      <c r="G33" s="1"/>
      <c r="H33" s="1467"/>
      <c r="I33" s="1480"/>
      <c r="J33" s="1480"/>
    </row>
    <row r="34" spans="1:10" ht="27.75" customHeight="1">
      <c r="A34" s="648">
        <v>7</v>
      </c>
      <c r="B34" s="100" t="s">
        <v>41</v>
      </c>
      <c r="C34" s="16"/>
      <c r="D34" s="16"/>
      <c r="E34" s="16"/>
      <c r="F34" s="160"/>
      <c r="G34" s="1"/>
      <c r="H34" s="1467"/>
      <c r="I34" s="1480"/>
      <c r="J34" s="1480"/>
    </row>
    <row r="35" spans="1:10" ht="20.25" customHeight="1">
      <c r="A35" s="648">
        <v>8</v>
      </c>
      <c r="B35" s="100" t="s">
        <v>42</v>
      </c>
      <c r="C35" s="1543"/>
      <c r="D35" s="1543"/>
      <c r="E35" s="16"/>
      <c r="F35" s="160"/>
      <c r="G35" s="1"/>
      <c r="H35" s="1467"/>
      <c r="I35" s="1480"/>
      <c r="J35" s="1480"/>
    </row>
    <row r="36" spans="1:10" ht="30" customHeight="1">
      <c r="A36" s="648">
        <v>9</v>
      </c>
      <c r="B36" s="100" t="s">
        <v>43</v>
      </c>
      <c r="C36" s="16"/>
      <c r="D36" s="16"/>
      <c r="E36" s="16"/>
      <c r="F36" s="160"/>
      <c r="G36" s="1"/>
      <c r="H36" s="1467"/>
      <c r="I36" s="1480"/>
      <c r="J36" s="1480"/>
    </row>
    <row r="37" spans="1:10" ht="14.25" customHeight="1">
      <c r="A37" s="648">
        <v>10</v>
      </c>
      <c r="B37" s="100" t="s">
        <v>244</v>
      </c>
      <c r="C37" s="16"/>
      <c r="D37" s="16"/>
      <c r="E37" s="16"/>
      <c r="F37" s="160"/>
      <c r="G37" s="1"/>
      <c r="H37" s="1467"/>
      <c r="I37" s="1480"/>
      <c r="J37" s="1480"/>
    </row>
    <row r="38" spans="1:10" ht="17.25" customHeight="1">
      <c r="A38" s="648">
        <v>11</v>
      </c>
      <c r="B38" s="100" t="s">
        <v>44</v>
      </c>
      <c r="C38" s="16"/>
      <c r="D38" s="16"/>
      <c r="E38" s="16"/>
      <c r="F38" s="160"/>
      <c r="G38" s="1"/>
      <c r="H38" s="1467"/>
      <c r="I38" s="1480"/>
      <c r="J38" s="1480"/>
    </row>
    <row r="39" spans="1:10" ht="15">
      <c r="A39" s="649" t="s">
        <v>17</v>
      </c>
      <c r="B39" s="197" t="s">
        <v>45</v>
      </c>
      <c r="C39" s="96">
        <f>SUM(C40:C44)</f>
        <v>0</v>
      </c>
      <c r="D39" s="96">
        <f>SUM(D40:D44)</f>
        <v>0</v>
      </c>
      <c r="E39" s="96">
        <f>SUM(E40:E44)</f>
        <v>0</v>
      </c>
      <c r="F39" s="160"/>
      <c r="G39" s="1"/>
      <c r="H39" s="1467"/>
      <c r="I39" s="1480"/>
      <c r="J39" s="1480"/>
    </row>
    <row r="40" spans="1:10" ht="26.25" customHeight="1">
      <c r="A40" s="648">
        <v>1</v>
      </c>
      <c r="B40" s="100" t="s">
        <v>46</v>
      </c>
      <c r="C40" s="12"/>
      <c r="D40" s="12"/>
      <c r="E40" s="12"/>
      <c r="F40" s="160"/>
      <c r="G40" s="1"/>
      <c r="H40" s="1467"/>
      <c r="I40" s="1480"/>
      <c r="J40" s="1480"/>
    </row>
    <row r="41" spans="1:10" ht="33" customHeight="1">
      <c r="A41" s="648">
        <v>2</v>
      </c>
      <c r="B41" s="101" t="s">
        <v>245</v>
      </c>
      <c r="C41" s="16"/>
      <c r="D41" s="16"/>
      <c r="E41" s="16"/>
      <c r="F41" s="160"/>
      <c r="G41" s="1"/>
      <c r="H41" s="1467"/>
      <c r="I41" s="1480"/>
      <c r="J41" s="1480"/>
    </row>
    <row r="42" spans="1:10" ht="28.5" customHeight="1">
      <c r="A42" s="648">
        <v>3</v>
      </c>
      <c r="B42" s="101" t="s">
        <v>246</v>
      </c>
      <c r="C42" s="16"/>
      <c r="D42" s="16"/>
      <c r="E42" s="16"/>
      <c r="F42" s="160"/>
      <c r="G42" s="1"/>
      <c r="H42" s="1467"/>
      <c r="I42" s="1480"/>
      <c r="J42" s="1480"/>
    </row>
    <row r="43" spans="1:10" ht="22.5" customHeight="1" thickBot="1">
      <c r="A43" s="648">
        <v>4</v>
      </c>
      <c r="B43" s="101" t="s">
        <v>47</v>
      </c>
      <c r="C43" s="18"/>
      <c r="D43" s="16"/>
      <c r="E43" s="16"/>
      <c r="F43" s="160"/>
      <c r="G43" s="1"/>
      <c r="H43" s="1467"/>
      <c r="I43" s="1480"/>
      <c r="J43" s="1480"/>
    </row>
    <row r="44" spans="1:10" ht="28.5" customHeight="1" thickBot="1">
      <c r="A44" s="650">
        <v>5</v>
      </c>
      <c r="B44" s="636" t="s">
        <v>48</v>
      </c>
      <c r="C44" s="342"/>
      <c r="D44" s="12"/>
      <c r="E44" s="12"/>
      <c r="F44" s="165"/>
      <c r="G44" s="166"/>
      <c r="H44" s="1468"/>
      <c r="I44" s="1480"/>
      <c r="J44" s="1480"/>
    </row>
    <row r="45" spans="1:10" ht="29.25" thickBot="1">
      <c r="A45" s="651"/>
      <c r="B45" s="1238" t="s">
        <v>49</v>
      </c>
      <c r="C45" s="6">
        <f>SUM(C46+C52+C58)</f>
        <v>0</v>
      </c>
      <c r="D45" s="9"/>
      <c r="E45" s="9"/>
      <c r="F45" s="168"/>
      <c r="G45" s="1237" t="s">
        <v>50</v>
      </c>
      <c r="H45" s="1472">
        <f>SUM(H46:H48)</f>
        <v>17146</v>
      </c>
      <c r="I45" s="1472">
        <f>SUM(I46:I48)</f>
        <v>17146</v>
      </c>
      <c r="J45" s="405">
        <f>SUM(J46:J48)</f>
        <v>0</v>
      </c>
    </row>
    <row r="46" spans="1:10" ht="15">
      <c r="A46" s="648" t="s">
        <v>261</v>
      </c>
      <c r="B46" s="632" t="s">
        <v>51</v>
      </c>
      <c r="C46" s="14">
        <f>SUM(C47:C51)</f>
        <v>0</v>
      </c>
      <c r="D46" s="14"/>
      <c r="E46" s="14"/>
      <c r="F46" s="170" t="s">
        <v>52</v>
      </c>
      <c r="G46" s="392" t="s">
        <v>53</v>
      </c>
      <c r="H46" s="1466">
        <v>17146</v>
      </c>
      <c r="I46" s="1466">
        <v>17146</v>
      </c>
      <c r="J46" s="402"/>
    </row>
    <row r="47" spans="1:10" ht="31.5" customHeight="1">
      <c r="A47" s="648">
        <v>1</v>
      </c>
      <c r="B47" s="101" t="s">
        <v>54</v>
      </c>
      <c r="C47" s="11"/>
      <c r="D47" s="11"/>
      <c r="E47" s="11"/>
      <c r="F47" s="170" t="s">
        <v>55</v>
      </c>
      <c r="G47" s="350" t="s">
        <v>56</v>
      </c>
      <c r="H47" s="1559"/>
      <c r="I47" s="1560"/>
      <c r="J47" s="1560"/>
    </row>
    <row r="48" spans="1:10" ht="29.25" customHeight="1" thickBot="1">
      <c r="A48" s="648">
        <v>2</v>
      </c>
      <c r="B48" s="101" t="s">
        <v>57</v>
      </c>
      <c r="C48" s="11"/>
      <c r="D48" s="11"/>
      <c r="E48" s="11"/>
      <c r="F48" s="170" t="s">
        <v>58</v>
      </c>
      <c r="G48" s="393" t="s">
        <v>59</v>
      </c>
      <c r="H48" s="1497"/>
      <c r="I48" s="1485"/>
      <c r="J48" s="1485"/>
    </row>
    <row r="49" spans="1:10" ht="27" customHeight="1">
      <c r="A49" s="648">
        <v>3</v>
      </c>
      <c r="B49" s="101" t="s">
        <v>60</v>
      </c>
      <c r="C49" s="11"/>
      <c r="D49" s="11"/>
      <c r="E49" s="11"/>
      <c r="F49" s="174"/>
      <c r="G49" s="175"/>
      <c r="H49" s="1471"/>
      <c r="I49" s="1480"/>
      <c r="J49" s="1480"/>
    </row>
    <row r="50" spans="1:10" ht="29.25" customHeight="1">
      <c r="A50" s="648">
        <v>4</v>
      </c>
      <c r="B50" s="101" t="s">
        <v>61</v>
      </c>
      <c r="C50" s="11"/>
      <c r="D50" s="11"/>
      <c r="E50" s="11"/>
      <c r="F50" s="160"/>
      <c r="G50" s="175"/>
      <c r="H50" s="1471"/>
      <c r="I50" s="1480"/>
      <c r="J50" s="1480"/>
    </row>
    <row r="51" spans="1:10" ht="30.75" customHeight="1">
      <c r="A51" s="648">
        <v>5</v>
      </c>
      <c r="B51" s="101" t="s">
        <v>62</v>
      </c>
      <c r="C51" s="11"/>
      <c r="D51" s="11"/>
      <c r="E51" s="11"/>
      <c r="F51" s="160"/>
      <c r="G51" s="175"/>
      <c r="H51" s="1471"/>
      <c r="I51" s="1480"/>
      <c r="J51" s="1480"/>
    </row>
    <row r="52" spans="1:10" ht="25.5" customHeight="1">
      <c r="A52" s="648" t="s">
        <v>52</v>
      </c>
      <c r="B52" s="637" t="s">
        <v>63</v>
      </c>
      <c r="C52" s="96">
        <f>SUM(C53:C57)</f>
        <v>0</v>
      </c>
      <c r="D52" s="96"/>
      <c r="E52" s="96"/>
      <c r="F52" s="160"/>
      <c r="G52" s="175"/>
      <c r="H52" s="1471"/>
      <c r="I52" s="1480"/>
      <c r="J52" s="1480"/>
    </row>
    <row r="53" spans="1:10" ht="25.5" customHeight="1">
      <c r="A53" s="648">
        <v>1</v>
      </c>
      <c r="B53" s="100" t="s">
        <v>64</v>
      </c>
      <c r="C53" s="16"/>
      <c r="D53" s="16"/>
      <c r="E53" s="16"/>
      <c r="F53" s="160"/>
      <c r="G53" s="175"/>
      <c r="H53" s="1471"/>
      <c r="I53" s="1480"/>
      <c r="J53" s="1480"/>
    </row>
    <row r="54" spans="1:10" ht="28.5" customHeight="1">
      <c r="A54" s="648">
        <v>2</v>
      </c>
      <c r="B54" s="100" t="s">
        <v>65</v>
      </c>
      <c r="C54" s="16"/>
      <c r="D54" s="16"/>
      <c r="E54" s="16"/>
      <c r="F54" s="160"/>
      <c r="G54" s="175"/>
      <c r="H54" s="1471"/>
      <c r="I54" s="1480"/>
      <c r="J54" s="1480"/>
    </row>
    <row r="55" spans="1:10" ht="21.75" customHeight="1">
      <c r="A55" s="648">
        <v>3</v>
      </c>
      <c r="B55" s="100" t="s">
        <v>66</v>
      </c>
      <c r="C55" s="16"/>
      <c r="D55" s="16"/>
      <c r="E55" s="16"/>
      <c r="F55" s="160"/>
      <c r="G55" s="175"/>
      <c r="H55" s="1471"/>
      <c r="I55" s="1480"/>
      <c r="J55" s="1480"/>
    </row>
    <row r="56" spans="1:10" ht="23.25" customHeight="1">
      <c r="A56" s="648">
        <v>4</v>
      </c>
      <c r="B56" s="100" t="s">
        <v>409</v>
      </c>
      <c r="C56" s="16"/>
      <c r="D56" s="16"/>
      <c r="E56" s="16"/>
      <c r="F56" s="160"/>
      <c r="G56" s="175"/>
      <c r="H56" s="1471"/>
      <c r="I56" s="1480"/>
      <c r="J56" s="1480"/>
    </row>
    <row r="57" spans="1:10" ht="22.5" customHeight="1">
      <c r="A57" s="648">
        <v>5</v>
      </c>
      <c r="B57" s="100" t="s">
        <v>68</v>
      </c>
      <c r="C57" s="12"/>
      <c r="D57" s="12"/>
      <c r="E57" s="12"/>
      <c r="F57" s="160"/>
      <c r="G57" s="175"/>
      <c r="H57" s="1471"/>
      <c r="I57" s="1480"/>
      <c r="J57" s="1480"/>
    </row>
    <row r="58" spans="1:10" ht="15">
      <c r="A58" s="649" t="s">
        <v>55</v>
      </c>
      <c r="B58" s="197" t="s">
        <v>69</v>
      </c>
      <c r="C58" s="96">
        <f>SUM(C59:C62)</f>
        <v>0</v>
      </c>
      <c r="D58" s="96"/>
      <c r="E58" s="96"/>
      <c r="F58" s="160"/>
      <c r="G58" s="175"/>
      <c r="H58" s="1471"/>
      <c r="I58" s="1480"/>
      <c r="J58" s="1480"/>
    </row>
    <row r="59" spans="1:10" ht="31.5" customHeight="1">
      <c r="A59" s="649">
        <v>1</v>
      </c>
      <c r="B59" s="100" t="s">
        <v>70</v>
      </c>
      <c r="C59" s="11"/>
      <c r="D59" s="11"/>
      <c r="E59" s="11"/>
      <c r="F59" s="160"/>
      <c r="G59" s="175"/>
      <c r="H59" s="1471"/>
      <c r="I59" s="1480"/>
      <c r="J59" s="1480"/>
    </row>
    <row r="60" spans="1:10" ht="29.25" customHeight="1">
      <c r="A60" s="649">
        <v>2</v>
      </c>
      <c r="B60" s="101" t="s">
        <v>247</v>
      </c>
      <c r="C60" s="18"/>
      <c r="D60" s="16"/>
      <c r="E60" s="16"/>
      <c r="F60" s="160"/>
      <c r="G60" s="175"/>
      <c r="H60" s="1471"/>
      <c r="I60" s="1480"/>
      <c r="J60" s="1480"/>
    </row>
    <row r="61" spans="1:10" ht="26.25" customHeight="1" thickBot="1">
      <c r="A61" s="649">
        <v>3</v>
      </c>
      <c r="B61" s="101" t="s">
        <v>248</v>
      </c>
      <c r="C61" s="90"/>
      <c r="D61" s="1459"/>
      <c r="E61" s="1459"/>
      <c r="F61" s="160"/>
      <c r="G61" s="175"/>
      <c r="H61" s="1471"/>
      <c r="I61" s="1480"/>
      <c r="J61" s="1480"/>
    </row>
    <row r="62" spans="1:10" ht="24" customHeight="1" thickBot="1">
      <c r="A62" s="652">
        <v>4</v>
      </c>
      <c r="B62" s="101" t="s">
        <v>424</v>
      </c>
      <c r="C62" s="342"/>
      <c r="D62" s="342"/>
      <c r="E62" s="342"/>
      <c r="F62" s="160"/>
      <c r="G62" s="175"/>
      <c r="H62" s="1471"/>
      <c r="I62" s="1480"/>
      <c r="J62" s="1480"/>
    </row>
    <row r="63" spans="1:10" ht="29.25" thickBot="1">
      <c r="A63" s="653"/>
      <c r="B63" s="1238" t="s">
        <v>72</v>
      </c>
      <c r="C63" s="178">
        <f>SUM(C64:C72)</f>
        <v>412971</v>
      </c>
      <c r="D63" s="178">
        <f>SUM(D64:D72)</f>
        <v>413116</v>
      </c>
      <c r="E63" s="178">
        <f>SUM(E64:E72)</f>
        <v>0</v>
      </c>
      <c r="F63" s="168"/>
      <c r="G63" s="1237" t="s">
        <v>73</v>
      </c>
      <c r="H63" s="1472">
        <f>SUM(H64:H72)</f>
        <v>0</v>
      </c>
      <c r="I63" s="1480"/>
      <c r="J63" s="1480"/>
    </row>
    <row r="64" spans="1:10" ht="30" customHeight="1">
      <c r="A64" s="647">
        <v>1</v>
      </c>
      <c r="B64" s="199" t="s">
        <v>410</v>
      </c>
      <c r="C64" s="11"/>
      <c r="D64" s="181"/>
      <c r="E64" s="181"/>
      <c r="F64" s="179" t="s">
        <v>9</v>
      </c>
      <c r="G64" s="394" t="s">
        <v>411</v>
      </c>
      <c r="H64" s="1473"/>
      <c r="I64" s="1480"/>
      <c r="J64" s="1480"/>
    </row>
    <row r="65" spans="1:10" ht="33.75" customHeight="1">
      <c r="A65" s="647">
        <v>2</v>
      </c>
      <c r="B65" s="638" t="s">
        <v>249</v>
      </c>
      <c r="C65" s="11"/>
      <c r="D65" s="11"/>
      <c r="E65" s="11"/>
      <c r="F65" s="7" t="s">
        <v>23</v>
      </c>
      <c r="G65" s="395" t="s">
        <v>257</v>
      </c>
      <c r="H65" s="1473"/>
      <c r="I65" s="1480"/>
      <c r="J65" s="1480"/>
    </row>
    <row r="66" spans="1:10" ht="27" customHeight="1">
      <c r="A66" s="647">
        <v>3</v>
      </c>
      <c r="B66" s="638" t="s">
        <v>250</v>
      </c>
      <c r="C66" s="11"/>
      <c r="D66" s="11"/>
      <c r="E66" s="11"/>
      <c r="F66" s="7" t="s">
        <v>25</v>
      </c>
      <c r="G66" s="395" t="s">
        <v>258</v>
      </c>
      <c r="H66" s="1474"/>
      <c r="I66" s="1480"/>
      <c r="J66" s="1480"/>
    </row>
    <row r="67" spans="1:10" ht="28.5" customHeight="1">
      <c r="A67" s="647">
        <v>4</v>
      </c>
      <c r="B67" s="638" t="s">
        <v>251</v>
      </c>
      <c r="C67" s="11"/>
      <c r="D67" s="11"/>
      <c r="E67" s="11"/>
      <c r="F67" s="7" t="s">
        <v>27</v>
      </c>
      <c r="G67" s="395" t="s">
        <v>259</v>
      </c>
      <c r="H67" s="1475"/>
      <c r="I67" s="1480"/>
      <c r="J67" s="1480"/>
    </row>
    <row r="68" spans="1:10" ht="27.75" customHeight="1">
      <c r="A68" s="647">
        <v>5</v>
      </c>
      <c r="B68" s="638" t="s">
        <v>252</v>
      </c>
      <c r="C68" s="11">
        <v>8053</v>
      </c>
      <c r="D68" s="11">
        <v>8053</v>
      </c>
      <c r="E68" s="11"/>
      <c r="F68" s="7" t="s">
        <v>29</v>
      </c>
      <c r="G68" s="395" t="s">
        <v>412</v>
      </c>
      <c r="H68" s="1476"/>
      <c r="I68" s="1480"/>
      <c r="J68" s="1480"/>
    </row>
    <row r="69" spans="1:10" ht="45">
      <c r="A69" s="647">
        <v>6</v>
      </c>
      <c r="B69" s="639" t="s">
        <v>253</v>
      </c>
      <c r="C69" s="22"/>
      <c r="D69" s="22"/>
      <c r="E69" s="22"/>
      <c r="F69" s="7" t="s">
        <v>31</v>
      </c>
      <c r="G69" s="395" t="s">
        <v>413</v>
      </c>
      <c r="H69" s="1477"/>
      <c r="I69" s="1480"/>
      <c r="J69" s="1480"/>
    </row>
    <row r="70" spans="1:10" ht="33.75" customHeight="1" thickBot="1">
      <c r="A70" s="647">
        <v>7</v>
      </c>
      <c r="B70" s="638" t="s">
        <v>414</v>
      </c>
      <c r="C70" s="9"/>
      <c r="D70" s="1463"/>
      <c r="E70" s="1463"/>
      <c r="F70" s="183" t="s">
        <v>74</v>
      </c>
      <c r="G70" s="396" t="s">
        <v>415</v>
      </c>
      <c r="H70" s="1477"/>
      <c r="I70" s="1480"/>
      <c r="J70" s="1480"/>
    </row>
    <row r="71" spans="1:10" ht="24.75" customHeight="1" thickBot="1">
      <c r="A71" s="647">
        <v>8</v>
      </c>
      <c r="B71" s="638" t="s">
        <v>254</v>
      </c>
      <c r="C71" s="12">
        <f>422064-17146</f>
        <v>404918</v>
      </c>
      <c r="D71" s="12">
        <v>405063</v>
      </c>
      <c r="E71" s="12"/>
      <c r="F71" s="168"/>
      <c r="G71" s="389"/>
      <c r="H71" s="1477"/>
      <c r="I71" s="1480"/>
      <c r="J71" s="1480"/>
    </row>
    <row r="72" spans="1:10" ht="26.25" customHeight="1" thickBot="1">
      <c r="A72" s="647">
        <v>9</v>
      </c>
      <c r="B72" s="640" t="s">
        <v>255</v>
      </c>
      <c r="C72" s="98"/>
      <c r="D72" s="1464"/>
      <c r="E72" s="1464"/>
      <c r="F72" s="91"/>
      <c r="G72" s="397"/>
      <c r="H72" s="1477"/>
      <c r="I72" s="1480"/>
      <c r="J72" s="1480"/>
    </row>
    <row r="73" spans="1:10" ht="29.25" thickBot="1">
      <c r="A73" s="653" t="s">
        <v>9</v>
      </c>
      <c r="B73" s="1238" t="s">
        <v>75</v>
      </c>
      <c r="C73" s="182">
        <f>SUM(C74:C80)</f>
        <v>17146</v>
      </c>
      <c r="D73" s="182">
        <f>SUM(D74:D80)</f>
        <v>17146</v>
      </c>
      <c r="E73" s="182">
        <f>SUM(E74:E80)</f>
        <v>0</v>
      </c>
      <c r="F73" s="91"/>
      <c r="G73" s="1237" t="s">
        <v>76</v>
      </c>
      <c r="H73" s="1466">
        <f>SUM(H74:H81)</f>
        <v>0</v>
      </c>
      <c r="I73" s="1480"/>
      <c r="J73" s="1480"/>
    </row>
    <row r="74" spans="1:10" ht="27.75" customHeight="1" thickBot="1">
      <c r="A74" s="647" t="s">
        <v>23</v>
      </c>
      <c r="B74" s="641" t="s">
        <v>256</v>
      </c>
      <c r="C74" s="11"/>
      <c r="D74" s="181"/>
      <c r="E74" s="181"/>
      <c r="F74" s="179" t="s">
        <v>9</v>
      </c>
      <c r="G74" s="398" t="s">
        <v>260</v>
      </c>
      <c r="H74" s="1470"/>
      <c r="I74" s="1480"/>
      <c r="J74" s="1480"/>
    </row>
    <row r="75" spans="1:10" ht="28.5" customHeight="1">
      <c r="A75" s="647" t="s">
        <v>25</v>
      </c>
      <c r="B75" s="638" t="s">
        <v>416</v>
      </c>
      <c r="C75" s="11"/>
      <c r="D75" s="11"/>
      <c r="E75" s="11"/>
      <c r="F75" s="7" t="s">
        <v>23</v>
      </c>
      <c r="G75" s="395" t="s">
        <v>417</v>
      </c>
      <c r="H75" s="1469"/>
      <c r="I75" s="1480"/>
      <c r="J75" s="1480"/>
    </row>
    <row r="76" spans="1:10" ht="29.25" customHeight="1">
      <c r="A76" s="647" t="s">
        <v>27</v>
      </c>
      <c r="B76" s="638" t="s">
        <v>249</v>
      </c>
      <c r="C76" s="11"/>
      <c r="D76" s="11"/>
      <c r="E76" s="11"/>
      <c r="F76" s="7" t="s">
        <v>25</v>
      </c>
      <c r="G76" s="395" t="s">
        <v>418</v>
      </c>
      <c r="H76" s="1475"/>
      <c r="I76" s="1480"/>
      <c r="J76" s="1480"/>
    </row>
    <row r="77" spans="1:10" ht="27" customHeight="1">
      <c r="A77" s="647" t="s">
        <v>29</v>
      </c>
      <c r="B77" s="638" t="s">
        <v>419</v>
      </c>
      <c r="C77" s="11"/>
      <c r="D77" s="11"/>
      <c r="E77" s="11"/>
      <c r="F77" s="7" t="s">
        <v>27</v>
      </c>
      <c r="G77" s="395" t="s">
        <v>420</v>
      </c>
      <c r="H77" s="1475"/>
      <c r="I77" s="1480"/>
      <c r="J77" s="1480"/>
    </row>
    <row r="78" spans="1:10" ht="37.5" customHeight="1">
      <c r="A78" s="647" t="s">
        <v>31</v>
      </c>
      <c r="B78" s="638" t="s">
        <v>252</v>
      </c>
      <c r="C78" s="11"/>
      <c r="D78" s="11"/>
      <c r="E78" s="11"/>
      <c r="F78" s="7" t="s">
        <v>29</v>
      </c>
      <c r="G78" s="395" t="s">
        <v>422</v>
      </c>
      <c r="H78" s="1477"/>
      <c r="I78" s="1480"/>
      <c r="J78" s="1480"/>
    </row>
    <row r="79" spans="1:10" ht="27.75" customHeight="1">
      <c r="A79" s="647" t="s">
        <v>74</v>
      </c>
      <c r="B79" s="638" t="s">
        <v>253</v>
      </c>
      <c r="C79" s="11"/>
      <c r="D79" s="11"/>
      <c r="E79" s="11"/>
      <c r="F79" s="7" t="s">
        <v>31</v>
      </c>
      <c r="G79" s="395" t="s">
        <v>252</v>
      </c>
      <c r="H79" s="1477"/>
      <c r="I79" s="1480"/>
      <c r="J79" s="1480"/>
    </row>
    <row r="80" spans="1:10" ht="34.5" customHeight="1" thickBot="1">
      <c r="A80" s="644" t="s">
        <v>77</v>
      </c>
      <c r="B80" s="638" t="s">
        <v>254</v>
      </c>
      <c r="C80" s="24">
        <v>17146</v>
      </c>
      <c r="D80" s="24">
        <v>17146</v>
      </c>
      <c r="E80" s="24"/>
      <c r="F80" s="183" t="s">
        <v>74</v>
      </c>
      <c r="G80" s="395" t="s">
        <v>253</v>
      </c>
      <c r="H80" s="1477"/>
      <c r="I80" s="1480"/>
      <c r="J80" s="1480"/>
    </row>
    <row r="81" spans="1:10" ht="15.75" thickBot="1">
      <c r="A81" s="654"/>
      <c r="B81" s="643"/>
      <c r="C81" s="352"/>
      <c r="D81" s="732"/>
      <c r="E81" s="732"/>
      <c r="F81" s="184" t="s">
        <v>77</v>
      </c>
      <c r="G81" s="399"/>
      <c r="H81" s="1477"/>
      <c r="I81" s="1480"/>
      <c r="J81" s="1480"/>
    </row>
    <row r="82" spans="1:10" ht="15.75" thickBot="1">
      <c r="A82" s="1240"/>
      <c r="B82" s="1241" t="s">
        <v>78</v>
      </c>
      <c r="C82" s="1232">
        <f>SUM(C7+C45+C63+C73)</f>
        <v>430803</v>
      </c>
      <c r="D82" s="1232">
        <f>SUM(D7+D45+D63+D73)</f>
        <v>434931</v>
      </c>
      <c r="E82" s="1232">
        <f>SUM(E7+E45+E63+E73)</f>
        <v>0</v>
      </c>
      <c r="F82" s="1233"/>
      <c r="G82" s="718" t="s">
        <v>79</v>
      </c>
      <c r="H82" s="1493">
        <f>SUM(H7+H45+H63+H73)</f>
        <v>430803</v>
      </c>
      <c r="I82" s="1493">
        <f>SUM(I7+I45+I63+I73)</f>
        <v>434931</v>
      </c>
      <c r="J82" s="416">
        <f>SUM(J7+J45+J63+J73)</f>
        <v>0</v>
      </c>
    </row>
  </sheetData>
  <sheetProtection/>
  <mergeCells count="2">
    <mergeCell ref="A3:H3"/>
    <mergeCell ref="F13:F2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5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view="pageBreakPreview" zoomScale="70" zoomScaleSheetLayoutView="70" zoomScalePageLayoutView="0" workbookViewId="0" topLeftCell="A1">
      <selection activeCell="B2" sqref="B2"/>
    </sheetView>
  </sheetViews>
  <sheetFormatPr defaultColWidth="9.00390625" defaultRowHeight="12.75"/>
  <cols>
    <col min="1" max="1" width="6.375" style="25" customWidth="1"/>
    <col min="2" max="2" width="99.00390625" style="25" customWidth="1"/>
    <col min="3" max="7" width="23.875" style="25" customWidth="1"/>
    <col min="8" max="8" width="20.375" style="25" customWidth="1"/>
    <col min="9" max="9" width="18.875" style="25" customWidth="1"/>
    <col min="10" max="10" width="16.50390625" style="25" customWidth="1"/>
    <col min="11" max="11" width="18.00390625" style="25" customWidth="1"/>
    <col min="12" max="16384" width="9.375" style="25" customWidth="1"/>
  </cols>
  <sheetData>
    <row r="1" spans="1:2" ht="12.75">
      <c r="A1" s="186"/>
      <c r="B1" s="187" t="s">
        <v>717</v>
      </c>
    </row>
    <row r="2" spans="1:2" ht="12.75">
      <c r="A2" s="186"/>
      <c r="B2" s="26"/>
    </row>
    <row r="3" spans="1:9" ht="18" customHeight="1">
      <c r="A3" s="186"/>
      <c r="B3" s="27"/>
      <c r="C3" s="27"/>
      <c r="D3" s="27"/>
      <c r="E3" s="27"/>
      <c r="F3" s="27"/>
      <c r="G3" s="27"/>
      <c r="H3" s="27"/>
      <c r="I3" s="27"/>
    </row>
    <row r="4" spans="1:10" ht="44.25" customHeight="1">
      <c r="A4" s="1803" t="s">
        <v>80</v>
      </c>
      <c r="B4" s="1800"/>
      <c r="C4" s="1800"/>
      <c r="D4" s="1800"/>
      <c r="E4" s="1800"/>
      <c r="F4" s="1800"/>
      <c r="G4" s="1800"/>
      <c r="H4" s="1742"/>
      <c r="I4" s="1742"/>
      <c r="J4" s="188"/>
    </row>
    <row r="5" spans="1:10" ht="21" customHeight="1" thickBot="1">
      <c r="A5" s="1804" t="s">
        <v>576</v>
      </c>
      <c r="B5" s="1804"/>
      <c r="C5" s="1804"/>
      <c r="D5" s="1805"/>
      <c r="E5" s="1805"/>
      <c r="F5" s="1805"/>
      <c r="G5" s="1805"/>
      <c r="H5" s="1762"/>
      <c r="I5" s="1762"/>
      <c r="J5" s="189"/>
    </row>
    <row r="6" spans="1:10" s="190" customFormat="1" ht="21" customHeight="1" thickBot="1">
      <c r="A6" s="683" t="s">
        <v>118</v>
      </c>
      <c r="B6" s="697" t="s">
        <v>142</v>
      </c>
      <c r="C6" s="719" t="s">
        <v>363</v>
      </c>
      <c r="D6" s="719" t="s">
        <v>364</v>
      </c>
      <c r="E6" s="719" t="s">
        <v>365</v>
      </c>
      <c r="F6" s="719" t="s">
        <v>366</v>
      </c>
      <c r="G6" s="719" t="s">
        <v>367</v>
      </c>
      <c r="H6" s="719" t="s">
        <v>368</v>
      </c>
      <c r="I6" s="719" t="s">
        <v>230</v>
      </c>
      <c r="J6" s="1337"/>
    </row>
    <row r="7" spans="1:10" ht="13.5" thickBot="1">
      <c r="A7" s="684"/>
      <c r="B7" s="698"/>
      <c r="C7" s="720"/>
      <c r="D7" s="720"/>
      <c r="E7" s="720"/>
      <c r="F7" s="720"/>
      <c r="G7" s="1771"/>
      <c r="H7" s="720"/>
      <c r="I7" s="720" t="s">
        <v>1</v>
      </c>
      <c r="J7" s="30"/>
    </row>
    <row r="8" spans="1:10" s="191" customFormat="1" ht="56.25" customHeight="1" thickBot="1">
      <c r="A8" s="758"/>
      <c r="B8" s="759" t="s">
        <v>2</v>
      </c>
      <c r="C8" s="1405" t="s">
        <v>563</v>
      </c>
      <c r="D8" s="1545" t="s">
        <v>679</v>
      </c>
      <c r="E8" s="1405" t="s">
        <v>563</v>
      </c>
      <c r="F8" s="1545" t="s">
        <v>687</v>
      </c>
      <c r="G8" s="1405" t="s">
        <v>563</v>
      </c>
      <c r="H8" s="1545" t="s">
        <v>703</v>
      </c>
      <c r="I8" s="1770" t="s">
        <v>563</v>
      </c>
      <c r="J8" s="1338"/>
    </row>
    <row r="9" spans="1:10" ht="15" thickBot="1">
      <c r="A9" s="685"/>
      <c r="B9" s="389" t="s">
        <v>4</v>
      </c>
      <c r="C9" s="400">
        <f aca="true" t="shared" si="0" ref="C9:H9">+C10+C23+C38+C50</f>
        <v>1914823</v>
      </c>
      <c r="D9" s="400">
        <f t="shared" si="0"/>
        <v>34524</v>
      </c>
      <c r="E9" s="400">
        <f t="shared" si="0"/>
        <v>1949347</v>
      </c>
      <c r="F9" s="400">
        <f t="shared" si="0"/>
        <v>37665</v>
      </c>
      <c r="G9" s="400">
        <f t="shared" si="0"/>
        <v>1987012</v>
      </c>
      <c r="H9" s="400">
        <f t="shared" si="0"/>
        <v>6136</v>
      </c>
      <c r="I9" s="339">
        <f>SUM(G9:H9)</f>
        <v>1993148</v>
      </c>
      <c r="J9" s="147"/>
    </row>
    <row r="10" spans="1:11" ht="14.25">
      <c r="A10" s="686" t="s">
        <v>6</v>
      </c>
      <c r="B10" s="699" t="s">
        <v>7</v>
      </c>
      <c r="C10" s="413">
        <f aca="true" t="shared" si="1" ref="C10:H10">SUM(C11+C18+C19+C20+C21+C22)</f>
        <v>575876</v>
      </c>
      <c r="D10" s="413">
        <f t="shared" si="1"/>
        <v>34524</v>
      </c>
      <c r="E10" s="413">
        <f t="shared" si="1"/>
        <v>610400</v>
      </c>
      <c r="F10" s="413">
        <f t="shared" si="1"/>
        <v>11961</v>
      </c>
      <c r="G10" s="413">
        <f t="shared" si="1"/>
        <v>622361</v>
      </c>
      <c r="H10" s="413">
        <f t="shared" si="1"/>
        <v>5661</v>
      </c>
      <c r="I10" s="1739">
        <f>SUM(G10:H10)</f>
        <v>628022</v>
      </c>
      <c r="J10" s="147"/>
      <c r="K10" s="147"/>
    </row>
    <row r="11" spans="1:10" ht="14.25">
      <c r="A11" s="687" t="s">
        <v>9</v>
      </c>
      <c r="B11" s="700" t="s">
        <v>10</v>
      </c>
      <c r="C11" s="410">
        <f aca="true" t="shared" si="2" ref="C11:H11">SUM(C12:C17)</f>
        <v>445892</v>
      </c>
      <c r="D11" s="410">
        <f t="shared" si="2"/>
        <v>5980</v>
      </c>
      <c r="E11" s="410">
        <f t="shared" si="2"/>
        <v>451872</v>
      </c>
      <c r="F11" s="410">
        <f t="shared" si="2"/>
        <v>4387</v>
      </c>
      <c r="G11" s="410">
        <f t="shared" si="2"/>
        <v>456259</v>
      </c>
      <c r="H11" s="410">
        <f t="shared" si="2"/>
        <v>0</v>
      </c>
      <c r="I11" s="1499">
        <f>SUM(G11:H11)</f>
        <v>456259</v>
      </c>
      <c r="J11" s="147"/>
    </row>
    <row r="12" spans="1:11" ht="15">
      <c r="A12" s="687"/>
      <c r="B12" s="701" t="s">
        <v>13</v>
      </c>
      <c r="C12" s="402">
        <v>16100</v>
      </c>
      <c r="D12" s="358"/>
      <c r="E12" s="358">
        <f>SUM(C12:D12)</f>
        <v>16100</v>
      </c>
      <c r="F12" s="358"/>
      <c r="G12" s="358">
        <f>SUM(E12:F12)</f>
        <v>16100</v>
      </c>
      <c r="H12" s="358"/>
      <c r="I12" s="358">
        <f>SUM(G12:H12)</f>
        <v>16100</v>
      </c>
      <c r="J12" s="148"/>
      <c r="K12" s="72"/>
    </row>
    <row r="13" spans="1:11" ht="15">
      <c r="A13" s="687"/>
      <c r="B13" s="701" t="s">
        <v>16</v>
      </c>
      <c r="C13" s="402">
        <f>222599+39978</f>
        <v>262577</v>
      </c>
      <c r="D13" s="358"/>
      <c r="E13" s="358">
        <f>SUM(C13:D13)</f>
        <v>262577</v>
      </c>
      <c r="F13" s="358"/>
      <c r="G13" s="358">
        <f aca="true" t="shared" si="3" ref="G13:G22">SUM(E13:F13)</f>
        <v>262577</v>
      </c>
      <c r="H13" s="358"/>
      <c r="I13" s="358">
        <f aca="true" t="shared" si="4" ref="I13:I76">SUM(G13:H13)</f>
        <v>262577</v>
      </c>
      <c r="J13" s="148"/>
      <c r="K13" s="72"/>
    </row>
    <row r="14" spans="1:11" ht="15">
      <c r="A14" s="687"/>
      <c r="B14" s="701" t="s">
        <v>19</v>
      </c>
      <c r="C14" s="402">
        <f>114189+37860</f>
        <v>152049</v>
      </c>
      <c r="D14" s="358">
        <v>4432</v>
      </c>
      <c r="E14" s="358">
        <f>SUM(C14:D14)</f>
        <v>156481</v>
      </c>
      <c r="F14" s="358">
        <v>3077</v>
      </c>
      <c r="G14" s="358">
        <f t="shared" si="3"/>
        <v>159558</v>
      </c>
      <c r="H14" s="358"/>
      <c r="I14" s="358">
        <f t="shared" si="4"/>
        <v>159558</v>
      </c>
      <c r="J14" s="148"/>
      <c r="K14" s="72"/>
    </row>
    <row r="15" spans="1:11" ht="15">
      <c r="A15" s="687"/>
      <c r="B15" s="701" t="s">
        <v>22</v>
      </c>
      <c r="C15" s="402">
        <f>15166</f>
        <v>15166</v>
      </c>
      <c r="D15" s="358">
        <v>771</v>
      </c>
      <c r="E15" s="358">
        <f>SUM(C15:D15)</f>
        <v>15937</v>
      </c>
      <c r="F15" s="358">
        <v>550</v>
      </c>
      <c r="G15" s="358">
        <f t="shared" si="3"/>
        <v>16487</v>
      </c>
      <c r="H15" s="358"/>
      <c r="I15" s="358">
        <f t="shared" si="4"/>
        <v>16487</v>
      </c>
      <c r="J15" s="148"/>
      <c r="K15" s="72"/>
    </row>
    <row r="16" spans="1:11" ht="15">
      <c r="A16" s="687"/>
      <c r="B16" s="701" t="s">
        <v>238</v>
      </c>
      <c r="C16" s="402"/>
      <c r="D16" s="358">
        <v>777</v>
      </c>
      <c r="E16" s="358">
        <f>SUM(C16:D16)</f>
        <v>777</v>
      </c>
      <c r="F16" s="358">
        <v>760</v>
      </c>
      <c r="G16" s="358">
        <f t="shared" si="3"/>
        <v>1537</v>
      </c>
      <c r="H16" s="358"/>
      <c r="I16" s="358">
        <f t="shared" si="4"/>
        <v>1537</v>
      </c>
      <c r="J16" s="148"/>
      <c r="K16" s="72"/>
    </row>
    <row r="17" spans="1:10" ht="15">
      <c r="A17" s="687"/>
      <c r="B17" s="701" t="s">
        <v>239</v>
      </c>
      <c r="C17" s="402"/>
      <c r="D17" s="358"/>
      <c r="E17" s="358"/>
      <c r="F17" s="358"/>
      <c r="G17" s="358">
        <f t="shared" si="3"/>
        <v>0</v>
      </c>
      <c r="H17" s="358"/>
      <c r="I17" s="358">
        <f t="shared" si="4"/>
        <v>0</v>
      </c>
      <c r="J17" s="148"/>
    </row>
    <row r="18" spans="1:10" ht="15">
      <c r="A18" s="687" t="s">
        <v>23</v>
      </c>
      <c r="B18" s="702" t="s">
        <v>24</v>
      </c>
      <c r="C18" s="412"/>
      <c r="D18" s="731"/>
      <c r="E18" s="731"/>
      <c r="F18" s="731"/>
      <c r="G18" s="358">
        <f t="shared" si="3"/>
        <v>0</v>
      </c>
      <c r="H18" s="358"/>
      <c r="I18" s="358">
        <f t="shared" si="4"/>
        <v>0</v>
      </c>
      <c r="J18" s="148"/>
    </row>
    <row r="19" spans="1:10" ht="28.5">
      <c r="A19" s="687" t="s">
        <v>25</v>
      </c>
      <c r="B19" s="702" t="s">
        <v>26</v>
      </c>
      <c r="C19" s="412"/>
      <c r="D19" s="731"/>
      <c r="E19" s="731"/>
      <c r="F19" s="731"/>
      <c r="G19" s="358">
        <f t="shared" si="3"/>
        <v>0</v>
      </c>
      <c r="H19" s="358"/>
      <c r="I19" s="358">
        <f t="shared" si="4"/>
        <v>0</v>
      </c>
      <c r="J19" s="148"/>
    </row>
    <row r="20" spans="1:10" s="83" customFormat="1" ht="28.5">
      <c r="A20" s="687" t="s">
        <v>27</v>
      </c>
      <c r="B20" s="702" t="s">
        <v>28</v>
      </c>
      <c r="C20" s="412"/>
      <c r="D20" s="731"/>
      <c r="E20" s="731"/>
      <c r="F20" s="731"/>
      <c r="G20" s="358">
        <f>SUM(E20:F20)</f>
        <v>0</v>
      </c>
      <c r="H20" s="358"/>
      <c r="I20" s="358">
        <f t="shared" si="4"/>
        <v>0</v>
      </c>
      <c r="J20" s="148"/>
    </row>
    <row r="21" spans="1:10" ht="28.5">
      <c r="A21" s="687" t="s">
        <v>29</v>
      </c>
      <c r="B21" s="702" t="s">
        <v>30</v>
      </c>
      <c r="C21" s="412"/>
      <c r="D21" s="731"/>
      <c r="E21" s="731"/>
      <c r="F21" s="731"/>
      <c r="G21" s="358">
        <f t="shared" si="3"/>
        <v>0</v>
      </c>
      <c r="H21" s="358"/>
      <c r="I21" s="358">
        <f t="shared" si="4"/>
        <v>0</v>
      </c>
      <c r="J21" s="148"/>
    </row>
    <row r="22" spans="1:11" ht="23.25" customHeight="1" thickBot="1">
      <c r="A22" s="687" t="s">
        <v>31</v>
      </c>
      <c r="B22" s="1766" t="s">
        <v>32</v>
      </c>
      <c r="C22" s="1767">
        <v>129984</v>
      </c>
      <c r="D22" s="1763">
        <f>3983+24561</f>
        <v>28544</v>
      </c>
      <c r="E22" s="1763">
        <f>SUM(C22:D22)</f>
        <v>158528</v>
      </c>
      <c r="F22" s="1763">
        <f>7098+476</f>
        <v>7574</v>
      </c>
      <c r="G22" s="1763">
        <f t="shared" si="3"/>
        <v>166102</v>
      </c>
      <c r="H22" s="1763">
        <v>5661</v>
      </c>
      <c r="I22" s="1763">
        <f t="shared" si="4"/>
        <v>171763</v>
      </c>
      <c r="J22" s="148"/>
      <c r="K22" s="72"/>
    </row>
    <row r="23" spans="1:10" ht="15" thickBot="1">
      <c r="A23" s="688" t="s">
        <v>11</v>
      </c>
      <c r="B23" s="389" t="s">
        <v>33</v>
      </c>
      <c r="C23" s="400">
        <f>SUM(C24+C27+C31+C37)</f>
        <v>1081000</v>
      </c>
      <c r="D23" s="400">
        <f>SUM(D24+D27+D31+D37)</f>
        <v>0</v>
      </c>
      <c r="E23" s="400">
        <f>SUM(E24+E27+E31+E37)</f>
        <v>1081000</v>
      </c>
      <c r="F23" s="400">
        <f>SUM(F24+F27+F31+F37)</f>
        <v>0</v>
      </c>
      <c r="G23" s="400">
        <f>SUM(G24+G27+G31+G37)</f>
        <v>1081000</v>
      </c>
      <c r="H23" s="400"/>
      <c r="I23" s="1769">
        <f t="shared" si="4"/>
        <v>1081000</v>
      </c>
      <c r="J23" s="147"/>
    </row>
    <row r="24" spans="1:10" ht="15">
      <c r="A24" s="688"/>
      <c r="B24" s="1768" t="s">
        <v>262</v>
      </c>
      <c r="C24" s="411"/>
      <c r="D24" s="1760"/>
      <c r="E24" s="1760"/>
      <c r="F24" s="1760"/>
      <c r="G24" s="1760"/>
      <c r="H24" s="1760"/>
      <c r="I24" s="1764">
        <f t="shared" si="4"/>
        <v>0</v>
      </c>
      <c r="J24" s="1339"/>
    </row>
    <row r="25" spans="1:10" ht="15">
      <c r="A25" s="688"/>
      <c r="B25" s="704" t="s">
        <v>241</v>
      </c>
      <c r="C25" s="402"/>
      <c r="D25" s="358"/>
      <c r="E25" s="358"/>
      <c r="F25" s="358"/>
      <c r="G25" s="358"/>
      <c r="H25" s="358"/>
      <c r="I25" s="358">
        <f t="shared" si="4"/>
        <v>0</v>
      </c>
      <c r="J25" s="1339"/>
    </row>
    <row r="26" spans="1:10" ht="15">
      <c r="A26" s="688"/>
      <c r="B26" s="704" t="s">
        <v>242</v>
      </c>
      <c r="C26" s="402"/>
      <c r="D26" s="358"/>
      <c r="E26" s="358"/>
      <c r="F26" s="358"/>
      <c r="G26" s="358"/>
      <c r="H26" s="358"/>
      <c r="I26" s="358">
        <f t="shared" si="4"/>
        <v>0</v>
      </c>
      <c r="J26" s="1339"/>
    </row>
    <row r="27" spans="1:10" ht="15">
      <c r="A27" s="688"/>
      <c r="B27" s="704" t="s">
        <v>81</v>
      </c>
      <c r="C27" s="402">
        <v>208000</v>
      </c>
      <c r="D27" s="358"/>
      <c r="E27" s="358">
        <f>SUM(C27:D27)</f>
        <v>208000</v>
      </c>
      <c r="F27" s="358"/>
      <c r="G27" s="358">
        <f>SUM(E27:F27)</f>
        <v>208000</v>
      </c>
      <c r="H27" s="358"/>
      <c r="I27" s="358">
        <f t="shared" si="4"/>
        <v>208000</v>
      </c>
      <c r="J27" s="1339"/>
    </row>
    <row r="28" spans="1:10" ht="15">
      <c r="A28" s="688"/>
      <c r="B28" s="350" t="s">
        <v>445</v>
      </c>
      <c r="C28" s="412">
        <v>208000</v>
      </c>
      <c r="D28" s="731"/>
      <c r="E28" s="358">
        <f aca="true" t="shared" si="5" ref="E28:E37">SUM(C28:D28)</f>
        <v>208000</v>
      </c>
      <c r="F28" s="731"/>
      <c r="G28" s="358">
        <f aca="true" t="shared" si="6" ref="G28:G37">SUM(E28:F28)</f>
        <v>208000</v>
      </c>
      <c r="H28" s="358"/>
      <c r="I28" s="358">
        <f t="shared" si="4"/>
        <v>208000</v>
      </c>
      <c r="J28" s="1339"/>
    </row>
    <row r="29" spans="1:10" ht="15">
      <c r="A29" s="688"/>
      <c r="B29" s="350" t="s">
        <v>446</v>
      </c>
      <c r="C29" s="412"/>
      <c r="D29" s="731"/>
      <c r="E29" s="358">
        <f t="shared" si="5"/>
        <v>0</v>
      </c>
      <c r="F29" s="731"/>
      <c r="G29" s="358">
        <f t="shared" si="6"/>
        <v>0</v>
      </c>
      <c r="H29" s="358"/>
      <c r="I29" s="358">
        <f t="shared" si="4"/>
        <v>0</v>
      </c>
      <c r="J29" s="1339"/>
    </row>
    <row r="30" spans="1:10" ht="15">
      <c r="A30" s="688"/>
      <c r="B30" s="705" t="s">
        <v>447</v>
      </c>
      <c r="C30" s="412"/>
      <c r="D30" s="731"/>
      <c r="E30" s="358">
        <f t="shared" si="5"/>
        <v>0</v>
      </c>
      <c r="F30" s="731"/>
      <c r="G30" s="358">
        <f t="shared" si="6"/>
        <v>0</v>
      </c>
      <c r="H30" s="358"/>
      <c r="I30" s="358">
        <f t="shared" si="4"/>
        <v>0</v>
      </c>
      <c r="J30" s="1339"/>
    </row>
    <row r="31" spans="1:10" ht="15">
      <c r="A31" s="688"/>
      <c r="B31" s="704" t="s">
        <v>82</v>
      </c>
      <c r="C31" s="412">
        <f>SUM(C32:C36)</f>
        <v>870000</v>
      </c>
      <c r="D31" s="731"/>
      <c r="E31" s="358">
        <f t="shared" si="5"/>
        <v>870000</v>
      </c>
      <c r="F31" s="731"/>
      <c r="G31" s="358">
        <f t="shared" si="6"/>
        <v>870000</v>
      </c>
      <c r="H31" s="358"/>
      <c r="I31" s="358">
        <f t="shared" si="4"/>
        <v>870000</v>
      </c>
      <c r="J31" s="1339"/>
    </row>
    <row r="32" spans="1:10" ht="15">
      <c r="A32" s="688"/>
      <c r="B32" s="350" t="s">
        <v>448</v>
      </c>
      <c r="C32" s="412">
        <v>830000</v>
      </c>
      <c r="D32" s="731"/>
      <c r="E32" s="358">
        <f t="shared" si="5"/>
        <v>830000</v>
      </c>
      <c r="F32" s="731"/>
      <c r="G32" s="358">
        <f t="shared" si="6"/>
        <v>830000</v>
      </c>
      <c r="H32" s="358"/>
      <c r="I32" s="358">
        <f t="shared" si="4"/>
        <v>830000</v>
      </c>
      <c r="J32" s="1339"/>
    </row>
    <row r="33" spans="1:10" ht="15">
      <c r="A33" s="688"/>
      <c r="B33" s="350" t="s">
        <v>449</v>
      </c>
      <c r="C33" s="412">
        <v>1000</v>
      </c>
      <c r="D33" s="731"/>
      <c r="E33" s="358">
        <f t="shared" si="5"/>
        <v>1000</v>
      </c>
      <c r="F33" s="731"/>
      <c r="G33" s="358">
        <f t="shared" si="6"/>
        <v>1000</v>
      </c>
      <c r="H33" s="358"/>
      <c r="I33" s="358">
        <f t="shared" si="4"/>
        <v>1000</v>
      </c>
      <c r="J33" s="1339"/>
    </row>
    <row r="34" spans="1:10" ht="15">
      <c r="A34" s="688"/>
      <c r="B34" s="704" t="s">
        <v>263</v>
      </c>
      <c r="C34" s="412"/>
      <c r="D34" s="731"/>
      <c r="E34" s="358">
        <f t="shared" si="5"/>
        <v>0</v>
      </c>
      <c r="F34" s="731"/>
      <c r="G34" s="358">
        <f t="shared" si="6"/>
        <v>0</v>
      </c>
      <c r="H34" s="358"/>
      <c r="I34" s="358">
        <f t="shared" si="4"/>
        <v>0</v>
      </c>
      <c r="J34" s="1339"/>
    </row>
    <row r="35" spans="1:10" ht="15">
      <c r="A35" s="688"/>
      <c r="B35" s="704" t="s">
        <v>264</v>
      </c>
      <c r="C35" s="412"/>
      <c r="D35" s="731"/>
      <c r="E35" s="358">
        <f t="shared" si="5"/>
        <v>0</v>
      </c>
      <c r="F35" s="731"/>
      <c r="G35" s="358">
        <f t="shared" si="6"/>
        <v>0</v>
      </c>
      <c r="H35" s="358"/>
      <c r="I35" s="358">
        <f t="shared" si="4"/>
        <v>0</v>
      </c>
      <c r="J35" s="1339"/>
    </row>
    <row r="36" spans="1:12" ht="15">
      <c r="A36" s="688"/>
      <c r="B36" s="704" t="s">
        <v>265</v>
      </c>
      <c r="C36" s="412">
        <v>39000</v>
      </c>
      <c r="D36" s="731"/>
      <c r="E36" s="358">
        <f t="shared" si="5"/>
        <v>39000</v>
      </c>
      <c r="F36" s="731"/>
      <c r="G36" s="358">
        <f t="shared" si="6"/>
        <v>39000</v>
      </c>
      <c r="H36" s="358"/>
      <c r="I36" s="358">
        <f t="shared" si="4"/>
        <v>39000</v>
      </c>
      <c r="J36" s="1339"/>
      <c r="L36" s="72"/>
    </row>
    <row r="37" spans="1:10" ht="15.75" thickBot="1">
      <c r="A37" s="689"/>
      <c r="B37" s="706" t="s">
        <v>83</v>
      </c>
      <c r="C37" s="414">
        <v>3000</v>
      </c>
      <c r="D37" s="731"/>
      <c r="E37" s="358">
        <f t="shared" si="5"/>
        <v>3000</v>
      </c>
      <c r="F37" s="731"/>
      <c r="G37" s="1763">
        <f t="shared" si="6"/>
        <v>3000</v>
      </c>
      <c r="H37" s="1763"/>
      <c r="I37" s="1763">
        <f t="shared" si="4"/>
        <v>3000</v>
      </c>
      <c r="J37" s="1339"/>
    </row>
    <row r="38" spans="1:11" ht="15" thickBot="1">
      <c r="A38" s="341" t="s">
        <v>14</v>
      </c>
      <c r="B38" s="707" t="s">
        <v>34</v>
      </c>
      <c r="C38" s="339">
        <f>SUM(C39:C49)</f>
        <v>257740</v>
      </c>
      <c r="D38" s="339">
        <f>SUM(D39:D49)</f>
        <v>0</v>
      </c>
      <c r="E38" s="339">
        <f>SUM(E39:E49)</f>
        <v>257740</v>
      </c>
      <c r="F38" s="339">
        <f>SUM(F39:F49)</f>
        <v>23116</v>
      </c>
      <c r="G38" s="339">
        <f>SUM(G39:G49)</f>
        <v>280856</v>
      </c>
      <c r="H38" s="339"/>
      <c r="I38" s="1765">
        <f t="shared" si="4"/>
        <v>280856</v>
      </c>
      <c r="J38" s="147"/>
      <c r="K38" s="72"/>
    </row>
    <row r="39" spans="1:10" ht="15">
      <c r="A39" s="690"/>
      <c r="B39" s="708" t="s">
        <v>35</v>
      </c>
      <c r="C39" s="411"/>
      <c r="D39" s="731"/>
      <c r="E39" s="731"/>
      <c r="F39" s="731">
        <v>156</v>
      </c>
      <c r="G39" s="1760">
        <f>SUM(E39:F39)</f>
        <v>156</v>
      </c>
      <c r="H39" s="1760"/>
      <c r="I39" s="1764">
        <f t="shared" si="4"/>
        <v>156</v>
      </c>
      <c r="J39" s="1339"/>
    </row>
    <row r="40" spans="1:10" ht="15">
      <c r="A40" s="688"/>
      <c r="B40" s="709" t="s">
        <v>36</v>
      </c>
      <c r="C40" s="430">
        <f>126769-460-26109+540+34973-7200+6642+4400+5525+40+60+50+336+2400+3650+790+250+650+2</f>
        <v>153308</v>
      </c>
      <c r="D40" s="1544"/>
      <c r="E40" s="1544">
        <f>SUM(C40:D40)</f>
        <v>153308</v>
      </c>
      <c r="F40" s="1544"/>
      <c r="G40" s="731">
        <f aca="true" t="shared" si="7" ref="G40:G49">SUM(E40:F40)</f>
        <v>153308</v>
      </c>
      <c r="H40" s="731"/>
      <c r="I40" s="358">
        <f t="shared" si="4"/>
        <v>153308</v>
      </c>
      <c r="J40" s="1339"/>
    </row>
    <row r="41" spans="1:10" ht="15">
      <c r="A41" s="688"/>
      <c r="B41" s="709" t="s">
        <v>266</v>
      </c>
      <c r="C41" s="430">
        <f>500+550+600+500+5500+3+1+10+33+1143</f>
        <v>8840</v>
      </c>
      <c r="D41" s="1544"/>
      <c r="E41" s="1544">
        <f aca="true" t="shared" si="8" ref="E41:E49">SUM(C41:D41)</f>
        <v>8840</v>
      </c>
      <c r="F41" s="1544"/>
      <c r="G41" s="731">
        <f t="shared" si="7"/>
        <v>8840</v>
      </c>
      <c r="H41" s="731"/>
      <c r="I41" s="358">
        <f t="shared" si="4"/>
        <v>8840</v>
      </c>
      <c r="J41" s="1339"/>
    </row>
    <row r="42" spans="1:10" s="83" customFormat="1" ht="15">
      <c r="A42" s="688"/>
      <c r="B42" s="709" t="s">
        <v>38</v>
      </c>
      <c r="C42" s="430">
        <v>460</v>
      </c>
      <c r="D42" s="1544"/>
      <c r="E42" s="1544">
        <f t="shared" si="8"/>
        <v>460</v>
      </c>
      <c r="F42" s="1544"/>
      <c r="G42" s="731">
        <f t="shared" si="7"/>
        <v>460</v>
      </c>
      <c r="H42" s="731"/>
      <c r="I42" s="358">
        <f t="shared" si="4"/>
        <v>460</v>
      </c>
      <c r="J42" s="1339"/>
    </row>
    <row r="43" spans="1:10" s="83" customFormat="1" ht="15">
      <c r="A43" s="688"/>
      <c r="B43" s="709" t="s">
        <v>39</v>
      </c>
      <c r="C43" s="430">
        <f>38000+1560+4650</f>
        <v>44210</v>
      </c>
      <c r="D43" s="1544"/>
      <c r="E43" s="1544">
        <f t="shared" si="8"/>
        <v>44210</v>
      </c>
      <c r="F43" s="1544"/>
      <c r="G43" s="731">
        <f t="shared" si="7"/>
        <v>44210</v>
      </c>
      <c r="H43" s="731"/>
      <c r="I43" s="358">
        <f t="shared" si="4"/>
        <v>44210</v>
      </c>
      <c r="J43" s="1339"/>
    </row>
    <row r="44" spans="1:10" ht="15">
      <c r="A44" s="688"/>
      <c r="B44" s="709" t="s">
        <v>40</v>
      </c>
      <c r="C44" s="430">
        <f>26109+145+7200+1454+11583+1640+91+625+7+1633+1+180+243+1</f>
        <v>50912</v>
      </c>
      <c r="D44" s="1544"/>
      <c r="E44" s="1544">
        <f t="shared" si="8"/>
        <v>50912</v>
      </c>
      <c r="F44" s="1544">
        <v>33</v>
      </c>
      <c r="G44" s="731">
        <f t="shared" si="7"/>
        <v>50945</v>
      </c>
      <c r="H44" s="731"/>
      <c r="I44" s="358">
        <f t="shared" si="4"/>
        <v>50945</v>
      </c>
      <c r="J44" s="1339"/>
    </row>
    <row r="45" spans="1:10" ht="15">
      <c r="A45" s="688"/>
      <c r="B45" s="709" t="s">
        <v>41</v>
      </c>
      <c r="C45" s="430"/>
      <c r="D45" s="1544"/>
      <c r="E45" s="1544">
        <f t="shared" si="8"/>
        <v>0</v>
      </c>
      <c r="F45" s="1544"/>
      <c r="G45" s="731">
        <f t="shared" si="7"/>
        <v>0</v>
      </c>
      <c r="H45" s="731"/>
      <c r="I45" s="358">
        <f t="shared" si="4"/>
        <v>0</v>
      </c>
      <c r="J45" s="1339"/>
    </row>
    <row r="46" spans="1:10" ht="15">
      <c r="A46" s="688"/>
      <c r="B46" s="709" t="s">
        <v>42</v>
      </c>
      <c r="C46" s="430">
        <v>10</v>
      </c>
      <c r="D46" s="1544"/>
      <c r="E46" s="1544">
        <f t="shared" si="8"/>
        <v>10</v>
      </c>
      <c r="F46" s="1544"/>
      <c r="G46" s="731">
        <f t="shared" si="7"/>
        <v>10</v>
      </c>
      <c r="H46" s="731"/>
      <c r="I46" s="358">
        <f t="shared" si="4"/>
        <v>10</v>
      </c>
      <c r="J46" s="1339"/>
    </row>
    <row r="47" spans="1:10" ht="15">
      <c r="A47" s="688"/>
      <c r="B47" s="709" t="s">
        <v>43</v>
      </c>
      <c r="C47" s="412"/>
      <c r="D47" s="731"/>
      <c r="E47" s="1544">
        <f t="shared" si="8"/>
        <v>0</v>
      </c>
      <c r="F47" s="731"/>
      <c r="G47" s="731">
        <f t="shared" si="7"/>
        <v>0</v>
      </c>
      <c r="H47" s="731"/>
      <c r="I47" s="358">
        <f t="shared" si="4"/>
        <v>0</v>
      </c>
      <c r="J47" s="1339"/>
    </row>
    <row r="48" spans="1:10" ht="15">
      <c r="A48" s="688"/>
      <c r="B48" s="709" t="s">
        <v>244</v>
      </c>
      <c r="C48" s="412"/>
      <c r="D48" s="731"/>
      <c r="E48" s="1544">
        <f t="shared" si="8"/>
        <v>0</v>
      </c>
      <c r="F48" s="731">
        <v>638</v>
      </c>
      <c r="G48" s="731">
        <f t="shared" si="7"/>
        <v>638</v>
      </c>
      <c r="H48" s="731"/>
      <c r="I48" s="358">
        <f t="shared" si="4"/>
        <v>638</v>
      </c>
      <c r="J48" s="1339"/>
    </row>
    <row r="49" spans="1:10" ht="15.75" thickBot="1">
      <c r="A49" s="688"/>
      <c r="B49" s="709" t="s">
        <v>44</v>
      </c>
      <c r="C49" s="412"/>
      <c r="D49" s="731"/>
      <c r="E49" s="1544">
        <f t="shared" si="8"/>
        <v>0</v>
      </c>
      <c r="F49" s="731">
        <v>22289</v>
      </c>
      <c r="G49" s="731">
        <f t="shared" si="7"/>
        <v>22289</v>
      </c>
      <c r="H49" s="1761"/>
      <c r="I49" s="1763">
        <f t="shared" si="4"/>
        <v>22289</v>
      </c>
      <c r="J49" s="1339"/>
    </row>
    <row r="50" spans="1:10" ht="15" thickBot="1">
      <c r="A50" s="688" t="s">
        <v>17</v>
      </c>
      <c r="B50" s="703" t="s">
        <v>45</v>
      </c>
      <c r="C50" s="410">
        <f aca="true" t="shared" si="9" ref="C50:H50">SUM(C51:C55)</f>
        <v>207</v>
      </c>
      <c r="D50" s="410">
        <f t="shared" si="9"/>
        <v>0</v>
      </c>
      <c r="E50" s="410">
        <f t="shared" si="9"/>
        <v>207</v>
      </c>
      <c r="F50" s="410">
        <f t="shared" si="9"/>
        <v>2588</v>
      </c>
      <c r="G50" s="410">
        <f t="shared" si="9"/>
        <v>2795</v>
      </c>
      <c r="H50" s="339">
        <f t="shared" si="9"/>
        <v>475</v>
      </c>
      <c r="I50" s="1765">
        <f t="shared" si="4"/>
        <v>3270</v>
      </c>
      <c r="J50" s="147"/>
    </row>
    <row r="51" spans="1:10" ht="30">
      <c r="A51" s="691"/>
      <c r="B51" s="710" t="s">
        <v>46</v>
      </c>
      <c r="C51" s="412"/>
      <c r="D51" s="731"/>
      <c r="E51" s="731"/>
      <c r="F51" s="731"/>
      <c r="G51" s="731"/>
      <c r="H51" s="1760"/>
      <c r="I51" s="1764">
        <f t="shared" si="4"/>
        <v>0</v>
      </c>
      <c r="J51" s="1339"/>
    </row>
    <row r="52" spans="1:10" ht="15">
      <c r="A52" s="691"/>
      <c r="B52" s="711" t="s">
        <v>245</v>
      </c>
      <c r="C52" s="412"/>
      <c r="D52" s="731"/>
      <c r="E52" s="731"/>
      <c r="F52" s="731"/>
      <c r="G52" s="731"/>
      <c r="H52" s="731"/>
      <c r="I52" s="358">
        <f t="shared" si="4"/>
        <v>0</v>
      </c>
      <c r="J52" s="1339"/>
    </row>
    <row r="53" spans="1:10" ht="30">
      <c r="A53" s="691"/>
      <c r="B53" s="711" t="s">
        <v>246</v>
      </c>
      <c r="C53" s="414"/>
      <c r="D53" s="731"/>
      <c r="E53" s="731"/>
      <c r="F53" s="731"/>
      <c r="G53" s="731"/>
      <c r="H53" s="731"/>
      <c r="I53" s="358">
        <f t="shared" si="4"/>
        <v>0</v>
      </c>
      <c r="J53" s="1339"/>
    </row>
    <row r="54" spans="1:10" ht="15">
      <c r="A54" s="691"/>
      <c r="B54" s="711" t="s">
        <v>47</v>
      </c>
      <c r="C54" s="412"/>
      <c r="D54" s="731"/>
      <c r="E54" s="731"/>
      <c r="F54" s="731"/>
      <c r="G54" s="731"/>
      <c r="H54" s="731"/>
      <c r="I54" s="358">
        <f t="shared" si="4"/>
        <v>0</v>
      </c>
      <c r="J54" s="30"/>
    </row>
    <row r="55" spans="1:10" ht="15.75" thickBot="1">
      <c r="A55" s="692"/>
      <c r="B55" s="712" t="s">
        <v>48</v>
      </c>
      <c r="C55" s="721">
        <v>207</v>
      </c>
      <c r="D55" s="1499"/>
      <c r="E55" s="1499">
        <f>SUM(C55:D55)</f>
        <v>207</v>
      </c>
      <c r="F55" s="1499">
        <v>2588</v>
      </c>
      <c r="G55" s="1499">
        <f>SUM(E55:F55)</f>
        <v>2795</v>
      </c>
      <c r="H55" s="1499">
        <v>475</v>
      </c>
      <c r="I55" s="358">
        <f t="shared" si="4"/>
        <v>3270</v>
      </c>
      <c r="J55" s="1339"/>
    </row>
    <row r="56" spans="1:10" ht="15.75" thickBot="1">
      <c r="A56" s="341" t="s">
        <v>20</v>
      </c>
      <c r="B56" s="713" t="s">
        <v>51</v>
      </c>
      <c r="C56" s="339">
        <f>SUM(C57:C61)</f>
        <v>253546</v>
      </c>
      <c r="D56" s="339">
        <f>SUM(D57:D61)</f>
        <v>0</v>
      </c>
      <c r="E56" s="339">
        <f>SUM(E57:E61)</f>
        <v>253546</v>
      </c>
      <c r="F56" s="339">
        <f>SUM(F57:F61)</f>
        <v>0</v>
      </c>
      <c r="G56" s="339">
        <f>SUM(G57:G61)</f>
        <v>253546</v>
      </c>
      <c r="H56" s="1499"/>
      <c r="I56" s="358">
        <f t="shared" si="4"/>
        <v>253546</v>
      </c>
      <c r="J56" s="147"/>
    </row>
    <row r="57" spans="1:10" s="191" customFormat="1" ht="19.5" customHeight="1">
      <c r="A57" s="690"/>
      <c r="B57" s="714" t="s">
        <v>54</v>
      </c>
      <c r="C57" s="411"/>
      <c r="D57" s="731"/>
      <c r="E57" s="731"/>
      <c r="F57" s="731"/>
      <c r="G57" s="731"/>
      <c r="H57" s="731"/>
      <c r="I57" s="358">
        <f t="shared" si="4"/>
        <v>0</v>
      </c>
      <c r="J57" s="1340"/>
    </row>
    <row r="58" spans="1:10" s="191" customFormat="1" ht="31.5" customHeight="1">
      <c r="A58" s="688"/>
      <c r="B58" s="701" t="s">
        <v>57</v>
      </c>
      <c r="C58" s="412"/>
      <c r="D58" s="731"/>
      <c r="E58" s="731"/>
      <c r="F58" s="731"/>
      <c r="G58" s="731"/>
      <c r="H58" s="731"/>
      <c r="I58" s="358">
        <f t="shared" si="4"/>
        <v>0</v>
      </c>
      <c r="J58" s="1340"/>
    </row>
    <row r="59" spans="1:10" s="191" customFormat="1" ht="30.75" customHeight="1">
      <c r="A59" s="688"/>
      <c r="B59" s="701" t="s">
        <v>60</v>
      </c>
      <c r="C59" s="412"/>
      <c r="D59" s="731"/>
      <c r="E59" s="731"/>
      <c r="F59" s="731"/>
      <c r="G59" s="731"/>
      <c r="H59" s="731"/>
      <c r="I59" s="358">
        <f t="shared" si="4"/>
        <v>0</v>
      </c>
      <c r="J59" s="1340"/>
    </row>
    <row r="60" spans="1:10" s="191" customFormat="1" ht="28.5" customHeight="1">
      <c r="A60" s="688"/>
      <c r="B60" s="701" t="s">
        <v>61</v>
      </c>
      <c r="C60" s="412"/>
      <c r="D60" s="731"/>
      <c r="E60" s="731"/>
      <c r="F60" s="731"/>
      <c r="G60" s="731"/>
      <c r="H60" s="731"/>
      <c r="I60" s="358">
        <f t="shared" si="4"/>
        <v>0</v>
      </c>
      <c r="J60" s="1340"/>
    </row>
    <row r="61" spans="1:10" ht="15.75" thickBot="1">
      <c r="A61" s="689"/>
      <c r="B61" s="715" t="s">
        <v>62</v>
      </c>
      <c r="C61" s="414">
        <v>253546</v>
      </c>
      <c r="D61" s="731"/>
      <c r="E61" s="731">
        <f>SUM(C61:D61)</f>
        <v>253546</v>
      </c>
      <c r="F61" s="731"/>
      <c r="G61" s="731">
        <f>SUM(E61:F61)</f>
        <v>253546</v>
      </c>
      <c r="H61" s="731"/>
      <c r="I61" s="358">
        <f t="shared" si="4"/>
        <v>253546</v>
      </c>
      <c r="J61" s="1340"/>
    </row>
    <row r="62" spans="1:10" ht="15.75" thickBot="1">
      <c r="A62" s="341" t="s">
        <v>52</v>
      </c>
      <c r="B62" s="716" t="s">
        <v>63</v>
      </c>
      <c r="C62" s="339">
        <f aca="true" t="shared" si="10" ref="C62:H62">SUM(C63:C67)</f>
        <v>0</v>
      </c>
      <c r="D62" s="339">
        <f t="shared" si="10"/>
        <v>0</v>
      </c>
      <c r="E62" s="339">
        <f t="shared" si="10"/>
        <v>0</v>
      </c>
      <c r="F62" s="339">
        <f t="shared" si="10"/>
        <v>0</v>
      </c>
      <c r="G62" s="339">
        <f t="shared" si="10"/>
        <v>0</v>
      </c>
      <c r="H62" s="339">
        <f t="shared" si="10"/>
        <v>400</v>
      </c>
      <c r="I62" s="358">
        <f t="shared" si="4"/>
        <v>400</v>
      </c>
      <c r="J62" s="147"/>
    </row>
    <row r="63" spans="1:10" ht="15">
      <c r="A63" s="690"/>
      <c r="B63" s="708" t="s">
        <v>64</v>
      </c>
      <c r="C63" s="411"/>
      <c r="D63" s="731"/>
      <c r="E63" s="731"/>
      <c r="F63" s="731"/>
      <c r="G63" s="731"/>
      <c r="H63" s="731"/>
      <c r="I63" s="358">
        <f t="shared" si="4"/>
        <v>0</v>
      </c>
      <c r="J63" s="1339"/>
    </row>
    <row r="64" spans="1:10" s="191" customFormat="1" ht="21" customHeight="1">
      <c r="A64" s="688"/>
      <c r="B64" s="709" t="s">
        <v>65</v>
      </c>
      <c r="C64" s="412"/>
      <c r="D64" s="731"/>
      <c r="E64" s="731"/>
      <c r="F64" s="731"/>
      <c r="G64" s="731"/>
      <c r="H64" s="731"/>
      <c r="I64" s="358">
        <f t="shared" si="4"/>
        <v>0</v>
      </c>
      <c r="J64" s="1339"/>
    </row>
    <row r="65" spans="1:10" s="191" customFormat="1" ht="21" customHeight="1">
      <c r="A65" s="688"/>
      <c r="B65" s="709" t="s">
        <v>66</v>
      </c>
      <c r="C65" s="412"/>
      <c r="D65" s="731"/>
      <c r="E65" s="731"/>
      <c r="F65" s="731"/>
      <c r="G65" s="731"/>
      <c r="H65" s="731">
        <v>400</v>
      </c>
      <c r="I65" s="358">
        <f t="shared" si="4"/>
        <v>400</v>
      </c>
      <c r="J65" s="1339"/>
    </row>
    <row r="66" spans="1:10" ht="15">
      <c r="A66" s="688"/>
      <c r="B66" s="709" t="s">
        <v>67</v>
      </c>
      <c r="C66" s="412"/>
      <c r="D66" s="731"/>
      <c r="E66" s="731"/>
      <c r="F66" s="731"/>
      <c r="G66" s="731"/>
      <c r="H66" s="731"/>
      <c r="I66" s="358">
        <f t="shared" si="4"/>
        <v>0</v>
      </c>
      <c r="J66" s="1339"/>
    </row>
    <row r="67" spans="1:10" ht="27" customHeight="1">
      <c r="A67" s="688"/>
      <c r="B67" s="709" t="s">
        <v>68</v>
      </c>
      <c r="C67" s="412"/>
      <c r="D67" s="731"/>
      <c r="E67" s="731"/>
      <c r="F67" s="731"/>
      <c r="G67" s="731"/>
      <c r="H67" s="731"/>
      <c r="I67" s="358">
        <f t="shared" si="4"/>
        <v>0</v>
      </c>
      <c r="J67" s="1339"/>
    </row>
    <row r="68" spans="1:10" ht="32.25" customHeight="1">
      <c r="A68" s="688" t="s">
        <v>55</v>
      </c>
      <c r="B68" s="703" t="s">
        <v>69</v>
      </c>
      <c r="C68" s="410">
        <f>SUM(C69:C72)</f>
        <v>420</v>
      </c>
      <c r="D68" s="410">
        <f>SUM(D69:D72)</f>
        <v>0</v>
      </c>
      <c r="E68" s="410">
        <f>SUM(E69:E72)</f>
        <v>420</v>
      </c>
      <c r="F68" s="410">
        <f>SUM(F69:F72)</f>
        <v>0</v>
      </c>
      <c r="G68" s="410">
        <f>SUM(G69:G72)</f>
        <v>420</v>
      </c>
      <c r="H68" s="1499"/>
      <c r="I68" s="358">
        <f t="shared" si="4"/>
        <v>420</v>
      </c>
      <c r="J68" s="147"/>
    </row>
    <row r="69" spans="1:10" ht="32.25" customHeight="1">
      <c r="A69" s="692"/>
      <c r="B69" s="709" t="s">
        <v>70</v>
      </c>
      <c r="C69" s="762"/>
      <c r="D69" s="731"/>
      <c r="E69" s="731"/>
      <c r="F69" s="731"/>
      <c r="G69" s="731"/>
      <c r="H69" s="731"/>
      <c r="I69" s="358">
        <f t="shared" si="4"/>
        <v>0</v>
      </c>
      <c r="J69" s="30"/>
    </row>
    <row r="70" spans="1:10" ht="30.75" customHeight="1">
      <c r="A70" s="692"/>
      <c r="B70" s="701" t="s">
        <v>247</v>
      </c>
      <c r="C70" s="731"/>
      <c r="D70" s="731"/>
      <c r="E70" s="731"/>
      <c r="F70" s="731"/>
      <c r="G70" s="731"/>
      <c r="H70" s="731"/>
      <c r="I70" s="358">
        <f t="shared" si="4"/>
        <v>0</v>
      </c>
      <c r="J70" s="30"/>
    </row>
    <row r="71" spans="1:10" ht="40.5" customHeight="1">
      <c r="A71" s="692"/>
      <c r="B71" s="701" t="s">
        <v>248</v>
      </c>
      <c r="C71" s="731"/>
      <c r="D71" s="731"/>
      <c r="E71" s="731"/>
      <c r="F71" s="731"/>
      <c r="G71" s="731"/>
      <c r="H71" s="731"/>
      <c r="I71" s="358">
        <f t="shared" si="4"/>
        <v>0</v>
      </c>
      <c r="J71" s="30"/>
    </row>
    <row r="72" spans="1:10" ht="37.5" customHeight="1" thickBot="1">
      <c r="A72" s="692"/>
      <c r="B72" s="715" t="s">
        <v>71</v>
      </c>
      <c r="C72" s="407">
        <v>420</v>
      </c>
      <c r="D72" s="731"/>
      <c r="E72" s="731">
        <f>SUM(C72:D72)</f>
        <v>420</v>
      </c>
      <c r="F72" s="731"/>
      <c r="G72" s="731">
        <f>SUM(E72:F72)</f>
        <v>420</v>
      </c>
      <c r="H72" s="731"/>
      <c r="I72" s="358">
        <f t="shared" si="4"/>
        <v>420</v>
      </c>
      <c r="J72" s="30"/>
    </row>
    <row r="73" spans="1:10" ht="17.25" customHeight="1" thickBot="1">
      <c r="A73" s="341"/>
      <c r="B73" s="707" t="s">
        <v>72</v>
      </c>
      <c r="C73" s="339">
        <f>SUM(C74:C82)</f>
        <v>1121654</v>
      </c>
      <c r="D73" s="339">
        <f>SUM(D74:D82)</f>
        <v>0</v>
      </c>
      <c r="E73" s="339">
        <f>SUM(E74:E82)</f>
        <v>1121654</v>
      </c>
      <c r="F73" s="339">
        <f>SUM(F74:F82)</f>
        <v>0</v>
      </c>
      <c r="G73" s="339">
        <f>SUM(G74:G82)</f>
        <v>1121654</v>
      </c>
      <c r="H73" s="1499"/>
      <c r="I73" s="358">
        <f t="shared" si="4"/>
        <v>1121654</v>
      </c>
      <c r="J73" s="147"/>
    </row>
    <row r="74" spans="1:10" ht="15">
      <c r="A74" s="693" t="s">
        <v>9</v>
      </c>
      <c r="B74" s="394" t="s">
        <v>293</v>
      </c>
      <c r="C74" s="411"/>
      <c r="D74" s="731"/>
      <c r="E74" s="731"/>
      <c r="F74" s="731"/>
      <c r="G74" s="731"/>
      <c r="H74" s="731"/>
      <c r="I74" s="358">
        <f t="shared" si="4"/>
        <v>0</v>
      </c>
      <c r="J74" s="30"/>
    </row>
    <row r="75" spans="1:10" ht="15">
      <c r="A75" s="687" t="s">
        <v>23</v>
      </c>
      <c r="B75" s="395" t="s">
        <v>249</v>
      </c>
      <c r="C75" s="412"/>
      <c r="D75" s="731"/>
      <c r="E75" s="731"/>
      <c r="F75" s="731"/>
      <c r="G75" s="731"/>
      <c r="H75" s="731"/>
      <c r="I75" s="358">
        <f t="shared" si="4"/>
        <v>0</v>
      </c>
      <c r="J75" s="30"/>
    </row>
    <row r="76" spans="1:10" ht="15">
      <c r="A76" s="687" t="s">
        <v>25</v>
      </c>
      <c r="B76" s="395" t="s">
        <v>250</v>
      </c>
      <c r="C76" s="412"/>
      <c r="D76" s="731"/>
      <c r="E76" s="731"/>
      <c r="F76" s="731"/>
      <c r="G76" s="731"/>
      <c r="H76" s="731"/>
      <c r="I76" s="358">
        <f t="shared" si="4"/>
        <v>0</v>
      </c>
      <c r="J76" s="30"/>
    </row>
    <row r="77" spans="1:10" ht="15">
      <c r="A77" s="693" t="s">
        <v>27</v>
      </c>
      <c r="B77" s="395" t="s">
        <v>251</v>
      </c>
      <c r="C77" s="412"/>
      <c r="D77" s="731"/>
      <c r="E77" s="731"/>
      <c r="F77" s="731"/>
      <c r="G77" s="731"/>
      <c r="H77" s="731"/>
      <c r="I77" s="358">
        <f aca="true" t="shared" si="11" ref="I77:I96">SUM(G77:H77)</f>
        <v>0</v>
      </c>
      <c r="J77" s="30"/>
    </row>
    <row r="78" spans="1:10" ht="15">
      <c r="A78" s="687" t="s">
        <v>29</v>
      </c>
      <c r="B78" s="395" t="s">
        <v>256</v>
      </c>
      <c r="C78" s="412"/>
      <c r="D78" s="731"/>
      <c r="E78" s="731"/>
      <c r="F78" s="731"/>
      <c r="G78" s="731"/>
      <c r="H78" s="731"/>
      <c r="I78" s="358">
        <f t="shared" si="11"/>
        <v>0</v>
      </c>
      <c r="J78" s="30"/>
    </row>
    <row r="79" spans="1:10" ht="15">
      <c r="A79" s="687" t="s">
        <v>31</v>
      </c>
      <c r="B79" s="396" t="s">
        <v>294</v>
      </c>
      <c r="C79" s="412"/>
      <c r="D79" s="731"/>
      <c r="E79" s="731"/>
      <c r="F79" s="731"/>
      <c r="G79" s="731"/>
      <c r="H79" s="731"/>
      <c r="I79" s="358">
        <f t="shared" si="11"/>
        <v>0</v>
      </c>
      <c r="J79" s="30"/>
    </row>
    <row r="80" spans="1:10" ht="15">
      <c r="A80" s="693" t="s">
        <v>74</v>
      </c>
      <c r="B80" s="395" t="s">
        <v>252</v>
      </c>
      <c r="C80" s="414">
        <v>1121654</v>
      </c>
      <c r="D80" s="731"/>
      <c r="E80" s="731">
        <f>SUM(C80:D80)</f>
        <v>1121654</v>
      </c>
      <c r="F80" s="731"/>
      <c r="G80" s="731">
        <f>SUM(E80:F80)</f>
        <v>1121654</v>
      </c>
      <c r="H80" s="731"/>
      <c r="I80" s="358">
        <f t="shared" si="11"/>
        <v>1121654</v>
      </c>
      <c r="J80" s="1339"/>
    </row>
    <row r="81" spans="1:10" ht="14.25" customHeight="1">
      <c r="A81" s="687" t="s">
        <v>77</v>
      </c>
      <c r="B81" s="395" t="s">
        <v>253</v>
      </c>
      <c r="C81" s="414"/>
      <c r="D81" s="731"/>
      <c r="E81" s="731"/>
      <c r="F81" s="731"/>
      <c r="G81" s="731"/>
      <c r="H81" s="731"/>
      <c r="I81" s="358">
        <f t="shared" si="11"/>
        <v>0</v>
      </c>
      <c r="J81" s="1339"/>
    </row>
    <row r="82" spans="1:11" ht="15">
      <c r="A82" s="687" t="s">
        <v>237</v>
      </c>
      <c r="B82" s="395" t="s">
        <v>254</v>
      </c>
      <c r="C82" s="412"/>
      <c r="D82" s="731"/>
      <c r="E82" s="731"/>
      <c r="F82" s="731"/>
      <c r="G82" s="731"/>
      <c r="H82" s="731"/>
      <c r="I82" s="358">
        <f t="shared" si="11"/>
        <v>0</v>
      </c>
      <c r="J82" s="1339"/>
      <c r="K82" s="72"/>
    </row>
    <row r="83" spans="1:10" ht="15.75" thickBot="1">
      <c r="A83" s="694"/>
      <c r="B83" s="717" t="s">
        <v>255</v>
      </c>
      <c r="C83" s="722"/>
      <c r="D83" s="731"/>
      <c r="E83" s="731"/>
      <c r="F83" s="731"/>
      <c r="G83" s="731"/>
      <c r="H83" s="731"/>
      <c r="I83" s="358">
        <f t="shared" si="11"/>
        <v>0</v>
      </c>
      <c r="J83" s="1339"/>
    </row>
    <row r="84" spans="1:10" ht="15.75" thickBot="1">
      <c r="A84" s="695"/>
      <c r="B84" s="389" t="s">
        <v>75</v>
      </c>
      <c r="C84" s="400">
        <f>SUM(C85:C93)</f>
        <v>1251888</v>
      </c>
      <c r="D84" s="400">
        <f>SUM(D85:D93)</f>
        <v>0</v>
      </c>
      <c r="E84" s="400">
        <f>SUM(E85:E93)</f>
        <v>1251888</v>
      </c>
      <c r="F84" s="400">
        <f>SUM(F85:F93)</f>
        <v>639837</v>
      </c>
      <c r="G84" s="400">
        <f>SUM(G85:G93)</f>
        <v>1891725</v>
      </c>
      <c r="H84" s="1499"/>
      <c r="I84" s="358">
        <f t="shared" si="11"/>
        <v>1891725</v>
      </c>
      <c r="J84" s="147"/>
    </row>
    <row r="85" spans="1:10" ht="15">
      <c r="A85" s="693" t="s">
        <v>9</v>
      </c>
      <c r="B85" s="394" t="s">
        <v>293</v>
      </c>
      <c r="C85" s="405"/>
      <c r="D85" s="731"/>
      <c r="E85" s="731"/>
      <c r="F85" s="731"/>
      <c r="G85" s="731"/>
      <c r="H85" s="731"/>
      <c r="I85" s="358">
        <f t="shared" si="11"/>
        <v>0</v>
      </c>
      <c r="J85" s="30"/>
    </row>
    <row r="86" spans="1:10" ht="15">
      <c r="A86" s="687" t="s">
        <v>23</v>
      </c>
      <c r="B86" s="395" t="s">
        <v>249</v>
      </c>
      <c r="C86" s="402"/>
      <c r="D86" s="358"/>
      <c r="E86" s="358"/>
      <c r="F86" s="358"/>
      <c r="G86" s="358"/>
      <c r="H86" s="358"/>
      <c r="I86" s="358">
        <f t="shared" si="11"/>
        <v>0</v>
      </c>
      <c r="J86" s="30"/>
    </row>
    <row r="87" spans="1:10" ht="15">
      <c r="A87" s="687" t="s">
        <v>25</v>
      </c>
      <c r="B87" s="395" t="s">
        <v>250</v>
      </c>
      <c r="C87" s="402"/>
      <c r="D87" s="358"/>
      <c r="E87" s="358"/>
      <c r="F87" s="358"/>
      <c r="G87" s="358"/>
      <c r="H87" s="358"/>
      <c r="I87" s="358">
        <f t="shared" si="11"/>
        <v>0</v>
      </c>
      <c r="J87" s="30"/>
    </row>
    <row r="88" spans="1:10" ht="15">
      <c r="A88" s="687" t="s">
        <v>27</v>
      </c>
      <c r="B88" s="395" t="s">
        <v>251</v>
      </c>
      <c r="C88" s="402"/>
      <c r="D88" s="358"/>
      <c r="E88" s="358"/>
      <c r="F88" s="358"/>
      <c r="G88" s="358"/>
      <c r="H88" s="358"/>
      <c r="I88" s="358">
        <f t="shared" si="11"/>
        <v>0</v>
      </c>
      <c r="J88" s="30"/>
    </row>
    <row r="89" spans="1:10" ht="15">
      <c r="A89" s="687" t="s">
        <v>29</v>
      </c>
      <c r="B89" s="395" t="s">
        <v>256</v>
      </c>
      <c r="C89" s="402"/>
      <c r="D89" s="358"/>
      <c r="E89" s="358"/>
      <c r="F89" s="358"/>
      <c r="G89" s="358"/>
      <c r="H89" s="358"/>
      <c r="I89" s="358">
        <f t="shared" si="11"/>
        <v>0</v>
      </c>
      <c r="J89" s="30"/>
    </row>
    <row r="90" spans="1:10" ht="15">
      <c r="A90" s="687" t="s">
        <v>31</v>
      </c>
      <c r="B90" s="396" t="s">
        <v>294</v>
      </c>
      <c r="C90" s="402"/>
      <c r="D90" s="358"/>
      <c r="E90" s="358"/>
      <c r="F90" s="358"/>
      <c r="G90" s="358"/>
      <c r="H90" s="358"/>
      <c r="I90" s="358">
        <f t="shared" si="11"/>
        <v>0</v>
      </c>
      <c r="J90" s="30"/>
    </row>
    <row r="91" spans="1:11" ht="15">
      <c r="A91" s="687"/>
      <c r="B91" s="395" t="s">
        <v>252</v>
      </c>
      <c r="C91" s="402">
        <v>1251888</v>
      </c>
      <c r="D91" s="358"/>
      <c r="E91" s="358">
        <f>SUM(C91:D91)</f>
        <v>1251888</v>
      </c>
      <c r="F91" s="358">
        <v>639837</v>
      </c>
      <c r="G91" s="358">
        <f>SUM(E91:F91)</f>
        <v>1891725</v>
      </c>
      <c r="H91" s="358"/>
      <c r="I91" s="358">
        <f t="shared" si="11"/>
        <v>1891725</v>
      </c>
      <c r="J91" s="1339"/>
      <c r="K91" s="72"/>
    </row>
    <row r="92" spans="1:11" ht="15">
      <c r="A92" s="687"/>
      <c r="B92" s="395" t="s">
        <v>253</v>
      </c>
      <c r="C92" s="414"/>
      <c r="D92" s="731"/>
      <c r="E92" s="731"/>
      <c r="F92" s="731"/>
      <c r="G92" s="731"/>
      <c r="H92" s="731"/>
      <c r="I92" s="358">
        <f t="shared" si="11"/>
        <v>0</v>
      </c>
      <c r="J92" s="1339"/>
      <c r="K92" s="72"/>
    </row>
    <row r="93" spans="1:10" ht="15">
      <c r="A93" s="687" t="s">
        <v>74</v>
      </c>
      <c r="B93" s="395" t="s">
        <v>254</v>
      </c>
      <c r="C93" s="414"/>
      <c r="D93" s="731"/>
      <c r="E93" s="731"/>
      <c r="F93" s="731"/>
      <c r="G93" s="731"/>
      <c r="H93" s="731"/>
      <c r="I93" s="358">
        <f t="shared" si="11"/>
        <v>0</v>
      </c>
      <c r="J93" s="1339"/>
    </row>
    <row r="94" spans="1:11" ht="15">
      <c r="A94" s="687"/>
      <c r="B94" s="394"/>
      <c r="C94" s="412"/>
      <c r="D94" s="731"/>
      <c r="E94" s="731"/>
      <c r="F94" s="731"/>
      <c r="G94" s="731"/>
      <c r="H94" s="731"/>
      <c r="I94" s="358">
        <f t="shared" si="11"/>
        <v>0</v>
      </c>
      <c r="J94" s="1339"/>
      <c r="K94" s="72"/>
    </row>
    <row r="95" spans="1:10" ht="15.75" thickBot="1">
      <c r="A95" s="687"/>
      <c r="B95" s="396"/>
      <c r="C95" s="406"/>
      <c r="D95" s="731"/>
      <c r="E95" s="731"/>
      <c r="F95" s="731"/>
      <c r="G95" s="731"/>
      <c r="H95" s="731"/>
      <c r="I95" s="358">
        <f t="shared" si="11"/>
        <v>0</v>
      </c>
      <c r="J95" s="1339"/>
    </row>
    <row r="96" spans="1:10" ht="15.75" thickBot="1">
      <c r="A96" s="696"/>
      <c r="B96" s="718" t="s">
        <v>78</v>
      </c>
      <c r="C96" s="723">
        <f aca="true" t="shared" si="12" ref="C96:H96">SUM(C10+C23+C38+C50+C56+C62+C80+C91+C82+C93+C68)</f>
        <v>4542331</v>
      </c>
      <c r="D96" s="723">
        <f t="shared" si="12"/>
        <v>34524</v>
      </c>
      <c r="E96" s="723">
        <f t="shared" si="12"/>
        <v>4576855</v>
      </c>
      <c r="F96" s="723">
        <f t="shared" si="12"/>
        <v>677502</v>
      </c>
      <c r="G96" s="723">
        <f t="shared" si="12"/>
        <v>5254357</v>
      </c>
      <c r="H96" s="723">
        <f t="shared" si="12"/>
        <v>6536</v>
      </c>
      <c r="I96" s="358">
        <f t="shared" si="11"/>
        <v>5260893</v>
      </c>
      <c r="J96" s="338"/>
    </row>
    <row r="98" spans="3:10" ht="12.75">
      <c r="C98" s="72"/>
      <c r="D98" s="72"/>
      <c r="E98" s="72"/>
      <c r="F98" s="72"/>
      <c r="G98" s="72"/>
      <c r="H98" s="72"/>
      <c r="I98" s="72"/>
      <c r="J98" s="72"/>
    </row>
    <row r="99" spans="3:11" ht="12.75">
      <c r="C99" s="72"/>
      <c r="D99" s="72"/>
      <c r="E99" s="72"/>
      <c r="F99" s="72"/>
      <c r="G99" s="72"/>
      <c r="H99" s="72"/>
      <c r="I99" s="72"/>
      <c r="J99" s="72"/>
      <c r="K99" s="72"/>
    </row>
    <row r="100" spans="3:9" ht="12.75">
      <c r="C100" s="72"/>
      <c r="D100" s="72"/>
      <c r="E100" s="72"/>
      <c r="F100" s="72"/>
      <c r="G100" s="72"/>
      <c r="H100" s="72"/>
      <c r="I100" s="72"/>
    </row>
    <row r="101" spans="3:9" ht="12.75">
      <c r="C101" s="72"/>
      <c r="D101" s="72"/>
      <c r="E101" s="72"/>
      <c r="F101" s="72"/>
      <c r="G101" s="72"/>
      <c r="H101" s="72"/>
      <c r="I101" s="72"/>
    </row>
  </sheetData>
  <sheetProtection selectLockedCells="1" selectUnlockedCells="1"/>
  <mergeCells count="2">
    <mergeCell ref="A4:G4"/>
    <mergeCell ref="A5:G5"/>
  </mergeCells>
  <printOptions horizontalCentered="1"/>
  <pageMargins left="0.15748031496062992" right="0.07874015748031496" top="0.7874015748031497" bottom="0.2362204724409449" header="0.5118110236220472" footer="0.2362204724409449"/>
  <pageSetup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R67"/>
  <sheetViews>
    <sheetView showGridLines="0" view="pageBreakPreview" zoomScale="80"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6.375" style="25" customWidth="1"/>
    <col min="2" max="2" width="83.625" style="25" customWidth="1"/>
    <col min="3" max="9" width="18.875" style="25" customWidth="1"/>
    <col min="10" max="10" width="16.00390625" style="25" customWidth="1"/>
    <col min="11" max="11" width="17.625" style="25" customWidth="1"/>
    <col min="12" max="12" width="9.375" style="25" customWidth="1"/>
    <col min="13" max="13" width="11.50390625" style="25" customWidth="1"/>
    <col min="14" max="16384" width="9.375" style="25" customWidth="1"/>
  </cols>
  <sheetData>
    <row r="1" spans="1:2" ht="22.5" customHeight="1">
      <c r="A1" s="187"/>
      <c r="B1" s="187" t="s">
        <v>718</v>
      </c>
    </row>
    <row r="2" spans="1:2" ht="12.75">
      <c r="A2" s="187"/>
      <c r="B2" s="187"/>
    </row>
    <row r="3" ht="12.75">
      <c r="L3" s="187"/>
    </row>
    <row r="4" spans="1:11" ht="21" customHeight="1">
      <c r="A4" s="1803" t="s">
        <v>80</v>
      </c>
      <c r="B4" s="1800"/>
      <c r="C4" s="1800"/>
      <c r="D4" s="1800"/>
      <c r="E4" s="1800"/>
      <c r="F4" s="1800"/>
      <c r="G4" s="1800"/>
      <c r="H4" s="1742"/>
      <c r="I4" s="1742"/>
      <c r="J4" s="192"/>
      <c r="K4" s="192"/>
    </row>
    <row r="5" spans="1:11" ht="24" customHeight="1">
      <c r="A5" s="1806" t="s">
        <v>575</v>
      </c>
      <c r="B5" s="1800"/>
      <c r="C5" s="1800"/>
      <c r="D5" s="1800"/>
      <c r="E5" s="1800"/>
      <c r="F5" s="1800"/>
      <c r="G5" s="1800"/>
      <c r="H5" s="1742"/>
      <c r="I5" s="1742"/>
      <c r="J5" s="126"/>
      <c r="K5" s="126"/>
    </row>
    <row r="6" spans="1:11" ht="12.75" customHeight="1" thickBot="1">
      <c r="A6" s="126"/>
      <c r="B6" s="126"/>
      <c r="D6" s="344"/>
      <c r="E6" s="344"/>
      <c r="F6" s="344"/>
      <c r="G6" s="344" t="s">
        <v>370</v>
      </c>
      <c r="H6" s="344"/>
      <c r="I6" s="344"/>
      <c r="J6" s="126"/>
      <c r="K6" s="126"/>
    </row>
    <row r="7" spans="1:9" ht="18" customHeight="1" thickBot="1">
      <c r="A7" s="46" t="s">
        <v>118</v>
      </c>
      <c r="B7" s="46" t="s">
        <v>142</v>
      </c>
      <c r="C7" s="129" t="s">
        <v>363</v>
      </c>
      <c r="D7" s="129" t="s">
        <v>364</v>
      </c>
      <c r="E7" s="129" t="s">
        <v>365</v>
      </c>
      <c r="F7" s="129" t="s">
        <v>366</v>
      </c>
      <c r="G7" s="1743" t="s">
        <v>367</v>
      </c>
      <c r="H7" s="1752"/>
      <c r="I7" s="1752"/>
    </row>
    <row r="8" spans="1:9" ht="69" customHeight="1" thickBot="1">
      <c r="A8" s="760"/>
      <c r="B8" s="761" t="s">
        <v>3</v>
      </c>
      <c r="C8" s="1405" t="s">
        <v>563</v>
      </c>
      <c r="D8" s="1545" t="s">
        <v>679</v>
      </c>
      <c r="E8" s="1405" t="s">
        <v>563</v>
      </c>
      <c r="F8" s="1545" t="s">
        <v>687</v>
      </c>
      <c r="G8" s="1748" t="s">
        <v>563</v>
      </c>
      <c r="H8" s="1545" t="s">
        <v>703</v>
      </c>
      <c r="I8" s="1748" t="s">
        <v>563</v>
      </c>
    </row>
    <row r="9" spans="1:10" ht="21" customHeight="1" thickBot="1">
      <c r="A9" s="153"/>
      <c r="B9" s="152" t="s">
        <v>5</v>
      </c>
      <c r="C9" s="92">
        <f aca="true" t="shared" si="0" ref="C9:I9">SUM(C10:C14)</f>
        <v>2842239</v>
      </c>
      <c r="D9" s="92">
        <f t="shared" si="0"/>
        <v>34424</v>
      </c>
      <c r="E9" s="92">
        <f t="shared" si="0"/>
        <v>2876663</v>
      </c>
      <c r="F9" s="92">
        <f t="shared" si="0"/>
        <v>655242</v>
      </c>
      <c r="G9" s="1518">
        <f t="shared" si="0"/>
        <v>3531905</v>
      </c>
      <c r="H9" s="1518">
        <f t="shared" si="0"/>
        <v>4810</v>
      </c>
      <c r="I9" s="1518">
        <f t="shared" si="0"/>
        <v>3536715</v>
      </c>
      <c r="J9" s="72"/>
    </row>
    <row r="10" spans="1:11" ht="15" customHeight="1">
      <c r="A10" s="4" t="s">
        <v>6</v>
      </c>
      <c r="B10" s="154" t="s">
        <v>8</v>
      </c>
      <c r="C10" s="193">
        <v>1016033</v>
      </c>
      <c r="D10" s="178">
        <f>220+112+18+73+222+2579+80+1037+322+310+8423+2844</f>
        <v>16240</v>
      </c>
      <c r="E10" s="178">
        <f>SUM(C10:D10)</f>
        <v>1032273</v>
      </c>
      <c r="F10" s="178">
        <v>11268</v>
      </c>
      <c r="G10" s="1749">
        <f>SUM(E10:F10)</f>
        <v>1043541</v>
      </c>
      <c r="H10" s="1753">
        <v>5020</v>
      </c>
      <c r="I10" s="1753">
        <f>SUM(G10:H10)</f>
        <v>1048561</v>
      </c>
      <c r="K10" s="72"/>
    </row>
    <row r="11" spans="1:11" s="191" customFormat="1" ht="15.75" customHeight="1">
      <c r="A11" s="7" t="s">
        <v>11</v>
      </c>
      <c r="B11" s="19" t="s">
        <v>12</v>
      </c>
      <c r="C11" s="194">
        <v>204881</v>
      </c>
      <c r="D11" s="14">
        <f>43+22+4+14+49+524+16+196+71+68+1613+542+34</f>
        <v>3196</v>
      </c>
      <c r="E11" s="178">
        <f>SUM(C11:D11)</f>
        <v>208077</v>
      </c>
      <c r="F11" s="178">
        <v>2357</v>
      </c>
      <c r="G11" s="1749">
        <f aca="true" t="shared" si="1" ref="G11:G29">SUM(E11:F11)</f>
        <v>210434</v>
      </c>
      <c r="H11" s="1754">
        <v>1118</v>
      </c>
      <c r="I11" s="1754">
        <f>SUM(G11:H11)</f>
        <v>211552</v>
      </c>
      <c r="J11" s="928"/>
      <c r="K11" s="72"/>
    </row>
    <row r="12" spans="1:11" ht="15.75" customHeight="1">
      <c r="A12" s="7" t="s">
        <v>14</v>
      </c>
      <c r="B12" s="19" t="s">
        <v>15</v>
      </c>
      <c r="C12" s="194">
        <v>753918</v>
      </c>
      <c r="D12" s="14">
        <f>14179+563</f>
        <v>14742</v>
      </c>
      <c r="E12" s="178">
        <f>SUM(C12:D12)</f>
        <v>768660</v>
      </c>
      <c r="F12" s="178">
        <f>8337+476</f>
        <v>8813</v>
      </c>
      <c r="G12" s="1749">
        <f t="shared" si="1"/>
        <v>777473</v>
      </c>
      <c r="H12" s="1754">
        <v>-1327</v>
      </c>
      <c r="I12" s="1754">
        <f aca="true" t="shared" si="2" ref="I12:I28">SUM(G12:H12)</f>
        <v>776146</v>
      </c>
      <c r="K12" s="72"/>
    </row>
    <row r="13" spans="1:11" ht="17.25" customHeight="1">
      <c r="A13" s="7" t="s">
        <v>17</v>
      </c>
      <c r="B13" s="19" t="s">
        <v>18</v>
      </c>
      <c r="C13" s="194">
        <v>43855</v>
      </c>
      <c r="D13" s="14"/>
      <c r="E13" s="178">
        <f>SUM(C13:D13)</f>
        <v>43855</v>
      </c>
      <c r="F13" s="178"/>
      <c r="G13" s="1749">
        <f t="shared" si="1"/>
        <v>43855</v>
      </c>
      <c r="H13" s="1754"/>
      <c r="I13" s="1754">
        <f t="shared" si="2"/>
        <v>43855</v>
      </c>
      <c r="J13" s="72"/>
      <c r="K13" s="72"/>
    </row>
    <row r="14" spans="1:11" ht="18" customHeight="1">
      <c r="A14" s="7" t="s">
        <v>20</v>
      </c>
      <c r="B14" s="19" t="s">
        <v>21</v>
      </c>
      <c r="C14" s="14">
        <f>SUM(C15:C29)</f>
        <v>823552</v>
      </c>
      <c r="D14" s="14">
        <f>SUM(D15:D29)</f>
        <v>246</v>
      </c>
      <c r="E14" s="178">
        <f>SUM(C14:D14)</f>
        <v>823798</v>
      </c>
      <c r="F14" s="178">
        <f>SUM(F15:F29)</f>
        <v>632804</v>
      </c>
      <c r="G14" s="1749">
        <f>SUM(E14:F14)</f>
        <v>1456602</v>
      </c>
      <c r="H14" s="1754">
        <f>SUM(H15:H29)</f>
        <v>-1</v>
      </c>
      <c r="I14" s="1754">
        <f t="shared" si="2"/>
        <v>1456601</v>
      </c>
      <c r="K14" s="72"/>
    </row>
    <row r="15" spans="1:11" ht="16.5" customHeight="1">
      <c r="A15" s="724">
        <v>1</v>
      </c>
      <c r="B15" s="20" t="s">
        <v>267</v>
      </c>
      <c r="C15" s="11"/>
      <c r="D15" s="11"/>
      <c r="E15" s="11"/>
      <c r="F15" s="11"/>
      <c r="G15" s="1749">
        <f t="shared" si="1"/>
        <v>0</v>
      </c>
      <c r="H15" s="1754"/>
      <c r="I15" s="1754">
        <f t="shared" si="2"/>
        <v>0</v>
      </c>
      <c r="J15" s="72"/>
      <c r="K15" s="72"/>
    </row>
    <row r="16" spans="1:11" ht="16.5" customHeight="1">
      <c r="A16" s="724">
        <v>2</v>
      </c>
      <c r="B16" s="20" t="s">
        <v>268</v>
      </c>
      <c r="C16" s="11"/>
      <c r="D16" s="11"/>
      <c r="E16" s="11"/>
      <c r="F16" s="11"/>
      <c r="G16" s="1749">
        <f t="shared" si="1"/>
        <v>0</v>
      </c>
      <c r="H16" s="1754"/>
      <c r="I16" s="1754">
        <f t="shared" si="2"/>
        <v>0</v>
      </c>
      <c r="K16" s="72"/>
    </row>
    <row r="17" spans="1:11" ht="16.5" customHeight="1">
      <c r="A17" s="724">
        <v>3</v>
      </c>
      <c r="B17" s="20" t="s">
        <v>269</v>
      </c>
      <c r="C17" s="11"/>
      <c r="D17" s="11"/>
      <c r="E17" s="11"/>
      <c r="F17" s="11"/>
      <c r="G17" s="1749">
        <f t="shared" si="1"/>
        <v>0</v>
      </c>
      <c r="H17" s="1754"/>
      <c r="I17" s="1754">
        <f t="shared" si="2"/>
        <v>0</v>
      </c>
      <c r="K17" s="72"/>
    </row>
    <row r="18" spans="1:11" ht="16.5" customHeight="1">
      <c r="A18" s="724">
        <v>4</v>
      </c>
      <c r="B18" s="20" t="s">
        <v>270</v>
      </c>
      <c r="C18" s="120">
        <v>110</v>
      </c>
      <c r="D18" s="1546"/>
      <c r="E18" s="1546">
        <f>SUM(C18:D18)</f>
        <v>110</v>
      </c>
      <c r="F18" s="1546"/>
      <c r="G18" s="1749">
        <f t="shared" si="1"/>
        <v>110</v>
      </c>
      <c r="H18" s="1754"/>
      <c r="I18" s="1754">
        <f t="shared" si="2"/>
        <v>110</v>
      </c>
      <c r="K18" s="72"/>
    </row>
    <row r="19" spans="1:11" ht="33" customHeight="1">
      <c r="A19" s="724">
        <v>5</v>
      </c>
      <c r="B19" s="20" t="s">
        <v>271</v>
      </c>
      <c r="C19" s="120"/>
      <c r="D19" s="1546"/>
      <c r="E19" s="1546"/>
      <c r="F19" s="1546"/>
      <c r="G19" s="1749">
        <f t="shared" si="1"/>
        <v>0</v>
      </c>
      <c r="H19" s="1754"/>
      <c r="I19" s="1754">
        <f t="shared" si="2"/>
        <v>0</v>
      </c>
      <c r="K19" s="72"/>
    </row>
    <row r="20" spans="1:11" ht="16.5" customHeight="1">
      <c r="A20" s="724">
        <v>6</v>
      </c>
      <c r="B20" s="20" t="s">
        <v>273</v>
      </c>
      <c r="C20" s="120"/>
      <c r="D20" s="1546"/>
      <c r="E20" s="1546"/>
      <c r="F20" s="1546"/>
      <c r="G20" s="1749">
        <f t="shared" si="1"/>
        <v>0</v>
      </c>
      <c r="H20" s="1754"/>
      <c r="I20" s="1754">
        <f t="shared" si="2"/>
        <v>0</v>
      </c>
      <c r="K20" s="72"/>
    </row>
    <row r="21" spans="1:11" ht="18" customHeight="1">
      <c r="A21" s="724">
        <v>7</v>
      </c>
      <c r="B21" s="20" t="s">
        <v>272</v>
      </c>
      <c r="C21" s="120"/>
      <c r="D21" s="1546"/>
      <c r="E21" s="1546"/>
      <c r="F21" s="1546"/>
      <c r="G21" s="1749">
        <f t="shared" si="1"/>
        <v>0</v>
      </c>
      <c r="H21" s="1754"/>
      <c r="I21" s="1754">
        <f t="shared" si="2"/>
        <v>0</v>
      </c>
      <c r="K21" s="72"/>
    </row>
    <row r="22" spans="1:11" ht="18" customHeight="1">
      <c r="A22" s="724">
        <v>8</v>
      </c>
      <c r="B22" s="20" t="s">
        <v>84</v>
      </c>
      <c r="C22" s="120">
        <v>27000</v>
      </c>
      <c r="D22" s="1546"/>
      <c r="E22" s="1546">
        <f>SUM(C22:D22)</f>
        <v>27000</v>
      </c>
      <c r="F22" s="1546">
        <v>-1600</v>
      </c>
      <c r="G22" s="1749">
        <f>SUM(E22:F22)</f>
        <v>25400</v>
      </c>
      <c r="H22" s="1754">
        <v>84</v>
      </c>
      <c r="I22" s="1754">
        <f t="shared" si="2"/>
        <v>25484</v>
      </c>
      <c r="K22" s="72"/>
    </row>
    <row r="23" spans="1:11" ht="36" customHeight="1">
      <c r="A23" s="724">
        <v>9</v>
      </c>
      <c r="B23" s="21" t="s">
        <v>274</v>
      </c>
      <c r="C23" s="121"/>
      <c r="D23" s="1546"/>
      <c r="E23" s="1546"/>
      <c r="F23" s="1546"/>
      <c r="G23" s="1749">
        <f t="shared" si="1"/>
        <v>0</v>
      </c>
      <c r="H23" s="1754"/>
      <c r="I23" s="1754">
        <f t="shared" si="2"/>
        <v>0</v>
      </c>
      <c r="K23" s="72"/>
    </row>
    <row r="24" spans="1:11" ht="18" customHeight="1">
      <c r="A24" s="724">
        <v>10</v>
      </c>
      <c r="B24" s="20" t="s">
        <v>275</v>
      </c>
      <c r="C24" s="120"/>
      <c r="D24" s="1546"/>
      <c r="E24" s="1546"/>
      <c r="F24" s="1546"/>
      <c r="G24" s="1749">
        <f t="shared" si="1"/>
        <v>0</v>
      </c>
      <c r="H24" s="1754"/>
      <c r="I24" s="1754">
        <f t="shared" si="2"/>
        <v>0</v>
      </c>
      <c r="K24" s="72"/>
    </row>
    <row r="25" spans="1:11" ht="18" customHeight="1">
      <c r="A25" s="724">
        <v>11</v>
      </c>
      <c r="B25" s="20" t="s">
        <v>276</v>
      </c>
      <c r="C25" s="120"/>
      <c r="D25" s="1546"/>
      <c r="E25" s="1546"/>
      <c r="F25" s="1546"/>
      <c r="G25" s="1749">
        <f t="shared" si="1"/>
        <v>0</v>
      </c>
      <c r="H25" s="1754"/>
      <c r="I25" s="1754">
        <f t="shared" si="2"/>
        <v>0</v>
      </c>
      <c r="K25" s="72"/>
    </row>
    <row r="26" spans="1:11" ht="18" customHeight="1">
      <c r="A26" s="724">
        <v>12</v>
      </c>
      <c r="B26" s="20" t="s">
        <v>277</v>
      </c>
      <c r="C26" s="120"/>
      <c r="D26" s="1546"/>
      <c r="E26" s="1546"/>
      <c r="F26" s="1546"/>
      <c r="G26" s="1749">
        <f t="shared" si="1"/>
        <v>0</v>
      </c>
      <c r="H26" s="1754"/>
      <c r="I26" s="1754">
        <f t="shared" si="2"/>
        <v>0</v>
      </c>
      <c r="K26" s="72"/>
    </row>
    <row r="27" spans="1:11" ht="18" customHeight="1">
      <c r="A27" s="724">
        <v>13</v>
      </c>
      <c r="B27" s="20" t="s">
        <v>278</v>
      </c>
      <c r="C27" s="120"/>
      <c r="D27" s="1546"/>
      <c r="E27" s="1546"/>
      <c r="F27" s="1546"/>
      <c r="G27" s="1749">
        <f t="shared" si="1"/>
        <v>0</v>
      </c>
      <c r="H27" s="1754"/>
      <c r="I27" s="1754">
        <f t="shared" si="2"/>
        <v>0</v>
      </c>
      <c r="K27" s="72"/>
    </row>
    <row r="28" spans="1:11" ht="18" customHeight="1">
      <c r="A28" s="724">
        <v>14</v>
      </c>
      <c r="B28" s="20" t="s">
        <v>279</v>
      </c>
      <c r="C28" s="120">
        <v>53015</v>
      </c>
      <c r="D28" s="1546"/>
      <c r="E28" s="1546">
        <f>SUM(C28:D28)</f>
        <v>53015</v>
      </c>
      <c r="F28" s="1546">
        <v>2210</v>
      </c>
      <c r="G28" s="1749">
        <f t="shared" si="1"/>
        <v>55225</v>
      </c>
      <c r="H28" s="1754">
        <v>-84</v>
      </c>
      <c r="I28" s="1754">
        <f t="shared" si="2"/>
        <v>55141</v>
      </c>
      <c r="J28" s="72"/>
      <c r="K28" s="72"/>
    </row>
    <row r="29" spans="1:11" ht="18" customHeight="1" thickBot="1">
      <c r="A29" s="724">
        <v>15</v>
      </c>
      <c r="B29" s="29" t="s">
        <v>85</v>
      </c>
      <c r="C29" s="122">
        <v>743427</v>
      </c>
      <c r="D29" s="1546">
        <v>246</v>
      </c>
      <c r="E29" s="1546">
        <f>SUM(C29:D29)</f>
        <v>743673</v>
      </c>
      <c r="F29" s="1546">
        <v>632194</v>
      </c>
      <c r="G29" s="1749">
        <f t="shared" si="1"/>
        <v>1375867</v>
      </c>
      <c r="H29" s="1757">
        <v>-1</v>
      </c>
      <c r="I29" s="1754">
        <f>SUM(G29:H29)</f>
        <v>1375866</v>
      </c>
      <c r="J29" s="72"/>
      <c r="K29" s="72"/>
    </row>
    <row r="30" spans="1:11" ht="15" thickBot="1">
      <c r="A30" s="168"/>
      <c r="B30" s="152" t="s">
        <v>50</v>
      </c>
      <c r="C30" s="92">
        <f>SUM(C31:C33)</f>
        <v>1688411</v>
      </c>
      <c r="D30" s="92">
        <f>SUM(D31:D33)</f>
        <v>100</v>
      </c>
      <c r="E30" s="92">
        <f>SUM(E31:E33)</f>
        <v>1688511</v>
      </c>
      <c r="F30" s="92">
        <f>SUM(F31:F33)</f>
        <v>22260</v>
      </c>
      <c r="G30" s="1518">
        <f>SUM(G31:G33)</f>
        <v>1710771</v>
      </c>
      <c r="H30" s="339">
        <f>SUM(H31:H34)</f>
        <v>1726</v>
      </c>
      <c r="I30" s="339">
        <f>SUM(G30:H30)</f>
        <v>1712497</v>
      </c>
      <c r="K30" s="72"/>
    </row>
    <row r="31" spans="1:11" ht="14.25">
      <c r="A31" s="170" t="s">
        <v>52</v>
      </c>
      <c r="B31" s="196" t="s">
        <v>53</v>
      </c>
      <c r="C31" s="155">
        <v>1555344</v>
      </c>
      <c r="D31" s="14">
        <v>100</v>
      </c>
      <c r="E31" s="14">
        <f>SUM(C31:D31)</f>
        <v>1555444</v>
      </c>
      <c r="F31" s="14">
        <v>22260</v>
      </c>
      <c r="G31" s="1552">
        <f>SUM(E31:F31)</f>
        <v>1577704</v>
      </c>
      <c r="H31" s="1758">
        <f>400+1326</f>
        <v>1726</v>
      </c>
      <c r="I31" s="1758">
        <f>SUM(G31:H31)</f>
        <v>1579430</v>
      </c>
      <c r="K31" s="72"/>
    </row>
    <row r="32" spans="1:11" ht="14.25">
      <c r="A32" s="170" t="s">
        <v>55</v>
      </c>
      <c r="B32" s="159" t="s">
        <v>56</v>
      </c>
      <c r="C32" s="14">
        <v>133067</v>
      </c>
      <c r="D32" s="14"/>
      <c r="E32" s="14">
        <f>SUM(C32:D32)</f>
        <v>133067</v>
      </c>
      <c r="F32" s="14"/>
      <c r="G32" s="1552">
        <f>SUM(E32:F32)</f>
        <v>133067</v>
      </c>
      <c r="H32" s="1754"/>
      <c r="I32" s="1758">
        <f aca="true" t="shared" si="3" ref="I32:I43">SUM(G32:H32)</f>
        <v>133067</v>
      </c>
      <c r="J32" s="72"/>
      <c r="K32" s="72"/>
    </row>
    <row r="33" spans="1:10" ht="14.25">
      <c r="A33" s="170" t="s">
        <v>58</v>
      </c>
      <c r="B33" s="159" t="s">
        <v>59</v>
      </c>
      <c r="C33" s="14">
        <f>SUM(C34:C43)</f>
        <v>0</v>
      </c>
      <c r="D33" s="14"/>
      <c r="E33" s="14"/>
      <c r="F33" s="14"/>
      <c r="G33" s="1552">
        <f>SUM(E33:F33)</f>
        <v>0</v>
      </c>
      <c r="H33" s="1754"/>
      <c r="I33" s="1758">
        <f t="shared" si="3"/>
        <v>0</v>
      </c>
      <c r="J33" s="72"/>
    </row>
    <row r="34" spans="1:9" ht="31.5" customHeight="1">
      <c r="A34" s="159">
        <v>1</v>
      </c>
      <c r="B34" s="21" t="s">
        <v>280</v>
      </c>
      <c r="C34" s="159"/>
      <c r="D34" s="159"/>
      <c r="E34" s="159"/>
      <c r="F34" s="159"/>
      <c r="G34" s="1552">
        <f>SUM(E34:F34)</f>
        <v>0</v>
      </c>
      <c r="H34" s="1754"/>
      <c r="I34" s="1758">
        <f t="shared" si="3"/>
        <v>0</v>
      </c>
    </row>
    <row r="35" spans="1:9" ht="15" customHeight="1">
      <c r="A35" s="159">
        <v>2</v>
      </c>
      <c r="B35" s="20" t="s">
        <v>281</v>
      </c>
      <c r="C35" s="159"/>
      <c r="D35" s="159"/>
      <c r="E35" s="159"/>
      <c r="F35" s="159"/>
      <c r="G35" s="703"/>
      <c r="H35" s="1755"/>
      <c r="I35" s="1758">
        <f t="shared" si="3"/>
        <v>0</v>
      </c>
    </row>
    <row r="36" spans="1:9" ht="18" customHeight="1">
      <c r="A36" s="159">
        <v>3</v>
      </c>
      <c r="B36" s="20" t="s">
        <v>281</v>
      </c>
      <c r="C36" s="159"/>
      <c r="D36" s="159"/>
      <c r="E36" s="159"/>
      <c r="F36" s="159"/>
      <c r="G36" s="703"/>
      <c r="H36" s="1755"/>
      <c r="I36" s="1758">
        <f t="shared" si="3"/>
        <v>0</v>
      </c>
    </row>
    <row r="37" spans="1:9" ht="15" customHeight="1">
      <c r="A37" s="159">
        <v>4</v>
      </c>
      <c r="B37" s="20" t="s">
        <v>282</v>
      </c>
      <c r="C37" s="159"/>
      <c r="D37" s="159"/>
      <c r="E37" s="159"/>
      <c r="F37" s="159"/>
      <c r="G37" s="703"/>
      <c r="H37" s="1755"/>
      <c r="I37" s="1758">
        <f t="shared" si="3"/>
        <v>0</v>
      </c>
    </row>
    <row r="38" spans="1:9" ht="15" customHeight="1">
      <c r="A38" s="159">
        <v>5</v>
      </c>
      <c r="B38" s="20" t="s">
        <v>283</v>
      </c>
      <c r="C38" s="159"/>
      <c r="D38" s="159"/>
      <c r="E38" s="159"/>
      <c r="F38" s="159"/>
      <c r="G38" s="703"/>
      <c r="H38" s="1755"/>
      <c r="I38" s="1758">
        <f t="shared" si="3"/>
        <v>0</v>
      </c>
    </row>
    <row r="39" spans="1:9" ht="35.25" customHeight="1">
      <c r="A39" s="159">
        <v>6</v>
      </c>
      <c r="B39" s="21" t="s">
        <v>284</v>
      </c>
      <c r="C39" s="159"/>
      <c r="D39" s="159"/>
      <c r="E39" s="159"/>
      <c r="F39" s="159"/>
      <c r="G39" s="703"/>
      <c r="H39" s="1755"/>
      <c r="I39" s="1758">
        <f t="shared" si="3"/>
        <v>0</v>
      </c>
    </row>
    <row r="40" spans="1:9" ht="15" customHeight="1">
      <c r="A40" s="159">
        <v>7</v>
      </c>
      <c r="B40" s="20" t="s">
        <v>285</v>
      </c>
      <c r="C40" s="159"/>
      <c r="D40" s="159"/>
      <c r="E40" s="159"/>
      <c r="F40" s="159"/>
      <c r="G40" s="703"/>
      <c r="H40" s="1755"/>
      <c r="I40" s="1758">
        <f t="shared" si="3"/>
        <v>0</v>
      </c>
    </row>
    <row r="41" spans="1:9" ht="15" customHeight="1">
      <c r="A41" s="159">
        <v>8</v>
      </c>
      <c r="B41" s="21" t="s">
        <v>286</v>
      </c>
      <c r="C41" s="198"/>
      <c r="D41" s="159"/>
      <c r="E41" s="159"/>
      <c r="F41" s="159"/>
      <c r="G41" s="703"/>
      <c r="H41" s="1755"/>
      <c r="I41" s="1758">
        <f t="shared" si="3"/>
        <v>0</v>
      </c>
    </row>
    <row r="42" spans="1:9" ht="15" customHeight="1">
      <c r="A42" s="159">
        <v>9</v>
      </c>
      <c r="B42" s="20" t="s">
        <v>287</v>
      </c>
      <c r="C42" s="198"/>
      <c r="D42" s="159"/>
      <c r="E42" s="159"/>
      <c r="F42" s="159"/>
      <c r="G42" s="703"/>
      <c r="H42" s="1755"/>
      <c r="I42" s="1758">
        <f t="shared" si="3"/>
        <v>0</v>
      </c>
    </row>
    <row r="43" spans="1:9" ht="15.75" customHeight="1" thickBot="1">
      <c r="A43" s="159">
        <v>10</v>
      </c>
      <c r="B43" s="20" t="s">
        <v>288</v>
      </c>
      <c r="C43" s="563"/>
      <c r="D43" s="1547"/>
      <c r="E43" s="1547"/>
      <c r="F43" s="1547"/>
      <c r="G43" s="1750"/>
      <c r="H43" s="1759"/>
      <c r="I43" s="1758">
        <f t="shared" si="3"/>
        <v>0</v>
      </c>
    </row>
    <row r="44" spans="1:9" ht="32.25" customHeight="1" thickBot="1">
      <c r="A44" s="168"/>
      <c r="B44" s="152" t="s">
        <v>73</v>
      </c>
      <c r="C44" s="92">
        <f>SUM(C45:C52)</f>
        <v>11681</v>
      </c>
      <c r="D44" s="92">
        <f>SUM(D45:D52)</f>
        <v>0</v>
      </c>
      <c r="E44" s="92">
        <f>SUM(E45:E52)</f>
        <v>11681</v>
      </c>
      <c r="F44" s="92">
        <f>SUM(F45:F52)</f>
        <v>0</v>
      </c>
      <c r="G44" s="1518">
        <f>SUM(G45:G52)</f>
        <v>11681</v>
      </c>
      <c r="H44" s="339"/>
      <c r="I44" s="339">
        <f>SUM(G44:H44)</f>
        <v>11681</v>
      </c>
    </row>
    <row r="45" spans="1:9" ht="15">
      <c r="A45" s="179" t="s">
        <v>9</v>
      </c>
      <c r="B45" s="106" t="s">
        <v>296</v>
      </c>
      <c r="C45" s="169"/>
      <c r="D45" s="12"/>
      <c r="E45" s="12"/>
      <c r="F45" s="12"/>
      <c r="G45" s="1551"/>
      <c r="H45" s="1760"/>
      <c r="I45" s="1760"/>
    </row>
    <row r="46" spans="1:9" ht="15">
      <c r="A46" s="7" t="s">
        <v>23</v>
      </c>
      <c r="B46" s="20" t="s">
        <v>257</v>
      </c>
      <c r="C46" s="12"/>
      <c r="D46" s="12"/>
      <c r="E46" s="12"/>
      <c r="F46" s="12"/>
      <c r="G46" s="1551"/>
      <c r="H46" s="731"/>
      <c r="I46" s="731"/>
    </row>
    <row r="47" spans="1:182" ht="15">
      <c r="A47" s="7" t="s">
        <v>25</v>
      </c>
      <c r="B47" s="20" t="s">
        <v>258</v>
      </c>
      <c r="C47" s="12"/>
      <c r="D47" s="12"/>
      <c r="E47" s="12"/>
      <c r="F47" s="12"/>
      <c r="G47" s="1551"/>
      <c r="H47" s="731"/>
      <c r="I47" s="731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</row>
    <row r="48" spans="1:182" ht="15">
      <c r="A48" s="7" t="s">
        <v>27</v>
      </c>
      <c r="B48" s="20" t="s">
        <v>259</v>
      </c>
      <c r="C48" s="12"/>
      <c r="D48" s="12"/>
      <c r="E48" s="12"/>
      <c r="F48" s="12"/>
      <c r="G48" s="1551"/>
      <c r="H48" s="731"/>
      <c r="I48" s="7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</row>
    <row r="49" spans="1:252" ht="15">
      <c r="A49" s="106"/>
      <c r="B49" s="20" t="s">
        <v>260</v>
      </c>
      <c r="C49" s="106"/>
      <c r="D49" s="20"/>
      <c r="E49" s="20"/>
      <c r="F49" s="20"/>
      <c r="G49" s="395"/>
      <c r="H49" s="1756"/>
      <c r="I49" s="1756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200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0"/>
      <c r="FU49" s="200"/>
      <c r="FV49" s="200"/>
      <c r="FW49" s="200"/>
      <c r="FX49" s="200"/>
      <c r="FY49" s="200"/>
      <c r="FZ49" s="200"/>
      <c r="GA49" s="200"/>
      <c r="GB49" s="200"/>
      <c r="GC49" s="200"/>
      <c r="GD49" s="200"/>
      <c r="GE49" s="200"/>
      <c r="GF49" s="200"/>
      <c r="GG49" s="200"/>
      <c r="GH49" s="200"/>
      <c r="GI49" s="200"/>
      <c r="GJ49" s="200"/>
      <c r="GK49" s="200"/>
      <c r="GL49" s="200"/>
      <c r="GM49" s="200"/>
      <c r="GN49" s="200"/>
      <c r="GO49" s="200"/>
      <c r="GP49" s="200"/>
      <c r="GQ49" s="200"/>
      <c r="GR49" s="200"/>
      <c r="GS49" s="200"/>
      <c r="GT49" s="200"/>
      <c r="GU49" s="200"/>
      <c r="GV49" s="200"/>
      <c r="GW49" s="200"/>
      <c r="GX49" s="200"/>
      <c r="GY49" s="200"/>
      <c r="GZ49" s="200"/>
      <c r="HA49" s="200"/>
      <c r="HB49" s="200"/>
      <c r="HC49" s="200"/>
      <c r="HD49" s="200"/>
      <c r="HE49" s="200"/>
      <c r="HF49" s="200"/>
      <c r="HG49" s="200"/>
      <c r="HH49" s="200"/>
      <c r="HI49" s="200"/>
      <c r="HJ49" s="200"/>
      <c r="HK49" s="200"/>
      <c r="HL49" s="200"/>
      <c r="HM49" s="200"/>
      <c r="HN49" s="200"/>
      <c r="HO49" s="200"/>
      <c r="HP49" s="200"/>
      <c r="HQ49" s="200"/>
      <c r="HR49" s="200"/>
      <c r="HS49" s="200"/>
      <c r="HT49" s="200"/>
      <c r="HU49" s="200"/>
      <c r="HV49" s="200"/>
      <c r="HW49" s="200"/>
      <c r="HX49" s="200"/>
      <c r="HY49" s="200"/>
      <c r="HZ49" s="200"/>
      <c r="IA49" s="200"/>
      <c r="IB49" s="200"/>
      <c r="IC49" s="200"/>
      <c r="ID49" s="200"/>
      <c r="IE49" s="200"/>
      <c r="IF49" s="200"/>
      <c r="IG49" s="200"/>
      <c r="IH49" s="200"/>
      <c r="II49" s="200"/>
      <c r="IJ49" s="200"/>
      <c r="IK49" s="200"/>
      <c r="IL49" s="200"/>
      <c r="IM49" s="200"/>
      <c r="IN49" s="200"/>
      <c r="IO49" s="200"/>
      <c r="IP49" s="200"/>
      <c r="IQ49" s="200"/>
      <c r="IR49" s="200"/>
    </row>
    <row r="50" spans="1:252" ht="15">
      <c r="A50" s="7" t="s">
        <v>29</v>
      </c>
      <c r="B50" s="20" t="s">
        <v>297</v>
      </c>
      <c r="C50" s="12"/>
      <c r="D50" s="12"/>
      <c r="E50" s="12"/>
      <c r="F50" s="12"/>
      <c r="G50" s="1551"/>
      <c r="H50" s="731"/>
      <c r="I50" s="731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</row>
    <row r="51" spans="1:9" ht="15">
      <c r="A51" s="7" t="s">
        <v>31</v>
      </c>
      <c r="B51" s="21" t="s">
        <v>298</v>
      </c>
      <c r="C51" s="12"/>
      <c r="D51" s="12"/>
      <c r="E51" s="12"/>
      <c r="F51" s="12"/>
      <c r="G51" s="1551"/>
      <c r="H51" s="731"/>
      <c r="I51" s="731"/>
    </row>
    <row r="52" spans="1:9" ht="15.75" thickBot="1">
      <c r="A52" s="183" t="s">
        <v>74</v>
      </c>
      <c r="B52" s="20" t="s">
        <v>350</v>
      </c>
      <c r="C52" s="173">
        <v>11681</v>
      </c>
      <c r="D52" s="12"/>
      <c r="E52" s="12">
        <f>SUM(C52:D52)</f>
        <v>11681</v>
      </c>
      <c r="F52" s="12"/>
      <c r="G52" s="1551">
        <f>SUM(E52:F52)</f>
        <v>11681</v>
      </c>
      <c r="H52" s="731"/>
      <c r="I52" s="731">
        <f>SUM(G52:H52)</f>
        <v>11681</v>
      </c>
    </row>
    <row r="53" spans="1:237" ht="15" thickBot="1">
      <c r="A53" s="168"/>
      <c r="B53" s="152" t="s">
        <v>76</v>
      </c>
      <c r="C53" s="92">
        <f>SUM(C54:C60)</f>
        <v>0</v>
      </c>
      <c r="D53" s="9"/>
      <c r="E53" s="9"/>
      <c r="F53" s="9"/>
      <c r="G53" s="1553"/>
      <c r="H53" s="1499"/>
      <c r="I53" s="1499"/>
      <c r="IC53" s="30"/>
    </row>
    <row r="54" spans="1:9" ht="15">
      <c r="A54" s="179" t="s">
        <v>9</v>
      </c>
      <c r="B54" s="106" t="s">
        <v>296</v>
      </c>
      <c r="C54" s="169"/>
      <c r="D54" s="12"/>
      <c r="E54" s="12"/>
      <c r="F54" s="12"/>
      <c r="G54" s="1551"/>
      <c r="H54" s="731"/>
      <c r="I54" s="731"/>
    </row>
    <row r="55" spans="1:9" ht="15">
      <c r="A55" s="7" t="s">
        <v>23</v>
      </c>
      <c r="B55" s="20" t="s">
        <v>257</v>
      </c>
      <c r="C55" s="12"/>
      <c r="D55" s="12"/>
      <c r="E55" s="12"/>
      <c r="F55" s="12"/>
      <c r="G55" s="1551"/>
      <c r="H55" s="731"/>
      <c r="I55" s="731"/>
    </row>
    <row r="56" spans="1:9" ht="15">
      <c r="A56" s="7" t="s">
        <v>25</v>
      </c>
      <c r="B56" s="20" t="s">
        <v>258</v>
      </c>
      <c r="C56" s="12"/>
      <c r="D56" s="12"/>
      <c r="E56" s="12"/>
      <c r="F56" s="12"/>
      <c r="G56" s="1551"/>
      <c r="H56" s="731"/>
      <c r="I56" s="731"/>
    </row>
    <row r="57" spans="1:9" ht="15">
      <c r="A57" s="7" t="s">
        <v>27</v>
      </c>
      <c r="B57" s="20" t="s">
        <v>259</v>
      </c>
      <c r="C57" s="12"/>
      <c r="D57" s="12"/>
      <c r="E57" s="12"/>
      <c r="F57" s="12"/>
      <c r="G57" s="1551"/>
      <c r="H57" s="731"/>
      <c r="I57" s="731"/>
    </row>
    <row r="58" spans="1:10" ht="15">
      <c r="A58" s="7" t="s">
        <v>29</v>
      </c>
      <c r="B58" s="20" t="s">
        <v>260</v>
      </c>
      <c r="C58" s="12"/>
      <c r="D58" s="12"/>
      <c r="E58" s="12"/>
      <c r="F58" s="12"/>
      <c r="G58" s="1551"/>
      <c r="H58" s="731"/>
      <c r="I58" s="731"/>
      <c r="J58" s="72"/>
    </row>
    <row r="59" spans="1:10" ht="15">
      <c r="A59" s="7" t="s">
        <v>31</v>
      </c>
      <c r="B59" s="20" t="s">
        <v>297</v>
      </c>
      <c r="C59" s="12"/>
      <c r="D59" s="12"/>
      <c r="E59" s="12"/>
      <c r="F59" s="12"/>
      <c r="G59" s="1551"/>
      <c r="H59" s="731"/>
      <c r="I59" s="731"/>
      <c r="J59" s="72"/>
    </row>
    <row r="60" spans="1:9" ht="15">
      <c r="A60" s="183" t="s">
        <v>74</v>
      </c>
      <c r="B60" s="20" t="s">
        <v>350</v>
      </c>
      <c r="C60" s="180"/>
      <c r="D60" s="12"/>
      <c r="E60" s="12"/>
      <c r="F60" s="12"/>
      <c r="G60" s="1551"/>
      <c r="H60" s="731"/>
      <c r="I60" s="731"/>
    </row>
    <row r="61" spans="1:9" ht="15.75" thickBot="1">
      <c r="A61" s="184" t="s">
        <v>77</v>
      </c>
      <c r="B61" s="20"/>
      <c r="C61" s="173"/>
      <c r="D61" s="12"/>
      <c r="E61" s="12"/>
      <c r="F61" s="12"/>
      <c r="G61" s="1551"/>
      <c r="H61" s="1761"/>
      <c r="I61" s="1761"/>
    </row>
    <row r="62" spans="1:9" ht="15.75" thickBot="1">
      <c r="A62" s="354"/>
      <c r="B62" s="202" t="s">
        <v>79</v>
      </c>
      <c r="C62" s="203">
        <f aca="true" t="shared" si="4" ref="C62:I62">SUM(C9+C30+C44+C53)</f>
        <v>4542331</v>
      </c>
      <c r="D62" s="203">
        <f t="shared" si="4"/>
        <v>34524</v>
      </c>
      <c r="E62" s="203">
        <f t="shared" si="4"/>
        <v>4576855</v>
      </c>
      <c r="F62" s="203">
        <f t="shared" si="4"/>
        <v>677502</v>
      </c>
      <c r="G62" s="1751">
        <f t="shared" si="4"/>
        <v>5254357</v>
      </c>
      <c r="H62" s="1751">
        <f t="shared" si="4"/>
        <v>6536</v>
      </c>
      <c r="I62" s="1751">
        <f t="shared" si="4"/>
        <v>5260893</v>
      </c>
    </row>
    <row r="64" spans="3:10" ht="12.75">
      <c r="C64" s="72"/>
      <c r="D64" s="72"/>
      <c r="E64" s="72"/>
      <c r="F64" s="72"/>
      <c r="G64" s="72"/>
      <c r="H64" s="72"/>
      <c r="I64" s="72"/>
      <c r="J64" s="72"/>
    </row>
    <row r="65" spans="3:9" ht="12.75">
      <c r="C65" s="72"/>
      <c r="D65" s="72"/>
      <c r="E65" s="72"/>
      <c r="F65" s="72"/>
      <c r="G65" s="72"/>
      <c r="H65" s="72"/>
      <c r="I65" s="72"/>
    </row>
    <row r="66" spans="3:9" ht="12.75">
      <c r="C66" s="72"/>
      <c r="D66" s="72"/>
      <c r="E66" s="72"/>
      <c r="F66" s="72"/>
      <c r="G66" s="72"/>
      <c r="H66" s="72"/>
      <c r="I66" s="72"/>
    </row>
    <row r="67" spans="3:9" ht="12.75">
      <c r="C67" s="72"/>
      <c r="D67" s="72"/>
      <c r="E67" s="72"/>
      <c r="F67" s="72"/>
      <c r="G67" s="72"/>
      <c r="H67" s="72"/>
      <c r="I67" s="72"/>
    </row>
  </sheetData>
  <sheetProtection selectLockedCells="1" selectUnlockedCells="1"/>
  <mergeCells count="2">
    <mergeCell ref="A4:G4"/>
    <mergeCell ref="A5:G5"/>
  </mergeCells>
  <printOptions horizontalCentered="1"/>
  <pageMargins left="0.31496062992125984" right="0.2755905511811024" top="0.984251968503937" bottom="0.5905511811023623" header="0.5118110236220472" footer="0.5118110236220472"/>
  <pageSetup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7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7" customWidth="1"/>
    <col min="2" max="2" width="78.00390625" style="25" customWidth="1"/>
    <col min="3" max="3" width="17.875" style="25" customWidth="1"/>
    <col min="4" max="14" width="16.875" style="25" customWidth="1"/>
    <col min="15" max="15" width="5.50390625" style="25" customWidth="1"/>
    <col min="16" max="16" width="41.50390625" style="195" customWidth="1"/>
    <col min="17" max="16384" width="9.375" style="25" customWidth="1"/>
  </cols>
  <sheetData>
    <row r="1" spans="1:14" ht="30.75" customHeight="1">
      <c r="A1" s="204"/>
      <c r="B1" s="26" t="s">
        <v>719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6.25" customHeight="1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6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22.5" customHeight="1">
      <c r="A4" s="1807" t="s">
        <v>86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</row>
    <row r="5" spans="1:14" ht="21.75" customHeight="1">
      <c r="A5" s="1808" t="s">
        <v>577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</row>
    <row r="6" spans="1:14" ht="18.7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06" t="s">
        <v>370</v>
      </c>
    </row>
    <row r="7" spans="1:16" s="208" customFormat="1" ht="27" customHeight="1" thickBot="1">
      <c r="A7" s="207" t="s">
        <v>118</v>
      </c>
      <c r="B7" s="207" t="s">
        <v>142</v>
      </c>
      <c r="C7" s="1811" t="s">
        <v>363</v>
      </c>
      <c r="D7" s="1812"/>
      <c r="E7" s="1813"/>
      <c r="F7" s="1811" t="s">
        <v>364</v>
      </c>
      <c r="G7" s="1812"/>
      <c r="H7" s="1813"/>
      <c r="I7" s="1811" t="s">
        <v>371</v>
      </c>
      <c r="J7" s="1812"/>
      <c r="K7" s="1813"/>
      <c r="L7" s="1811" t="s">
        <v>366</v>
      </c>
      <c r="M7" s="1812"/>
      <c r="N7" s="1813"/>
      <c r="P7" s="306"/>
    </row>
    <row r="8" spans="1:14" ht="45" customHeight="1">
      <c r="A8" s="209" t="s">
        <v>87</v>
      </c>
      <c r="B8" s="210" t="s">
        <v>88</v>
      </c>
      <c r="C8" s="1809" t="s">
        <v>361</v>
      </c>
      <c r="D8" s="1809"/>
      <c r="E8" s="1809"/>
      <c r="F8" s="1809" t="s">
        <v>339</v>
      </c>
      <c r="G8" s="1809"/>
      <c r="H8" s="1809"/>
      <c r="I8" s="1809" t="s">
        <v>340</v>
      </c>
      <c r="J8" s="1809"/>
      <c r="K8" s="1809"/>
      <c r="L8" s="1810" t="s">
        <v>89</v>
      </c>
      <c r="M8" s="1810"/>
      <c r="N8" s="1810"/>
    </row>
    <row r="9" spans="1:16" s="30" customFormat="1" ht="40.5" customHeight="1" thickBot="1">
      <c r="A9" s="211" t="s">
        <v>90</v>
      </c>
      <c r="B9" s="212" t="s">
        <v>91</v>
      </c>
      <c r="C9" s="213" t="s">
        <v>92</v>
      </c>
      <c r="D9" s="214" t="s">
        <v>93</v>
      </c>
      <c r="E9" s="215" t="s">
        <v>94</v>
      </c>
      <c r="F9" s="213" t="s">
        <v>92</v>
      </c>
      <c r="G9" s="214" t="s">
        <v>93</v>
      </c>
      <c r="H9" s="215" t="s">
        <v>94</v>
      </c>
      <c r="I9" s="213" t="s">
        <v>92</v>
      </c>
      <c r="J9" s="214" t="s">
        <v>93</v>
      </c>
      <c r="K9" s="215" t="s">
        <v>94</v>
      </c>
      <c r="L9" s="213" t="s">
        <v>92</v>
      </c>
      <c r="M9" s="214" t="s">
        <v>93</v>
      </c>
      <c r="N9" s="215" t="s">
        <v>94</v>
      </c>
      <c r="P9" s="144"/>
    </row>
    <row r="10" spans="1:16" s="31" customFormat="1" ht="12" thickBo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  <c r="F10" s="218">
        <v>3</v>
      </c>
      <c r="G10" s="219">
        <v>4</v>
      </c>
      <c r="H10" s="220">
        <v>5</v>
      </c>
      <c r="I10" s="218">
        <v>3</v>
      </c>
      <c r="J10" s="219">
        <v>4</v>
      </c>
      <c r="K10" s="220">
        <v>5</v>
      </c>
      <c r="L10" s="218">
        <v>3</v>
      </c>
      <c r="M10" s="219">
        <v>4</v>
      </c>
      <c r="N10" s="220">
        <v>5</v>
      </c>
      <c r="P10" s="145"/>
    </row>
    <row r="11" spans="1:16" s="30" customFormat="1" ht="18.7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23"/>
      <c r="J11" s="224"/>
      <c r="K11" s="225"/>
      <c r="L11" s="223"/>
      <c r="M11" s="224"/>
      <c r="N11" s="225"/>
      <c r="P11" s="144"/>
    </row>
    <row r="12" spans="1:16" s="38" customFormat="1" ht="17.25" customHeight="1" thickBot="1">
      <c r="A12" s="46">
        <v>1</v>
      </c>
      <c r="B12" s="226" t="s">
        <v>8</v>
      </c>
      <c r="C12" s="69">
        <v>82752</v>
      </c>
      <c r="D12" s="69">
        <f>82752+73+117</f>
        <v>82942</v>
      </c>
      <c r="E12" s="227"/>
      <c r="F12" s="69">
        <v>59319</v>
      </c>
      <c r="G12" s="69">
        <f>59319+74</f>
        <v>59393</v>
      </c>
      <c r="H12" s="227"/>
      <c r="I12" s="69">
        <v>122002</v>
      </c>
      <c r="J12" s="69">
        <f>122002+73</f>
        <v>122075</v>
      </c>
      <c r="K12" s="227"/>
      <c r="L12" s="69">
        <f>SUM(C12+F12+I12)</f>
        <v>264073</v>
      </c>
      <c r="M12" s="69">
        <f aca="true" t="shared" si="0" ref="M12:M23">SUM(D12+G12+J12)</f>
        <v>264410</v>
      </c>
      <c r="N12" s="227">
        <f aca="true" t="shared" si="1" ref="N12:N23">SUM(E12+H12+K12)</f>
        <v>0</v>
      </c>
      <c r="P12" s="307"/>
    </row>
    <row r="13" spans="1:16" s="38" customFormat="1" ht="17.25" customHeight="1" thickBot="1">
      <c r="A13" s="46">
        <v>2</v>
      </c>
      <c r="B13" s="226" t="s">
        <v>96</v>
      </c>
      <c r="C13" s="69">
        <v>17810</v>
      </c>
      <c r="D13" s="69">
        <f>17810+14+23</f>
        <v>17847</v>
      </c>
      <c r="E13" s="227"/>
      <c r="F13" s="69">
        <v>11896</v>
      </c>
      <c r="G13" s="69">
        <f>11896+15</f>
        <v>11911</v>
      </c>
      <c r="H13" s="227"/>
      <c r="I13" s="69">
        <v>24446</v>
      </c>
      <c r="J13" s="69">
        <f>24446+14</f>
        <v>24460</v>
      </c>
      <c r="K13" s="227"/>
      <c r="L13" s="69">
        <f aca="true" t="shared" si="2" ref="L13:L23">SUM(C13+F13+I13)</f>
        <v>54152</v>
      </c>
      <c r="M13" s="69">
        <f t="shared" si="0"/>
        <v>54218</v>
      </c>
      <c r="N13" s="227">
        <f t="shared" si="1"/>
        <v>0</v>
      </c>
      <c r="P13" s="307"/>
    </row>
    <row r="14" spans="1:16" s="38" customFormat="1" ht="17.25" customHeight="1" thickBot="1">
      <c r="A14" s="46">
        <v>3</v>
      </c>
      <c r="B14" s="226" t="s">
        <v>15</v>
      </c>
      <c r="C14" s="69">
        <v>14740</v>
      </c>
      <c r="D14" s="69">
        <v>14740</v>
      </c>
      <c r="E14" s="227"/>
      <c r="F14" s="69">
        <v>16066</v>
      </c>
      <c r="G14" s="69">
        <v>16066</v>
      </c>
      <c r="H14" s="227"/>
      <c r="I14" s="69">
        <v>25660</v>
      </c>
      <c r="J14" s="69">
        <v>25660</v>
      </c>
      <c r="K14" s="227"/>
      <c r="L14" s="69">
        <f t="shared" si="2"/>
        <v>56466</v>
      </c>
      <c r="M14" s="69">
        <f t="shared" si="0"/>
        <v>56466</v>
      </c>
      <c r="N14" s="227">
        <f t="shared" si="1"/>
        <v>0</v>
      </c>
      <c r="P14" s="307"/>
    </row>
    <row r="15" spans="1:16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/>
      <c r="G15" s="69"/>
      <c r="H15" s="227"/>
      <c r="I15" s="69"/>
      <c r="J15" s="69"/>
      <c r="K15" s="227"/>
      <c r="L15" s="69">
        <f t="shared" si="2"/>
        <v>0</v>
      </c>
      <c r="M15" s="69">
        <f t="shared" si="0"/>
        <v>0</v>
      </c>
      <c r="N15" s="227">
        <f t="shared" si="1"/>
        <v>0</v>
      </c>
      <c r="P15" s="307"/>
    </row>
    <row r="16" spans="1:16" s="38" customFormat="1" ht="17.25" customHeight="1" thickBo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69">
        <f t="shared" si="2"/>
        <v>0</v>
      </c>
      <c r="M16" s="69">
        <f t="shared" si="0"/>
        <v>0</v>
      </c>
      <c r="N16" s="227">
        <f t="shared" si="1"/>
        <v>0</v>
      </c>
      <c r="P16" s="307"/>
    </row>
    <row r="17" spans="1:16" s="38" customFormat="1" ht="17.25" customHeight="1" thickBot="1">
      <c r="A17" s="39" t="s">
        <v>99</v>
      </c>
      <c r="B17" s="48" t="s">
        <v>325</v>
      </c>
      <c r="C17" s="229"/>
      <c r="D17" s="50"/>
      <c r="E17" s="104"/>
      <c r="F17" s="229"/>
      <c r="G17" s="50"/>
      <c r="H17" s="104"/>
      <c r="I17" s="229"/>
      <c r="J17" s="50"/>
      <c r="K17" s="104"/>
      <c r="L17" s="69">
        <f t="shared" si="2"/>
        <v>0</v>
      </c>
      <c r="M17" s="69">
        <f t="shared" si="0"/>
        <v>0</v>
      </c>
      <c r="N17" s="227">
        <f t="shared" si="1"/>
        <v>0</v>
      </c>
      <c r="P17" s="307"/>
    </row>
    <row r="18" spans="1:16" s="38" customFormat="1" ht="17.25" customHeight="1" thickBot="1">
      <c r="A18" s="39" t="s">
        <v>101</v>
      </c>
      <c r="B18" s="48" t="s">
        <v>326</v>
      </c>
      <c r="C18" s="229"/>
      <c r="D18" s="50"/>
      <c r="E18" s="104"/>
      <c r="F18" s="229"/>
      <c r="G18" s="50"/>
      <c r="H18" s="104"/>
      <c r="I18" s="229"/>
      <c r="J18" s="50"/>
      <c r="K18" s="104"/>
      <c r="L18" s="69">
        <f t="shared" si="2"/>
        <v>0</v>
      </c>
      <c r="M18" s="69">
        <f t="shared" si="0"/>
        <v>0</v>
      </c>
      <c r="N18" s="227">
        <f t="shared" si="1"/>
        <v>0</v>
      </c>
      <c r="P18" s="307"/>
    </row>
    <row r="19" spans="1:16" s="38" customFormat="1" ht="17.25" customHeight="1" thickBo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4"/>
      <c r="I19" s="229"/>
      <c r="J19" s="50"/>
      <c r="K19" s="104"/>
      <c r="L19" s="69">
        <f t="shared" si="2"/>
        <v>0</v>
      </c>
      <c r="M19" s="69">
        <f t="shared" si="0"/>
        <v>0</v>
      </c>
      <c r="N19" s="227">
        <f t="shared" si="1"/>
        <v>0</v>
      </c>
      <c r="P19" s="307"/>
    </row>
    <row r="20" spans="1:16" s="38" customFormat="1" ht="17.25" customHeight="1" thickBot="1">
      <c r="A20" s="230" t="s">
        <v>104</v>
      </c>
      <c r="B20" s="48" t="s">
        <v>327</v>
      </c>
      <c r="C20" s="51"/>
      <c r="D20" s="50"/>
      <c r="E20" s="104"/>
      <c r="F20" s="51"/>
      <c r="G20" s="50"/>
      <c r="H20" s="104"/>
      <c r="I20" s="51"/>
      <c r="J20" s="50"/>
      <c r="K20" s="104"/>
      <c r="L20" s="69">
        <f t="shared" si="2"/>
        <v>0</v>
      </c>
      <c r="M20" s="69">
        <f t="shared" si="0"/>
        <v>0</v>
      </c>
      <c r="N20" s="227">
        <f t="shared" si="1"/>
        <v>0</v>
      </c>
      <c r="P20" s="307"/>
    </row>
    <row r="21" spans="1:16" s="38" customFormat="1" ht="17.25" customHeight="1" thickBot="1">
      <c r="A21" s="39" t="s">
        <v>106</v>
      </c>
      <c r="B21" s="40" t="s">
        <v>328</v>
      </c>
      <c r="C21" s="51"/>
      <c r="D21" s="50"/>
      <c r="E21" s="104"/>
      <c r="F21" s="51"/>
      <c r="G21" s="50"/>
      <c r="H21" s="104"/>
      <c r="I21" s="51"/>
      <c r="J21" s="50"/>
      <c r="K21" s="104"/>
      <c r="L21" s="69">
        <f t="shared" si="2"/>
        <v>0</v>
      </c>
      <c r="M21" s="69">
        <f t="shared" si="0"/>
        <v>0</v>
      </c>
      <c r="N21" s="227">
        <f t="shared" si="1"/>
        <v>0</v>
      </c>
      <c r="P21" s="307"/>
    </row>
    <row r="22" spans="1:16" s="38" customFormat="1" ht="17.25" customHeight="1" thickBot="1">
      <c r="A22" s="230" t="s">
        <v>108</v>
      </c>
      <c r="B22" s="48" t="s">
        <v>329</v>
      </c>
      <c r="C22" s="51"/>
      <c r="D22" s="50"/>
      <c r="E22" s="104"/>
      <c r="F22" s="51"/>
      <c r="G22" s="50"/>
      <c r="H22" s="104"/>
      <c r="I22" s="51"/>
      <c r="J22" s="50"/>
      <c r="K22" s="104"/>
      <c r="L22" s="69">
        <f t="shared" si="2"/>
        <v>0</v>
      </c>
      <c r="M22" s="69">
        <f t="shared" si="0"/>
        <v>0</v>
      </c>
      <c r="N22" s="227">
        <f t="shared" si="1"/>
        <v>0</v>
      </c>
      <c r="P22" s="307"/>
    </row>
    <row r="23" spans="1:16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69">
        <f t="shared" si="2"/>
        <v>0</v>
      </c>
      <c r="M23" s="69">
        <f t="shared" si="0"/>
        <v>0</v>
      </c>
      <c r="N23" s="227">
        <f t="shared" si="1"/>
        <v>0</v>
      </c>
      <c r="P23" s="307"/>
    </row>
    <row r="24" spans="1:16" s="38" customFormat="1" ht="17.25" customHeight="1" thickBot="1">
      <c r="A24" s="46">
        <v>5</v>
      </c>
      <c r="B24" s="226" t="s">
        <v>21</v>
      </c>
      <c r="C24" s="47">
        <f aca="true" t="shared" si="3" ref="C24:N24">SUM(C16:C23)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293">
        <f t="shared" si="3"/>
        <v>0</v>
      </c>
      <c r="P24" s="307"/>
    </row>
    <row r="25" spans="1:16" s="38" customFormat="1" ht="17.25" customHeight="1" thickBot="1">
      <c r="A25" s="46">
        <v>6</v>
      </c>
      <c r="B25" s="226" t="s">
        <v>53</v>
      </c>
      <c r="C25" s="47">
        <v>851</v>
      </c>
      <c r="D25" s="69">
        <v>851</v>
      </c>
      <c r="E25" s="227"/>
      <c r="F25" s="47">
        <v>698</v>
      </c>
      <c r="G25" s="69">
        <v>698</v>
      </c>
      <c r="H25" s="227"/>
      <c r="I25" s="47">
        <v>1651</v>
      </c>
      <c r="J25" s="69">
        <v>1651</v>
      </c>
      <c r="K25" s="227"/>
      <c r="L25" s="47">
        <f aca="true" t="shared" si="4" ref="L25:N28">SUM(C25+F25+I25)</f>
        <v>3200</v>
      </c>
      <c r="M25" s="47">
        <f t="shared" si="4"/>
        <v>3200</v>
      </c>
      <c r="N25" s="293">
        <f t="shared" si="4"/>
        <v>0</v>
      </c>
      <c r="P25" s="307"/>
    </row>
    <row r="26" spans="1:16" s="38" customFormat="1" ht="17.25" customHeight="1" thickBot="1">
      <c r="A26" s="46">
        <v>7</v>
      </c>
      <c r="B26" s="226" t="s">
        <v>56</v>
      </c>
      <c r="C26" s="69"/>
      <c r="D26" s="69"/>
      <c r="E26" s="227"/>
      <c r="F26" s="69"/>
      <c r="G26" s="69">
        <f>635-635</f>
        <v>0</v>
      </c>
      <c r="H26" s="227"/>
      <c r="I26" s="69"/>
      <c r="J26" s="69"/>
      <c r="K26" s="227"/>
      <c r="L26" s="47">
        <f t="shared" si="4"/>
        <v>0</v>
      </c>
      <c r="M26" s="47">
        <f t="shared" si="4"/>
        <v>0</v>
      </c>
      <c r="N26" s="293">
        <f t="shared" si="4"/>
        <v>0</v>
      </c>
      <c r="P26" s="307"/>
    </row>
    <row r="27" spans="1:16" s="38" customFormat="1" ht="17.25" customHeight="1" thickBot="1">
      <c r="A27" s="231" t="s">
        <v>97</v>
      </c>
      <c r="B27" s="232" t="s">
        <v>322</v>
      </c>
      <c r="C27" s="233"/>
      <c r="D27" s="234"/>
      <c r="E27" s="235"/>
      <c r="F27" s="233"/>
      <c r="G27" s="234"/>
      <c r="H27" s="235"/>
      <c r="I27" s="233"/>
      <c r="J27" s="234"/>
      <c r="K27" s="235"/>
      <c r="L27" s="47">
        <f t="shared" si="4"/>
        <v>0</v>
      </c>
      <c r="M27" s="47">
        <f t="shared" si="4"/>
        <v>0</v>
      </c>
      <c r="N27" s="293">
        <f t="shared" si="4"/>
        <v>0</v>
      </c>
      <c r="P27" s="307"/>
    </row>
    <row r="28" spans="1:16" s="38" customFormat="1" ht="17.25" customHeight="1" thickBot="1">
      <c r="A28" s="39" t="s">
        <v>99</v>
      </c>
      <c r="B28" s="48" t="s">
        <v>323</v>
      </c>
      <c r="C28" s="229"/>
      <c r="D28" s="50"/>
      <c r="E28" s="104"/>
      <c r="F28" s="229"/>
      <c r="G28" s="50"/>
      <c r="H28" s="104"/>
      <c r="I28" s="229"/>
      <c r="J28" s="50"/>
      <c r="K28" s="104"/>
      <c r="L28" s="47">
        <f t="shared" si="4"/>
        <v>0</v>
      </c>
      <c r="M28" s="47">
        <f t="shared" si="4"/>
        <v>0</v>
      </c>
      <c r="N28" s="293">
        <f t="shared" si="4"/>
        <v>0</v>
      </c>
      <c r="P28" s="307"/>
    </row>
    <row r="29" spans="1:16" s="38" customFormat="1" ht="17.25" customHeight="1" thickBot="1">
      <c r="A29" s="236" t="s">
        <v>101</v>
      </c>
      <c r="B29" s="237" t="s">
        <v>324</v>
      </c>
      <c r="C29" s="238"/>
      <c r="D29" s="239"/>
      <c r="E29" s="240"/>
      <c r="F29" s="238"/>
      <c r="G29" s="239"/>
      <c r="H29" s="240"/>
      <c r="I29" s="238"/>
      <c r="J29" s="239"/>
      <c r="K29" s="240"/>
      <c r="L29" s="47">
        <f aca="true" t="shared" si="5" ref="L29:M31">SUM(C29+F29+I29)</f>
        <v>0</v>
      </c>
      <c r="M29" s="47">
        <f t="shared" si="5"/>
        <v>0</v>
      </c>
      <c r="N29" s="240"/>
      <c r="P29" s="307"/>
    </row>
    <row r="30" spans="1:16" s="38" customFormat="1" ht="17.25" customHeight="1" thickBot="1">
      <c r="A30" s="39" t="s">
        <v>103</v>
      </c>
      <c r="B30" s="48" t="s">
        <v>330</v>
      </c>
      <c r="C30" s="49"/>
      <c r="D30" s="50"/>
      <c r="E30" s="51"/>
      <c r="F30" s="49"/>
      <c r="G30" s="50"/>
      <c r="H30" s="51"/>
      <c r="I30" s="49"/>
      <c r="J30" s="50"/>
      <c r="K30" s="51"/>
      <c r="L30" s="47">
        <f t="shared" si="5"/>
        <v>0</v>
      </c>
      <c r="M30" s="47">
        <f t="shared" si="5"/>
        <v>0</v>
      </c>
      <c r="N30" s="293">
        <f>SUM(E30+H30+K30)</f>
        <v>0</v>
      </c>
      <c r="P30" s="307"/>
    </row>
    <row r="31" spans="1:16" s="38" customFormat="1" ht="17.25" customHeight="1" thickBot="1">
      <c r="A31" s="241" t="s">
        <v>104</v>
      </c>
      <c r="B31" s="242" t="s">
        <v>331</v>
      </c>
      <c r="C31" s="243"/>
      <c r="D31" s="244"/>
      <c r="E31" s="245"/>
      <c r="F31" s="243"/>
      <c r="G31" s="244"/>
      <c r="H31" s="245"/>
      <c r="I31" s="243"/>
      <c r="J31" s="244"/>
      <c r="K31" s="245"/>
      <c r="L31" s="47">
        <f t="shared" si="5"/>
        <v>0</v>
      </c>
      <c r="M31" s="47">
        <f t="shared" si="5"/>
        <v>0</v>
      </c>
      <c r="N31" s="293">
        <f>SUM(E31+H31+K31)</f>
        <v>0</v>
      </c>
      <c r="P31" s="307"/>
    </row>
    <row r="32" spans="1:16" s="246" customFormat="1" ht="17.25" customHeight="1" thickBot="1">
      <c r="A32" s="46">
        <v>8</v>
      </c>
      <c r="B32" s="226" t="s">
        <v>59</v>
      </c>
      <c r="C32" s="47">
        <f aca="true" t="shared" si="6" ref="C32:N32">SUM(C27:C31)</f>
        <v>0</v>
      </c>
      <c r="D32" s="47">
        <f t="shared" si="6"/>
        <v>0</v>
      </c>
      <c r="E32" s="47">
        <f t="shared" si="6"/>
        <v>0</v>
      </c>
      <c r="F32" s="47">
        <f t="shared" si="6"/>
        <v>0</v>
      </c>
      <c r="G32" s="47">
        <f t="shared" si="6"/>
        <v>0</v>
      </c>
      <c r="H32" s="47">
        <f t="shared" si="6"/>
        <v>0</v>
      </c>
      <c r="I32" s="47">
        <f t="shared" si="6"/>
        <v>0</v>
      </c>
      <c r="J32" s="47">
        <f t="shared" si="6"/>
        <v>0</v>
      </c>
      <c r="K32" s="47">
        <f t="shared" si="6"/>
        <v>0</v>
      </c>
      <c r="L32" s="47">
        <f t="shared" si="6"/>
        <v>0</v>
      </c>
      <c r="M32" s="47">
        <f t="shared" si="6"/>
        <v>0</v>
      </c>
      <c r="N32" s="293">
        <f t="shared" si="6"/>
        <v>0</v>
      </c>
      <c r="P32" s="446"/>
    </row>
    <row r="33" spans="1:16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/>
      <c r="G33" s="69"/>
      <c r="H33" s="227"/>
      <c r="I33" s="47"/>
      <c r="J33" s="69"/>
      <c r="K33" s="227"/>
      <c r="L33" s="47">
        <f>SUM(C33+F33+I33)</f>
        <v>0</v>
      </c>
      <c r="M33" s="69"/>
      <c r="N33" s="227"/>
      <c r="P33" s="307"/>
    </row>
    <row r="34" spans="1:16" s="58" customFormat="1" ht="17.25" customHeight="1" thickBot="1">
      <c r="A34" s="53" t="s">
        <v>118</v>
      </c>
      <c r="B34" s="54" t="s">
        <v>119</v>
      </c>
      <c r="C34" s="55">
        <f aca="true" t="shared" si="7" ref="C34:N34">SUM(C12+C13+C14+C15+C24+C25+C26+C32+C33)</f>
        <v>116153</v>
      </c>
      <c r="D34" s="55">
        <f t="shared" si="7"/>
        <v>116380</v>
      </c>
      <c r="E34" s="55">
        <f t="shared" si="7"/>
        <v>0</v>
      </c>
      <c r="F34" s="55">
        <f t="shared" si="7"/>
        <v>87979</v>
      </c>
      <c r="G34" s="55">
        <f t="shared" si="7"/>
        <v>88068</v>
      </c>
      <c r="H34" s="55">
        <f t="shared" si="7"/>
        <v>0</v>
      </c>
      <c r="I34" s="55">
        <f t="shared" si="7"/>
        <v>173759</v>
      </c>
      <c r="J34" s="55">
        <f t="shared" si="7"/>
        <v>173846</v>
      </c>
      <c r="K34" s="55">
        <f t="shared" si="7"/>
        <v>0</v>
      </c>
      <c r="L34" s="55">
        <f t="shared" si="7"/>
        <v>377891</v>
      </c>
      <c r="M34" s="55">
        <f t="shared" si="7"/>
        <v>378294</v>
      </c>
      <c r="N34" s="1245">
        <f t="shared" si="7"/>
        <v>0</v>
      </c>
      <c r="O34" s="56"/>
      <c r="P34" s="146"/>
    </row>
    <row r="35" spans="1:16" s="191" customFormat="1" ht="17.25" customHeight="1" thickBot="1" thickTop="1">
      <c r="A35" s="247"/>
      <c r="B35" s="248" t="s">
        <v>120</v>
      </c>
      <c r="C35" s="249"/>
      <c r="D35" s="250"/>
      <c r="E35" s="251"/>
      <c r="F35" s="249"/>
      <c r="G35" s="250"/>
      <c r="H35" s="251"/>
      <c r="I35" s="249"/>
      <c r="J35" s="250"/>
      <c r="K35" s="251"/>
      <c r="L35" s="249"/>
      <c r="M35" s="250"/>
      <c r="N35" s="251"/>
      <c r="O35" s="252"/>
      <c r="P35" s="336"/>
    </row>
    <row r="36" spans="1:16" s="38" customFormat="1" ht="17.25" customHeight="1">
      <c r="A36" s="253" t="s">
        <v>97</v>
      </c>
      <c r="B36" s="254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>
        <f aca="true" t="shared" si="8" ref="L36:M39">SUM(C36+F36+I36)</f>
        <v>0</v>
      </c>
      <c r="M36" s="50">
        <f t="shared" si="8"/>
        <v>0</v>
      </c>
      <c r="N36" s="66"/>
      <c r="P36" s="307"/>
    </row>
    <row r="37" spans="1:16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40"/>
      <c r="I37" s="50"/>
      <c r="J37" s="50"/>
      <c r="K37" s="240"/>
      <c r="L37" s="50">
        <f t="shared" si="8"/>
        <v>0</v>
      </c>
      <c r="M37" s="50">
        <f t="shared" si="8"/>
        <v>0</v>
      </c>
      <c r="N37" s="240"/>
      <c r="P37" s="307"/>
    </row>
    <row r="38" spans="1:16" s="38" customFormat="1" ht="17.25" customHeight="1">
      <c r="A38" s="39" t="s">
        <v>101</v>
      </c>
      <c r="B38" s="48" t="s">
        <v>122</v>
      </c>
      <c r="C38" s="50"/>
      <c r="D38" s="50"/>
      <c r="E38" s="240"/>
      <c r="F38" s="50"/>
      <c r="G38" s="50"/>
      <c r="H38" s="240"/>
      <c r="I38" s="50"/>
      <c r="J38" s="50"/>
      <c r="K38" s="240"/>
      <c r="L38" s="50">
        <f t="shared" si="8"/>
        <v>0</v>
      </c>
      <c r="M38" s="50">
        <f t="shared" si="8"/>
        <v>0</v>
      </c>
      <c r="N38" s="240"/>
      <c r="P38" s="307"/>
    </row>
    <row r="39" spans="1:16" s="38" customFormat="1" ht="17.25" customHeight="1">
      <c r="A39" s="39" t="s">
        <v>103</v>
      </c>
      <c r="B39" s="48" t="s">
        <v>123</v>
      </c>
      <c r="C39" s="50"/>
      <c r="D39" s="50"/>
      <c r="E39" s="240"/>
      <c r="F39" s="50"/>
      <c r="G39" s="50"/>
      <c r="H39" s="240"/>
      <c r="I39" s="50"/>
      <c r="J39" s="50"/>
      <c r="K39" s="240"/>
      <c r="L39" s="50">
        <f t="shared" si="8"/>
        <v>0</v>
      </c>
      <c r="M39" s="50">
        <f t="shared" si="8"/>
        <v>0</v>
      </c>
      <c r="N39" s="240"/>
      <c r="P39" s="307"/>
    </row>
    <row r="40" spans="1:16" s="63" customFormat="1" ht="17.25" customHeight="1">
      <c r="A40" s="255">
        <v>1</v>
      </c>
      <c r="B40" s="256" t="s">
        <v>124</v>
      </c>
      <c r="C40" s="257">
        <f aca="true" t="shared" si="9" ref="C40:N40">SUM(C36:C39)</f>
        <v>0</v>
      </c>
      <c r="D40" s="257">
        <f t="shared" si="9"/>
        <v>0</v>
      </c>
      <c r="E40" s="257">
        <f t="shared" si="9"/>
        <v>0</v>
      </c>
      <c r="F40" s="257">
        <f t="shared" si="9"/>
        <v>0</v>
      </c>
      <c r="G40" s="257">
        <f t="shared" si="9"/>
        <v>0</v>
      </c>
      <c r="H40" s="257">
        <f t="shared" si="9"/>
        <v>0</v>
      </c>
      <c r="I40" s="257">
        <f t="shared" si="9"/>
        <v>0</v>
      </c>
      <c r="J40" s="257">
        <f t="shared" si="9"/>
        <v>0</v>
      </c>
      <c r="K40" s="257">
        <f t="shared" si="9"/>
        <v>0</v>
      </c>
      <c r="L40" s="257">
        <f t="shared" si="9"/>
        <v>0</v>
      </c>
      <c r="M40" s="257">
        <f t="shared" si="9"/>
        <v>0</v>
      </c>
      <c r="N40" s="298">
        <f t="shared" si="9"/>
        <v>0</v>
      </c>
      <c r="P40" s="447"/>
    </row>
    <row r="41" spans="1:16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40"/>
      <c r="I41" s="50"/>
      <c r="J41" s="50"/>
      <c r="K41" s="240"/>
      <c r="L41" s="50">
        <f aca="true" t="shared" si="10" ref="L41:M44">SUM(C41+F41+I41)</f>
        <v>0</v>
      </c>
      <c r="M41" s="50">
        <f t="shared" si="10"/>
        <v>0</v>
      </c>
      <c r="N41" s="240"/>
      <c r="P41" s="307"/>
    </row>
    <row r="42" spans="1:16" s="38" customFormat="1" ht="17.25" customHeight="1">
      <c r="A42" s="39" t="s">
        <v>99</v>
      </c>
      <c r="B42" s="48" t="s">
        <v>126</v>
      </c>
      <c r="C42" s="50"/>
      <c r="D42" s="50"/>
      <c r="E42" s="240"/>
      <c r="F42" s="50"/>
      <c r="G42" s="50"/>
      <c r="H42" s="240"/>
      <c r="I42" s="50"/>
      <c r="J42" s="50"/>
      <c r="K42" s="240"/>
      <c r="L42" s="50">
        <f t="shared" si="10"/>
        <v>0</v>
      </c>
      <c r="M42" s="50">
        <f t="shared" si="10"/>
        <v>0</v>
      </c>
      <c r="N42" s="240"/>
      <c r="P42" s="307"/>
    </row>
    <row r="43" spans="1:16" s="38" customFormat="1" ht="17.25" customHeight="1">
      <c r="A43" s="39" t="s">
        <v>101</v>
      </c>
      <c r="B43" s="48" t="s">
        <v>127</v>
      </c>
      <c r="C43" s="50"/>
      <c r="D43" s="50"/>
      <c r="E43" s="240"/>
      <c r="F43" s="50"/>
      <c r="G43" s="50"/>
      <c r="H43" s="240"/>
      <c r="I43" s="50"/>
      <c r="J43" s="50"/>
      <c r="K43" s="240"/>
      <c r="L43" s="50">
        <f t="shared" si="10"/>
        <v>0</v>
      </c>
      <c r="M43" s="50">
        <f t="shared" si="10"/>
        <v>0</v>
      </c>
      <c r="N43" s="240"/>
      <c r="P43" s="307"/>
    </row>
    <row r="44" spans="1:16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/>
      <c r="G44" s="50"/>
      <c r="H44" s="240"/>
      <c r="I44" s="229"/>
      <c r="J44" s="50"/>
      <c r="K44" s="240"/>
      <c r="L44" s="50">
        <f t="shared" si="10"/>
        <v>0</v>
      </c>
      <c r="M44" s="50">
        <f t="shared" si="10"/>
        <v>0</v>
      </c>
      <c r="N44" s="240"/>
      <c r="P44" s="307"/>
    </row>
    <row r="45" spans="1:16" s="63" customFormat="1" ht="17.25" customHeight="1">
      <c r="A45" s="255">
        <v>2</v>
      </c>
      <c r="B45" s="256" t="s">
        <v>129</v>
      </c>
      <c r="C45" s="258">
        <f aca="true" t="shared" si="11" ref="C45:N45">SUM(C41:C44)</f>
        <v>0</v>
      </c>
      <c r="D45" s="258">
        <f t="shared" si="11"/>
        <v>0</v>
      </c>
      <c r="E45" s="258">
        <f t="shared" si="11"/>
        <v>0</v>
      </c>
      <c r="F45" s="258">
        <f t="shared" si="11"/>
        <v>0</v>
      </c>
      <c r="G45" s="258">
        <f t="shared" si="11"/>
        <v>0</v>
      </c>
      <c r="H45" s="258">
        <f t="shared" si="11"/>
        <v>0</v>
      </c>
      <c r="I45" s="258">
        <f t="shared" si="11"/>
        <v>0</v>
      </c>
      <c r="J45" s="258">
        <f t="shared" si="11"/>
        <v>0</v>
      </c>
      <c r="K45" s="258">
        <f t="shared" si="11"/>
        <v>0</v>
      </c>
      <c r="L45" s="258">
        <f t="shared" si="11"/>
        <v>0</v>
      </c>
      <c r="M45" s="258">
        <f t="shared" si="11"/>
        <v>0</v>
      </c>
      <c r="N45" s="1246">
        <f t="shared" si="11"/>
        <v>0</v>
      </c>
      <c r="P45" s="437"/>
    </row>
    <row r="46" spans="1:16" s="63" customFormat="1" ht="17.25" customHeight="1">
      <c r="A46" s="255">
        <v>3</v>
      </c>
      <c r="B46" s="256" t="s">
        <v>34</v>
      </c>
      <c r="C46" s="258">
        <v>640</v>
      </c>
      <c r="D46" s="257">
        <v>640</v>
      </c>
      <c r="E46" s="259"/>
      <c r="F46" s="258">
        <v>560</v>
      </c>
      <c r="G46" s="257">
        <v>560</v>
      </c>
      <c r="H46" s="259"/>
      <c r="I46" s="258">
        <v>5550</v>
      </c>
      <c r="J46" s="257">
        <v>5550</v>
      </c>
      <c r="K46" s="259"/>
      <c r="L46" s="257">
        <f aca="true" t="shared" si="12" ref="L46:M50">SUM(C46+F46+I46)</f>
        <v>6750</v>
      </c>
      <c r="M46" s="257">
        <f t="shared" si="12"/>
        <v>6750</v>
      </c>
      <c r="N46" s="259"/>
      <c r="P46" s="447"/>
    </row>
    <row r="47" spans="1:16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259"/>
      <c r="I47" s="258"/>
      <c r="J47" s="257"/>
      <c r="K47" s="259"/>
      <c r="L47" s="257">
        <f t="shared" si="12"/>
        <v>0</v>
      </c>
      <c r="M47" s="257">
        <f t="shared" si="12"/>
        <v>0</v>
      </c>
      <c r="N47" s="259"/>
      <c r="P47" s="447"/>
    </row>
    <row r="48" spans="1:16" s="38" customFormat="1" ht="17.25" customHeight="1">
      <c r="A48" s="39" t="s">
        <v>97</v>
      </c>
      <c r="B48" s="48" t="s">
        <v>130</v>
      </c>
      <c r="C48" s="229"/>
      <c r="D48" s="51"/>
      <c r="E48" s="260"/>
      <c r="F48" s="229"/>
      <c r="G48" s="51"/>
      <c r="H48" s="260"/>
      <c r="I48" s="229"/>
      <c r="J48" s="51"/>
      <c r="K48" s="260"/>
      <c r="L48" s="257">
        <f t="shared" si="12"/>
        <v>0</v>
      </c>
      <c r="M48" s="257">
        <f t="shared" si="12"/>
        <v>0</v>
      </c>
      <c r="N48" s="260"/>
      <c r="P48" s="307"/>
    </row>
    <row r="49" spans="1:16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57">
        <f t="shared" si="12"/>
        <v>0</v>
      </c>
      <c r="M49" s="257">
        <f t="shared" si="12"/>
        <v>0</v>
      </c>
      <c r="N49" s="261"/>
      <c r="O49" s="262"/>
      <c r="P49" s="307"/>
    </row>
    <row r="50" spans="1:16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63"/>
      <c r="K50" s="264"/>
      <c r="L50" s="257">
        <f t="shared" si="12"/>
        <v>0</v>
      </c>
      <c r="M50" s="257">
        <f t="shared" si="12"/>
        <v>0</v>
      </c>
      <c r="N50" s="260"/>
      <c r="O50" s="262"/>
      <c r="P50" s="307"/>
    </row>
    <row r="51" spans="1:16" s="63" customFormat="1" ht="17.25" customHeight="1">
      <c r="A51" s="265">
        <v>5</v>
      </c>
      <c r="B51" s="266" t="s">
        <v>133</v>
      </c>
      <c r="C51" s="267">
        <f aca="true" t="shared" si="13" ref="C51:N51">SUM(C48:C50)</f>
        <v>0</v>
      </c>
      <c r="D51" s="267">
        <f t="shared" si="13"/>
        <v>0</v>
      </c>
      <c r="E51" s="267">
        <f t="shared" si="13"/>
        <v>0</v>
      </c>
      <c r="F51" s="267">
        <f t="shared" si="13"/>
        <v>0</v>
      </c>
      <c r="G51" s="267">
        <f t="shared" si="13"/>
        <v>0</v>
      </c>
      <c r="H51" s="267">
        <f t="shared" si="13"/>
        <v>0</v>
      </c>
      <c r="I51" s="267">
        <f t="shared" si="13"/>
        <v>0</v>
      </c>
      <c r="J51" s="267">
        <f t="shared" si="13"/>
        <v>0</v>
      </c>
      <c r="K51" s="267">
        <f t="shared" si="13"/>
        <v>0</v>
      </c>
      <c r="L51" s="267">
        <f t="shared" si="13"/>
        <v>0</v>
      </c>
      <c r="M51" s="267">
        <f t="shared" si="13"/>
        <v>0</v>
      </c>
      <c r="N51" s="1247">
        <f t="shared" si="13"/>
        <v>0</v>
      </c>
      <c r="O51" s="268"/>
      <c r="P51" s="447"/>
    </row>
    <row r="52" spans="1:16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269"/>
      <c r="K52" s="270"/>
      <c r="L52" s="267">
        <f aca="true" t="shared" si="14" ref="L52:M54">SUM(C52+F52+I52)</f>
        <v>0</v>
      </c>
      <c r="M52" s="267">
        <f t="shared" si="14"/>
        <v>0</v>
      </c>
      <c r="N52" s="271"/>
      <c r="O52" s="268"/>
      <c r="P52" s="447"/>
    </row>
    <row r="53" spans="1:16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/>
      <c r="J53" s="263"/>
      <c r="K53" s="264"/>
      <c r="L53" s="267">
        <f t="shared" si="14"/>
        <v>0</v>
      </c>
      <c r="M53" s="267">
        <f t="shared" si="14"/>
        <v>0</v>
      </c>
      <c r="N53" s="260"/>
      <c r="O53" s="262"/>
      <c r="P53" s="307"/>
    </row>
    <row r="54" spans="1:16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63"/>
      <c r="K54" s="264"/>
      <c r="L54" s="267">
        <f t="shared" si="14"/>
        <v>0</v>
      </c>
      <c r="M54" s="267">
        <f t="shared" si="14"/>
        <v>0</v>
      </c>
      <c r="N54" s="260"/>
      <c r="O54" s="262"/>
      <c r="P54" s="307"/>
    </row>
    <row r="55" spans="1:16" s="63" customFormat="1" ht="17.25" customHeight="1">
      <c r="A55" s="265">
        <v>7</v>
      </c>
      <c r="B55" s="266" t="s">
        <v>136</v>
      </c>
      <c r="C55" s="267">
        <f aca="true" t="shared" si="15" ref="C55:N55">SUM(C53:C54)</f>
        <v>0</v>
      </c>
      <c r="D55" s="267">
        <f t="shared" si="15"/>
        <v>0</v>
      </c>
      <c r="E55" s="267">
        <f t="shared" si="15"/>
        <v>0</v>
      </c>
      <c r="F55" s="267">
        <f t="shared" si="15"/>
        <v>0</v>
      </c>
      <c r="G55" s="267">
        <f t="shared" si="15"/>
        <v>0</v>
      </c>
      <c r="H55" s="267">
        <f t="shared" si="15"/>
        <v>0</v>
      </c>
      <c r="I55" s="267">
        <f t="shared" si="15"/>
        <v>0</v>
      </c>
      <c r="J55" s="267">
        <f t="shared" si="15"/>
        <v>0</v>
      </c>
      <c r="K55" s="267">
        <f t="shared" si="15"/>
        <v>0</v>
      </c>
      <c r="L55" s="267">
        <f t="shared" si="15"/>
        <v>0</v>
      </c>
      <c r="M55" s="267">
        <f t="shared" si="15"/>
        <v>0</v>
      </c>
      <c r="N55" s="1247">
        <f t="shared" si="15"/>
        <v>0</v>
      </c>
      <c r="O55" s="268"/>
      <c r="P55" s="447"/>
    </row>
    <row r="56" spans="1:16" s="38" customFormat="1" ht="17.25" customHeight="1">
      <c r="A56" s="236">
        <v>8</v>
      </c>
      <c r="B56" s="237" t="s">
        <v>137</v>
      </c>
      <c r="C56" s="238">
        <f aca="true" t="shared" si="16" ref="C56:N56">SUM(C34-C40-C45-C46-C47-C51-C52-C55-C57-C58)</f>
        <v>98041</v>
      </c>
      <c r="D56" s="238">
        <f t="shared" si="16"/>
        <v>98268</v>
      </c>
      <c r="E56" s="238">
        <f t="shared" si="16"/>
        <v>0</v>
      </c>
      <c r="F56" s="238">
        <f t="shared" si="16"/>
        <v>87419</v>
      </c>
      <c r="G56" s="238">
        <f t="shared" si="16"/>
        <v>87508</v>
      </c>
      <c r="H56" s="238">
        <f t="shared" si="16"/>
        <v>0</v>
      </c>
      <c r="I56" s="238">
        <f t="shared" si="16"/>
        <v>168209</v>
      </c>
      <c r="J56" s="238">
        <f t="shared" si="16"/>
        <v>168296</v>
      </c>
      <c r="K56" s="238">
        <f t="shared" si="16"/>
        <v>0</v>
      </c>
      <c r="L56" s="238">
        <f>SUM(L34-L40-L45-L46-L47-L51-L52-L55-L57-L58)</f>
        <v>353669</v>
      </c>
      <c r="M56" s="238">
        <f t="shared" si="16"/>
        <v>354072</v>
      </c>
      <c r="N56" s="272">
        <f t="shared" si="16"/>
        <v>0</v>
      </c>
      <c r="O56" s="262"/>
      <c r="P56" s="307"/>
    </row>
    <row r="57" spans="1:16" s="63" customFormat="1" ht="17.25" customHeight="1">
      <c r="A57" s="265" t="s">
        <v>138</v>
      </c>
      <c r="B57" s="266" t="s">
        <v>139</v>
      </c>
      <c r="C57" s="267">
        <v>17472</v>
      </c>
      <c r="D57" s="269">
        <v>17472</v>
      </c>
      <c r="E57" s="270"/>
      <c r="F57" s="267"/>
      <c r="G57" s="269"/>
      <c r="H57" s="270"/>
      <c r="I57" s="267"/>
      <c r="J57" s="269"/>
      <c r="K57" s="270"/>
      <c r="L57" s="267">
        <f>SUM(C57+F57+I57)</f>
        <v>17472</v>
      </c>
      <c r="M57" s="267">
        <f>SUM(D57+G57+J57)</f>
        <v>17472</v>
      </c>
      <c r="N57" s="271"/>
      <c r="O57" s="268"/>
      <c r="P57" s="447"/>
    </row>
    <row r="58" spans="1:16" s="63" customFormat="1" ht="17.25" customHeight="1" thickBot="1">
      <c r="A58" s="59" t="s">
        <v>140</v>
      </c>
      <c r="B58" s="60" t="s">
        <v>141</v>
      </c>
      <c r="C58" s="273"/>
      <c r="D58" s="274"/>
      <c r="E58" s="275"/>
      <c r="F58" s="273"/>
      <c r="G58" s="274"/>
      <c r="H58" s="275"/>
      <c r="I58" s="273"/>
      <c r="J58" s="274"/>
      <c r="K58" s="275"/>
      <c r="L58" s="267">
        <f>SUM(C58+F58+I58)</f>
        <v>0</v>
      </c>
      <c r="M58" s="301"/>
      <c r="N58" s="275"/>
      <c r="P58" s="447"/>
    </row>
    <row r="59" spans="1:16" s="63" customFormat="1" ht="17.25" customHeight="1" thickBot="1" thickTop="1">
      <c r="A59" s="59" t="s">
        <v>142</v>
      </c>
      <c r="B59" s="60" t="s">
        <v>143</v>
      </c>
      <c r="C59" s="61">
        <f aca="true" t="shared" si="17" ref="C59:K59">SUM(C40+C45+C46+C47+C51+C52+C55+C56+C57+C58)</f>
        <v>116153</v>
      </c>
      <c r="D59" s="61">
        <f t="shared" si="17"/>
        <v>116380</v>
      </c>
      <c r="E59" s="61">
        <f t="shared" si="17"/>
        <v>0</v>
      </c>
      <c r="F59" s="61">
        <f t="shared" si="17"/>
        <v>87979</v>
      </c>
      <c r="G59" s="61">
        <f t="shared" si="17"/>
        <v>88068</v>
      </c>
      <c r="H59" s="61">
        <f t="shared" si="17"/>
        <v>0</v>
      </c>
      <c r="I59" s="61">
        <f t="shared" si="17"/>
        <v>173759</v>
      </c>
      <c r="J59" s="61">
        <f t="shared" si="17"/>
        <v>173846</v>
      </c>
      <c r="K59" s="61">
        <f t="shared" si="17"/>
        <v>0</v>
      </c>
      <c r="L59" s="436">
        <f>SUM(C59+F59+I59)</f>
        <v>377891</v>
      </c>
      <c r="M59" s="436">
        <f>SUM(D59+G59+J59)</f>
        <v>378294</v>
      </c>
      <c r="N59" s="62"/>
      <c r="P59" s="447"/>
    </row>
    <row r="60" spans="1:16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7"/>
      <c r="J60" s="277"/>
      <c r="K60" s="278"/>
      <c r="L60" s="277"/>
      <c r="M60" s="277"/>
      <c r="N60" s="279"/>
      <c r="P60" s="336"/>
    </row>
    <row r="61" spans="1:16" s="38" customFormat="1" ht="17.25" customHeight="1" thickBot="1" thickTop="1">
      <c r="A61" s="280"/>
      <c r="B61" s="281" t="s">
        <v>427</v>
      </c>
      <c r="C61" s="282">
        <v>25</v>
      </c>
      <c r="D61" s="283">
        <v>25</v>
      </c>
      <c r="E61" s="284"/>
      <c r="F61" s="282">
        <v>19</v>
      </c>
      <c r="G61" s="283">
        <v>19</v>
      </c>
      <c r="H61" s="284"/>
      <c r="I61" s="282">
        <v>39</v>
      </c>
      <c r="J61" s="283">
        <v>39</v>
      </c>
      <c r="K61" s="285"/>
      <c r="L61" s="282">
        <f>SUM(I61+F61+C61)</f>
        <v>83</v>
      </c>
      <c r="M61" s="282">
        <f>SUM(J61+G61+D61)</f>
        <v>83</v>
      </c>
      <c r="N61" s="284"/>
      <c r="P61" s="307"/>
    </row>
    <row r="62" spans="1:16" s="38" customFormat="1" ht="17.25" customHeight="1" thickBot="1" thickTop="1">
      <c r="A62" s="247"/>
      <c r="B62" s="1249" t="s">
        <v>144</v>
      </c>
      <c r="C62" s="1250"/>
      <c r="D62" s="1251"/>
      <c r="E62" s="1252"/>
      <c r="F62" s="1250"/>
      <c r="G62" s="1251"/>
      <c r="H62" s="1252"/>
      <c r="I62" s="1250"/>
      <c r="J62" s="1251"/>
      <c r="K62" s="1253"/>
      <c r="L62" s="1250">
        <f>SUM(I62+F62+C62)</f>
        <v>0</v>
      </c>
      <c r="M62" s="1251"/>
      <c r="N62" s="1254"/>
      <c r="P62" s="307"/>
    </row>
    <row r="63" ht="15.75">
      <c r="A63" s="286"/>
    </row>
    <row r="64" spans="8:12" ht="12.75">
      <c r="H64" s="288"/>
      <c r="L64" s="72"/>
    </row>
    <row r="66" ht="12.75">
      <c r="I66" s="72"/>
    </row>
    <row r="67" ht="12.75">
      <c r="K67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7086614173228347" right="0.2362204724409449" top="0.5118110236220472" bottom="0.35433070866141736" header="0.2755905511811024" footer="0.1968503937007874"/>
  <pageSetup horizontalDpi="600" verticalDpi="600" orientation="landscape" pageOrder="overThenDown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71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7" customWidth="1"/>
    <col min="2" max="2" width="78.00390625" style="25" customWidth="1"/>
    <col min="3" max="14" width="16.875" style="25" customWidth="1"/>
    <col min="15" max="15" width="20.50390625" style="25" customWidth="1"/>
    <col min="16" max="20" width="16.875" style="25" customWidth="1"/>
    <col min="21" max="21" width="8.00390625" style="25" customWidth="1"/>
    <col min="22" max="22" width="13.375" style="195" customWidth="1"/>
    <col min="23" max="24" width="9.375" style="25" customWidth="1"/>
    <col min="25" max="25" width="28.875" style="1386" customWidth="1"/>
    <col min="26" max="16384" width="9.375" style="25" customWidth="1"/>
  </cols>
  <sheetData>
    <row r="1" spans="1:20" ht="44.25" customHeight="1">
      <c r="A1" s="204"/>
      <c r="B1" s="26" t="s">
        <v>720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27.75" customHeight="1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0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22.5" customHeight="1">
      <c r="A4" s="1807" t="s">
        <v>362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  <c r="O4" s="1807"/>
      <c r="P4" s="1807"/>
      <c r="Q4" s="1807"/>
      <c r="R4" s="1807"/>
      <c r="S4" s="1807"/>
      <c r="T4" s="1807"/>
    </row>
    <row r="5" spans="1:20" ht="21.75" customHeight="1">
      <c r="A5" s="1808" t="s">
        <v>577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</row>
    <row r="6" spans="1:20" ht="19.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206" t="s">
        <v>370</v>
      </c>
    </row>
    <row r="7" spans="1:25" s="208" customFormat="1" ht="28.5" customHeight="1" thickBot="1">
      <c r="A7" s="207" t="s">
        <v>118</v>
      </c>
      <c r="B7" s="207" t="s">
        <v>142</v>
      </c>
      <c r="C7" s="1811" t="s">
        <v>363</v>
      </c>
      <c r="D7" s="1812"/>
      <c r="E7" s="1813"/>
      <c r="F7" s="1811" t="s">
        <v>364</v>
      </c>
      <c r="G7" s="1812"/>
      <c r="H7" s="1813"/>
      <c r="I7" s="431"/>
      <c r="J7" s="431"/>
      <c r="K7" s="431"/>
      <c r="L7" s="1811" t="s">
        <v>371</v>
      </c>
      <c r="M7" s="1812"/>
      <c r="N7" s="1813"/>
      <c r="O7" s="1811" t="s">
        <v>366</v>
      </c>
      <c r="P7" s="1812"/>
      <c r="Q7" s="1813"/>
      <c r="R7" s="1811" t="s">
        <v>367</v>
      </c>
      <c r="S7" s="1812"/>
      <c r="T7" s="1813"/>
      <c r="V7" s="306"/>
      <c r="Y7" s="1389"/>
    </row>
    <row r="8" spans="1:20" ht="45" customHeight="1">
      <c r="A8" s="209" t="s">
        <v>87</v>
      </c>
      <c r="B8" s="210" t="s">
        <v>88</v>
      </c>
      <c r="C8" s="1809" t="s">
        <v>145</v>
      </c>
      <c r="D8" s="1809"/>
      <c r="E8" s="1809"/>
      <c r="F8" s="1809" t="s">
        <v>291</v>
      </c>
      <c r="G8" s="1809"/>
      <c r="H8" s="1809"/>
      <c r="I8" s="1809" t="s">
        <v>425</v>
      </c>
      <c r="J8" s="1809"/>
      <c r="K8" s="1809"/>
      <c r="L8" s="1814" t="s">
        <v>290</v>
      </c>
      <c r="M8" s="1815"/>
      <c r="N8" s="1816"/>
      <c r="O8" s="1809" t="s">
        <v>146</v>
      </c>
      <c r="P8" s="1809"/>
      <c r="Q8" s="1809"/>
      <c r="R8" s="1809" t="s">
        <v>379</v>
      </c>
      <c r="S8" s="1809"/>
      <c r="T8" s="1809"/>
    </row>
    <row r="9" spans="1:25" s="30" customFormat="1" ht="34.5" customHeight="1" thickBot="1">
      <c r="A9" s="211" t="s">
        <v>90</v>
      </c>
      <c r="B9" s="212" t="s">
        <v>91</v>
      </c>
      <c r="C9" s="213" t="s">
        <v>92</v>
      </c>
      <c r="D9" s="214" t="s">
        <v>93</v>
      </c>
      <c r="E9" s="215" t="s">
        <v>94</v>
      </c>
      <c r="F9" s="213" t="s">
        <v>92</v>
      </c>
      <c r="G9" s="214" t="s">
        <v>93</v>
      </c>
      <c r="H9" s="215" t="s">
        <v>94</v>
      </c>
      <c r="I9" s="213" t="s">
        <v>92</v>
      </c>
      <c r="J9" s="214" t="s">
        <v>93</v>
      </c>
      <c r="K9" s="215" t="s">
        <v>94</v>
      </c>
      <c r="L9" s="213" t="s">
        <v>92</v>
      </c>
      <c r="M9" s="214" t="s">
        <v>93</v>
      </c>
      <c r="N9" s="215" t="s">
        <v>94</v>
      </c>
      <c r="O9" s="213" t="s">
        <v>92</v>
      </c>
      <c r="P9" s="214" t="s">
        <v>93</v>
      </c>
      <c r="Q9" s="215" t="s">
        <v>94</v>
      </c>
      <c r="R9" s="213" t="s">
        <v>92</v>
      </c>
      <c r="S9" s="214" t="s">
        <v>93</v>
      </c>
      <c r="T9" s="215" t="s">
        <v>94</v>
      </c>
      <c r="V9" s="144"/>
      <c r="Y9" s="1387"/>
    </row>
    <row r="10" spans="1:25" s="31" customFormat="1" ht="19.5" thickBo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  <c r="F10" s="218">
        <v>3</v>
      </c>
      <c r="G10" s="219">
        <v>4</v>
      </c>
      <c r="H10" s="220">
        <v>5</v>
      </c>
      <c r="I10" s="432"/>
      <c r="J10" s="432"/>
      <c r="K10" s="432"/>
      <c r="L10" s="218">
        <v>3</v>
      </c>
      <c r="M10" s="219">
        <v>4</v>
      </c>
      <c r="N10" s="220">
        <v>5</v>
      </c>
      <c r="O10" s="218">
        <v>3</v>
      </c>
      <c r="P10" s="219">
        <v>4</v>
      </c>
      <c r="Q10" s="220">
        <v>5</v>
      </c>
      <c r="R10" s="218">
        <v>3</v>
      </c>
      <c r="S10" s="219">
        <v>4</v>
      </c>
      <c r="T10" s="220">
        <v>5</v>
      </c>
      <c r="V10" s="145"/>
      <c r="Y10" s="1388"/>
    </row>
    <row r="11" spans="1:25" s="30" customFormat="1" ht="19.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89"/>
      <c r="J11" s="289"/>
      <c r="K11" s="289"/>
      <c r="L11" s="289"/>
      <c r="M11" s="289"/>
      <c r="N11" s="289"/>
      <c r="O11" s="223"/>
      <c r="P11" s="224"/>
      <c r="Q11" s="225"/>
      <c r="R11" s="223"/>
      <c r="S11" s="224"/>
      <c r="T11" s="225"/>
      <c r="V11" s="144"/>
      <c r="Y11" s="1387"/>
    </row>
    <row r="12" spans="1:25" s="38" customFormat="1" ht="17.25" customHeight="1" thickBot="1">
      <c r="A12" s="46">
        <v>1</v>
      </c>
      <c r="B12" s="226" t="s">
        <v>8</v>
      </c>
      <c r="C12" s="69">
        <v>31317</v>
      </c>
      <c r="D12" s="69">
        <f>31317+57+322+8423+33+230</f>
        <v>40382</v>
      </c>
      <c r="E12" s="227"/>
      <c r="F12" s="69">
        <v>18522</v>
      </c>
      <c r="G12" s="69">
        <f>18522+55+310+31+221</f>
        <v>19139</v>
      </c>
      <c r="H12" s="227"/>
      <c r="I12" s="290">
        <v>3279</v>
      </c>
      <c r="J12" s="290">
        <v>3279</v>
      </c>
      <c r="K12" s="290"/>
      <c r="L12" s="290">
        <v>50452</v>
      </c>
      <c r="M12" s="290">
        <v>50452</v>
      </c>
      <c r="N12" s="290"/>
      <c r="O12" s="69">
        <v>116879</v>
      </c>
      <c r="P12" s="69">
        <f>116879+18+10+3370+1546+4032-1</f>
        <v>125854</v>
      </c>
      <c r="Q12" s="227"/>
      <c r="R12" s="69">
        <f>SUM('16_Bicske Városi Óvoda'!L12+'17_Bicskei Egy Műv. Közp, '!C12+'17_Bicskei Egy Műv. Közp, '!F12+'17_Bicskei Egy Műv. Közp, '!O12+L12+I12)</f>
        <v>484522</v>
      </c>
      <c r="S12" s="69">
        <f>SUM('16_Bicske Városi Óvoda'!M12+'17_Bicskei Egy Műv. Közp, '!D12+'17_Bicskei Egy Műv. Közp, '!G12+'17_Bicskei Egy Műv. Közp, '!P12+M12+J12)</f>
        <v>503516</v>
      </c>
      <c r="T12" s="227">
        <f>SUM('16_Bicske Városi Óvoda'!N12+'17_Bicskei Egy Műv. Közp, '!E12+'17_Bicskei Egy Műv. Közp, '!H12+'17_Bicskei Egy Műv. Közp, '!Q12+N12)</f>
        <v>0</v>
      </c>
      <c r="V12" s="307"/>
      <c r="Y12" s="1390"/>
    </row>
    <row r="13" spans="1:25" s="38" customFormat="1" ht="17.25" customHeight="1" thickBot="1">
      <c r="A13" s="46">
        <v>2</v>
      </c>
      <c r="B13" s="226" t="s">
        <v>96</v>
      </c>
      <c r="C13" s="69">
        <v>6185</v>
      </c>
      <c r="D13" s="69">
        <f>6185+11+71+1613+7+51</f>
        <v>7938</v>
      </c>
      <c r="E13" s="227"/>
      <c r="F13" s="69">
        <v>3609</v>
      </c>
      <c r="G13" s="69">
        <f>3609+11+68+6+48</f>
        <v>3742</v>
      </c>
      <c r="H13" s="227"/>
      <c r="I13" s="290">
        <v>732</v>
      </c>
      <c r="J13" s="290">
        <v>732</v>
      </c>
      <c r="K13" s="290"/>
      <c r="L13" s="290">
        <v>10488</v>
      </c>
      <c r="M13" s="290">
        <v>10488</v>
      </c>
      <c r="N13" s="290"/>
      <c r="O13" s="69">
        <v>20722</v>
      </c>
      <c r="P13" s="69">
        <f>20722+4+2+657+301+787</f>
        <v>22473</v>
      </c>
      <c r="Q13" s="227"/>
      <c r="R13" s="69">
        <f>SUM('16_Bicske Városi Óvoda'!L13+'17_Bicskei Egy Műv. Közp, '!C13+'17_Bicskei Egy Műv. Közp, '!F13+'17_Bicskei Egy Műv. Közp, '!O13+L13+I13)</f>
        <v>95888</v>
      </c>
      <c r="S13" s="69">
        <f>SUM('16_Bicske Városi Óvoda'!M13+'17_Bicskei Egy Műv. Közp, '!D13+'17_Bicskei Egy Műv. Közp, '!G13+'17_Bicskei Egy Műv. Közp, '!P13+M13+J13)</f>
        <v>99591</v>
      </c>
      <c r="T13" s="227"/>
      <c r="V13" s="307"/>
      <c r="W13" s="113"/>
      <c r="Y13" s="1390"/>
    </row>
    <row r="14" spans="1:25" s="38" customFormat="1" ht="17.25" customHeight="1" thickBot="1">
      <c r="A14" s="46">
        <v>3</v>
      </c>
      <c r="B14" s="226" t="s">
        <v>15</v>
      </c>
      <c r="C14" s="69">
        <v>22485</v>
      </c>
      <c r="D14" s="69">
        <f>22485+14179+246</f>
        <v>36910</v>
      </c>
      <c r="E14" s="227"/>
      <c r="F14" s="69">
        <v>8156</v>
      </c>
      <c r="G14" s="69">
        <v>8156</v>
      </c>
      <c r="H14" s="227"/>
      <c r="I14" s="290">
        <v>4944</v>
      </c>
      <c r="J14" s="290">
        <v>4944</v>
      </c>
      <c r="K14" s="290"/>
      <c r="L14" s="290">
        <f>140800+1040</f>
        <v>141840</v>
      </c>
      <c r="M14" s="290">
        <v>141840</v>
      </c>
      <c r="N14" s="290"/>
      <c r="O14" s="69">
        <v>88631</v>
      </c>
      <c r="P14" s="69">
        <v>88631</v>
      </c>
      <c r="Q14" s="227"/>
      <c r="R14" s="69">
        <f>SUM('16_Bicske Városi Óvoda'!L14+'17_Bicskei Egy Műv. Közp, '!C14+'17_Bicskei Egy Műv. Közp, '!F14+'17_Bicskei Egy Műv. Közp, '!O14+L14+I14)</f>
        <v>322522</v>
      </c>
      <c r="S14" s="69">
        <f>SUM('16_Bicske Városi Óvoda'!M14+'17_Bicskei Egy Műv. Közp, '!D14+'17_Bicskei Egy Műv. Közp, '!G14+'17_Bicskei Egy Műv. Közp, '!P14+M14+J14)</f>
        <v>336947</v>
      </c>
      <c r="T14" s="227"/>
      <c r="V14" s="307"/>
      <c r="Y14" s="1390"/>
    </row>
    <row r="15" spans="1:25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/>
      <c r="G15" s="69"/>
      <c r="H15" s="227"/>
      <c r="I15" s="290"/>
      <c r="J15" s="290"/>
      <c r="K15" s="290"/>
      <c r="L15" s="290"/>
      <c r="M15" s="290"/>
      <c r="N15" s="290"/>
      <c r="O15" s="69"/>
      <c r="P15" s="69"/>
      <c r="Q15" s="227"/>
      <c r="R15" s="69">
        <f>SUM('16_Bicske Városi Óvoda'!L15+'17_Bicskei Egy Műv. Közp, '!C15+'17_Bicskei Egy Műv. Közp, '!F15+'17_Bicskei Egy Műv. Közp, '!O15+L15+I15)</f>
        <v>0</v>
      </c>
      <c r="S15" s="69">
        <f>SUM('16_Bicske Városi Óvoda'!M15+'17_Bicskei Egy Műv. Közp, '!D15+'17_Bicskei Egy Műv. Közp, '!G15+'17_Bicskei Egy Műv. Közp, '!P15+M15)</f>
        <v>0</v>
      </c>
      <c r="T15" s="227"/>
      <c r="V15" s="307"/>
      <c r="Y15" s="1390"/>
    </row>
    <row r="16" spans="1:25" s="38" customFormat="1" ht="17.25" customHeight="1">
      <c r="A16" s="32" t="s">
        <v>97</v>
      </c>
      <c r="B16" s="33" t="s">
        <v>98</v>
      </c>
      <c r="C16" s="34"/>
      <c r="D16" s="35"/>
      <c r="E16" s="37"/>
      <c r="F16" s="34"/>
      <c r="G16" s="35"/>
      <c r="H16" s="36"/>
      <c r="I16" s="36"/>
      <c r="J16" s="36"/>
      <c r="K16" s="36"/>
      <c r="L16" s="35"/>
      <c r="M16" s="35"/>
      <c r="N16" s="35"/>
      <c r="O16" s="65"/>
      <c r="P16" s="36">
        <f>100-100</f>
        <v>0</v>
      </c>
      <c r="Q16" s="36"/>
      <c r="R16" s="65">
        <f>SUM('16_Bicske Városi Óvoda'!L16+'17_Bicskei Egy Műv. Közp, '!C16+'17_Bicskei Egy Műv. Közp, '!F16+'17_Bicskei Egy Műv. Közp, '!O16+L16+I16)</f>
        <v>0</v>
      </c>
      <c r="S16" s="65">
        <f>SUM('16_Bicske Városi Óvoda'!M16+'17_Bicskei Egy Műv. Közp, '!D16+'17_Bicskei Egy Műv. Közp, '!G16+'17_Bicskei Egy Műv. Közp, '!P16+M16)</f>
        <v>0</v>
      </c>
      <c r="T16" s="37"/>
      <c r="V16" s="307"/>
      <c r="Y16" s="1390"/>
    </row>
    <row r="17" spans="1:25" s="38" customFormat="1" ht="17.25" customHeight="1">
      <c r="A17" s="39" t="s">
        <v>99</v>
      </c>
      <c r="B17" s="48" t="s">
        <v>332</v>
      </c>
      <c r="C17" s="229"/>
      <c r="D17" s="50"/>
      <c r="E17" s="104"/>
      <c r="F17" s="229"/>
      <c r="G17" s="50"/>
      <c r="H17" s="103"/>
      <c r="I17" s="103"/>
      <c r="J17" s="103"/>
      <c r="K17" s="103"/>
      <c r="L17" s="50"/>
      <c r="M17" s="50"/>
      <c r="N17" s="50"/>
      <c r="O17" s="51"/>
      <c r="P17" s="50"/>
      <c r="Q17" s="103"/>
      <c r="R17" s="50">
        <f>SUM('16_Bicske Városi Óvoda'!L17+'17_Bicskei Egy Műv. Közp, '!C17+'17_Bicskei Egy Műv. Közp, '!F17+'17_Bicskei Egy Műv. Közp, '!O17+L17+I17)</f>
        <v>0</v>
      </c>
      <c r="S17" s="50">
        <f>SUM('16_Bicske Városi Óvoda'!M17+'17_Bicskei Egy Műv. Közp, '!D17+'17_Bicskei Egy Műv. Közp, '!G17+'17_Bicskei Egy Műv. Közp, '!P17+M17)</f>
        <v>0</v>
      </c>
      <c r="T17" s="104"/>
      <c r="V17" s="307"/>
      <c r="Y17" s="1390"/>
    </row>
    <row r="18" spans="1:25" s="38" customFormat="1" ht="17.25" customHeight="1">
      <c r="A18" s="39" t="s">
        <v>101</v>
      </c>
      <c r="B18" s="48" t="s">
        <v>326</v>
      </c>
      <c r="C18" s="229"/>
      <c r="D18" s="50"/>
      <c r="E18" s="104"/>
      <c r="F18" s="229"/>
      <c r="G18" s="50"/>
      <c r="H18" s="103"/>
      <c r="I18" s="103"/>
      <c r="J18" s="103"/>
      <c r="K18" s="103"/>
      <c r="L18" s="50"/>
      <c r="M18" s="50"/>
      <c r="N18" s="50"/>
      <c r="O18" s="51"/>
      <c r="P18" s="50"/>
      <c r="Q18" s="103"/>
      <c r="R18" s="50">
        <f>SUM('16_Bicske Városi Óvoda'!L18+'17_Bicskei Egy Műv. Közp, '!C18+'17_Bicskei Egy Műv. Közp, '!F18+'17_Bicskei Egy Műv. Közp, '!O18+L18+I18)</f>
        <v>0</v>
      </c>
      <c r="S18" s="50">
        <f>SUM('16_Bicske Városi Óvoda'!M18+'17_Bicskei Egy Műv. Közp, '!D18+'17_Bicskei Egy Műv. Közp, '!G18+'17_Bicskei Egy Műv. Közp, '!P18+M18)</f>
        <v>0</v>
      </c>
      <c r="T18" s="104"/>
      <c r="V18" s="307"/>
      <c r="Y18" s="1390"/>
    </row>
    <row r="19" spans="1:25" s="38" customFormat="1" ht="17.25" customHeigh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3"/>
      <c r="I19" s="103"/>
      <c r="J19" s="103"/>
      <c r="K19" s="103"/>
      <c r="L19" s="50"/>
      <c r="M19" s="50"/>
      <c r="N19" s="50"/>
      <c r="O19" s="51"/>
      <c r="P19" s="50"/>
      <c r="Q19" s="103"/>
      <c r="R19" s="50">
        <f>SUM('16_Bicske Városi Óvoda'!L19+'17_Bicskei Egy Műv. Közp, '!C19+'17_Bicskei Egy Műv. Közp, '!F19+'17_Bicskei Egy Műv. Közp, '!O19+L19+I19)</f>
        <v>0</v>
      </c>
      <c r="S19" s="50">
        <f>SUM('16_Bicske Városi Óvoda'!M19+'17_Bicskei Egy Műv. Közp, '!D19+'17_Bicskei Egy Műv. Közp, '!G19+'17_Bicskei Egy Műv. Közp, '!P19+M19)</f>
        <v>0</v>
      </c>
      <c r="T19" s="104"/>
      <c r="V19" s="307"/>
      <c r="Y19" s="1390"/>
    </row>
    <row r="20" spans="1:25" s="38" customFormat="1" ht="17.25" customHeight="1">
      <c r="A20" s="230" t="s">
        <v>104</v>
      </c>
      <c r="B20" s="48" t="s">
        <v>333</v>
      </c>
      <c r="C20" s="51"/>
      <c r="D20" s="50"/>
      <c r="E20" s="104"/>
      <c r="F20" s="51"/>
      <c r="G20" s="50"/>
      <c r="H20" s="103"/>
      <c r="I20" s="103"/>
      <c r="J20" s="103"/>
      <c r="K20" s="103"/>
      <c r="L20" s="50"/>
      <c r="M20" s="50"/>
      <c r="N20" s="50"/>
      <c r="O20" s="51"/>
      <c r="P20" s="50"/>
      <c r="Q20" s="103"/>
      <c r="R20" s="50">
        <f>SUM('16_Bicske Városi Óvoda'!L20+'17_Bicskei Egy Műv. Közp, '!C20+'17_Bicskei Egy Műv. Közp, '!F20+'17_Bicskei Egy Műv. Közp, '!O20+L20+I20)</f>
        <v>0</v>
      </c>
      <c r="S20" s="50">
        <f>SUM('16_Bicske Városi Óvoda'!M20+'17_Bicskei Egy Műv. Közp, '!D20+'17_Bicskei Egy Műv. Közp, '!G20+'17_Bicskei Egy Műv. Közp, '!P20+M20)</f>
        <v>0</v>
      </c>
      <c r="T20" s="104"/>
      <c r="V20" s="307"/>
      <c r="Y20" s="1390"/>
    </row>
    <row r="21" spans="1:25" s="38" customFormat="1" ht="17.25" customHeight="1">
      <c r="A21" s="39" t="s">
        <v>106</v>
      </c>
      <c r="B21" s="40" t="s">
        <v>328</v>
      </c>
      <c r="C21" s="51"/>
      <c r="D21" s="50"/>
      <c r="E21" s="104"/>
      <c r="F21" s="51"/>
      <c r="G21" s="50"/>
      <c r="H21" s="103"/>
      <c r="I21" s="103"/>
      <c r="J21" s="103"/>
      <c r="K21" s="103"/>
      <c r="L21" s="50"/>
      <c r="M21" s="50"/>
      <c r="N21" s="50"/>
      <c r="O21" s="51"/>
      <c r="P21" s="50"/>
      <c r="Q21" s="103"/>
      <c r="R21" s="50">
        <f>SUM('16_Bicske Városi Óvoda'!L21+'17_Bicskei Egy Műv. Közp, '!C21+'17_Bicskei Egy Műv. Közp, '!F21+'17_Bicskei Egy Műv. Közp, '!O21+L21+I21)</f>
        <v>0</v>
      </c>
      <c r="S21" s="50">
        <f>SUM('16_Bicske Városi Óvoda'!M21+'17_Bicskei Egy Műv. Közp, '!D21+'17_Bicskei Egy Műv. Közp, '!G21+'17_Bicskei Egy Műv. Közp, '!P21+M21)</f>
        <v>0</v>
      </c>
      <c r="T21" s="104"/>
      <c r="V21" s="307"/>
      <c r="Y21" s="1390"/>
    </row>
    <row r="22" spans="1:25" s="38" customFormat="1" ht="17.25" customHeight="1">
      <c r="A22" s="1106" t="s">
        <v>457</v>
      </c>
      <c r="B22" s="48" t="s">
        <v>329</v>
      </c>
      <c r="C22" s="51"/>
      <c r="D22" s="50"/>
      <c r="E22" s="104"/>
      <c r="F22" s="51"/>
      <c r="G22" s="50"/>
      <c r="H22" s="103"/>
      <c r="I22" s="103"/>
      <c r="J22" s="103"/>
      <c r="K22" s="103"/>
      <c r="L22" s="50"/>
      <c r="M22" s="50"/>
      <c r="N22" s="50"/>
      <c r="O22" s="51"/>
      <c r="P22" s="50"/>
      <c r="Q22" s="103"/>
      <c r="R22" s="50">
        <f>SUM('16_Bicske Városi Óvoda'!L22+'17_Bicskei Egy Műv. Közp, '!C22+'17_Bicskei Egy Műv. Közp, '!F22+'17_Bicskei Egy Műv. Közp, '!O22+L22+I22)</f>
        <v>0</v>
      </c>
      <c r="S22" s="50">
        <f>SUM('16_Bicske Városi Óvoda'!M22+'17_Bicskei Egy Műv. Közp, '!D22+'17_Bicskei Egy Műv. Közp, '!G22+'17_Bicskei Egy Műv. Közp, '!P22+M22)</f>
        <v>0</v>
      </c>
      <c r="T22" s="104"/>
      <c r="V22" s="307"/>
      <c r="Y22" s="1390"/>
    </row>
    <row r="23" spans="1:25" s="38" customFormat="1" ht="17.25" customHeight="1" thickBot="1">
      <c r="A23" s="41" t="s">
        <v>110</v>
      </c>
      <c r="B23" s="42" t="s">
        <v>111</v>
      </c>
      <c r="C23" s="43"/>
      <c r="D23" s="44">
        <f>246-246</f>
        <v>0</v>
      </c>
      <c r="E23" s="1105"/>
      <c r="F23" s="43"/>
      <c r="G23" s="44"/>
      <c r="H23" s="67"/>
      <c r="I23" s="67"/>
      <c r="J23" s="67"/>
      <c r="K23" s="67"/>
      <c r="L23" s="44"/>
      <c r="M23" s="44"/>
      <c r="N23" s="44"/>
      <c r="O23" s="102"/>
      <c r="P23" s="44"/>
      <c r="Q23" s="44"/>
      <c r="R23" s="44">
        <f>SUM('16_Bicske Városi Óvoda'!L23+'17_Bicskei Egy Műv. Közp, '!C23+'17_Bicskei Egy Műv. Közp, '!F23+'17_Bicskei Egy Műv. Közp, '!O23+L23+I23)</f>
        <v>0</v>
      </c>
      <c r="S23" s="250">
        <f>SUM('16_Bicske Városi Óvoda'!M23+'17_Bicskei Egy Műv. Közp, '!D23+'17_Bicskei Egy Műv. Közp, '!G23+'17_Bicskei Egy Műv. Közp, '!P23+M23)</f>
        <v>0</v>
      </c>
      <c r="T23" s="45"/>
      <c r="V23" s="307"/>
      <c r="Y23" s="1390"/>
    </row>
    <row r="24" spans="1:25" s="38" customFormat="1" ht="17.25" customHeight="1" thickBot="1">
      <c r="A24" s="46">
        <v>5</v>
      </c>
      <c r="B24" s="64" t="s">
        <v>21</v>
      </c>
      <c r="C24" s="47">
        <f aca="true" t="shared" si="0" ref="C24:Q24">SUM(C16:C23)</f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>SUM(H16:H23)</f>
        <v>0</v>
      </c>
      <c r="I24" s="47"/>
      <c r="J24" s="47"/>
      <c r="K24" s="47"/>
      <c r="L24" s="47">
        <f>SUM(L16:L23)</f>
        <v>0</v>
      </c>
      <c r="M24" s="47">
        <f>SUM(M16:M23)</f>
        <v>0</v>
      </c>
      <c r="N24" s="47">
        <f>SUM(N16:N23)</f>
        <v>0</v>
      </c>
      <c r="O24" s="47">
        <f t="shared" si="0"/>
        <v>0</v>
      </c>
      <c r="P24" s="47">
        <f t="shared" si="0"/>
        <v>0</v>
      </c>
      <c r="Q24" s="47">
        <f t="shared" si="0"/>
        <v>0</v>
      </c>
      <c r="R24" s="69">
        <f>SUM('16_Bicske Városi Óvoda'!L24+'17_Bicskei Egy Műv. Közp, '!C24+'17_Bicskei Egy Műv. Közp, '!F24+'17_Bicskei Egy Műv. Közp, '!O24+L24+I24)</f>
        <v>0</v>
      </c>
      <c r="S24" s="69">
        <f>SUM('16_Bicske Városi Óvoda'!M24+'17_Bicskei Egy Műv. Közp, '!D24+'17_Bicskei Egy Műv. Közp, '!G24+'17_Bicskei Egy Műv. Közp, '!P24+M24)</f>
        <v>0</v>
      </c>
      <c r="T24" s="293">
        <f>SUM(T16:T23)</f>
        <v>0</v>
      </c>
      <c r="V24" s="307"/>
      <c r="Y24" s="1390"/>
    </row>
    <row r="25" spans="1:25" s="38" customFormat="1" ht="17.25" customHeight="1" thickBot="1">
      <c r="A25" s="46">
        <v>6</v>
      </c>
      <c r="B25" s="226" t="s">
        <v>53</v>
      </c>
      <c r="C25" s="47">
        <v>771</v>
      </c>
      <c r="D25" s="69">
        <f>771+100</f>
        <v>871</v>
      </c>
      <c r="E25" s="227"/>
      <c r="F25" s="47">
        <v>3493</v>
      </c>
      <c r="G25" s="69">
        <v>3493</v>
      </c>
      <c r="H25" s="227"/>
      <c r="I25" s="292">
        <v>465</v>
      </c>
      <c r="J25" s="292">
        <v>465</v>
      </c>
      <c r="K25" s="292"/>
      <c r="L25" s="292">
        <v>5715</v>
      </c>
      <c r="M25" s="293">
        <v>5715</v>
      </c>
      <c r="N25" s="292"/>
      <c r="O25" s="47">
        <v>23813</v>
      </c>
      <c r="P25" s="69">
        <f>23813+400-1</f>
        <v>24212</v>
      </c>
      <c r="Q25" s="227"/>
      <c r="R25" s="69">
        <f>SUM('16_Bicske Városi Óvoda'!L25+'17_Bicskei Egy Műv. Közp, '!C25+'17_Bicskei Egy Műv. Közp, '!F25+'17_Bicskei Egy Műv. Közp, '!O25+L25+I25)</f>
        <v>37457</v>
      </c>
      <c r="S25" s="69">
        <f>SUM('16_Bicske Városi Óvoda'!M25+'17_Bicskei Egy Műv. Közp, '!D25+'17_Bicskei Egy Műv. Közp, '!G25+'17_Bicskei Egy Műv. Közp, '!P25+M25+J25)</f>
        <v>37956</v>
      </c>
      <c r="T25" s="227"/>
      <c r="V25" s="307"/>
      <c r="Y25" s="1390"/>
    </row>
    <row r="26" spans="1:25" s="38" customFormat="1" ht="17.25" customHeight="1" thickBot="1">
      <c r="A26" s="46">
        <v>7</v>
      </c>
      <c r="B26" s="226" t="s">
        <v>56</v>
      </c>
      <c r="C26" s="69"/>
      <c r="D26" s="69"/>
      <c r="E26" s="227"/>
      <c r="F26" s="69"/>
      <c r="G26" s="69"/>
      <c r="H26" s="227"/>
      <c r="I26" s="290"/>
      <c r="J26" s="290"/>
      <c r="K26" s="290"/>
      <c r="L26" s="290">
        <f>1040-1040</f>
        <v>0</v>
      </c>
      <c r="M26" s="290"/>
      <c r="N26" s="290"/>
      <c r="O26" s="69"/>
      <c r="P26" s="69"/>
      <c r="Q26" s="227"/>
      <c r="R26" s="69">
        <f>SUM('16_Bicske Városi Óvoda'!L26+'17_Bicskei Egy Műv. Közp, '!C26+'17_Bicskei Egy Műv. Közp, '!F26+'17_Bicskei Egy Műv. Közp, '!O26+L26)</f>
        <v>0</v>
      </c>
      <c r="S26" s="69">
        <f>SUM('16_Bicske Városi Óvoda'!M26+'17_Bicskei Egy Műv. Közp, '!D26+'17_Bicskei Egy Műv. Közp, '!G26+'17_Bicskei Egy Műv. Közp, '!P26+M26)</f>
        <v>0</v>
      </c>
      <c r="T26" s="227"/>
      <c r="V26" s="307"/>
      <c r="Y26" s="1390"/>
    </row>
    <row r="27" spans="1:25" s="38" customFormat="1" ht="17.25" customHeight="1">
      <c r="A27" s="231" t="s">
        <v>97</v>
      </c>
      <c r="B27" s="232" t="s">
        <v>334</v>
      </c>
      <c r="C27" s="233"/>
      <c r="D27" s="234"/>
      <c r="E27" s="235"/>
      <c r="F27" s="233"/>
      <c r="G27" s="71"/>
      <c r="H27" s="65"/>
      <c r="I27" s="65"/>
      <c r="J27" s="65"/>
      <c r="K27" s="65"/>
      <c r="L27" s="65"/>
      <c r="M27" s="65"/>
      <c r="N27" s="66"/>
      <c r="O27" s="233"/>
      <c r="P27" s="234"/>
      <c r="Q27" s="71"/>
      <c r="R27" s="291">
        <f>SUM('16_Bicske Városi Óvoda'!L27+'17_Bicskei Egy Műv. Közp, '!C27+'17_Bicskei Egy Műv. Közp, '!F27+'17_Bicskei Egy Műv. Közp, '!O27+L27)</f>
        <v>0</v>
      </c>
      <c r="S27" s="65">
        <f>SUM('16_Bicske Városi Óvoda'!M27+'17_Bicskei Egy Műv. Közp, '!D27+'17_Bicskei Egy Műv. Közp, '!G27+'17_Bicskei Egy Műv. Közp, '!P27+M27)</f>
        <v>0</v>
      </c>
      <c r="T27" s="235"/>
      <c r="V27" s="307"/>
      <c r="Y27" s="1390"/>
    </row>
    <row r="28" spans="1:25" s="38" customFormat="1" ht="17.25" customHeight="1">
      <c r="A28" s="39" t="s">
        <v>99</v>
      </c>
      <c r="B28" s="48" t="s">
        <v>335</v>
      </c>
      <c r="C28" s="229"/>
      <c r="D28" s="50"/>
      <c r="E28" s="104"/>
      <c r="F28" s="229"/>
      <c r="G28" s="103"/>
      <c r="H28" s="50"/>
      <c r="I28" s="50"/>
      <c r="J28" s="50"/>
      <c r="K28" s="50"/>
      <c r="L28" s="50"/>
      <c r="M28" s="50"/>
      <c r="N28" s="104"/>
      <c r="O28" s="229"/>
      <c r="P28" s="50"/>
      <c r="Q28" s="103"/>
      <c r="R28" s="229">
        <f>SUM('16_Bicske Városi Óvoda'!L28+'17_Bicskei Egy Műv. Közp, '!C28+'17_Bicskei Egy Műv. Közp, '!F28+'17_Bicskei Egy Műv. Közp, '!O28+L28)</f>
        <v>0</v>
      </c>
      <c r="S28" s="50">
        <f>SUM('16_Bicske Városi Óvoda'!M28+'17_Bicskei Egy Műv. Közp, '!D28+'17_Bicskei Egy Műv. Közp, '!G28+'17_Bicskei Egy Műv. Közp, '!P28+M28)</f>
        <v>0</v>
      </c>
      <c r="T28" s="104"/>
      <c r="V28" s="307"/>
      <c r="Y28" s="1390"/>
    </row>
    <row r="29" spans="1:25" s="38" customFormat="1" ht="17.25" customHeight="1">
      <c r="A29" s="236" t="s">
        <v>101</v>
      </c>
      <c r="B29" s="237" t="s">
        <v>324</v>
      </c>
      <c r="C29" s="238"/>
      <c r="D29" s="239"/>
      <c r="E29" s="240"/>
      <c r="F29" s="238"/>
      <c r="G29" s="294"/>
      <c r="H29" s="50"/>
      <c r="I29" s="50"/>
      <c r="J29" s="50"/>
      <c r="K29" s="50"/>
      <c r="L29" s="50"/>
      <c r="M29" s="50"/>
      <c r="N29" s="104"/>
      <c r="O29" s="238"/>
      <c r="P29" s="239"/>
      <c r="Q29" s="294"/>
      <c r="R29" s="229">
        <f>SUM('16_Bicske Városi Óvoda'!L29+'17_Bicskei Egy Műv. Közp, '!C29+'17_Bicskei Egy Műv. Közp, '!F29+'17_Bicskei Egy Műv. Közp, '!O29+L29)</f>
        <v>0</v>
      </c>
      <c r="S29" s="50">
        <f>SUM('16_Bicske Városi Óvoda'!M29+'17_Bicskei Egy Műv. Közp, '!D29+'17_Bicskei Egy Műv. Közp, '!G29+'17_Bicskei Egy Műv. Közp, '!P29+M29)</f>
        <v>0</v>
      </c>
      <c r="T29" s="240"/>
      <c r="V29" s="307"/>
      <c r="Y29" s="1390"/>
    </row>
    <row r="30" spans="1:25" s="38" customFormat="1" ht="17.25" customHeight="1" thickBot="1">
      <c r="A30" s="39" t="s">
        <v>103</v>
      </c>
      <c r="B30" s="48" t="s">
        <v>336</v>
      </c>
      <c r="C30" s="49"/>
      <c r="D30" s="50"/>
      <c r="E30" s="51"/>
      <c r="F30" s="49"/>
      <c r="G30" s="103"/>
      <c r="H30" s="50"/>
      <c r="I30" s="50"/>
      <c r="J30" s="50"/>
      <c r="K30" s="50"/>
      <c r="L30" s="50"/>
      <c r="M30" s="50"/>
      <c r="N30" s="104"/>
      <c r="O30" s="49"/>
      <c r="P30" s="50"/>
      <c r="Q30" s="70"/>
      <c r="R30" s="229">
        <f>SUM('16_Bicske Városi Óvoda'!L30+'17_Bicskei Egy Műv. Közp, '!C30+'17_Bicskei Egy Műv. Közp, '!F30+'17_Bicskei Egy Műv. Közp, '!O30+L30)</f>
        <v>0</v>
      </c>
      <c r="S30" s="250">
        <f>SUM('16_Bicske Városi Óvoda'!M30+'17_Bicskei Egy Műv. Közp, '!D30+'17_Bicskei Egy Műv. Közp, '!G30+'17_Bicskei Egy Műv. Közp, '!P30+M30)</f>
        <v>0</v>
      </c>
      <c r="T30" s="52"/>
      <c r="V30" s="307"/>
      <c r="Y30" s="1390"/>
    </row>
    <row r="31" spans="1:25" s="38" customFormat="1" ht="17.25" customHeight="1" thickBot="1">
      <c r="A31" s="241" t="s">
        <v>104</v>
      </c>
      <c r="B31" s="242" t="s">
        <v>331</v>
      </c>
      <c r="C31" s="243"/>
      <c r="D31" s="244"/>
      <c r="E31" s="245"/>
      <c r="F31" s="243"/>
      <c r="G31" s="295"/>
      <c r="H31" s="239"/>
      <c r="I31" s="239"/>
      <c r="J31" s="239"/>
      <c r="K31" s="239"/>
      <c r="L31" s="239"/>
      <c r="M31" s="239"/>
      <c r="N31" s="240"/>
      <c r="O31" s="243"/>
      <c r="P31" s="244"/>
      <c r="Q31" s="245"/>
      <c r="R31" s="44">
        <f>SUM('16_Bicske Városi Óvoda'!L31+'17_Bicskei Egy Műv. Közp, '!C31+'17_Bicskei Egy Műv. Közp, '!F31+'17_Bicskei Egy Műv. Közp, '!O31+L31)</f>
        <v>0</v>
      </c>
      <c r="S31" s="69">
        <f>SUM('16_Bicske Városi Óvoda'!M31+'17_Bicskei Egy Műv. Közp, '!D31+'17_Bicskei Egy Műv. Közp, '!G31+'17_Bicskei Egy Műv. Közp, '!P31+M31)</f>
        <v>0</v>
      </c>
      <c r="T31" s="245"/>
      <c r="V31" s="307"/>
      <c r="Y31" s="1390"/>
    </row>
    <row r="32" spans="1:25" s="246" customFormat="1" ht="17.25" customHeight="1" thickBot="1">
      <c r="A32" s="46">
        <v>8</v>
      </c>
      <c r="B32" s="226" t="s">
        <v>59</v>
      </c>
      <c r="C32" s="47">
        <f aca="true" t="shared" si="1" ref="C32:Q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68">
        <f t="shared" si="1"/>
        <v>0</v>
      </c>
      <c r="H32" s="69">
        <f t="shared" si="1"/>
        <v>0</v>
      </c>
      <c r="I32" s="69"/>
      <c r="J32" s="69"/>
      <c r="K32" s="69"/>
      <c r="L32" s="69">
        <f t="shared" si="1"/>
        <v>0</v>
      </c>
      <c r="M32" s="69">
        <f t="shared" si="1"/>
        <v>0</v>
      </c>
      <c r="N32" s="227">
        <f t="shared" si="1"/>
        <v>0</v>
      </c>
      <c r="O32" s="47">
        <f t="shared" si="1"/>
        <v>0</v>
      </c>
      <c r="P32" s="47">
        <f t="shared" si="1"/>
        <v>0</v>
      </c>
      <c r="Q32" s="47">
        <f t="shared" si="1"/>
        <v>0</v>
      </c>
      <c r="R32" s="69">
        <f>SUM('16_Bicske Városi Óvoda'!L32+'17_Bicskei Egy Műv. Közp, '!C32+'17_Bicskei Egy Műv. Közp, '!F32+'17_Bicskei Egy Műv. Közp, '!O32+L32)</f>
        <v>0</v>
      </c>
      <c r="S32" s="47">
        <f>SUM(S27:S31)</f>
        <v>0</v>
      </c>
      <c r="T32" s="293">
        <f>SUM(T27:T31)</f>
        <v>0</v>
      </c>
      <c r="V32" s="307"/>
      <c r="Y32" s="1390"/>
    </row>
    <row r="33" spans="1:25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/>
      <c r="G33" s="69"/>
      <c r="H33" s="227"/>
      <c r="I33" s="292"/>
      <c r="J33" s="292"/>
      <c r="K33" s="292"/>
      <c r="L33" s="292"/>
      <c r="M33" s="292"/>
      <c r="N33" s="293"/>
      <c r="O33" s="47"/>
      <c r="P33" s="69"/>
      <c r="Q33" s="227"/>
      <c r="R33" s="69">
        <f>SUM('16_Bicske Városi Óvoda'!L33+'17_Bicskei Egy Műv. Közp, '!C33+'17_Bicskei Egy Műv. Közp, '!F33+'17_Bicskei Egy Műv. Közp, '!O33+L33)</f>
        <v>0</v>
      </c>
      <c r="S33" s="69"/>
      <c r="T33" s="227"/>
      <c r="V33" s="307"/>
      <c r="Y33" s="1390"/>
    </row>
    <row r="34" spans="1:25" s="58" customFormat="1" ht="17.25" customHeight="1" thickBot="1">
      <c r="A34" s="53" t="s">
        <v>118</v>
      </c>
      <c r="B34" s="54" t="s">
        <v>147</v>
      </c>
      <c r="C34" s="55">
        <f aca="true" t="shared" si="2" ref="C34:T34">SUM(C12+C13+C14+C15+C24+C25+C26+C32+C33)</f>
        <v>60758</v>
      </c>
      <c r="D34" s="55">
        <f t="shared" si="2"/>
        <v>86101</v>
      </c>
      <c r="E34" s="55">
        <f t="shared" si="2"/>
        <v>0</v>
      </c>
      <c r="F34" s="55">
        <f t="shared" si="2"/>
        <v>33780</v>
      </c>
      <c r="G34" s="55">
        <f t="shared" si="2"/>
        <v>34530</v>
      </c>
      <c r="H34" s="55">
        <f t="shared" si="2"/>
        <v>0</v>
      </c>
      <c r="I34" s="55">
        <f>SUM(I12+I13+I14+I15+I24+I25+I26+I32+I33)</f>
        <v>9420</v>
      </c>
      <c r="J34" s="55">
        <f t="shared" si="2"/>
        <v>9420</v>
      </c>
      <c r="K34" s="55">
        <f t="shared" si="2"/>
        <v>0</v>
      </c>
      <c r="L34" s="55">
        <f t="shared" si="2"/>
        <v>208495</v>
      </c>
      <c r="M34" s="55">
        <f t="shared" si="2"/>
        <v>208495</v>
      </c>
      <c r="N34" s="55">
        <f t="shared" si="2"/>
        <v>0</v>
      </c>
      <c r="O34" s="55">
        <f t="shared" si="2"/>
        <v>250045</v>
      </c>
      <c r="P34" s="55">
        <f t="shared" si="2"/>
        <v>261170</v>
      </c>
      <c r="Q34" s="55">
        <f t="shared" si="2"/>
        <v>0</v>
      </c>
      <c r="R34" s="69">
        <f>SUM('16_Bicske Városi Óvoda'!L34+'17_Bicskei Egy Műv. Közp, '!C34+'17_Bicskei Egy Műv. Közp, '!F34+'17_Bicskei Egy Műv. Közp, '!O34+L34+I34)</f>
        <v>940389</v>
      </c>
      <c r="S34" s="55">
        <f t="shared" si="2"/>
        <v>978010</v>
      </c>
      <c r="T34" s="1245">
        <f t="shared" si="2"/>
        <v>0</v>
      </c>
      <c r="U34" s="56"/>
      <c r="V34" s="307"/>
      <c r="Y34" s="437"/>
    </row>
    <row r="35" spans="1:25" s="191" customFormat="1" ht="17.25" customHeight="1" thickBot="1" thickTop="1">
      <c r="A35" s="247"/>
      <c r="B35" s="248" t="s">
        <v>120</v>
      </c>
      <c r="C35" s="249"/>
      <c r="D35" s="250"/>
      <c r="E35" s="251"/>
      <c r="F35" s="249"/>
      <c r="G35" s="250"/>
      <c r="H35" s="251"/>
      <c r="I35" s="296"/>
      <c r="J35" s="296"/>
      <c r="K35" s="296"/>
      <c r="L35" s="296"/>
      <c r="M35" s="296"/>
      <c r="N35" s="296"/>
      <c r="O35" s="249"/>
      <c r="P35" s="250"/>
      <c r="Q35" s="251"/>
      <c r="R35" s="249"/>
      <c r="S35" s="250"/>
      <c r="T35" s="251"/>
      <c r="U35" s="252"/>
      <c r="V35" s="307"/>
      <c r="Y35" s="1390"/>
    </row>
    <row r="36" spans="1:25" s="38" customFormat="1" ht="17.25" customHeight="1">
      <c r="A36" s="253" t="s">
        <v>97</v>
      </c>
      <c r="B36" s="254" t="s">
        <v>121</v>
      </c>
      <c r="C36" s="50"/>
      <c r="D36" s="65"/>
      <c r="E36" s="66"/>
      <c r="F36" s="50"/>
      <c r="G36" s="65"/>
      <c r="H36" s="433"/>
      <c r="I36" s="291"/>
      <c r="J36" s="65"/>
      <c r="K36" s="66"/>
      <c r="L36" s="435"/>
      <c r="M36" s="71"/>
      <c r="N36" s="71"/>
      <c r="O36" s="50"/>
      <c r="P36" s="65"/>
      <c r="Q36" s="66"/>
      <c r="R36" s="50">
        <f>SUM('16_Bicske Városi Óvoda'!C36+'16_Bicske Városi Óvoda'!F36+'16_Bicske Városi Óvoda'!I36)</f>
        <v>0</v>
      </c>
      <c r="S36" s="50">
        <f>SUM('16_Bicske Városi Óvoda'!D36+'16_Bicske Városi Óvoda'!G36+'16_Bicske Városi Óvoda'!J36)</f>
        <v>0</v>
      </c>
      <c r="T36" s="104">
        <f>SUM('16_Bicske Városi Óvoda'!E36+'16_Bicske Városi Óvoda'!H36+'16_Bicske Városi Óvoda'!K36)</f>
        <v>0</v>
      </c>
      <c r="V36" s="307"/>
      <c r="Y36" s="1390"/>
    </row>
    <row r="37" spans="1:25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94"/>
      <c r="I37" s="238"/>
      <c r="J37" s="239"/>
      <c r="K37" s="240"/>
      <c r="L37" s="264"/>
      <c r="M37" s="294"/>
      <c r="N37" s="294"/>
      <c r="O37" s="50"/>
      <c r="P37" s="50"/>
      <c r="Q37" s="240"/>
      <c r="R37" s="50">
        <f>SUM('16_Bicske Városi Óvoda'!L37+'17_Bicskei Egy Műv. Közp, '!C37+'17_Bicskei Egy Műv. Közp, '!F37+'17_Bicskei Egy Műv. Közp, '!O37+L37)</f>
        <v>0</v>
      </c>
      <c r="S37" s="50">
        <f>SUM('16_Bicske Városi Óvoda'!D37+'16_Bicske Városi Óvoda'!G37+'16_Bicske Városi Óvoda'!J37)</f>
        <v>0</v>
      </c>
      <c r="T37" s="240"/>
      <c r="V37" s="307"/>
      <c r="Y37" s="1390"/>
    </row>
    <row r="38" spans="1:25" s="38" customFormat="1" ht="17.25" customHeight="1">
      <c r="A38" s="39" t="s">
        <v>101</v>
      </c>
      <c r="B38" s="48" t="s">
        <v>337</v>
      </c>
      <c r="C38" s="50"/>
      <c r="D38" s="50"/>
      <c r="E38" s="240"/>
      <c r="F38" s="50"/>
      <c r="G38" s="50"/>
      <c r="H38" s="294"/>
      <c r="I38" s="238"/>
      <c r="J38" s="239"/>
      <c r="K38" s="240"/>
      <c r="L38" s="264"/>
      <c r="M38" s="294"/>
      <c r="N38" s="294"/>
      <c r="O38" s="50"/>
      <c r="P38" s="50"/>
      <c r="Q38" s="240"/>
      <c r="R38" s="50">
        <f>SUM('16_Bicske Városi Óvoda'!L38+'17_Bicskei Egy Műv. Közp, '!C38+'17_Bicskei Egy Műv. Közp, '!F38+'17_Bicskei Egy Műv. Közp, '!O38+L38)</f>
        <v>0</v>
      </c>
      <c r="S38" s="50">
        <f>SUM('16_Bicske Városi Óvoda'!D38+'16_Bicske Városi Óvoda'!G38+'16_Bicske Városi Óvoda'!J38)</f>
        <v>0</v>
      </c>
      <c r="T38" s="240"/>
      <c r="V38" s="307"/>
      <c r="Y38" s="1390"/>
    </row>
    <row r="39" spans="1:25" s="38" customFormat="1" ht="17.25" customHeight="1">
      <c r="A39" s="39" t="s">
        <v>103</v>
      </c>
      <c r="B39" s="48" t="s">
        <v>338</v>
      </c>
      <c r="C39" s="50">
        <v>180</v>
      </c>
      <c r="D39" s="50">
        <f>180+24561</f>
        <v>24741</v>
      </c>
      <c r="E39" s="240"/>
      <c r="F39" s="50">
        <v>600</v>
      </c>
      <c r="G39" s="50">
        <v>600</v>
      </c>
      <c r="H39" s="294"/>
      <c r="I39" s="238"/>
      <c r="J39" s="239"/>
      <c r="K39" s="240"/>
      <c r="L39" s="264"/>
      <c r="M39" s="294"/>
      <c r="N39" s="294"/>
      <c r="O39" s="50"/>
      <c r="P39" s="50">
        <f>4027+1847+4819-1-1</f>
        <v>10691</v>
      </c>
      <c r="Q39" s="240"/>
      <c r="R39" s="50">
        <f>SUM('16_Bicske Városi Óvoda'!L39+'17_Bicskei Egy Műv. Közp, '!C39+'17_Bicskei Egy Műv. Közp, '!F39+'17_Bicskei Egy Műv. Közp, '!L39+'17_Bicskei Egy Műv. Közp, '!O39)</f>
        <v>780</v>
      </c>
      <c r="S39" s="50">
        <f>SUM('16_Bicske Városi Óvoda'!M39+'17_Bicskei Egy Műv. Közp, '!D39+'17_Bicskei Egy Műv. Közp, '!G39+'17_Bicskei Egy Műv. Közp, '!M39+'17_Bicskei Egy Műv. Közp, '!P39)</f>
        <v>36032</v>
      </c>
      <c r="T39" s="104">
        <f>SUM('16_Bicske Városi Óvoda'!N39+'17_Bicskei Egy Műv. Közp, '!E39+'17_Bicskei Egy Műv. Közp, '!H39+'17_Bicskei Egy Műv. Közp, '!N39+'17_Bicskei Egy Műv. Közp, '!Q39)</f>
        <v>0</v>
      </c>
      <c r="V39" s="307"/>
      <c r="Y39" s="1390"/>
    </row>
    <row r="40" spans="1:25" s="63" customFormat="1" ht="17.25" customHeight="1">
      <c r="A40" s="255">
        <v>1</v>
      </c>
      <c r="B40" s="256" t="s">
        <v>124</v>
      </c>
      <c r="C40" s="257">
        <f aca="true" t="shared" si="3" ref="C40:Q40">SUM(C36:C39)</f>
        <v>180</v>
      </c>
      <c r="D40" s="257">
        <f t="shared" si="3"/>
        <v>24741</v>
      </c>
      <c r="E40" s="257">
        <f t="shared" si="3"/>
        <v>0</v>
      </c>
      <c r="F40" s="257">
        <f t="shared" si="3"/>
        <v>600</v>
      </c>
      <c r="G40" s="257">
        <f t="shared" si="3"/>
        <v>600</v>
      </c>
      <c r="H40" s="434">
        <f t="shared" si="3"/>
        <v>0</v>
      </c>
      <c r="I40" s="258"/>
      <c r="J40" s="257"/>
      <c r="K40" s="298"/>
      <c r="L40" s="299">
        <f t="shared" si="3"/>
        <v>0</v>
      </c>
      <c r="M40" s="257">
        <f t="shared" si="3"/>
        <v>0</v>
      </c>
      <c r="N40" s="257">
        <f t="shared" si="3"/>
        <v>0</v>
      </c>
      <c r="O40" s="257">
        <f t="shared" si="3"/>
        <v>0</v>
      </c>
      <c r="P40" s="257">
        <f t="shared" si="3"/>
        <v>10691</v>
      </c>
      <c r="Q40" s="257">
        <f t="shared" si="3"/>
        <v>0</v>
      </c>
      <c r="R40" s="50">
        <f>SUM('16_Bicske Városi Óvoda'!L40+'17_Bicskei Egy Műv. Közp, '!C40+'17_Bicskei Egy Műv. Közp, '!F40+'17_Bicskei Egy Műv. Közp, '!O40+L40)</f>
        <v>780</v>
      </c>
      <c r="S40" s="257">
        <f>SUM(S36:S39)</f>
        <v>36032</v>
      </c>
      <c r="T40" s="298">
        <f>SUM(T36:T39)</f>
        <v>0</v>
      </c>
      <c r="V40" s="307"/>
      <c r="Y40" s="437"/>
    </row>
    <row r="41" spans="1:25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94"/>
      <c r="I41" s="238"/>
      <c r="J41" s="239"/>
      <c r="K41" s="240"/>
      <c r="L41" s="263"/>
      <c r="M41" s="239"/>
      <c r="N41" s="240"/>
      <c r="O41" s="51"/>
      <c r="P41" s="50"/>
      <c r="Q41" s="240"/>
      <c r="R41" s="50">
        <f>SUM('16_Bicske Városi Óvoda'!L41+'17_Bicskei Egy Műv. Közp, '!C41+'17_Bicskei Egy Műv. Közp, '!F41+'17_Bicskei Egy Műv. Közp, '!O41+L41)</f>
        <v>0</v>
      </c>
      <c r="S41" s="50">
        <f>SUM('16_Bicske Városi Óvoda'!M41+'17_Bicskei Egy Műv. Közp, '!D41+'17_Bicskei Egy Műv. Közp, '!G41+'17_Bicskei Egy Műv. Közp, '!P41+M41)</f>
        <v>0</v>
      </c>
      <c r="T41" s="240"/>
      <c r="V41" s="307"/>
      <c r="Y41" s="1390"/>
    </row>
    <row r="42" spans="1:25" s="38" customFormat="1" ht="17.25" customHeight="1">
      <c r="A42" s="39" t="s">
        <v>99</v>
      </c>
      <c r="B42" s="48" t="s">
        <v>126</v>
      </c>
      <c r="C42" s="50"/>
      <c r="D42" s="50"/>
      <c r="E42" s="240"/>
      <c r="F42" s="50"/>
      <c r="G42" s="50"/>
      <c r="H42" s="294"/>
      <c r="I42" s="238"/>
      <c r="J42" s="239"/>
      <c r="K42" s="240"/>
      <c r="L42" s="263"/>
      <c r="M42" s="239"/>
      <c r="N42" s="240"/>
      <c r="O42" s="51"/>
      <c r="P42" s="50"/>
      <c r="Q42" s="240"/>
      <c r="R42" s="50">
        <f>SUM('16_Bicske Városi Óvoda'!L42+'17_Bicskei Egy Műv. Közp, '!C42+'17_Bicskei Egy Műv. Közp, '!F42+'17_Bicskei Egy Műv. Közp, '!O42+L42)</f>
        <v>0</v>
      </c>
      <c r="S42" s="50">
        <f>SUM('16_Bicske Városi Óvoda'!M42+'17_Bicskei Egy Műv. Közp, '!D42+'17_Bicskei Egy Műv. Közp, '!G42+'17_Bicskei Egy Műv. Közp, '!P42+M42)</f>
        <v>0</v>
      </c>
      <c r="T42" s="240"/>
      <c r="V42" s="307"/>
      <c r="Y42" s="1390"/>
    </row>
    <row r="43" spans="1:25" s="38" customFormat="1" ht="17.25" customHeight="1">
      <c r="A43" s="39" t="s">
        <v>101</v>
      </c>
      <c r="B43" s="48" t="s">
        <v>127</v>
      </c>
      <c r="C43" s="50"/>
      <c r="D43" s="50"/>
      <c r="E43" s="240"/>
      <c r="F43" s="50"/>
      <c r="G43" s="50"/>
      <c r="H43" s="294"/>
      <c r="I43" s="238"/>
      <c r="J43" s="239"/>
      <c r="K43" s="240"/>
      <c r="L43" s="263"/>
      <c r="M43" s="239"/>
      <c r="N43" s="240"/>
      <c r="O43" s="51"/>
      <c r="P43" s="50"/>
      <c r="Q43" s="240"/>
      <c r="R43" s="50">
        <f>SUM('16_Bicske Városi Óvoda'!L43+'17_Bicskei Egy Műv. Közp, '!C43+'17_Bicskei Egy Műv. Közp, '!F43+'17_Bicskei Egy Műv. Közp, '!O43+L43)</f>
        <v>0</v>
      </c>
      <c r="S43" s="50">
        <f>SUM('16_Bicske Városi Óvoda'!M43+'17_Bicskei Egy Műv. Közp, '!D43+'17_Bicskei Egy Műv. Közp, '!G43+'17_Bicskei Egy Műv. Közp, '!P43+M43)</f>
        <v>0</v>
      </c>
      <c r="T43" s="240"/>
      <c r="V43" s="307"/>
      <c r="Y43" s="1390"/>
    </row>
    <row r="44" spans="1:25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/>
      <c r="G44" s="50"/>
      <c r="H44" s="294"/>
      <c r="I44" s="238"/>
      <c r="J44" s="239"/>
      <c r="K44" s="240"/>
      <c r="L44" s="263"/>
      <c r="M44" s="239"/>
      <c r="N44" s="240"/>
      <c r="O44" s="51"/>
      <c r="P44" s="50"/>
      <c r="Q44" s="240"/>
      <c r="R44" s="50">
        <f>SUM('16_Bicske Városi Óvoda'!L44+'17_Bicskei Egy Műv. Közp, '!C44+'17_Bicskei Egy Műv. Közp, '!F44+'17_Bicskei Egy Műv. Közp, '!O44+L44)</f>
        <v>0</v>
      </c>
      <c r="S44" s="50">
        <f>SUM('16_Bicske Városi Óvoda'!M44+'17_Bicskei Egy Műv. Közp, '!D44+'17_Bicskei Egy Műv. Közp, '!G44+'17_Bicskei Egy Műv. Közp, '!P44+M44)</f>
        <v>0</v>
      </c>
      <c r="T44" s="240"/>
      <c r="V44" s="307"/>
      <c r="Y44" s="1390"/>
    </row>
    <row r="45" spans="1:25" s="63" customFormat="1" ht="17.25" customHeight="1">
      <c r="A45" s="255">
        <v>2</v>
      </c>
      <c r="B45" s="256" t="s">
        <v>129</v>
      </c>
      <c r="C45" s="258">
        <f aca="true" t="shared" si="4" ref="C45:Q45">SUM(C41:C44)</f>
        <v>0</v>
      </c>
      <c r="D45" s="258">
        <f t="shared" si="4"/>
        <v>0</v>
      </c>
      <c r="E45" s="258">
        <f t="shared" si="4"/>
        <v>0</v>
      </c>
      <c r="F45" s="258">
        <f t="shared" si="4"/>
        <v>0</v>
      </c>
      <c r="G45" s="258">
        <f t="shared" si="4"/>
        <v>0</v>
      </c>
      <c r="H45" s="297">
        <f t="shared" si="4"/>
        <v>0</v>
      </c>
      <c r="I45" s="258">
        <f t="shared" si="4"/>
        <v>0</v>
      </c>
      <c r="J45" s="257">
        <f t="shared" si="4"/>
        <v>0</v>
      </c>
      <c r="K45" s="298">
        <f t="shared" si="4"/>
        <v>0</v>
      </c>
      <c r="L45" s="299">
        <f t="shared" si="4"/>
        <v>0</v>
      </c>
      <c r="M45" s="257">
        <f t="shared" si="4"/>
        <v>0</v>
      </c>
      <c r="N45" s="298">
        <f t="shared" si="4"/>
        <v>0</v>
      </c>
      <c r="O45" s="299">
        <f>SUM(O41:O44)</f>
        <v>0</v>
      </c>
      <c r="P45" s="258">
        <f t="shared" si="4"/>
        <v>0</v>
      </c>
      <c r="Q45" s="258">
        <f t="shared" si="4"/>
        <v>0</v>
      </c>
      <c r="R45" s="50">
        <f>SUM('16_Bicske Városi Óvoda'!L45+'17_Bicskei Egy Műv. Közp, '!C45+'17_Bicskei Egy Műv. Közp, '!F45+'17_Bicskei Egy Műv. Közp, '!O45+L45)</f>
        <v>0</v>
      </c>
      <c r="S45" s="258">
        <f>SUM(S41:S44)</f>
        <v>0</v>
      </c>
      <c r="T45" s="1246">
        <f>SUM(T41:T44)</f>
        <v>0</v>
      </c>
      <c r="V45" s="307"/>
      <c r="Y45" s="437"/>
    </row>
    <row r="46" spans="1:25" s="63" customFormat="1" ht="17.25" customHeight="1">
      <c r="A46" s="255">
        <v>3</v>
      </c>
      <c r="B46" s="256" t="s">
        <v>34</v>
      </c>
      <c r="C46" s="258">
        <v>8827</v>
      </c>
      <c r="D46" s="258">
        <v>8827</v>
      </c>
      <c r="E46" s="259"/>
      <c r="F46" s="258">
        <v>970</v>
      </c>
      <c r="G46" s="257">
        <v>970</v>
      </c>
      <c r="H46" s="300"/>
      <c r="I46" s="267">
        <v>1143</v>
      </c>
      <c r="J46" s="301">
        <v>1143</v>
      </c>
      <c r="K46" s="259"/>
      <c r="L46" s="269">
        <v>54483</v>
      </c>
      <c r="M46" s="301">
        <v>54483</v>
      </c>
      <c r="N46" s="259"/>
      <c r="O46" s="299">
        <v>7725</v>
      </c>
      <c r="P46" s="257">
        <v>7725</v>
      </c>
      <c r="Q46" s="259"/>
      <c r="R46" s="50">
        <f>SUM('16_Bicske Városi Óvoda'!L46+'17_Bicskei Egy Műv. Közp, '!C46+'17_Bicskei Egy Műv. Közp, '!F46+'17_Bicskei Egy Műv. Közp, '!O46+L46+I46)</f>
        <v>79898</v>
      </c>
      <c r="S46" s="50">
        <f>SUM('16_Bicske Városi Óvoda'!M46+'17_Bicskei Egy Műv. Közp, '!D46+'17_Bicskei Egy Műv. Közp, '!G46+'17_Bicskei Egy Műv. Közp, '!P46+M46+J46)</f>
        <v>79898</v>
      </c>
      <c r="T46" s="259"/>
      <c r="V46" s="307"/>
      <c r="Y46" s="437"/>
    </row>
    <row r="47" spans="1:25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300"/>
      <c r="I47" s="267"/>
      <c r="J47" s="301"/>
      <c r="K47" s="259"/>
      <c r="L47" s="269"/>
      <c r="M47" s="301"/>
      <c r="N47" s="259"/>
      <c r="O47" s="299"/>
      <c r="P47" s="257"/>
      <c r="Q47" s="259"/>
      <c r="R47" s="50">
        <f>SUM('16_Bicske Városi Óvoda'!L47+'17_Bicskei Egy Műv. Közp, '!C47+'17_Bicskei Egy Műv. Közp, '!F47+'17_Bicskei Egy Műv. Közp, '!O47+L47+I47)</f>
        <v>0</v>
      </c>
      <c r="S47" s="50">
        <f>SUM('16_Bicske Városi Óvoda'!M47+'17_Bicskei Egy Műv. Közp, '!D47+'17_Bicskei Egy Műv. Közp, '!G47+'17_Bicskei Egy Műv. Közp, '!P47+M47)</f>
        <v>0</v>
      </c>
      <c r="T47" s="259"/>
      <c r="V47" s="307"/>
      <c r="Y47" s="437"/>
    </row>
    <row r="48" spans="1:25" s="38" customFormat="1" ht="17.25" customHeight="1">
      <c r="A48" s="39" t="s">
        <v>97</v>
      </c>
      <c r="B48" s="48" t="s">
        <v>130</v>
      </c>
      <c r="C48" s="229"/>
      <c r="D48" s="51"/>
      <c r="E48" s="259">
        <f>SUM(D48+J48)</f>
        <v>0</v>
      </c>
      <c r="F48" s="229"/>
      <c r="G48" s="51"/>
      <c r="H48" s="300">
        <f>SUM(G48+D48)</f>
        <v>0</v>
      </c>
      <c r="I48" s="238"/>
      <c r="J48" s="239"/>
      <c r="K48" s="240"/>
      <c r="L48" s="263"/>
      <c r="M48" s="239"/>
      <c r="N48" s="240"/>
      <c r="O48" s="51"/>
      <c r="P48" s="51"/>
      <c r="Q48" s="260"/>
      <c r="R48" s="50">
        <f>SUM('16_Bicske Városi Óvoda'!L48+'17_Bicskei Egy Műv. Közp, '!C48+'17_Bicskei Egy Műv. Közp, '!F48+'17_Bicskei Egy Műv. Közp, '!O48+L48+I48)</f>
        <v>0</v>
      </c>
      <c r="S48" s="50">
        <f>SUM('16_Bicske Városi Óvoda'!M48+'17_Bicskei Egy Műv. Közp, '!D48+'17_Bicskei Egy Műv. Közp, '!G48+'17_Bicskei Egy Műv. Közp, '!P48+M48)</f>
        <v>0</v>
      </c>
      <c r="T48" s="260"/>
      <c r="V48" s="307"/>
      <c r="Y48" s="1390"/>
    </row>
    <row r="49" spans="1:25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49"/>
      <c r="I49" s="229"/>
      <c r="J49" s="50"/>
      <c r="K49" s="104"/>
      <c r="L49" s="51"/>
      <c r="M49" s="50"/>
      <c r="N49" s="104"/>
      <c r="O49" s="51"/>
      <c r="P49" s="229"/>
      <c r="Q49" s="229"/>
      <c r="R49" s="50">
        <f>SUM('16_Bicske Városi Óvoda'!L49+'17_Bicskei Egy Műv. Közp, '!C49+'17_Bicskei Egy Műv. Közp, '!F49+'17_Bicskei Egy Műv. Közp, '!O49+L49+I49)</f>
        <v>0</v>
      </c>
      <c r="S49" s="50">
        <f>SUM('16_Bicske Városi Óvoda'!M49+'17_Bicskei Egy Műv. Közp, '!D49+'17_Bicskei Egy Műv. Közp, '!G49+'17_Bicskei Egy Műv. Közp, '!P49+M49)</f>
        <v>0</v>
      </c>
      <c r="T49" s="261"/>
      <c r="U49" s="262"/>
      <c r="V49" s="307"/>
      <c r="Y49" s="1390"/>
    </row>
    <row r="50" spans="1:25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39"/>
      <c r="K50" s="240"/>
      <c r="L50" s="263"/>
      <c r="M50" s="239"/>
      <c r="N50" s="240"/>
      <c r="O50" s="263"/>
      <c r="P50" s="263"/>
      <c r="Q50" s="264"/>
      <c r="R50" s="50">
        <f>SUM('16_Bicske Városi Óvoda'!L50+'17_Bicskei Egy Műv. Közp, '!C50+'17_Bicskei Egy Műv. Közp, '!F50+'17_Bicskei Egy Műv. Közp, '!O50+L50+I50)</f>
        <v>0</v>
      </c>
      <c r="S50" s="50">
        <f>SUM('16_Bicske Városi Óvoda'!M50+'17_Bicskei Egy Műv. Közp, '!D50+'17_Bicskei Egy Műv. Közp, '!G50+'17_Bicskei Egy Műv. Közp, '!P50+M50)</f>
        <v>0</v>
      </c>
      <c r="T50" s="260"/>
      <c r="U50" s="262"/>
      <c r="V50" s="307"/>
      <c r="Y50" s="1390"/>
    </row>
    <row r="51" spans="1:25" s="63" customFormat="1" ht="17.25" customHeight="1">
      <c r="A51" s="265">
        <v>5</v>
      </c>
      <c r="B51" s="266" t="s">
        <v>133</v>
      </c>
      <c r="C51" s="267">
        <f aca="true" t="shared" si="5" ref="C51:Q51">SUM(C48:C50)</f>
        <v>0</v>
      </c>
      <c r="D51" s="267">
        <f t="shared" si="5"/>
        <v>0</v>
      </c>
      <c r="E51" s="267">
        <f t="shared" si="5"/>
        <v>0</v>
      </c>
      <c r="F51" s="267">
        <f t="shared" si="5"/>
        <v>0</v>
      </c>
      <c r="G51" s="267">
        <f t="shared" si="5"/>
        <v>0</v>
      </c>
      <c r="H51" s="302">
        <f t="shared" si="5"/>
        <v>0</v>
      </c>
      <c r="I51" s="267"/>
      <c r="J51" s="301"/>
      <c r="K51" s="259"/>
      <c r="L51" s="269">
        <f t="shared" si="5"/>
        <v>0</v>
      </c>
      <c r="M51" s="301">
        <f t="shared" si="5"/>
        <v>0</v>
      </c>
      <c r="N51" s="259">
        <f t="shared" si="5"/>
        <v>0</v>
      </c>
      <c r="O51" s="269">
        <f>SUM(O48:O50)</f>
        <v>0</v>
      </c>
      <c r="P51" s="267">
        <f t="shared" si="5"/>
        <v>0</v>
      </c>
      <c r="Q51" s="267">
        <f t="shared" si="5"/>
        <v>0</v>
      </c>
      <c r="R51" s="50">
        <f>SUM('16_Bicske Városi Óvoda'!L51+'17_Bicskei Egy Műv. Közp, '!C51+'17_Bicskei Egy Műv. Közp, '!F51+'17_Bicskei Egy Műv. Közp, '!O51+L51+I51)</f>
        <v>0</v>
      </c>
      <c r="S51" s="267">
        <f>SUM(S48:S50)</f>
        <v>0</v>
      </c>
      <c r="T51" s="1247">
        <f>SUM(T48:T50)</f>
        <v>0</v>
      </c>
      <c r="U51" s="268"/>
      <c r="V51" s="307"/>
      <c r="Y51" s="437"/>
    </row>
    <row r="52" spans="1:25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301"/>
      <c r="K52" s="259"/>
      <c r="L52" s="269"/>
      <c r="M52" s="301"/>
      <c r="N52" s="259"/>
      <c r="O52" s="269"/>
      <c r="P52" s="269">
        <v>400</v>
      </c>
      <c r="Q52" s="270"/>
      <c r="R52" s="50">
        <f>SUM('16_Bicske Városi Óvoda'!L52+'17_Bicskei Egy Műv. Közp, '!C52+'17_Bicskei Egy Műv. Közp, '!F52+'17_Bicskei Egy Műv. Közp, '!O52+L52+I52)</f>
        <v>0</v>
      </c>
      <c r="S52" s="50">
        <f>SUM('16_Bicske Városi Óvoda'!M52+'17_Bicskei Egy Műv. Közp, '!D52+'17_Bicskei Egy Műv. Közp, '!G52+'17_Bicskei Egy Műv. Közp, '!P52+M52)</f>
        <v>400</v>
      </c>
      <c r="T52" s="271"/>
      <c r="U52" s="268"/>
      <c r="V52" s="307"/>
      <c r="Y52" s="437"/>
    </row>
    <row r="53" spans="1:25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/>
      <c r="J53" s="239"/>
      <c r="K53" s="240"/>
      <c r="L53" s="263"/>
      <c r="M53" s="239"/>
      <c r="N53" s="240"/>
      <c r="O53" s="263"/>
      <c r="P53" s="263"/>
      <c r="Q53" s="264"/>
      <c r="R53" s="50">
        <f>SUM('16_Bicske Városi Óvoda'!L53+'17_Bicskei Egy Műv. Közp, '!C53+'17_Bicskei Egy Műv. Közp, '!F53+'17_Bicskei Egy Műv. Közp, '!O53+L53+I53)</f>
        <v>0</v>
      </c>
      <c r="S53" s="50">
        <f>SUM('16_Bicske Városi Óvoda'!M53+'17_Bicskei Egy Műv. Közp, '!D53+'17_Bicskei Egy Műv. Közp, '!G53+'17_Bicskei Egy Műv. Közp, '!P53+M53)</f>
        <v>0</v>
      </c>
      <c r="T53" s="260"/>
      <c r="U53" s="262"/>
      <c r="V53" s="307"/>
      <c r="Y53" s="1390"/>
    </row>
    <row r="54" spans="1:25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39"/>
      <c r="K54" s="240"/>
      <c r="L54" s="263"/>
      <c r="M54" s="239"/>
      <c r="N54" s="240"/>
      <c r="O54" s="263"/>
      <c r="P54" s="263"/>
      <c r="Q54" s="264"/>
      <c r="R54" s="50">
        <f>SUM('16_Bicske Városi Óvoda'!L54+'17_Bicskei Egy Műv. Közp, '!C54+'17_Bicskei Egy Műv. Közp, '!F54+'17_Bicskei Egy Műv. Közp, '!O54+L54+I54)</f>
        <v>0</v>
      </c>
      <c r="S54" s="50">
        <f>SUM('16_Bicske Városi Óvoda'!M54+'17_Bicskei Egy Műv. Közp, '!D54+'17_Bicskei Egy Műv. Közp, '!G54+'17_Bicskei Egy Műv. Közp, '!P54+M54)</f>
        <v>0</v>
      </c>
      <c r="T54" s="260"/>
      <c r="U54" s="262"/>
      <c r="V54" s="307"/>
      <c r="Y54" s="1390"/>
    </row>
    <row r="55" spans="1:25" s="63" customFormat="1" ht="17.25" customHeight="1">
      <c r="A55" s="265">
        <v>7</v>
      </c>
      <c r="B55" s="266" t="s">
        <v>136</v>
      </c>
      <c r="C55" s="267">
        <f aca="true" t="shared" si="6" ref="C55:Q55">SUM(C53:C54)</f>
        <v>0</v>
      </c>
      <c r="D55" s="267">
        <f t="shared" si="6"/>
        <v>0</v>
      </c>
      <c r="E55" s="267">
        <f t="shared" si="6"/>
        <v>0</v>
      </c>
      <c r="F55" s="267">
        <f t="shared" si="6"/>
        <v>0</v>
      </c>
      <c r="G55" s="267">
        <f t="shared" si="6"/>
        <v>0</v>
      </c>
      <c r="H55" s="302">
        <f t="shared" si="6"/>
        <v>0</v>
      </c>
      <c r="I55" s="258"/>
      <c r="J55" s="257"/>
      <c r="K55" s="298"/>
      <c r="L55" s="269">
        <f t="shared" si="6"/>
        <v>0</v>
      </c>
      <c r="M55" s="301">
        <f t="shared" si="6"/>
        <v>0</v>
      </c>
      <c r="N55" s="259">
        <f t="shared" si="6"/>
        <v>0</v>
      </c>
      <c r="O55" s="269">
        <f t="shared" si="6"/>
        <v>0</v>
      </c>
      <c r="P55" s="267">
        <f t="shared" si="6"/>
        <v>0</v>
      </c>
      <c r="Q55" s="267">
        <f t="shared" si="6"/>
        <v>0</v>
      </c>
      <c r="R55" s="50">
        <f>SUM('16_Bicske Városi Óvoda'!L55+'17_Bicskei Egy Műv. Közp, '!C55+'17_Bicskei Egy Műv. Közp, '!F55+'17_Bicskei Egy Műv. Közp, '!O55+L55+I55)</f>
        <v>0</v>
      </c>
      <c r="S55" s="267">
        <f>SUM(S53:S54)</f>
        <v>0</v>
      </c>
      <c r="T55" s="1247">
        <f>SUM(T53:T54)</f>
        <v>0</v>
      </c>
      <c r="U55" s="268"/>
      <c r="V55" s="307"/>
      <c r="Y55" s="437"/>
    </row>
    <row r="56" spans="1:25" s="38" customFormat="1" ht="17.25" customHeight="1">
      <c r="A56" s="236">
        <v>8</v>
      </c>
      <c r="B56" s="237" t="s">
        <v>137</v>
      </c>
      <c r="C56" s="238">
        <f aca="true" t="shared" si="7" ref="C56:T56">SUM(C34-C40-C45-C46-C47-C51-C52-C55-C57-C58)</f>
        <v>47819</v>
      </c>
      <c r="D56" s="238">
        <f t="shared" si="7"/>
        <v>48601</v>
      </c>
      <c r="E56" s="238"/>
      <c r="F56" s="238">
        <f>SUM(F34-F40-F45-F46-F47-F51-F52-F55-F57-F58)</f>
        <v>32210</v>
      </c>
      <c r="G56" s="238">
        <f t="shared" si="7"/>
        <v>32960</v>
      </c>
      <c r="H56" s="303">
        <f t="shared" si="7"/>
        <v>0</v>
      </c>
      <c r="I56" s="303">
        <f t="shared" si="7"/>
        <v>8277</v>
      </c>
      <c r="J56" s="303">
        <f t="shared" si="7"/>
        <v>8277</v>
      </c>
      <c r="K56" s="303">
        <f t="shared" si="7"/>
        <v>0</v>
      </c>
      <c r="L56" s="238">
        <f t="shared" si="7"/>
        <v>148911</v>
      </c>
      <c r="M56" s="239">
        <f t="shared" si="7"/>
        <v>148911</v>
      </c>
      <c r="N56" s="240">
        <f t="shared" si="7"/>
        <v>0</v>
      </c>
      <c r="O56" s="263">
        <f>SUM(O34-O40-O45-O46-O47-O51-O52-O55-O57-O58)</f>
        <v>221201</v>
      </c>
      <c r="P56" s="238">
        <f t="shared" si="7"/>
        <v>221235</v>
      </c>
      <c r="Q56" s="238">
        <f t="shared" si="7"/>
        <v>0</v>
      </c>
      <c r="R56" s="238">
        <f>SUM(R34-R40-R45-R46-R47-R51-R52-R55-R57-R58)</f>
        <v>812087</v>
      </c>
      <c r="S56" s="238">
        <f>SUM(S34-S40-S45-S46-S47-S51-S52-S55-S57-S58)</f>
        <v>814056</v>
      </c>
      <c r="T56" s="272">
        <f t="shared" si="7"/>
        <v>0</v>
      </c>
      <c r="U56" s="262"/>
      <c r="V56" s="307"/>
      <c r="Y56" s="1390"/>
    </row>
    <row r="57" spans="1:25" s="63" customFormat="1" ht="17.25" customHeight="1">
      <c r="A57" s="265" t="s">
        <v>138</v>
      </c>
      <c r="B57" s="266" t="s">
        <v>139</v>
      </c>
      <c r="C57" s="267">
        <v>3932</v>
      </c>
      <c r="D57" s="269">
        <v>3932</v>
      </c>
      <c r="E57" s="270"/>
      <c r="F57" s="267"/>
      <c r="G57" s="269"/>
      <c r="H57" s="270"/>
      <c r="I57" s="270"/>
      <c r="J57" s="270"/>
      <c r="K57" s="270"/>
      <c r="L57" s="258">
        <v>5101</v>
      </c>
      <c r="M57" s="257">
        <v>5101</v>
      </c>
      <c r="N57" s="298"/>
      <c r="O57" s="269">
        <v>21119</v>
      </c>
      <c r="P57" s="269">
        <v>21119</v>
      </c>
      <c r="Q57" s="270"/>
      <c r="R57" s="267">
        <f>SUM('16_Bicske Városi Óvoda'!L57+'17_Bicskei Egy Műv. Közp, '!C57+'17_Bicskei Egy Műv. Közp, '!F57+'17_Bicskei Egy Műv. Közp, '!O57+L57)</f>
        <v>47624</v>
      </c>
      <c r="S57" s="267">
        <f>SUM('16_Bicske Városi Óvoda'!M57+'17_Bicskei Egy Műv. Közp, '!D57+'17_Bicskei Egy Műv. Közp, '!G57+'17_Bicskei Egy Műv. Közp, '!P57+M57)</f>
        <v>47624</v>
      </c>
      <c r="T57" s="271"/>
      <c r="U57" s="268"/>
      <c r="V57" s="307"/>
      <c r="Y57" s="437"/>
    </row>
    <row r="58" spans="1:25" s="63" customFormat="1" ht="17.25" customHeight="1" thickBot="1">
      <c r="A58" s="59" t="s">
        <v>140</v>
      </c>
      <c r="B58" s="60" t="s">
        <v>141</v>
      </c>
      <c r="C58" s="273"/>
      <c r="D58" s="274"/>
      <c r="E58" s="275"/>
      <c r="F58" s="273"/>
      <c r="G58" s="274"/>
      <c r="H58" s="275"/>
      <c r="I58" s="304"/>
      <c r="J58" s="304"/>
      <c r="K58" s="304"/>
      <c r="L58" s="304"/>
      <c r="M58" s="304"/>
      <c r="N58" s="304"/>
      <c r="O58" s="273"/>
      <c r="P58" s="274"/>
      <c r="Q58" s="275"/>
      <c r="R58" s="273"/>
      <c r="S58" s="274"/>
      <c r="T58" s="275"/>
      <c r="V58" s="307"/>
      <c r="Y58" s="437"/>
    </row>
    <row r="59" spans="1:25" s="63" customFormat="1" ht="17.25" customHeight="1" thickBot="1" thickTop="1">
      <c r="A59" s="59" t="s">
        <v>142</v>
      </c>
      <c r="B59" s="60" t="s">
        <v>148</v>
      </c>
      <c r="C59" s="61">
        <f aca="true" t="shared" si="8" ref="C59:Q59">SUM(C40+C45+C46+C47+C51+C52+C55+C56+C57+C58)</f>
        <v>60758</v>
      </c>
      <c r="D59" s="61">
        <f t="shared" si="8"/>
        <v>86101</v>
      </c>
      <c r="E59" s="61">
        <f t="shared" si="8"/>
        <v>0</v>
      </c>
      <c r="F59" s="61">
        <f>SUM(F40+F45+F46+F47+F51+F52+F55+F56+F57+F58)</f>
        <v>33780</v>
      </c>
      <c r="G59" s="61">
        <f t="shared" si="8"/>
        <v>34530</v>
      </c>
      <c r="H59" s="61">
        <f t="shared" si="8"/>
        <v>0</v>
      </c>
      <c r="I59" s="61">
        <f t="shared" si="8"/>
        <v>9420</v>
      </c>
      <c r="J59" s="61">
        <f t="shared" si="8"/>
        <v>9420</v>
      </c>
      <c r="K59" s="61">
        <f t="shared" si="8"/>
        <v>0</v>
      </c>
      <c r="L59" s="61">
        <f t="shared" si="8"/>
        <v>208495</v>
      </c>
      <c r="M59" s="61">
        <f t="shared" si="8"/>
        <v>208495</v>
      </c>
      <c r="N59" s="61">
        <f t="shared" si="8"/>
        <v>0</v>
      </c>
      <c r="O59" s="61">
        <f t="shared" si="8"/>
        <v>250045</v>
      </c>
      <c r="P59" s="61">
        <f t="shared" si="8"/>
        <v>261170</v>
      </c>
      <c r="Q59" s="61">
        <f t="shared" si="8"/>
        <v>0</v>
      </c>
      <c r="R59" s="61">
        <f>SUM('16_Bicske Városi Óvoda'!L59+'17_Bicskei Egy Műv. Közp, '!C59+'17_Bicskei Egy Műv. Közp, '!F59+'17_Bicskei Egy Műv. Közp, '!O59+L5+I59+L59)</f>
        <v>940389</v>
      </c>
      <c r="S59" s="61">
        <f>SUM('16_Bicske Városi Óvoda'!M59+'17_Bicskei Egy Műv. Közp, '!D59+'17_Bicskei Egy Műv. Közp, '!G59+'17_Bicskei Egy Műv. Közp, '!P59+M5+J59+M59)</f>
        <v>978010</v>
      </c>
      <c r="T59" s="62"/>
      <c r="V59" s="307"/>
      <c r="Y59" s="437"/>
    </row>
    <row r="60" spans="1:25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8"/>
      <c r="J60" s="278"/>
      <c r="K60" s="278"/>
      <c r="L60" s="278"/>
      <c r="M60" s="278"/>
      <c r="N60" s="278"/>
      <c r="O60" s="277"/>
      <c r="P60" s="277"/>
      <c r="Q60" s="278"/>
      <c r="R60" s="277"/>
      <c r="S60" s="277"/>
      <c r="T60" s="279"/>
      <c r="V60" s="307"/>
      <c r="Y60" s="1390"/>
    </row>
    <row r="61" spans="1:25" s="38" customFormat="1" ht="17.25" customHeight="1" thickBot="1" thickTop="1">
      <c r="A61" s="280"/>
      <c r="B61" s="281" t="s">
        <v>427</v>
      </c>
      <c r="C61" s="282">
        <v>9</v>
      </c>
      <c r="D61" s="283">
        <v>10</v>
      </c>
      <c r="E61" s="284"/>
      <c r="F61" s="282">
        <v>7</v>
      </c>
      <c r="G61" s="283">
        <v>6</v>
      </c>
      <c r="H61" s="284"/>
      <c r="I61" s="305">
        <v>1</v>
      </c>
      <c r="J61" s="305">
        <v>1</v>
      </c>
      <c r="K61" s="305"/>
      <c r="L61" s="305">
        <v>23</v>
      </c>
      <c r="M61" s="305">
        <v>23</v>
      </c>
      <c r="N61" s="305"/>
      <c r="O61" s="282">
        <v>30</v>
      </c>
      <c r="P61" s="283">
        <v>30</v>
      </c>
      <c r="Q61" s="285"/>
      <c r="R61" s="282">
        <f>SUM(O61+L61+F61+C61+I61+'16_Bicske Városi Óvoda'!L61)</f>
        <v>153</v>
      </c>
      <c r="S61" s="282">
        <f>SUM(P61+M61+G61+D61+J61+'16_Bicske Városi Óvoda'!M61)</f>
        <v>153</v>
      </c>
      <c r="T61" s="284"/>
      <c r="V61" s="307"/>
      <c r="Y61" s="1390"/>
    </row>
    <row r="62" spans="1:25" s="38" customFormat="1" ht="17.25" customHeight="1" thickBot="1" thickTop="1">
      <c r="A62" s="247"/>
      <c r="B62" s="1249" t="s">
        <v>144</v>
      </c>
      <c r="C62" s="1250">
        <v>2</v>
      </c>
      <c r="D62" s="1251">
        <v>2</v>
      </c>
      <c r="E62" s="1252"/>
      <c r="F62" s="1250">
        <v>1</v>
      </c>
      <c r="G62" s="1251">
        <v>1</v>
      </c>
      <c r="H62" s="1252"/>
      <c r="I62" s="1255"/>
      <c r="J62" s="1255"/>
      <c r="K62" s="1255">
        <f>SUM(D59+G59+J59)</f>
        <v>130051</v>
      </c>
      <c r="L62" s="1255"/>
      <c r="M62" s="1255"/>
      <c r="N62" s="1255"/>
      <c r="O62" s="1250">
        <v>11</v>
      </c>
      <c r="P62" s="1251">
        <v>11</v>
      </c>
      <c r="Q62" s="1253"/>
      <c r="R62" s="1250">
        <f>SUM(O62+F62+C62)</f>
        <v>14</v>
      </c>
      <c r="S62" s="1250">
        <f>SUM(P62+G62+D62)</f>
        <v>14</v>
      </c>
      <c r="T62" s="1254"/>
      <c r="V62" s="307"/>
      <c r="Y62" s="1390"/>
    </row>
    <row r="63" spans="1:19" ht="18.75">
      <c r="A63" s="286"/>
      <c r="R63" s="195"/>
      <c r="S63" s="195"/>
    </row>
    <row r="64" spans="3:19" ht="18.75">
      <c r="C64" s="72"/>
      <c r="E64" s="72"/>
      <c r="G64" s="72"/>
      <c r="H64" s="72"/>
      <c r="I64" s="288"/>
      <c r="J64" s="288"/>
      <c r="K64" s="288"/>
      <c r="L64" s="72"/>
      <c r="M64" s="288"/>
      <c r="N64" s="288"/>
      <c r="R64" s="195"/>
      <c r="S64" s="195">
        <f>SUM(P61+M61+J61+G61+D61+'16_Bicske Városi Óvoda'!J61+'16_Bicske Városi Óvoda'!G61+'16_Bicske Városi Óvoda'!D61)</f>
        <v>153</v>
      </c>
    </row>
    <row r="65" spans="3:19" ht="18.75">
      <c r="C65" s="195"/>
      <c r="D65" s="195">
        <f>SUM(D56+J56)</f>
        <v>56878</v>
      </c>
      <c r="E65" s="195"/>
      <c r="G65" s="72"/>
      <c r="R65" s="195"/>
      <c r="S65" s="195"/>
    </row>
    <row r="66" spans="3:20" ht="18.75">
      <c r="C66" s="195"/>
      <c r="D66" s="195">
        <f>SUM(D59+J59)</f>
        <v>95521</v>
      </c>
      <c r="E66" s="195"/>
      <c r="F66" s="72"/>
      <c r="I66" s="72"/>
      <c r="O66" s="72"/>
      <c r="T66" s="72"/>
    </row>
    <row r="67" spans="3:17" ht="18.75">
      <c r="C67" s="195"/>
      <c r="D67" s="195"/>
      <c r="E67" s="195"/>
      <c r="F67" s="72"/>
      <c r="G67" s="72"/>
      <c r="N67" s="72"/>
      <c r="P67" s="195"/>
      <c r="Q67" s="72"/>
    </row>
    <row r="68" spans="3:9" ht="18.75">
      <c r="C68" s="195"/>
      <c r="D68" s="195"/>
      <c r="E68" s="195"/>
      <c r="I68" s="72"/>
    </row>
    <row r="69" spans="3:18" ht="18.75">
      <c r="C69" s="195"/>
      <c r="D69" s="195"/>
      <c r="E69" s="195"/>
      <c r="R69" s="72"/>
    </row>
    <row r="70" spans="3:6" ht="18.75">
      <c r="C70" s="195"/>
      <c r="D70" s="195"/>
      <c r="E70" s="195"/>
      <c r="F70" s="195"/>
    </row>
    <row r="71" spans="5:6" ht="18.75">
      <c r="E71" s="195"/>
      <c r="F71" s="195"/>
    </row>
  </sheetData>
  <sheetProtection selectLockedCells="1" selectUnlockedCells="1"/>
  <mergeCells count="13">
    <mergeCell ref="R7:T7"/>
    <mergeCell ref="A4:T4"/>
    <mergeCell ref="A5:T5"/>
    <mergeCell ref="C8:E8"/>
    <mergeCell ref="F8:H8"/>
    <mergeCell ref="O8:Q8"/>
    <mergeCell ref="R8:T8"/>
    <mergeCell ref="L8:N8"/>
    <mergeCell ref="C7:E7"/>
    <mergeCell ref="I8:K8"/>
    <mergeCell ref="F7:H7"/>
    <mergeCell ref="L7:N7"/>
    <mergeCell ref="O7:Q7"/>
  </mergeCells>
  <printOptions/>
  <pageMargins left="0.31496062992125984" right="0.2362204724409449" top="0.4724409448818898" bottom="0.4724409448818898" header="0.2755905511811024" footer="0.1968503937007874"/>
  <pageSetup horizontalDpi="600" verticalDpi="6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18"/>
  <sheetViews>
    <sheetView showGridLines="0" view="pageBreakPreview" zoomScale="60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4.875" style="924" customWidth="1"/>
    <col min="2" max="2" width="78.00390625" style="783" customWidth="1"/>
    <col min="3" max="17" width="16.875" style="783" customWidth="1"/>
    <col min="18" max="18" width="20.875" style="448" customWidth="1"/>
    <col min="19" max="19" width="17.875" style="1422" customWidth="1"/>
    <col min="20" max="20" width="16.875" style="1422" bestFit="1" customWidth="1"/>
    <col min="21" max="16384" width="9.375" style="783" customWidth="1"/>
  </cols>
  <sheetData>
    <row r="1" spans="1:17" ht="47.25" customHeight="1">
      <c r="A1" s="780"/>
      <c r="B1" s="26" t="s">
        <v>721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</row>
    <row r="2" spans="1:17" ht="27.75" customHeight="1">
      <c r="A2" s="780"/>
      <c r="B2" s="781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</row>
    <row r="3" spans="1:17" ht="10.5" customHeight="1">
      <c r="A3" s="780"/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</row>
    <row r="4" spans="1:17" ht="22.5" customHeight="1">
      <c r="A4" s="1807" t="s">
        <v>672</v>
      </c>
      <c r="B4" s="1828"/>
      <c r="C4" s="1828"/>
      <c r="D4" s="1828"/>
      <c r="E4" s="1828"/>
      <c r="F4" s="1828"/>
      <c r="G4" s="1828"/>
      <c r="H4" s="1828"/>
      <c r="I4" s="1828"/>
      <c r="J4" s="1828"/>
      <c r="K4" s="1828"/>
      <c r="L4" s="1828"/>
      <c r="M4" s="1828"/>
      <c r="N4" s="1828"/>
      <c r="O4" s="1828"/>
      <c r="P4" s="1828"/>
      <c r="Q4" s="1828"/>
    </row>
    <row r="5" spans="1:17" ht="21.75" customHeight="1">
      <c r="A5" s="1808" t="s">
        <v>577</v>
      </c>
      <c r="B5" s="1829"/>
      <c r="C5" s="1829"/>
      <c r="D5" s="1829"/>
      <c r="E5" s="1829"/>
      <c r="F5" s="1829"/>
      <c r="G5" s="1829"/>
      <c r="H5" s="1829"/>
      <c r="I5" s="1829"/>
      <c r="J5" s="1829"/>
      <c r="K5" s="1829"/>
      <c r="L5" s="1829"/>
      <c r="M5" s="1829"/>
      <c r="N5" s="1829"/>
      <c r="O5" s="1829"/>
      <c r="P5" s="1829"/>
      <c r="Q5" s="1829"/>
    </row>
    <row r="6" spans="1:17" ht="18.75" thickBot="1">
      <c r="A6" s="784"/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5" t="s">
        <v>370</v>
      </c>
    </row>
    <row r="7" spans="1:20" s="787" customFormat="1" ht="28.5" customHeight="1" thickBot="1">
      <c r="A7" s="786" t="s">
        <v>118</v>
      </c>
      <c r="B7" s="786" t="s">
        <v>142</v>
      </c>
      <c r="C7" s="1830" t="s">
        <v>363</v>
      </c>
      <c r="D7" s="1831"/>
      <c r="E7" s="1832"/>
      <c r="F7" s="1830" t="s">
        <v>364</v>
      </c>
      <c r="G7" s="1831"/>
      <c r="H7" s="1832"/>
      <c r="I7" s="1830" t="s">
        <v>371</v>
      </c>
      <c r="J7" s="1831"/>
      <c r="K7" s="1832"/>
      <c r="L7" s="1830" t="s">
        <v>366</v>
      </c>
      <c r="M7" s="1831"/>
      <c r="N7" s="1832"/>
      <c r="O7" s="1830" t="s">
        <v>367</v>
      </c>
      <c r="P7" s="1831"/>
      <c r="Q7" s="1831"/>
      <c r="R7" s="1817" t="s">
        <v>368</v>
      </c>
      <c r="S7" s="1818"/>
      <c r="T7" s="1819"/>
    </row>
    <row r="8" spans="1:20" ht="45" customHeight="1">
      <c r="A8" s="788" t="s">
        <v>87</v>
      </c>
      <c r="B8" s="789" t="s">
        <v>88</v>
      </c>
      <c r="C8" s="1823" t="s">
        <v>373</v>
      </c>
      <c r="D8" s="1823"/>
      <c r="E8" s="1823"/>
      <c r="F8" s="1823" t="s">
        <v>374</v>
      </c>
      <c r="G8" s="1823"/>
      <c r="H8" s="1823"/>
      <c r="I8" s="1824" t="s">
        <v>375</v>
      </c>
      <c r="J8" s="1824"/>
      <c r="K8" s="1824"/>
      <c r="L8" s="1825" t="s">
        <v>376</v>
      </c>
      <c r="M8" s="1825"/>
      <c r="N8" s="1825"/>
      <c r="O8" s="1826" t="s">
        <v>377</v>
      </c>
      <c r="P8" s="1826"/>
      <c r="Q8" s="1827"/>
      <c r="R8" s="1820" t="s">
        <v>456</v>
      </c>
      <c r="S8" s="1821"/>
      <c r="T8" s="1822"/>
    </row>
    <row r="9" spans="1:20" s="796" customFormat="1" ht="30.75" thickBot="1">
      <c r="A9" s="790" t="s">
        <v>90</v>
      </c>
      <c r="B9" s="791" t="s">
        <v>91</v>
      </c>
      <c r="C9" s="792" t="s">
        <v>92</v>
      </c>
      <c r="D9" s="793" t="s">
        <v>93</v>
      </c>
      <c r="E9" s="794" t="s">
        <v>94</v>
      </c>
      <c r="F9" s="792" t="s">
        <v>92</v>
      </c>
      <c r="G9" s="793" t="s">
        <v>93</v>
      </c>
      <c r="H9" s="794" t="s">
        <v>94</v>
      </c>
      <c r="I9" s="792" t="s">
        <v>92</v>
      </c>
      <c r="J9" s="793" t="s">
        <v>93</v>
      </c>
      <c r="K9" s="794" t="s">
        <v>94</v>
      </c>
      <c r="L9" s="792" t="s">
        <v>92</v>
      </c>
      <c r="M9" s="793" t="s">
        <v>93</v>
      </c>
      <c r="N9" s="794" t="s">
        <v>94</v>
      </c>
      <c r="O9" s="792" t="s">
        <v>92</v>
      </c>
      <c r="P9" s="793" t="s">
        <v>93</v>
      </c>
      <c r="Q9" s="795" t="s">
        <v>94</v>
      </c>
      <c r="R9" s="438" t="s">
        <v>92</v>
      </c>
      <c r="S9" s="439" t="s">
        <v>93</v>
      </c>
      <c r="T9" s="1423" t="s">
        <v>94</v>
      </c>
    </row>
    <row r="10" spans="1:20" s="803" customFormat="1" ht="16.5" thickBot="1">
      <c r="A10" s="797">
        <v>1</v>
      </c>
      <c r="B10" s="798">
        <v>2</v>
      </c>
      <c r="C10" s="799">
        <v>3</v>
      </c>
      <c r="D10" s="800">
        <v>4</v>
      </c>
      <c r="E10" s="801">
        <v>5</v>
      </c>
      <c r="F10" s="799">
        <v>3</v>
      </c>
      <c r="G10" s="800">
        <v>4</v>
      </c>
      <c r="H10" s="801">
        <v>5</v>
      </c>
      <c r="I10" s="799">
        <v>3</v>
      </c>
      <c r="J10" s="800">
        <v>4</v>
      </c>
      <c r="K10" s="801">
        <v>5</v>
      </c>
      <c r="L10" s="799">
        <v>3</v>
      </c>
      <c r="M10" s="800">
        <v>4</v>
      </c>
      <c r="N10" s="801">
        <v>5</v>
      </c>
      <c r="O10" s="799">
        <v>3</v>
      </c>
      <c r="P10" s="800">
        <v>4</v>
      </c>
      <c r="Q10" s="802">
        <v>5</v>
      </c>
      <c r="R10" s="1424">
        <v>3</v>
      </c>
      <c r="S10" s="1425">
        <v>4</v>
      </c>
      <c r="T10" s="1426">
        <v>5</v>
      </c>
    </row>
    <row r="11" spans="1:20" s="796" customFormat="1" ht="18.75" thickBot="1">
      <c r="A11" s="804"/>
      <c r="B11" s="805" t="s">
        <v>95</v>
      </c>
      <c r="C11" s="806"/>
      <c r="D11" s="807"/>
      <c r="E11" s="808"/>
      <c r="F11" s="806"/>
      <c r="G11" s="807"/>
      <c r="H11" s="808"/>
      <c r="I11" s="809"/>
      <c r="J11" s="809"/>
      <c r="K11" s="809"/>
      <c r="L11" s="806"/>
      <c r="M11" s="807"/>
      <c r="N11" s="808"/>
      <c r="O11" s="806"/>
      <c r="P11" s="807"/>
      <c r="Q11" s="810"/>
      <c r="R11" s="1427"/>
      <c r="S11" s="1427"/>
      <c r="T11" s="1427"/>
    </row>
    <row r="12" spans="1:20" s="816" customFormat="1" ht="17.25" customHeight="1" thickBot="1">
      <c r="A12" s="811">
        <v>1</v>
      </c>
      <c r="B12" s="812" t="s">
        <v>8</v>
      </c>
      <c r="C12" s="813">
        <v>37776</v>
      </c>
      <c r="D12" s="813">
        <v>37776</v>
      </c>
      <c r="E12" s="814"/>
      <c r="F12" s="813">
        <v>21154</v>
      </c>
      <c r="G12" s="813">
        <f>21154+62+80+55</f>
        <v>21351</v>
      </c>
      <c r="H12" s="814"/>
      <c r="I12" s="815">
        <v>39678</v>
      </c>
      <c r="J12" s="815">
        <f>39678+99+1037+750</f>
        <v>41564</v>
      </c>
      <c r="K12" s="815"/>
      <c r="L12" s="813">
        <f>57068+1</f>
        <v>57069</v>
      </c>
      <c r="M12" s="813">
        <f>57069+61+2579+153+1770</f>
        <v>61632</v>
      </c>
      <c r="N12" s="814"/>
      <c r="O12" s="813">
        <f>SUM('18_Kapcsolat Központ'!C12+'18_Kapcsolat Központ'!F12+'18_Kapcsolat Központ'!L12+I12)</f>
        <v>155677</v>
      </c>
      <c r="P12" s="813">
        <f>SUM('18_Kapcsolat Központ'!D12+'18_Kapcsolat Központ'!G12+'18_Kapcsolat Központ'!M12+J12)</f>
        <v>162323</v>
      </c>
      <c r="Q12" s="815">
        <f>SUM('16_Bicske Városi Óvoda'!N12+'18_Kapcsolat Központ'!E12+'18_Kapcsolat Központ'!H12+'18_Kapcsolat Központ'!N12+K12)</f>
        <v>0</v>
      </c>
      <c r="R12" s="1427">
        <f>31836+1027</f>
        <v>32863</v>
      </c>
      <c r="S12" s="1427">
        <f>32863+33</f>
        <v>32896</v>
      </c>
      <c r="T12" s="1427"/>
    </row>
    <row r="13" spans="1:20" s="816" customFormat="1" ht="17.25" customHeight="1" thickBot="1">
      <c r="A13" s="811">
        <v>2</v>
      </c>
      <c r="B13" s="812" t="s">
        <v>96</v>
      </c>
      <c r="C13" s="813">
        <v>6756</v>
      </c>
      <c r="D13" s="813">
        <v>6756</v>
      </c>
      <c r="E13" s="814"/>
      <c r="F13" s="813">
        <v>4084</v>
      </c>
      <c r="G13" s="813">
        <f>4084+14+16+11</f>
        <v>4125</v>
      </c>
      <c r="H13" s="814"/>
      <c r="I13" s="815">
        <v>7892</v>
      </c>
      <c r="J13" s="815">
        <f>7892+22+196+146</f>
        <v>8256</v>
      </c>
      <c r="K13" s="815"/>
      <c r="L13" s="813">
        <v>10476</v>
      </c>
      <c r="M13" s="813">
        <f>10476+13+524+30+345</f>
        <v>11388</v>
      </c>
      <c r="N13" s="814"/>
      <c r="O13" s="813">
        <f>SUM('18_Kapcsolat Központ'!C13+'18_Kapcsolat Központ'!F13+'18_Kapcsolat Központ'!L13+I13)</f>
        <v>29208</v>
      </c>
      <c r="P13" s="813">
        <f>SUM('18_Kapcsolat Központ'!D13+'18_Kapcsolat Központ'!G13+'18_Kapcsolat Központ'!M13+J13)</f>
        <v>30525</v>
      </c>
      <c r="Q13" s="815"/>
      <c r="R13" s="1427">
        <f>7020+187</f>
        <v>7207</v>
      </c>
      <c r="S13" s="1427">
        <v>7207</v>
      </c>
      <c r="T13" s="1427"/>
    </row>
    <row r="14" spans="1:20" s="816" customFormat="1" ht="17.25" customHeight="1" thickBot="1">
      <c r="A14" s="811">
        <v>3</v>
      </c>
      <c r="B14" s="812" t="s">
        <v>15</v>
      </c>
      <c r="C14" s="813">
        <v>3860</v>
      </c>
      <c r="D14" s="813">
        <v>3860</v>
      </c>
      <c r="E14" s="814"/>
      <c r="F14" s="813">
        <v>5957</v>
      </c>
      <c r="G14" s="813">
        <v>5957</v>
      </c>
      <c r="H14" s="814"/>
      <c r="I14" s="815">
        <v>23566</v>
      </c>
      <c r="J14" s="815">
        <v>23566</v>
      </c>
      <c r="K14" s="815"/>
      <c r="L14" s="813">
        <v>12586</v>
      </c>
      <c r="M14" s="813">
        <v>12586</v>
      </c>
      <c r="N14" s="814"/>
      <c r="O14" s="813">
        <f>SUM('18_Kapcsolat Központ'!C14+'18_Kapcsolat Központ'!F14+'18_Kapcsolat Központ'!L14+I14)</f>
        <v>45969</v>
      </c>
      <c r="P14" s="813">
        <f>SUM('18_Kapcsolat Központ'!D14+'18_Kapcsolat Központ'!G14+'18_Kapcsolat Központ'!M14+J14)</f>
        <v>45969</v>
      </c>
      <c r="Q14" s="815"/>
      <c r="R14" s="1427">
        <f>63073+7240</f>
        <v>70313</v>
      </c>
      <c r="S14" s="1427">
        <f>70313+156-1327</f>
        <v>69142</v>
      </c>
      <c r="T14" s="1427"/>
    </row>
    <row r="15" spans="1:20" s="816" customFormat="1" ht="17.25" customHeight="1" thickBot="1">
      <c r="A15" s="817">
        <v>4</v>
      </c>
      <c r="B15" s="812" t="s">
        <v>18</v>
      </c>
      <c r="C15" s="813"/>
      <c r="D15" s="813"/>
      <c r="E15" s="814"/>
      <c r="F15" s="813"/>
      <c r="G15" s="813"/>
      <c r="H15" s="814"/>
      <c r="I15" s="815"/>
      <c r="J15" s="815"/>
      <c r="K15" s="815"/>
      <c r="L15" s="813">
        <v>400</v>
      </c>
      <c r="M15" s="813">
        <v>400</v>
      </c>
      <c r="N15" s="814"/>
      <c r="O15" s="813">
        <f>SUM('18_Kapcsolat Központ'!C15+'18_Kapcsolat Központ'!F15+'18_Kapcsolat Központ'!L15+I15)</f>
        <v>400</v>
      </c>
      <c r="P15" s="813">
        <f>SUM('18_Kapcsolat Központ'!D15+'18_Kapcsolat Központ'!G15+'18_Kapcsolat Központ'!M15+J15)</f>
        <v>400</v>
      </c>
      <c r="Q15" s="815"/>
      <c r="R15" s="1427"/>
      <c r="S15" s="1427"/>
      <c r="T15" s="1427"/>
    </row>
    <row r="16" spans="1:20" s="816" customFormat="1" ht="17.25" customHeight="1">
      <c r="A16" s="818" t="s">
        <v>97</v>
      </c>
      <c r="B16" s="819" t="s">
        <v>98</v>
      </c>
      <c r="C16" s="820"/>
      <c r="D16" s="821"/>
      <c r="E16" s="822"/>
      <c r="F16" s="820"/>
      <c r="G16" s="821"/>
      <c r="H16" s="822"/>
      <c r="I16" s="821"/>
      <c r="J16" s="821"/>
      <c r="K16" s="821"/>
      <c r="L16" s="822"/>
      <c r="M16" s="822">
        <f>100-100</f>
        <v>0</v>
      </c>
      <c r="N16" s="822"/>
      <c r="O16" s="823">
        <f>SUM('18_Kapcsolat Központ'!C16+'18_Kapcsolat Központ'!F16+'18_Kapcsolat Központ'!L16+I16)</f>
        <v>0</v>
      </c>
      <c r="P16" s="824">
        <f>SUM('16_Bicske Városi Óvoda'!M16+'18_Kapcsolat Központ'!D16+'18_Kapcsolat Központ'!G16+'18_Kapcsolat Központ'!M16+J16)</f>
        <v>0</v>
      </c>
      <c r="Q16" s="825"/>
      <c r="R16" s="1427"/>
      <c r="S16" s="1427"/>
      <c r="T16" s="1427"/>
    </row>
    <row r="17" spans="1:20" s="816" customFormat="1" ht="17.25" customHeight="1">
      <c r="A17" s="826" t="s">
        <v>99</v>
      </c>
      <c r="B17" s="827" t="s">
        <v>332</v>
      </c>
      <c r="C17" s="828"/>
      <c r="D17" s="829"/>
      <c r="E17" s="830"/>
      <c r="F17" s="828"/>
      <c r="G17" s="829"/>
      <c r="H17" s="831"/>
      <c r="I17" s="829"/>
      <c r="J17" s="829"/>
      <c r="K17" s="829"/>
      <c r="L17" s="832"/>
      <c r="M17" s="829"/>
      <c r="N17" s="831"/>
      <c r="O17" s="828">
        <f>SUM('18_Kapcsolat Központ'!C17+'18_Kapcsolat Központ'!F17+'18_Kapcsolat Központ'!L17+I17)</f>
        <v>0</v>
      </c>
      <c r="P17" s="829">
        <f>SUM('16_Bicske Városi Óvoda'!M17+'18_Kapcsolat Központ'!D17+'18_Kapcsolat Központ'!G17+'18_Kapcsolat Központ'!M17+J17)</f>
        <v>0</v>
      </c>
      <c r="Q17" s="831"/>
      <c r="R17" s="1427"/>
      <c r="S17" s="1427"/>
      <c r="T17" s="1427"/>
    </row>
    <row r="18" spans="1:20" s="816" customFormat="1" ht="17.25" customHeight="1">
      <c r="A18" s="826" t="s">
        <v>101</v>
      </c>
      <c r="B18" s="827" t="s">
        <v>326</v>
      </c>
      <c r="C18" s="828"/>
      <c r="D18" s="829"/>
      <c r="E18" s="830"/>
      <c r="F18" s="828"/>
      <c r="G18" s="829"/>
      <c r="H18" s="831"/>
      <c r="I18" s="829"/>
      <c r="J18" s="829"/>
      <c r="K18" s="829"/>
      <c r="L18" s="832"/>
      <c r="M18" s="829"/>
      <c r="N18" s="831"/>
      <c r="O18" s="828">
        <f>SUM('18_Kapcsolat Központ'!C18+'18_Kapcsolat Központ'!F18+'18_Kapcsolat Központ'!L18+I18)</f>
        <v>0</v>
      </c>
      <c r="P18" s="829">
        <f>SUM('16_Bicske Városi Óvoda'!M18+'18_Kapcsolat Központ'!D18+'18_Kapcsolat Központ'!G18+'18_Kapcsolat Központ'!M18+J18)</f>
        <v>0</v>
      </c>
      <c r="Q18" s="831"/>
      <c r="R18" s="1427"/>
      <c r="S18" s="1427"/>
      <c r="T18" s="1427"/>
    </row>
    <row r="19" spans="1:20" s="816" customFormat="1" ht="17.25" customHeight="1">
      <c r="A19" s="826" t="s">
        <v>103</v>
      </c>
      <c r="B19" s="827" t="s">
        <v>84</v>
      </c>
      <c r="C19" s="828"/>
      <c r="D19" s="829"/>
      <c r="E19" s="830"/>
      <c r="F19" s="828"/>
      <c r="G19" s="829"/>
      <c r="H19" s="831"/>
      <c r="I19" s="829"/>
      <c r="J19" s="829"/>
      <c r="K19" s="829"/>
      <c r="L19" s="832"/>
      <c r="M19" s="829"/>
      <c r="N19" s="831"/>
      <c r="O19" s="828">
        <f>SUM('18_Kapcsolat Központ'!C19+'18_Kapcsolat Központ'!F19+'18_Kapcsolat Központ'!L19+I19)</f>
        <v>0</v>
      </c>
      <c r="P19" s="829">
        <f>SUM('16_Bicske Városi Óvoda'!M19+'18_Kapcsolat Központ'!D19+'18_Kapcsolat Központ'!G19+'18_Kapcsolat Központ'!M19+J19)</f>
        <v>0</v>
      </c>
      <c r="Q19" s="831"/>
      <c r="R19" s="1427"/>
      <c r="S19" s="1427"/>
      <c r="T19" s="1427"/>
    </row>
    <row r="20" spans="1:20" s="816" customFormat="1" ht="17.25" customHeight="1">
      <c r="A20" s="833" t="s">
        <v>104</v>
      </c>
      <c r="B20" s="827" t="s">
        <v>333</v>
      </c>
      <c r="C20" s="832"/>
      <c r="D20" s="829"/>
      <c r="E20" s="830"/>
      <c r="F20" s="832"/>
      <c r="G20" s="829"/>
      <c r="H20" s="831"/>
      <c r="I20" s="829"/>
      <c r="J20" s="829"/>
      <c r="K20" s="829"/>
      <c r="L20" s="832"/>
      <c r="M20" s="829"/>
      <c r="N20" s="831"/>
      <c r="O20" s="828">
        <f>SUM('18_Kapcsolat Központ'!C20+'18_Kapcsolat Központ'!F20+'18_Kapcsolat Központ'!L20+I20)</f>
        <v>0</v>
      </c>
      <c r="P20" s="829">
        <f>SUM('16_Bicske Városi Óvoda'!M20+'18_Kapcsolat Központ'!D20+'18_Kapcsolat Központ'!G20+'18_Kapcsolat Központ'!M20+J20)</f>
        <v>0</v>
      </c>
      <c r="Q20" s="831"/>
      <c r="R20" s="1427"/>
      <c r="S20" s="1427"/>
      <c r="T20" s="1427"/>
    </row>
    <row r="21" spans="1:20" s="816" customFormat="1" ht="17.25" customHeight="1">
      <c r="A21" s="826" t="s">
        <v>106</v>
      </c>
      <c r="B21" s="834" t="s">
        <v>328</v>
      </c>
      <c r="C21" s="832"/>
      <c r="D21" s="829"/>
      <c r="E21" s="830"/>
      <c r="F21" s="832"/>
      <c r="G21" s="829"/>
      <c r="H21" s="831"/>
      <c r="I21" s="829"/>
      <c r="J21" s="829"/>
      <c r="K21" s="829"/>
      <c r="L21" s="832"/>
      <c r="M21" s="829"/>
      <c r="N21" s="831"/>
      <c r="O21" s="828">
        <f>SUM('18_Kapcsolat Központ'!C21+'18_Kapcsolat Központ'!F21+'18_Kapcsolat Központ'!L21+I21)</f>
        <v>0</v>
      </c>
      <c r="P21" s="829">
        <f>SUM('16_Bicske Városi Óvoda'!M21+'18_Kapcsolat Központ'!D21+'18_Kapcsolat Központ'!G21+'18_Kapcsolat Központ'!M21+J21)</f>
        <v>0</v>
      </c>
      <c r="Q21" s="831"/>
      <c r="R21" s="1427"/>
      <c r="S21" s="1427"/>
      <c r="T21" s="1427"/>
    </row>
    <row r="22" spans="1:20" s="816" customFormat="1" ht="17.25" customHeight="1">
      <c r="A22" s="833" t="s">
        <v>108</v>
      </c>
      <c r="B22" s="827" t="s">
        <v>329</v>
      </c>
      <c r="C22" s="832"/>
      <c r="D22" s="829"/>
      <c r="E22" s="830"/>
      <c r="F22" s="832"/>
      <c r="G22" s="829"/>
      <c r="H22" s="831"/>
      <c r="I22" s="829"/>
      <c r="J22" s="829"/>
      <c r="K22" s="829"/>
      <c r="L22" s="832"/>
      <c r="M22" s="829"/>
      <c r="N22" s="831"/>
      <c r="O22" s="828">
        <f>SUM('18_Kapcsolat Központ'!C22+'18_Kapcsolat Központ'!F22+'18_Kapcsolat Központ'!L22+I22)</f>
        <v>0</v>
      </c>
      <c r="P22" s="829">
        <f>SUM('16_Bicske Városi Óvoda'!M22+'18_Kapcsolat Központ'!D22+'18_Kapcsolat Központ'!G22+'18_Kapcsolat Központ'!M22+J22)</f>
        <v>0</v>
      </c>
      <c r="Q22" s="831"/>
      <c r="R22" s="1427"/>
      <c r="S22" s="1427"/>
      <c r="T22" s="1427"/>
    </row>
    <row r="23" spans="1:20" s="816" customFormat="1" ht="17.25" customHeight="1" thickBot="1">
      <c r="A23" s="835" t="s">
        <v>110</v>
      </c>
      <c r="B23" s="836" t="s">
        <v>111</v>
      </c>
      <c r="C23" s="837"/>
      <c r="D23" s="838"/>
      <c r="E23" s="838"/>
      <c r="F23" s="837"/>
      <c r="G23" s="838"/>
      <c r="H23" s="839"/>
      <c r="I23" s="838"/>
      <c r="J23" s="838"/>
      <c r="K23" s="838"/>
      <c r="L23" s="840"/>
      <c r="M23" s="838"/>
      <c r="N23" s="838"/>
      <c r="O23" s="841">
        <f>SUM('16_Bicske Városi Óvoda'!L23+'18_Kapcsolat Központ'!C23+'18_Kapcsolat Központ'!F23+'18_Kapcsolat Központ'!L23+I23)</f>
        <v>0</v>
      </c>
      <c r="P23" s="841">
        <f>SUM('16_Bicske Városi Óvoda'!M23+'18_Kapcsolat Központ'!D23+'18_Kapcsolat Központ'!G23+'18_Kapcsolat Központ'!M23+J23)</f>
        <v>0</v>
      </c>
      <c r="Q23" s="842"/>
      <c r="R23" s="1427"/>
      <c r="S23" s="1427"/>
      <c r="T23" s="1427"/>
    </row>
    <row r="24" spans="1:20" s="816" customFormat="1" ht="17.25" customHeight="1" thickBot="1">
      <c r="A24" s="811">
        <v>5</v>
      </c>
      <c r="B24" s="843" t="s">
        <v>21</v>
      </c>
      <c r="C24" s="844">
        <f aca="true" t="shared" si="0" ref="C24:N24">SUM(C16:C23)</f>
        <v>0</v>
      </c>
      <c r="D24" s="844">
        <f t="shared" si="0"/>
        <v>0</v>
      </c>
      <c r="E24" s="844">
        <f t="shared" si="0"/>
        <v>0</v>
      </c>
      <c r="F24" s="844">
        <f t="shared" si="0"/>
        <v>0</v>
      </c>
      <c r="G24" s="844">
        <f t="shared" si="0"/>
        <v>0</v>
      </c>
      <c r="H24" s="844">
        <f>SUM(H16:H23)</f>
        <v>0</v>
      </c>
      <c r="I24" s="844">
        <f>SUM(I16:I23)</f>
        <v>0</v>
      </c>
      <c r="J24" s="844">
        <f>SUM(J16:J23)</f>
        <v>0</v>
      </c>
      <c r="K24" s="844">
        <f>SUM(K16:K23)</f>
        <v>0</v>
      </c>
      <c r="L24" s="844">
        <f t="shared" si="0"/>
        <v>0</v>
      </c>
      <c r="M24" s="844">
        <f t="shared" si="0"/>
        <v>0</v>
      </c>
      <c r="N24" s="844">
        <f t="shared" si="0"/>
        <v>0</v>
      </c>
      <c r="O24" s="813">
        <f>SUM('16_Bicske Városi Óvoda'!L24+'18_Kapcsolat Központ'!C24+'18_Kapcsolat Központ'!F24+'18_Kapcsolat Központ'!L24+I24)</f>
        <v>0</v>
      </c>
      <c r="P24" s="813">
        <f>SUM('16_Bicske Városi Óvoda'!M24+'18_Kapcsolat Központ'!D24+'18_Kapcsolat Központ'!G24+'18_Kapcsolat Központ'!M24+J24)</f>
        <v>0</v>
      </c>
      <c r="Q24" s="845">
        <f>SUM(Q16:Q23)</f>
        <v>0</v>
      </c>
      <c r="R24" s="1427"/>
      <c r="S24" s="1427"/>
      <c r="T24" s="1427"/>
    </row>
    <row r="25" spans="1:20" s="816" customFormat="1" ht="17.25" customHeight="1" thickBot="1">
      <c r="A25" s="811">
        <v>6</v>
      </c>
      <c r="B25" s="812" t="s">
        <v>53</v>
      </c>
      <c r="C25" s="844">
        <v>500</v>
      </c>
      <c r="D25" s="813">
        <v>500</v>
      </c>
      <c r="E25" s="814"/>
      <c r="F25" s="844">
        <v>572</v>
      </c>
      <c r="G25" s="813">
        <v>572</v>
      </c>
      <c r="H25" s="814"/>
      <c r="I25" s="846">
        <v>254</v>
      </c>
      <c r="J25" s="847">
        <v>254</v>
      </c>
      <c r="K25" s="846"/>
      <c r="L25" s="844">
        <v>1537</v>
      </c>
      <c r="M25" s="813">
        <v>1537</v>
      </c>
      <c r="N25" s="814"/>
      <c r="O25" s="813">
        <f>SUM('18_Kapcsolat Központ'!C25+'18_Kapcsolat Központ'!F25+'18_Kapcsolat Központ'!L25+I25)</f>
        <v>2863</v>
      </c>
      <c r="P25" s="813">
        <f>SUM('18_Kapcsolat Központ'!D25+'18_Kapcsolat Központ'!G25+'18_Kapcsolat Központ'!M25+J25)</f>
        <v>2863</v>
      </c>
      <c r="Q25" s="815"/>
      <c r="R25" s="1427">
        <f>127+819</f>
        <v>946</v>
      </c>
      <c r="S25" s="1427">
        <f>946+1327</f>
        <v>2273</v>
      </c>
      <c r="T25" s="1427"/>
    </row>
    <row r="26" spans="1:20" s="816" customFormat="1" ht="17.25" customHeight="1" thickBot="1">
      <c r="A26" s="811">
        <v>7</v>
      </c>
      <c r="B26" s="812" t="s">
        <v>56</v>
      </c>
      <c r="C26" s="813"/>
      <c r="D26" s="813"/>
      <c r="E26" s="814"/>
      <c r="F26" s="813"/>
      <c r="G26" s="813"/>
      <c r="H26" s="814"/>
      <c r="I26" s="815"/>
      <c r="J26" s="815"/>
      <c r="K26" s="815"/>
      <c r="L26" s="813"/>
      <c r="M26" s="813"/>
      <c r="N26" s="814"/>
      <c r="O26" s="813">
        <f>SUM('16_Bicske Városi Óvoda'!L26+'18_Kapcsolat Központ'!C26+'18_Kapcsolat Központ'!F26+'18_Kapcsolat Központ'!L26+I26)</f>
        <v>0</v>
      </c>
      <c r="P26" s="813">
        <f>SUM('18_Kapcsolat Központ'!D26+'18_Kapcsolat Központ'!G26+'18_Kapcsolat Központ'!M26+J26)</f>
        <v>0</v>
      </c>
      <c r="Q26" s="815"/>
      <c r="R26" s="1427"/>
      <c r="S26" s="1427"/>
      <c r="T26" s="1427"/>
    </row>
    <row r="27" spans="1:20" s="816" customFormat="1" ht="17.25" customHeight="1">
      <c r="A27" s="848" t="s">
        <v>97</v>
      </c>
      <c r="B27" s="849" t="s">
        <v>334</v>
      </c>
      <c r="C27" s="850"/>
      <c r="D27" s="851"/>
      <c r="E27" s="852"/>
      <c r="F27" s="850"/>
      <c r="G27" s="853"/>
      <c r="H27" s="824"/>
      <c r="I27" s="824"/>
      <c r="J27" s="824"/>
      <c r="K27" s="854"/>
      <c r="L27" s="850"/>
      <c r="M27" s="851"/>
      <c r="N27" s="853"/>
      <c r="O27" s="823">
        <f>SUM('16_Bicske Városi Óvoda'!L27+'18_Kapcsolat Központ'!C27+'18_Kapcsolat Központ'!F27+'18_Kapcsolat Központ'!L27+I27)</f>
        <v>0</v>
      </c>
      <c r="P27" s="824">
        <f>SUM('16_Bicske Városi Óvoda'!M27+'18_Kapcsolat Központ'!D27+'18_Kapcsolat Központ'!G27+'18_Kapcsolat Központ'!M27+J27)</f>
        <v>0</v>
      </c>
      <c r="Q27" s="853"/>
      <c r="R27" s="1427"/>
      <c r="S27" s="1427"/>
      <c r="T27" s="1427"/>
    </row>
    <row r="28" spans="1:20" s="816" customFormat="1" ht="17.25" customHeight="1">
      <c r="A28" s="826" t="s">
        <v>99</v>
      </c>
      <c r="B28" s="827" t="s">
        <v>335</v>
      </c>
      <c r="C28" s="828"/>
      <c r="D28" s="829"/>
      <c r="E28" s="830"/>
      <c r="F28" s="828"/>
      <c r="G28" s="831"/>
      <c r="H28" s="829"/>
      <c r="I28" s="829"/>
      <c r="J28" s="829"/>
      <c r="K28" s="830"/>
      <c r="L28" s="828"/>
      <c r="M28" s="829"/>
      <c r="N28" s="831"/>
      <c r="O28" s="828">
        <f>SUM('16_Bicske Városi Óvoda'!L28+'18_Kapcsolat Központ'!C28+'18_Kapcsolat Központ'!F28+'18_Kapcsolat Központ'!L28+I28)</f>
        <v>0</v>
      </c>
      <c r="P28" s="829">
        <f>SUM('16_Bicske Városi Óvoda'!M28+'18_Kapcsolat Központ'!D28+'18_Kapcsolat Központ'!G28+'18_Kapcsolat Központ'!M28+J28)</f>
        <v>0</v>
      </c>
      <c r="Q28" s="831"/>
      <c r="R28" s="1427"/>
      <c r="S28" s="1427"/>
      <c r="T28" s="1427"/>
    </row>
    <row r="29" spans="1:20" s="816" customFormat="1" ht="17.25" customHeight="1">
      <c r="A29" s="855" t="s">
        <v>101</v>
      </c>
      <c r="B29" s="856" t="s">
        <v>324</v>
      </c>
      <c r="C29" s="857"/>
      <c r="D29" s="858"/>
      <c r="E29" s="859"/>
      <c r="F29" s="857"/>
      <c r="G29" s="860"/>
      <c r="H29" s="829"/>
      <c r="I29" s="829"/>
      <c r="J29" s="829"/>
      <c r="K29" s="830"/>
      <c r="L29" s="857"/>
      <c r="M29" s="858"/>
      <c r="N29" s="860"/>
      <c r="O29" s="828">
        <f>SUM('16_Bicske Városi Óvoda'!L29+'18_Kapcsolat Központ'!C29+'18_Kapcsolat Központ'!F29+'18_Kapcsolat Központ'!L29+I29)</f>
        <v>0</v>
      </c>
      <c r="P29" s="829">
        <f>SUM('16_Bicske Városi Óvoda'!M29+'18_Kapcsolat Központ'!D29+'18_Kapcsolat Központ'!G29+'18_Kapcsolat Központ'!M29+J29)</f>
        <v>0</v>
      </c>
      <c r="Q29" s="860"/>
      <c r="R29" s="1427"/>
      <c r="S29" s="1427"/>
      <c r="T29" s="1427"/>
    </row>
    <row r="30" spans="1:20" s="816" customFormat="1" ht="17.25" customHeight="1" thickBot="1">
      <c r="A30" s="826" t="s">
        <v>103</v>
      </c>
      <c r="B30" s="827" t="s">
        <v>336</v>
      </c>
      <c r="C30" s="861"/>
      <c r="D30" s="829"/>
      <c r="E30" s="832"/>
      <c r="F30" s="861"/>
      <c r="G30" s="831"/>
      <c r="H30" s="829"/>
      <c r="I30" s="829"/>
      <c r="J30" s="829"/>
      <c r="K30" s="830"/>
      <c r="L30" s="861"/>
      <c r="M30" s="829"/>
      <c r="N30" s="862"/>
      <c r="O30" s="828">
        <f>SUM('16_Bicske Városi Óvoda'!L30+'18_Kapcsolat Központ'!C30+'18_Kapcsolat Központ'!F30+'18_Kapcsolat Központ'!L30+I30)</f>
        <v>0</v>
      </c>
      <c r="P30" s="841">
        <f>SUM('16_Bicske Városi Óvoda'!M30+'18_Kapcsolat Központ'!D30+'18_Kapcsolat Központ'!G30+'18_Kapcsolat Központ'!M30+J30)</f>
        <v>0</v>
      </c>
      <c r="Q30" s="862"/>
      <c r="R30" s="1427"/>
      <c r="S30" s="1427"/>
      <c r="T30" s="1427"/>
    </row>
    <row r="31" spans="1:20" s="816" customFormat="1" ht="17.25" customHeight="1" thickBot="1">
      <c r="A31" s="863" t="s">
        <v>104</v>
      </c>
      <c r="B31" s="864" t="s">
        <v>331</v>
      </c>
      <c r="C31" s="865"/>
      <c r="D31" s="866"/>
      <c r="E31" s="867"/>
      <c r="F31" s="865"/>
      <c r="G31" s="868"/>
      <c r="H31" s="858"/>
      <c r="I31" s="858"/>
      <c r="J31" s="858"/>
      <c r="K31" s="859"/>
      <c r="L31" s="865"/>
      <c r="M31" s="866"/>
      <c r="N31" s="867"/>
      <c r="O31" s="838">
        <f>SUM('16_Bicske Városi Óvoda'!L31+'18_Kapcsolat Központ'!C31+'18_Kapcsolat Központ'!F31+'18_Kapcsolat Központ'!L31+I31)</f>
        <v>0</v>
      </c>
      <c r="P31" s="813">
        <f>SUM('16_Bicske Városi Óvoda'!M31+'18_Kapcsolat Központ'!D31+'18_Kapcsolat Központ'!G31+'18_Kapcsolat Központ'!M31+J31)</f>
        <v>0</v>
      </c>
      <c r="Q31" s="868"/>
      <c r="R31" s="1427"/>
      <c r="S31" s="1427"/>
      <c r="T31" s="1427"/>
    </row>
    <row r="32" spans="1:20" s="869" customFormat="1" ht="17.25" customHeight="1" thickBot="1">
      <c r="A32" s="811">
        <v>8</v>
      </c>
      <c r="B32" s="812" t="s">
        <v>59</v>
      </c>
      <c r="C32" s="844">
        <f aca="true" t="shared" si="1" ref="C32:N32">SUM(C27:C31)</f>
        <v>0</v>
      </c>
      <c r="D32" s="844">
        <f t="shared" si="1"/>
        <v>0</v>
      </c>
      <c r="E32" s="844">
        <f t="shared" si="1"/>
        <v>0</v>
      </c>
      <c r="F32" s="844">
        <f t="shared" si="1"/>
        <v>0</v>
      </c>
      <c r="G32" s="845">
        <f t="shared" si="1"/>
        <v>0</v>
      </c>
      <c r="H32" s="813">
        <f t="shared" si="1"/>
        <v>0</v>
      </c>
      <c r="I32" s="813">
        <f t="shared" si="1"/>
        <v>0</v>
      </c>
      <c r="J32" s="813">
        <f t="shared" si="1"/>
        <v>0</v>
      </c>
      <c r="K32" s="814">
        <f t="shared" si="1"/>
        <v>0</v>
      </c>
      <c r="L32" s="844">
        <f t="shared" si="1"/>
        <v>0</v>
      </c>
      <c r="M32" s="844">
        <f t="shared" si="1"/>
        <v>0</v>
      </c>
      <c r="N32" s="844">
        <f t="shared" si="1"/>
        <v>0</v>
      </c>
      <c r="O32" s="813">
        <f>SUM('16_Bicske Városi Óvoda'!L32+'18_Kapcsolat Központ'!C32+'18_Kapcsolat Központ'!F32+'18_Kapcsolat Központ'!L32+I32)</f>
        <v>0</v>
      </c>
      <c r="P32" s="844">
        <f>SUM(P27:P31)</f>
        <v>0</v>
      </c>
      <c r="Q32" s="845">
        <f>SUM(Q27:Q31)</f>
        <v>0</v>
      </c>
      <c r="R32" s="1427"/>
      <c r="S32" s="1427"/>
      <c r="T32" s="1427"/>
    </row>
    <row r="33" spans="1:20" s="816" customFormat="1" ht="17.25" customHeight="1" thickBot="1">
      <c r="A33" s="811">
        <v>9</v>
      </c>
      <c r="B33" s="812" t="s">
        <v>117</v>
      </c>
      <c r="C33" s="844"/>
      <c r="D33" s="813"/>
      <c r="E33" s="814"/>
      <c r="F33" s="844"/>
      <c r="G33" s="813"/>
      <c r="H33" s="814"/>
      <c r="I33" s="846"/>
      <c r="J33" s="846"/>
      <c r="K33" s="847"/>
      <c r="L33" s="844"/>
      <c r="M33" s="813"/>
      <c r="N33" s="814"/>
      <c r="O33" s="813">
        <f>SUM('16_Bicske Városi Óvoda'!L33+'18_Kapcsolat Központ'!C33+'18_Kapcsolat Központ'!F33+'18_Kapcsolat Központ'!L33+I33)</f>
        <v>0</v>
      </c>
      <c r="P33" s="813"/>
      <c r="Q33" s="815"/>
      <c r="R33" s="1427"/>
      <c r="S33" s="1427"/>
      <c r="T33" s="1427"/>
    </row>
    <row r="34" spans="1:20" s="873" customFormat="1" ht="17.25" customHeight="1" thickBot="1">
      <c r="A34" s="870" t="s">
        <v>118</v>
      </c>
      <c r="B34" s="871" t="s">
        <v>147</v>
      </c>
      <c r="C34" s="872">
        <f aca="true" t="shared" si="2" ref="C34:T34">SUM(C12+C13+C14+C15+C24+C25+C26+C32+C33)</f>
        <v>48892</v>
      </c>
      <c r="D34" s="872">
        <f t="shared" si="2"/>
        <v>48892</v>
      </c>
      <c r="E34" s="872">
        <f t="shared" si="2"/>
        <v>0</v>
      </c>
      <c r="F34" s="872">
        <f t="shared" si="2"/>
        <v>31767</v>
      </c>
      <c r="G34" s="872">
        <f t="shared" si="2"/>
        <v>32005</v>
      </c>
      <c r="H34" s="872">
        <f t="shared" si="2"/>
        <v>0</v>
      </c>
      <c r="I34" s="872">
        <f t="shared" si="2"/>
        <v>71390</v>
      </c>
      <c r="J34" s="872">
        <f t="shared" si="2"/>
        <v>73640</v>
      </c>
      <c r="K34" s="872">
        <f t="shared" si="2"/>
        <v>0</v>
      </c>
      <c r="L34" s="872">
        <f t="shared" si="2"/>
        <v>82068</v>
      </c>
      <c r="M34" s="872">
        <f t="shared" si="2"/>
        <v>87543</v>
      </c>
      <c r="N34" s="872">
        <f t="shared" si="2"/>
        <v>0</v>
      </c>
      <c r="O34" s="813">
        <f>SUM('18_Kapcsolat Központ'!C34+'18_Kapcsolat Központ'!F34+'18_Kapcsolat Központ'!L34+I34)</f>
        <v>234117</v>
      </c>
      <c r="P34" s="813">
        <f>SUM('18_Kapcsolat Központ'!D34+'18_Kapcsolat Központ'!G34+'18_Kapcsolat Központ'!M34+J34)</f>
        <v>242080</v>
      </c>
      <c r="Q34" s="872">
        <f t="shared" si="2"/>
        <v>0</v>
      </c>
      <c r="R34" s="55">
        <f t="shared" si="2"/>
        <v>111329</v>
      </c>
      <c r="S34" s="55">
        <f t="shared" si="2"/>
        <v>111518</v>
      </c>
      <c r="T34" s="55">
        <f t="shared" si="2"/>
        <v>0</v>
      </c>
    </row>
    <row r="35" spans="1:20" s="816" customFormat="1" ht="17.25" customHeight="1" thickBot="1" thickTop="1">
      <c r="A35" s="874"/>
      <c r="B35" s="875" t="s">
        <v>120</v>
      </c>
      <c r="C35" s="876"/>
      <c r="D35" s="841"/>
      <c r="E35" s="877"/>
      <c r="F35" s="876"/>
      <c r="G35" s="841"/>
      <c r="H35" s="877"/>
      <c r="I35" s="878"/>
      <c r="J35" s="878"/>
      <c r="K35" s="878"/>
      <c r="L35" s="876"/>
      <c r="M35" s="841"/>
      <c r="N35" s="877"/>
      <c r="O35" s="876"/>
      <c r="P35" s="841"/>
      <c r="Q35" s="879"/>
      <c r="R35" s="1427"/>
      <c r="S35" s="1427"/>
      <c r="T35" s="1427"/>
    </row>
    <row r="36" spans="1:20" s="816" customFormat="1" ht="17.25" customHeight="1">
      <c r="A36" s="880" t="s">
        <v>97</v>
      </c>
      <c r="B36" s="881" t="s">
        <v>121</v>
      </c>
      <c r="C36" s="829"/>
      <c r="D36" s="824"/>
      <c r="E36" s="854"/>
      <c r="F36" s="829"/>
      <c r="G36" s="824"/>
      <c r="H36" s="854"/>
      <c r="I36" s="853"/>
      <c r="J36" s="853"/>
      <c r="K36" s="853"/>
      <c r="L36" s="829"/>
      <c r="M36" s="824"/>
      <c r="N36" s="854"/>
      <c r="O36" s="829">
        <f>SUM('16_Bicske Városi Óvoda'!C36+'16_Bicske Városi Óvoda'!F36+'16_Bicske Városi Óvoda'!I36)</f>
        <v>0</v>
      </c>
      <c r="P36" s="829">
        <f>SUM('16_Bicske Városi Óvoda'!D36+'16_Bicske Városi Óvoda'!G36+'16_Bicske Városi Óvoda'!J36)</f>
        <v>0</v>
      </c>
      <c r="Q36" s="831">
        <f>SUM('16_Bicske Városi Óvoda'!E36+'16_Bicske Városi Óvoda'!H36+'16_Bicske Városi Óvoda'!K36)</f>
        <v>0</v>
      </c>
      <c r="R36" s="1427"/>
      <c r="S36" s="1427"/>
      <c r="T36" s="1427"/>
    </row>
    <row r="37" spans="1:20" s="816" customFormat="1" ht="17.25" customHeight="1">
      <c r="A37" s="826" t="s">
        <v>99</v>
      </c>
      <c r="B37" s="827" t="s">
        <v>24</v>
      </c>
      <c r="C37" s="829"/>
      <c r="D37" s="829"/>
      <c r="E37" s="859"/>
      <c r="F37" s="829"/>
      <c r="G37" s="829"/>
      <c r="H37" s="859"/>
      <c r="I37" s="860"/>
      <c r="J37" s="860"/>
      <c r="K37" s="860"/>
      <c r="L37" s="829"/>
      <c r="M37" s="829"/>
      <c r="N37" s="859"/>
      <c r="O37" s="829">
        <f>SUM('16_Bicske Városi Óvoda'!L37+'18_Kapcsolat Központ'!C37+'18_Kapcsolat Központ'!F37+'18_Kapcsolat Központ'!L37+I37)</f>
        <v>0</v>
      </c>
      <c r="P37" s="829">
        <f>SUM('16_Bicske Városi Óvoda'!D37+'16_Bicske Városi Óvoda'!G37+'16_Bicske Városi Óvoda'!J37)</f>
        <v>0</v>
      </c>
      <c r="Q37" s="860"/>
      <c r="R37" s="1427"/>
      <c r="S37" s="1427"/>
      <c r="T37" s="1427"/>
    </row>
    <row r="38" spans="1:20" s="816" customFormat="1" ht="17.25" customHeight="1">
      <c r="A38" s="826" t="s">
        <v>101</v>
      </c>
      <c r="B38" s="827" t="s">
        <v>337</v>
      </c>
      <c r="C38" s="829"/>
      <c r="D38" s="829"/>
      <c r="E38" s="859"/>
      <c r="F38" s="829"/>
      <c r="G38" s="829"/>
      <c r="H38" s="859"/>
      <c r="I38" s="860"/>
      <c r="J38" s="860"/>
      <c r="K38" s="860"/>
      <c r="L38" s="829"/>
      <c r="M38" s="829"/>
      <c r="N38" s="859"/>
      <c r="O38" s="829">
        <f>SUM('16_Bicske Városi Óvoda'!L38+'18_Kapcsolat Központ'!C38+'18_Kapcsolat Központ'!F38+'18_Kapcsolat Központ'!L38+I38)</f>
        <v>0</v>
      </c>
      <c r="P38" s="829">
        <f>SUM('16_Bicske Városi Óvoda'!D38+'16_Bicske Városi Óvoda'!G38+'16_Bicske Városi Óvoda'!J38)</f>
        <v>0</v>
      </c>
      <c r="Q38" s="860"/>
      <c r="R38" s="1427"/>
      <c r="S38" s="1427"/>
      <c r="T38" s="1427"/>
    </row>
    <row r="39" spans="1:20" s="816" customFormat="1" ht="17.25" customHeight="1">
      <c r="A39" s="826" t="s">
        <v>103</v>
      </c>
      <c r="B39" s="827" t="s">
        <v>338</v>
      </c>
      <c r="C39" s="829">
        <v>33478</v>
      </c>
      <c r="D39" s="829">
        <v>33478</v>
      </c>
      <c r="E39" s="859"/>
      <c r="F39" s="829"/>
      <c r="G39" s="829"/>
      <c r="H39" s="859"/>
      <c r="I39" s="860"/>
      <c r="J39" s="860"/>
      <c r="K39" s="860"/>
      <c r="L39" s="829">
        <v>7313</v>
      </c>
      <c r="M39" s="829">
        <v>7313</v>
      </c>
      <c r="N39" s="859"/>
      <c r="O39" s="829">
        <f>SUM('18_Kapcsolat Központ'!C39+'18_Kapcsolat Központ'!F39+'18_Kapcsolat Központ'!I39+'18_Kapcsolat Központ'!L39)</f>
        <v>40791</v>
      </c>
      <c r="P39" s="829">
        <f>SUM('18_Kapcsolat Központ'!D39+'18_Kapcsolat Központ'!G39+'18_Kapcsolat Központ'!J39+'18_Kapcsolat Központ'!M39)</f>
        <v>40791</v>
      </c>
      <c r="Q39" s="831">
        <f>SUM('16_Bicske Városi Óvoda'!N39+'18_Kapcsolat Központ'!E39+'18_Kapcsolat Központ'!H39+'18_Kapcsolat Központ'!K39+'18_Kapcsolat Központ'!N39)</f>
        <v>0</v>
      </c>
      <c r="R39" s="1427"/>
      <c r="S39" s="1427"/>
      <c r="T39" s="1427"/>
    </row>
    <row r="40" spans="1:20" s="886" customFormat="1" ht="17.25" customHeight="1">
      <c r="A40" s="882">
        <v>1</v>
      </c>
      <c r="B40" s="883" t="s">
        <v>124</v>
      </c>
      <c r="C40" s="884">
        <f aca="true" t="shared" si="3" ref="C40:N40">SUM(C36:C39)</f>
        <v>33478</v>
      </c>
      <c r="D40" s="884">
        <f t="shared" si="3"/>
        <v>33478</v>
      </c>
      <c r="E40" s="884">
        <f t="shared" si="3"/>
        <v>0</v>
      </c>
      <c r="F40" s="884">
        <f t="shared" si="3"/>
        <v>0</v>
      </c>
      <c r="G40" s="884">
        <f t="shared" si="3"/>
        <v>0</v>
      </c>
      <c r="H40" s="884">
        <f t="shared" si="3"/>
        <v>0</v>
      </c>
      <c r="I40" s="884">
        <f t="shared" si="3"/>
        <v>0</v>
      </c>
      <c r="J40" s="884">
        <f t="shared" si="3"/>
        <v>0</v>
      </c>
      <c r="K40" s="884">
        <f t="shared" si="3"/>
        <v>0</v>
      </c>
      <c r="L40" s="884">
        <f t="shared" si="3"/>
        <v>7313</v>
      </c>
      <c r="M40" s="884">
        <f t="shared" si="3"/>
        <v>7313</v>
      </c>
      <c r="N40" s="884">
        <f t="shared" si="3"/>
        <v>0</v>
      </c>
      <c r="O40" s="829">
        <f>SUM('18_Kapcsolat Központ'!C40+'18_Kapcsolat Központ'!F40+'18_Kapcsolat Központ'!L40+I40)</f>
        <v>40791</v>
      </c>
      <c r="P40" s="829">
        <f>SUM('18_Kapcsolat Központ'!D40+'18_Kapcsolat Központ'!G40+'18_Kapcsolat Központ'!M40+J40)</f>
        <v>40791</v>
      </c>
      <c r="Q40" s="885">
        <f>SUM(Q36:Q39)</f>
        <v>0</v>
      </c>
      <c r="R40" s="434">
        <f>SUM(R36:R39)</f>
        <v>0</v>
      </c>
      <c r="S40" s="434">
        <f>SUM(S36:S39)</f>
        <v>0</v>
      </c>
      <c r="T40" s="434">
        <f>SUM(T36:T39)</f>
        <v>0</v>
      </c>
    </row>
    <row r="41" spans="1:20" s="816" customFormat="1" ht="17.25" customHeight="1">
      <c r="A41" s="826" t="s">
        <v>97</v>
      </c>
      <c r="B41" s="834" t="s">
        <v>125</v>
      </c>
      <c r="C41" s="829"/>
      <c r="D41" s="829"/>
      <c r="E41" s="859"/>
      <c r="F41" s="829"/>
      <c r="G41" s="829"/>
      <c r="H41" s="860"/>
      <c r="I41" s="857"/>
      <c r="J41" s="858"/>
      <c r="K41" s="859"/>
      <c r="L41" s="832"/>
      <c r="M41" s="829"/>
      <c r="N41" s="859"/>
      <c r="O41" s="829">
        <f>SUM('18_Kapcsolat Központ'!C41+'18_Kapcsolat Központ'!F41+'18_Kapcsolat Központ'!L41+I41)</f>
        <v>0</v>
      </c>
      <c r="P41" s="829">
        <f>SUM('16_Bicske Városi Óvoda'!M41+'18_Kapcsolat Központ'!D41+'18_Kapcsolat Központ'!G41+'18_Kapcsolat Központ'!M41+J41)</f>
        <v>0</v>
      </c>
      <c r="Q41" s="860"/>
      <c r="R41" s="1427"/>
      <c r="S41" s="1427"/>
      <c r="T41" s="1427"/>
    </row>
    <row r="42" spans="1:20" s="816" customFormat="1" ht="17.25" customHeight="1">
      <c r="A42" s="826" t="s">
        <v>99</v>
      </c>
      <c r="B42" s="827" t="s">
        <v>126</v>
      </c>
      <c r="C42" s="829"/>
      <c r="D42" s="829"/>
      <c r="E42" s="859"/>
      <c r="F42" s="829"/>
      <c r="G42" s="829"/>
      <c r="H42" s="860"/>
      <c r="I42" s="857"/>
      <c r="J42" s="858"/>
      <c r="K42" s="859"/>
      <c r="L42" s="832"/>
      <c r="M42" s="829"/>
      <c r="N42" s="859"/>
      <c r="O42" s="829">
        <f>SUM('16_Bicske Városi Óvoda'!L42+'18_Kapcsolat Központ'!C42+'18_Kapcsolat Központ'!F42+'18_Kapcsolat Központ'!L42+I42)</f>
        <v>0</v>
      </c>
      <c r="P42" s="829">
        <f>SUM('16_Bicske Városi Óvoda'!M42+'18_Kapcsolat Központ'!D42+'18_Kapcsolat Központ'!G42+'18_Kapcsolat Központ'!M42+J42)</f>
        <v>0</v>
      </c>
      <c r="Q42" s="860"/>
      <c r="R42" s="1427"/>
      <c r="S42" s="1427"/>
      <c r="T42" s="1427"/>
    </row>
    <row r="43" spans="1:20" s="816" customFormat="1" ht="17.25" customHeight="1">
      <c r="A43" s="826" t="s">
        <v>101</v>
      </c>
      <c r="B43" s="827" t="s">
        <v>127</v>
      </c>
      <c r="C43" s="829"/>
      <c r="D43" s="829"/>
      <c r="E43" s="859"/>
      <c r="F43" s="829"/>
      <c r="G43" s="829"/>
      <c r="H43" s="860"/>
      <c r="I43" s="857"/>
      <c r="J43" s="858"/>
      <c r="K43" s="859"/>
      <c r="L43" s="832"/>
      <c r="M43" s="829"/>
      <c r="N43" s="859"/>
      <c r="O43" s="829">
        <f>SUM('16_Bicske Városi Óvoda'!L43+'18_Kapcsolat Központ'!C43+'18_Kapcsolat Központ'!F43+'18_Kapcsolat Központ'!L43+I43)</f>
        <v>0</v>
      </c>
      <c r="P43" s="829">
        <f>SUM('16_Bicske Városi Óvoda'!M43+'18_Kapcsolat Központ'!D43+'18_Kapcsolat Központ'!G43+'18_Kapcsolat Központ'!M43+J43)</f>
        <v>0</v>
      </c>
      <c r="Q43" s="860"/>
      <c r="R43" s="1427"/>
      <c r="S43" s="1427"/>
      <c r="T43" s="1427"/>
    </row>
    <row r="44" spans="1:20" s="816" customFormat="1" ht="17.25" customHeight="1">
      <c r="A44" s="826" t="s">
        <v>103</v>
      </c>
      <c r="B44" s="827" t="s">
        <v>128</v>
      </c>
      <c r="C44" s="828"/>
      <c r="D44" s="829"/>
      <c r="E44" s="859"/>
      <c r="F44" s="828"/>
      <c r="G44" s="829"/>
      <c r="H44" s="860"/>
      <c r="I44" s="857"/>
      <c r="J44" s="858"/>
      <c r="K44" s="859"/>
      <c r="L44" s="832"/>
      <c r="M44" s="829"/>
      <c r="N44" s="859"/>
      <c r="O44" s="829">
        <f>SUM('16_Bicske Városi Óvoda'!L44+'18_Kapcsolat Központ'!C44+'18_Kapcsolat Központ'!F44+'18_Kapcsolat Központ'!L44+I44)</f>
        <v>0</v>
      </c>
      <c r="P44" s="829">
        <f>SUM('16_Bicske Városi Óvoda'!M44+'18_Kapcsolat Központ'!D44+'18_Kapcsolat Központ'!G44+'18_Kapcsolat Központ'!M44+J44)</f>
        <v>0</v>
      </c>
      <c r="Q44" s="860"/>
      <c r="R44" s="1427"/>
      <c r="S44" s="1427"/>
      <c r="T44" s="1427"/>
    </row>
    <row r="45" spans="1:20" s="886" customFormat="1" ht="17.25" customHeight="1">
      <c r="A45" s="882">
        <v>2</v>
      </c>
      <c r="B45" s="883" t="s">
        <v>129</v>
      </c>
      <c r="C45" s="887">
        <f aca="true" t="shared" si="4" ref="C45:N45">SUM(C41:C44)</f>
        <v>0</v>
      </c>
      <c r="D45" s="887">
        <f t="shared" si="4"/>
        <v>0</v>
      </c>
      <c r="E45" s="887">
        <f t="shared" si="4"/>
        <v>0</v>
      </c>
      <c r="F45" s="887">
        <f t="shared" si="4"/>
        <v>0</v>
      </c>
      <c r="G45" s="887">
        <f t="shared" si="4"/>
        <v>0</v>
      </c>
      <c r="H45" s="888">
        <f t="shared" si="4"/>
        <v>0</v>
      </c>
      <c r="I45" s="887">
        <f t="shared" si="4"/>
        <v>0</v>
      </c>
      <c r="J45" s="884">
        <f t="shared" si="4"/>
        <v>0</v>
      </c>
      <c r="K45" s="889">
        <f t="shared" si="4"/>
        <v>0</v>
      </c>
      <c r="L45" s="890">
        <f t="shared" si="4"/>
        <v>0</v>
      </c>
      <c r="M45" s="887">
        <f t="shared" si="4"/>
        <v>0</v>
      </c>
      <c r="N45" s="887">
        <f t="shared" si="4"/>
        <v>0</v>
      </c>
      <c r="O45" s="829">
        <f>SUM('16_Bicske Városi Óvoda'!L45+'18_Kapcsolat Központ'!C45+'18_Kapcsolat Központ'!F45+'18_Kapcsolat Központ'!L45+I45)</f>
        <v>0</v>
      </c>
      <c r="P45" s="887">
        <f>SUM(P41:P44)</f>
        <v>0</v>
      </c>
      <c r="Q45" s="888">
        <f>SUM(Q41:Q44)</f>
        <v>0</v>
      </c>
      <c r="R45" s="297">
        <f>SUM(R41:R44)</f>
        <v>0</v>
      </c>
      <c r="S45" s="297">
        <f>SUM(S41:S44)</f>
        <v>0</v>
      </c>
      <c r="T45" s="297">
        <f>SUM(T41:T44)</f>
        <v>0</v>
      </c>
    </row>
    <row r="46" spans="1:20" s="886" customFormat="1" ht="17.25" customHeight="1">
      <c r="A46" s="882">
        <v>3</v>
      </c>
      <c r="B46" s="883" t="s">
        <v>34</v>
      </c>
      <c r="C46" s="887">
        <v>3</v>
      </c>
      <c r="D46" s="884">
        <v>3</v>
      </c>
      <c r="E46" s="891"/>
      <c r="F46" s="887">
        <v>1988</v>
      </c>
      <c r="G46" s="884">
        <v>1988</v>
      </c>
      <c r="H46" s="892"/>
      <c r="I46" s="893">
        <f>5285+1</f>
        <v>5286</v>
      </c>
      <c r="J46" s="894">
        <v>5286</v>
      </c>
      <c r="K46" s="891"/>
      <c r="L46" s="890">
        <v>40</v>
      </c>
      <c r="M46" s="884">
        <v>40</v>
      </c>
      <c r="N46" s="891"/>
      <c r="O46" s="829">
        <f>SUM('18_Kapcsolat Központ'!C46+'18_Kapcsolat Központ'!F46+'18_Kapcsolat Központ'!L46+I46)</f>
        <v>7317</v>
      </c>
      <c r="P46" s="829">
        <f>SUM('18_Kapcsolat Központ'!D46+'18_Kapcsolat Központ'!G46+'18_Kapcsolat Központ'!M46+J46)</f>
        <v>7317</v>
      </c>
      <c r="Q46" s="892"/>
      <c r="R46" s="1427">
        <f>34973+8096+1</f>
        <v>43070</v>
      </c>
      <c r="S46" s="1427">
        <f>43070+189</f>
        <v>43259</v>
      </c>
      <c r="T46" s="1427"/>
    </row>
    <row r="47" spans="1:20" s="886" customFormat="1" ht="17.25" customHeight="1">
      <c r="A47" s="882">
        <v>4</v>
      </c>
      <c r="B47" s="883" t="s">
        <v>45</v>
      </c>
      <c r="C47" s="887"/>
      <c r="D47" s="884"/>
      <c r="E47" s="891"/>
      <c r="F47" s="887"/>
      <c r="G47" s="884"/>
      <c r="H47" s="892"/>
      <c r="I47" s="893"/>
      <c r="J47" s="894"/>
      <c r="K47" s="891"/>
      <c r="L47" s="890"/>
      <c r="M47" s="884"/>
      <c r="N47" s="891"/>
      <c r="O47" s="829">
        <f>SUM('16_Bicske Városi Óvoda'!L47+'18_Kapcsolat Központ'!C47+'18_Kapcsolat Központ'!F47+'18_Kapcsolat Központ'!L47+I47)</f>
        <v>0</v>
      </c>
      <c r="P47" s="829">
        <f>SUM('16_Bicske Városi Óvoda'!M47+'18_Kapcsolat Központ'!D47+'18_Kapcsolat Központ'!G47+'18_Kapcsolat Központ'!M47+J47)</f>
        <v>0</v>
      </c>
      <c r="Q47" s="892"/>
      <c r="R47" s="1427"/>
      <c r="S47" s="1427"/>
      <c r="T47" s="1427"/>
    </row>
    <row r="48" spans="1:20" s="816" customFormat="1" ht="17.25" customHeight="1">
      <c r="A48" s="826" t="s">
        <v>97</v>
      </c>
      <c r="B48" s="827" t="s">
        <v>130</v>
      </c>
      <c r="C48" s="828"/>
      <c r="D48" s="832"/>
      <c r="E48" s="895"/>
      <c r="F48" s="828"/>
      <c r="G48" s="832"/>
      <c r="H48" s="896"/>
      <c r="I48" s="857"/>
      <c r="J48" s="858"/>
      <c r="K48" s="859"/>
      <c r="L48" s="832"/>
      <c r="M48" s="832"/>
      <c r="N48" s="895"/>
      <c r="O48" s="829">
        <f>SUM('16_Bicske Városi Óvoda'!L48+'18_Kapcsolat Központ'!C48+'18_Kapcsolat Központ'!F48+'18_Kapcsolat Központ'!L48+I48)</f>
        <v>0</v>
      </c>
      <c r="P48" s="829">
        <f>SUM('16_Bicske Városi Óvoda'!M48+'18_Kapcsolat Központ'!D48+'18_Kapcsolat Központ'!G48+'18_Kapcsolat Központ'!M48+J48)</f>
        <v>0</v>
      </c>
      <c r="Q48" s="896"/>
      <c r="R48" s="1427"/>
      <c r="S48" s="1427"/>
      <c r="T48" s="1427"/>
    </row>
    <row r="49" spans="1:20" s="816" customFormat="1" ht="17.25" customHeight="1">
      <c r="A49" s="826" t="s">
        <v>99</v>
      </c>
      <c r="B49" s="827" t="s">
        <v>131</v>
      </c>
      <c r="C49" s="828"/>
      <c r="D49" s="828"/>
      <c r="E49" s="828"/>
      <c r="F49" s="828"/>
      <c r="G49" s="828"/>
      <c r="H49" s="861"/>
      <c r="I49" s="828"/>
      <c r="J49" s="829"/>
      <c r="K49" s="830"/>
      <c r="L49" s="832"/>
      <c r="M49" s="828"/>
      <c r="N49" s="828"/>
      <c r="O49" s="829">
        <f>SUM('16_Bicske Városi Óvoda'!L49+'18_Kapcsolat Központ'!C49+'18_Kapcsolat Központ'!F49+'18_Kapcsolat Központ'!L49+I49)</f>
        <v>0</v>
      </c>
      <c r="P49" s="829">
        <f>SUM('16_Bicske Városi Óvoda'!M49+'18_Kapcsolat Központ'!D49+'18_Kapcsolat Központ'!G49+'18_Kapcsolat Központ'!M49+J49)</f>
        <v>0</v>
      </c>
      <c r="Q49" s="861"/>
      <c r="R49" s="1427"/>
      <c r="S49" s="1427"/>
      <c r="T49" s="1427"/>
    </row>
    <row r="50" spans="1:20" s="816" customFormat="1" ht="17.25" customHeight="1">
      <c r="A50" s="855" t="s">
        <v>101</v>
      </c>
      <c r="B50" s="856" t="s">
        <v>132</v>
      </c>
      <c r="C50" s="857"/>
      <c r="D50" s="897"/>
      <c r="E50" s="896"/>
      <c r="F50" s="857"/>
      <c r="G50" s="897"/>
      <c r="H50" s="896"/>
      <c r="I50" s="857"/>
      <c r="J50" s="858"/>
      <c r="K50" s="859"/>
      <c r="L50" s="897"/>
      <c r="M50" s="897"/>
      <c r="N50" s="896"/>
      <c r="O50" s="829">
        <f>SUM('16_Bicske Városi Óvoda'!L50+'18_Kapcsolat Központ'!C50+'18_Kapcsolat Központ'!F50+'18_Kapcsolat Központ'!L50+I50)</f>
        <v>0</v>
      </c>
      <c r="P50" s="829">
        <f>SUM('16_Bicske Városi Óvoda'!M50+'18_Kapcsolat Központ'!D50+'18_Kapcsolat Központ'!G50+'18_Kapcsolat Központ'!M50+J50)</f>
        <v>0</v>
      </c>
      <c r="Q50" s="896"/>
      <c r="R50" s="1427"/>
      <c r="S50" s="1427"/>
      <c r="T50" s="1427"/>
    </row>
    <row r="51" spans="1:20" s="886" customFormat="1" ht="17.25" customHeight="1">
      <c r="A51" s="898">
        <v>5</v>
      </c>
      <c r="B51" s="899" t="s">
        <v>133</v>
      </c>
      <c r="C51" s="893">
        <f aca="true" t="shared" si="5" ref="C51:N51">SUM(C48:C50)</f>
        <v>0</v>
      </c>
      <c r="D51" s="893">
        <f t="shared" si="5"/>
        <v>0</v>
      </c>
      <c r="E51" s="893">
        <f t="shared" si="5"/>
        <v>0</v>
      </c>
      <c r="F51" s="893">
        <f t="shared" si="5"/>
        <v>0</v>
      </c>
      <c r="G51" s="893">
        <f t="shared" si="5"/>
        <v>0</v>
      </c>
      <c r="H51" s="900">
        <f t="shared" si="5"/>
        <v>0</v>
      </c>
      <c r="I51" s="893">
        <f t="shared" si="5"/>
        <v>0</v>
      </c>
      <c r="J51" s="894">
        <f t="shared" si="5"/>
        <v>0</v>
      </c>
      <c r="K51" s="891">
        <f t="shared" si="5"/>
        <v>0</v>
      </c>
      <c r="L51" s="901">
        <f t="shared" si="5"/>
        <v>0</v>
      </c>
      <c r="M51" s="893">
        <f t="shared" si="5"/>
        <v>0</v>
      </c>
      <c r="N51" s="893">
        <f t="shared" si="5"/>
        <v>0</v>
      </c>
      <c r="O51" s="829">
        <f>SUM('16_Bicske Városi Óvoda'!L51+'18_Kapcsolat Központ'!C51+'18_Kapcsolat Központ'!F51+'18_Kapcsolat Központ'!L51+I51)</f>
        <v>0</v>
      </c>
      <c r="P51" s="893">
        <f>SUM(P48:P50)</f>
        <v>0</v>
      </c>
      <c r="Q51" s="900">
        <f>SUM(Q48:Q50)</f>
        <v>0</v>
      </c>
      <c r="R51" s="302">
        <f>SUM(R48:R50)</f>
        <v>0</v>
      </c>
      <c r="S51" s="302">
        <f>SUM(S48:S50)</f>
        <v>0</v>
      </c>
      <c r="T51" s="302">
        <f>SUM(T48:T50)</f>
        <v>0</v>
      </c>
    </row>
    <row r="52" spans="1:20" s="886" customFormat="1" ht="17.25" customHeight="1">
      <c r="A52" s="898">
        <v>6</v>
      </c>
      <c r="B52" s="899" t="s">
        <v>63</v>
      </c>
      <c r="C52" s="893"/>
      <c r="D52" s="901"/>
      <c r="E52" s="902"/>
      <c r="F52" s="893"/>
      <c r="G52" s="901"/>
      <c r="H52" s="902"/>
      <c r="I52" s="893"/>
      <c r="J52" s="894"/>
      <c r="K52" s="891"/>
      <c r="L52" s="901"/>
      <c r="M52" s="901"/>
      <c r="N52" s="902"/>
      <c r="O52" s="829">
        <f>SUM('16_Bicske Városi Óvoda'!L52+'18_Kapcsolat Központ'!C52+'18_Kapcsolat Központ'!F52+'18_Kapcsolat Központ'!L52+I52)</f>
        <v>0</v>
      </c>
      <c r="P52" s="829">
        <f>SUM('16_Bicske Városi Óvoda'!M52+'18_Kapcsolat Központ'!D52+'18_Kapcsolat Központ'!G52+'18_Kapcsolat Központ'!M52+J52)</f>
        <v>0</v>
      </c>
      <c r="Q52" s="902"/>
      <c r="R52" s="1427"/>
      <c r="S52" s="1427"/>
      <c r="T52" s="1427"/>
    </row>
    <row r="53" spans="1:20" s="816" customFormat="1" ht="17.25" customHeight="1">
      <c r="A53" s="855" t="s">
        <v>97</v>
      </c>
      <c r="B53" s="856" t="s">
        <v>134</v>
      </c>
      <c r="C53" s="857"/>
      <c r="D53" s="897"/>
      <c r="E53" s="896"/>
      <c r="F53" s="857"/>
      <c r="G53" s="897"/>
      <c r="H53" s="896"/>
      <c r="I53" s="857"/>
      <c r="J53" s="858"/>
      <c r="K53" s="859"/>
      <c r="L53" s="897"/>
      <c r="M53" s="897"/>
      <c r="N53" s="896"/>
      <c r="O53" s="829">
        <f>SUM('16_Bicske Városi Óvoda'!L53+'18_Kapcsolat Központ'!C53+'18_Kapcsolat Központ'!F53+'18_Kapcsolat Központ'!L53)</f>
        <v>0</v>
      </c>
      <c r="P53" s="829">
        <f>SUM('16_Bicske Városi Óvoda'!M53+'18_Kapcsolat Központ'!D53+'18_Kapcsolat Központ'!G53+'18_Kapcsolat Központ'!M53+J53)</f>
        <v>0</v>
      </c>
      <c r="Q53" s="896"/>
      <c r="R53" s="1427"/>
      <c r="S53" s="1427"/>
      <c r="T53" s="1427"/>
    </row>
    <row r="54" spans="1:20" s="816" customFormat="1" ht="17.25" customHeight="1">
      <c r="A54" s="855" t="s">
        <v>99</v>
      </c>
      <c r="B54" s="856" t="s">
        <v>135</v>
      </c>
      <c r="C54" s="857"/>
      <c r="D54" s="897"/>
      <c r="E54" s="896"/>
      <c r="F54" s="857"/>
      <c r="G54" s="897"/>
      <c r="H54" s="896"/>
      <c r="I54" s="857"/>
      <c r="J54" s="858"/>
      <c r="K54" s="859"/>
      <c r="L54" s="897"/>
      <c r="M54" s="897"/>
      <c r="N54" s="896"/>
      <c r="O54" s="829">
        <f>SUM('16_Bicske Városi Óvoda'!L54+'18_Kapcsolat Központ'!C54+'18_Kapcsolat Központ'!F54+'18_Kapcsolat Központ'!L54)</f>
        <v>0</v>
      </c>
      <c r="P54" s="829">
        <f>SUM('16_Bicske Városi Óvoda'!M54+'18_Kapcsolat Központ'!D54+'18_Kapcsolat Központ'!G54+'18_Kapcsolat Központ'!M54+J54)</f>
        <v>0</v>
      </c>
      <c r="Q54" s="896"/>
      <c r="R54" s="1427"/>
      <c r="S54" s="1427"/>
      <c r="T54" s="1427"/>
    </row>
    <row r="55" spans="1:20" s="886" customFormat="1" ht="17.25" customHeight="1">
      <c r="A55" s="898">
        <v>7</v>
      </c>
      <c r="B55" s="899" t="s">
        <v>136</v>
      </c>
      <c r="C55" s="893">
        <f aca="true" t="shared" si="6" ref="C55:N55">SUM(C53:C54)</f>
        <v>0</v>
      </c>
      <c r="D55" s="893">
        <f t="shared" si="6"/>
        <v>0</v>
      </c>
      <c r="E55" s="893">
        <f t="shared" si="6"/>
        <v>0</v>
      </c>
      <c r="F55" s="893">
        <f t="shared" si="6"/>
        <v>0</v>
      </c>
      <c r="G55" s="893">
        <f t="shared" si="6"/>
        <v>0</v>
      </c>
      <c r="H55" s="900">
        <f t="shared" si="6"/>
        <v>0</v>
      </c>
      <c r="I55" s="893">
        <f t="shared" si="6"/>
        <v>0</v>
      </c>
      <c r="J55" s="894">
        <f t="shared" si="6"/>
        <v>0</v>
      </c>
      <c r="K55" s="891">
        <f t="shared" si="6"/>
        <v>0</v>
      </c>
      <c r="L55" s="901">
        <f t="shared" si="6"/>
        <v>0</v>
      </c>
      <c r="M55" s="893">
        <f t="shared" si="6"/>
        <v>0</v>
      </c>
      <c r="N55" s="893">
        <f t="shared" si="6"/>
        <v>0</v>
      </c>
      <c r="O55" s="829">
        <f>SUM('16_Bicske Városi Óvoda'!L55+'18_Kapcsolat Központ'!C55+'18_Kapcsolat Központ'!F55+'18_Kapcsolat Központ'!L55)</f>
        <v>0</v>
      </c>
      <c r="P55" s="893">
        <f>SUM(P53:P54)</f>
        <v>0</v>
      </c>
      <c r="Q55" s="900">
        <f>SUM(Q53:Q54)</f>
        <v>0</v>
      </c>
      <c r="R55" s="302">
        <f>SUM(R53:R54)</f>
        <v>0</v>
      </c>
      <c r="S55" s="302">
        <f>SUM(S53:S54)</f>
        <v>0</v>
      </c>
      <c r="T55" s="302">
        <f>SUM(T53:T54)</f>
        <v>0</v>
      </c>
    </row>
    <row r="56" spans="1:20" s="816" customFormat="1" ht="17.25" customHeight="1">
      <c r="A56" s="855">
        <v>8</v>
      </c>
      <c r="B56" s="856" t="s">
        <v>137</v>
      </c>
      <c r="C56" s="857">
        <f>SUM(C34-C40-C45-C46-C47-C51-C52-C55-C57-C58)</f>
        <v>15411</v>
      </c>
      <c r="D56" s="857">
        <f aca="true" t="shared" si="7" ref="D56:T56">SUM(D34-D40-D45-D46-D47-D51-D52-D55-D57-D58)</f>
        <v>15411</v>
      </c>
      <c r="E56" s="857">
        <f t="shared" si="7"/>
        <v>0</v>
      </c>
      <c r="F56" s="857">
        <f>SUM(F34-F40-F45-F46-F47-F51-F52-F55-F57-F58)</f>
        <v>29779</v>
      </c>
      <c r="G56" s="857">
        <f t="shared" si="7"/>
        <v>30017</v>
      </c>
      <c r="H56" s="903">
        <f t="shared" si="7"/>
        <v>0</v>
      </c>
      <c r="I56" s="857">
        <f>SUM(I34-I40-I45-I46-I47-I51-I52-I55-I57-I58)</f>
        <v>66104</v>
      </c>
      <c r="J56" s="858">
        <f t="shared" si="7"/>
        <v>68354</v>
      </c>
      <c r="K56" s="859">
        <f t="shared" si="7"/>
        <v>0</v>
      </c>
      <c r="L56" s="897">
        <f>SUM(L34-L40-L45-L46-L47-L51-L52-L55-L57-L58)</f>
        <v>59292</v>
      </c>
      <c r="M56" s="857">
        <f t="shared" si="7"/>
        <v>64767</v>
      </c>
      <c r="N56" s="857">
        <f t="shared" si="7"/>
        <v>0</v>
      </c>
      <c r="O56" s="857">
        <f t="shared" si="7"/>
        <v>170586</v>
      </c>
      <c r="P56" s="857">
        <f t="shared" si="7"/>
        <v>178549</v>
      </c>
      <c r="Q56" s="857">
        <f t="shared" si="7"/>
        <v>0</v>
      </c>
      <c r="R56" s="238">
        <f t="shared" si="7"/>
        <v>64945</v>
      </c>
      <c r="S56" s="238">
        <f t="shared" si="7"/>
        <v>64945</v>
      </c>
      <c r="T56" s="238">
        <f t="shared" si="7"/>
        <v>0</v>
      </c>
    </row>
    <row r="57" spans="1:20" s="886" customFormat="1" ht="17.25" customHeight="1">
      <c r="A57" s="898" t="s">
        <v>138</v>
      </c>
      <c r="B57" s="899" t="s">
        <v>139</v>
      </c>
      <c r="C57" s="893"/>
      <c r="D57" s="901"/>
      <c r="E57" s="902"/>
      <c r="F57" s="893"/>
      <c r="G57" s="901"/>
      <c r="H57" s="902"/>
      <c r="I57" s="887"/>
      <c r="J57" s="884"/>
      <c r="K57" s="889"/>
      <c r="L57" s="901">
        <v>15423</v>
      </c>
      <c r="M57" s="901">
        <v>15423</v>
      </c>
      <c r="N57" s="902"/>
      <c r="O57" s="893">
        <v>15423</v>
      </c>
      <c r="P57" s="893">
        <f>SUM('18_Kapcsolat Központ'!D57+'18_Kapcsolat Központ'!G57+'18_Kapcsolat Központ'!M57+J57)</f>
        <v>15423</v>
      </c>
      <c r="Q57" s="902"/>
      <c r="R57" s="1427">
        <v>3314</v>
      </c>
      <c r="S57" s="1427">
        <v>3314</v>
      </c>
      <c r="T57" s="1427"/>
    </row>
    <row r="58" spans="1:20" s="886" customFormat="1" ht="17.25" customHeight="1" thickBot="1">
      <c r="A58" s="904" t="s">
        <v>140</v>
      </c>
      <c r="B58" s="905" t="s">
        <v>141</v>
      </c>
      <c r="C58" s="906"/>
      <c r="D58" s="907"/>
      <c r="E58" s="908"/>
      <c r="F58" s="906"/>
      <c r="G58" s="907"/>
      <c r="H58" s="908"/>
      <c r="I58" s="909"/>
      <c r="J58" s="909"/>
      <c r="K58" s="909"/>
      <c r="L58" s="906"/>
      <c r="M58" s="907"/>
      <c r="N58" s="908"/>
      <c r="O58" s="906"/>
      <c r="P58" s="907"/>
      <c r="Q58" s="910"/>
      <c r="R58" s="1427"/>
      <c r="S58" s="1427"/>
      <c r="T58" s="1427"/>
    </row>
    <row r="59" spans="1:20" s="886" customFormat="1" ht="17.25" customHeight="1" thickBot="1" thickTop="1">
      <c r="A59" s="904" t="s">
        <v>142</v>
      </c>
      <c r="B59" s="905" t="s">
        <v>148</v>
      </c>
      <c r="C59" s="911">
        <f aca="true" t="shared" si="8" ref="C59:N59">SUM(C40+C45+C46+C47+C51+C52+C55+C56+C57+C58)</f>
        <v>48892</v>
      </c>
      <c r="D59" s="911">
        <f t="shared" si="8"/>
        <v>48892</v>
      </c>
      <c r="E59" s="911">
        <f t="shared" si="8"/>
        <v>0</v>
      </c>
      <c r="F59" s="911">
        <f t="shared" si="8"/>
        <v>31767</v>
      </c>
      <c r="G59" s="911">
        <f t="shared" si="8"/>
        <v>32005</v>
      </c>
      <c r="H59" s="911">
        <f t="shared" si="8"/>
        <v>0</v>
      </c>
      <c r="I59" s="911">
        <f t="shared" si="8"/>
        <v>71390</v>
      </c>
      <c r="J59" s="911">
        <f t="shared" si="8"/>
        <v>73640</v>
      </c>
      <c r="K59" s="911">
        <f t="shared" si="8"/>
        <v>0</v>
      </c>
      <c r="L59" s="911">
        <f>SUM(L40+L45+L46+L47+L51+L52+L55+L56+L57+L58)</f>
        <v>82068</v>
      </c>
      <c r="M59" s="911">
        <f>SUM(M40+M45+M46+M47+M51+M52+M55+M56+M57+M58)</f>
        <v>87543</v>
      </c>
      <c r="N59" s="911">
        <f t="shared" si="8"/>
        <v>0</v>
      </c>
      <c r="O59" s="911">
        <f>SUM('18_Kapcsolat Központ'!C59+'18_Kapcsolat Központ'!F59+'18_Kapcsolat Központ'!L59+I59)</f>
        <v>234117</v>
      </c>
      <c r="P59" s="911">
        <f>SUM('18_Kapcsolat Központ'!D59+'18_Kapcsolat Központ'!G59+'18_Kapcsolat Központ'!M59+J59)</f>
        <v>242080</v>
      </c>
      <c r="Q59" s="911">
        <f>SUM('18_Kapcsolat Központ'!E59+'18_Kapcsolat Központ'!H59+'18_Kapcsolat Központ'!N59+K59)</f>
        <v>0</v>
      </c>
      <c r="R59" s="61">
        <f>+R40+R45+R46+R47+R51+R52+R55+R56+R57+R58</f>
        <v>111329</v>
      </c>
      <c r="S59" s="61">
        <f>+S40+S45+S46+S47+S51+S52+S55+S56+S57+S58</f>
        <v>111518</v>
      </c>
      <c r="T59" s="61">
        <f>+T40+T45+T46+T47+T51+T52+T55+T56+T57+T58</f>
        <v>0</v>
      </c>
    </row>
    <row r="60" spans="1:20" s="816" customFormat="1" ht="17.25" customHeight="1" thickBot="1" thickTop="1">
      <c r="A60" s="912"/>
      <c r="B60" s="913"/>
      <c r="C60" s="914"/>
      <c r="D60" s="914"/>
      <c r="E60" s="915"/>
      <c r="F60" s="914"/>
      <c r="G60" s="914"/>
      <c r="H60" s="915"/>
      <c r="I60" s="915"/>
      <c r="J60" s="915"/>
      <c r="K60" s="915"/>
      <c r="L60" s="914"/>
      <c r="M60" s="914"/>
      <c r="N60" s="915"/>
      <c r="O60" s="914"/>
      <c r="P60" s="914"/>
      <c r="Q60" s="915"/>
      <c r="R60" s="1427"/>
      <c r="S60" s="1427"/>
      <c r="T60" s="1427"/>
    </row>
    <row r="61" spans="1:20" s="816" customFormat="1" ht="17.25" customHeight="1" thickBot="1" thickTop="1">
      <c r="A61" s="916"/>
      <c r="B61" s="917" t="s">
        <v>427</v>
      </c>
      <c r="C61" s="918">
        <v>7</v>
      </c>
      <c r="D61" s="919">
        <v>7</v>
      </c>
      <c r="E61" s="920"/>
      <c r="F61" s="918">
        <v>11</v>
      </c>
      <c r="G61" s="919">
        <v>11</v>
      </c>
      <c r="H61" s="920"/>
      <c r="I61" s="921">
        <v>15</v>
      </c>
      <c r="J61" s="921">
        <v>15</v>
      </c>
      <c r="K61" s="921"/>
      <c r="L61" s="918">
        <v>21</v>
      </c>
      <c r="M61" s="919">
        <v>21</v>
      </c>
      <c r="N61" s="922"/>
      <c r="O61" s="918">
        <f>SUM(C61+F61+I61+L61)</f>
        <v>54</v>
      </c>
      <c r="P61" s="918">
        <f>SUM(D61+G61+J61+M61)</f>
        <v>54</v>
      </c>
      <c r="Q61" s="922"/>
      <c r="R61" s="1427">
        <v>13</v>
      </c>
      <c r="S61" s="1427">
        <v>13</v>
      </c>
      <c r="T61" s="1427"/>
    </row>
    <row r="62" spans="1:20" s="816" customFormat="1" ht="17.25" customHeight="1" thickBot="1" thickTop="1">
      <c r="A62" s="916"/>
      <c r="B62" s="917" t="s">
        <v>144</v>
      </c>
      <c r="C62" s="918"/>
      <c r="D62" s="919"/>
      <c r="E62" s="920"/>
      <c r="F62" s="918"/>
      <c r="G62" s="919"/>
      <c r="H62" s="920"/>
      <c r="I62" s="921"/>
      <c r="J62" s="921"/>
      <c r="K62" s="921"/>
      <c r="L62" s="918"/>
      <c r="M62" s="919"/>
      <c r="N62" s="922"/>
      <c r="O62" s="918">
        <f>SUM(L62+F62+C62)</f>
        <v>0</v>
      </c>
      <c r="P62" s="919"/>
      <c r="Q62" s="923"/>
      <c r="R62" s="1428"/>
      <c r="S62" s="1428"/>
      <c r="T62" s="1428"/>
    </row>
    <row r="63" spans="15:20" ht="16.5" thickTop="1">
      <c r="O63" s="925"/>
      <c r="R63" s="1429"/>
      <c r="S63" s="1430"/>
      <c r="T63" s="1430"/>
    </row>
    <row r="64" spans="15:16" ht="15.75">
      <c r="O64" s="925"/>
      <c r="P64" s="925"/>
    </row>
    <row r="65" spans="3:20" ht="15.75">
      <c r="C65" s="925"/>
      <c r="D65" s="925"/>
      <c r="H65" s="925"/>
      <c r="M65" s="925"/>
      <c r="N65" s="925"/>
      <c r="R65" s="449"/>
      <c r="S65" s="1431"/>
      <c r="T65" s="1431"/>
    </row>
    <row r="66" spans="8:20" ht="15.75">
      <c r="H66" s="925"/>
      <c r="L66" s="925"/>
      <c r="R66" s="450"/>
      <c r="S66" s="1432"/>
      <c r="T66" s="1432"/>
    </row>
    <row r="67" spans="6:20" ht="15.75">
      <c r="F67" s="925"/>
      <c r="K67" s="925"/>
      <c r="R67" s="449"/>
      <c r="S67" s="1431"/>
      <c r="T67" s="1431"/>
    </row>
    <row r="68" spans="18:20" ht="15.75">
      <c r="R68" s="446"/>
      <c r="S68" s="446"/>
      <c r="T68" s="246"/>
    </row>
    <row r="69" spans="12:20" ht="15.75">
      <c r="L69" s="926"/>
      <c r="R69" s="446"/>
      <c r="S69" s="446"/>
      <c r="T69" s="246"/>
    </row>
    <row r="70" spans="18:20" ht="15.75">
      <c r="R70" s="446"/>
      <c r="S70" s="446"/>
      <c r="T70" s="246"/>
    </row>
    <row r="71" spans="18:20" ht="15.75">
      <c r="R71" s="446"/>
      <c r="S71" s="446"/>
      <c r="T71" s="246"/>
    </row>
    <row r="72" spans="18:20" ht="15.75">
      <c r="R72" s="446"/>
      <c r="S72" s="446"/>
      <c r="T72" s="246"/>
    </row>
    <row r="73" spans="18:20" ht="15.75">
      <c r="R73" s="446"/>
      <c r="S73" s="446"/>
      <c r="T73" s="246"/>
    </row>
    <row r="74" spans="18:20" ht="15.75">
      <c r="R74" s="446"/>
      <c r="S74" s="446"/>
      <c r="T74" s="246"/>
    </row>
    <row r="75" spans="18:20" ht="15.75">
      <c r="R75" s="446"/>
      <c r="S75" s="446"/>
      <c r="T75" s="246"/>
    </row>
    <row r="76" spans="18:20" ht="15.75">
      <c r="R76" s="446"/>
      <c r="S76" s="446"/>
      <c r="T76" s="246"/>
    </row>
    <row r="77" spans="18:20" ht="15.75">
      <c r="R77" s="446"/>
      <c r="S77" s="446"/>
      <c r="T77" s="246"/>
    </row>
    <row r="78" spans="18:20" ht="15.75">
      <c r="R78" s="446"/>
      <c r="S78" s="446"/>
      <c r="T78" s="246"/>
    </row>
    <row r="79" spans="18:20" ht="15.75">
      <c r="R79" s="446"/>
      <c r="S79" s="446"/>
      <c r="T79" s="246"/>
    </row>
    <row r="80" spans="18:20" ht="15.75">
      <c r="R80" s="446"/>
      <c r="S80" s="446"/>
      <c r="T80" s="246"/>
    </row>
    <row r="81" spans="18:20" ht="15.75">
      <c r="R81" s="446"/>
      <c r="S81" s="446"/>
      <c r="T81" s="246"/>
    </row>
    <row r="82" spans="18:20" ht="15.75">
      <c r="R82" s="446"/>
      <c r="S82" s="446"/>
      <c r="T82" s="246"/>
    </row>
    <row r="83" spans="18:20" ht="15.75">
      <c r="R83" s="446"/>
      <c r="S83" s="446"/>
      <c r="T83" s="246"/>
    </row>
    <row r="84" spans="18:20" ht="15.75">
      <c r="R84" s="446"/>
      <c r="S84" s="446"/>
      <c r="T84" s="246"/>
    </row>
    <row r="85" spans="18:20" ht="15.75">
      <c r="R85" s="446"/>
      <c r="S85" s="446"/>
      <c r="T85" s="246"/>
    </row>
    <row r="86" spans="18:20" ht="15.75">
      <c r="R86" s="446"/>
      <c r="S86" s="446"/>
      <c r="T86" s="1433"/>
    </row>
    <row r="87" spans="18:20" ht="15.75">
      <c r="R87" s="446"/>
      <c r="S87" s="446"/>
      <c r="T87" s="246"/>
    </row>
    <row r="88" spans="18:20" ht="15.75">
      <c r="R88" s="446"/>
      <c r="S88" s="446"/>
      <c r="T88" s="246"/>
    </row>
    <row r="89" spans="18:20" ht="15.75">
      <c r="R89" s="446"/>
      <c r="S89" s="446"/>
      <c r="T89" s="246"/>
    </row>
    <row r="90" spans="18:20" ht="15.75">
      <c r="R90" s="446"/>
      <c r="S90" s="446"/>
      <c r="T90" s="146"/>
    </row>
    <row r="91" spans="18:20" ht="15.75">
      <c r="R91" s="446"/>
      <c r="S91" s="446"/>
      <c r="T91" s="1433"/>
    </row>
    <row r="92" spans="18:20" ht="15.75">
      <c r="R92" s="446"/>
      <c r="S92" s="446"/>
      <c r="T92" s="246"/>
    </row>
    <row r="93" spans="18:20" ht="15.75">
      <c r="R93" s="446"/>
      <c r="S93" s="446"/>
      <c r="T93" s="246"/>
    </row>
    <row r="94" spans="18:20" ht="15.75">
      <c r="R94" s="446"/>
      <c r="S94" s="446"/>
      <c r="T94" s="246"/>
    </row>
    <row r="95" spans="18:20" ht="15.75">
      <c r="R95" s="446"/>
      <c r="S95" s="446"/>
      <c r="T95" s="246"/>
    </row>
    <row r="96" spans="18:20" ht="15.75">
      <c r="R96" s="446"/>
      <c r="S96" s="446"/>
      <c r="T96" s="58"/>
    </row>
    <row r="97" spans="18:20" ht="15.75">
      <c r="R97" s="446"/>
      <c r="S97" s="446"/>
      <c r="T97" s="246"/>
    </row>
    <row r="98" spans="18:20" ht="15.75">
      <c r="R98" s="446"/>
      <c r="S98" s="446"/>
      <c r="T98" s="246"/>
    </row>
    <row r="99" spans="18:20" ht="15.75">
      <c r="R99" s="446"/>
      <c r="S99" s="446"/>
      <c r="T99" s="246"/>
    </row>
    <row r="100" spans="18:20" ht="15.75">
      <c r="R100" s="446"/>
      <c r="S100" s="446"/>
      <c r="T100" s="246"/>
    </row>
    <row r="101" spans="18:20" ht="15.75">
      <c r="R101" s="446"/>
      <c r="S101" s="446"/>
      <c r="T101" s="58"/>
    </row>
    <row r="102" spans="18:20" ht="15.75">
      <c r="R102" s="446"/>
      <c r="S102" s="446"/>
      <c r="T102" s="58"/>
    </row>
    <row r="103" spans="18:20" ht="15.75">
      <c r="R103" s="446"/>
      <c r="S103" s="446"/>
      <c r="T103" s="58"/>
    </row>
    <row r="104" spans="18:20" ht="15.75">
      <c r="R104" s="446"/>
      <c r="S104" s="446"/>
      <c r="T104" s="246"/>
    </row>
    <row r="105" spans="18:20" ht="15.75">
      <c r="R105" s="446"/>
      <c r="S105" s="446"/>
      <c r="T105" s="246"/>
    </row>
    <row r="106" spans="18:20" ht="15.75">
      <c r="R106" s="446"/>
      <c r="S106" s="446"/>
      <c r="T106" s="246"/>
    </row>
    <row r="107" spans="18:20" ht="15.75">
      <c r="R107" s="446"/>
      <c r="S107" s="446"/>
      <c r="T107" s="58"/>
    </row>
    <row r="108" spans="18:20" ht="15.75">
      <c r="R108" s="446"/>
      <c r="S108" s="446"/>
      <c r="T108" s="58"/>
    </row>
    <row r="109" spans="18:20" ht="15.75">
      <c r="R109" s="446"/>
      <c r="S109" s="446"/>
      <c r="T109" s="246"/>
    </row>
    <row r="110" spans="18:20" ht="15.75">
      <c r="R110" s="446"/>
      <c r="S110" s="446"/>
      <c r="T110" s="246"/>
    </row>
    <row r="111" spans="18:20" ht="15.75">
      <c r="R111" s="446"/>
      <c r="S111" s="446"/>
      <c r="T111" s="58"/>
    </row>
    <row r="112" spans="18:20" ht="15.75">
      <c r="R112" s="446"/>
      <c r="S112" s="446"/>
      <c r="T112" s="246"/>
    </row>
    <row r="113" spans="18:20" ht="15.75">
      <c r="R113" s="446"/>
      <c r="S113" s="446"/>
      <c r="T113" s="58"/>
    </row>
    <row r="114" spans="18:20" ht="15.75">
      <c r="R114" s="446"/>
      <c r="S114" s="446"/>
      <c r="T114" s="58"/>
    </row>
    <row r="115" spans="18:20" ht="15.75">
      <c r="R115" s="446"/>
      <c r="S115" s="446"/>
      <c r="T115" s="58"/>
    </row>
    <row r="116" spans="18:20" ht="15.75">
      <c r="R116" s="446"/>
      <c r="S116" s="446"/>
      <c r="T116" s="246"/>
    </row>
    <row r="117" spans="18:20" ht="15.75">
      <c r="R117" s="446"/>
      <c r="S117" s="446"/>
      <c r="T117" s="246"/>
    </row>
    <row r="118" spans="18:20" ht="15.75">
      <c r="R118" s="446"/>
      <c r="S118" s="446"/>
      <c r="T118" s="246"/>
    </row>
  </sheetData>
  <sheetProtection selectLockedCells="1" selectUnlockedCells="1"/>
  <mergeCells count="14">
    <mergeCell ref="A4:Q4"/>
    <mergeCell ref="A5:Q5"/>
    <mergeCell ref="C7:E7"/>
    <mergeCell ref="F7:H7"/>
    <mergeCell ref="I7:K7"/>
    <mergeCell ref="L7:N7"/>
    <mergeCell ref="O7:Q7"/>
    <mergeCell ref="R7:T7"/>
    <mergeCell ref="R8:T8"/>
    <mergeCell ref="C8:E8"/>
    <mergeCell ref="F8:H8"/>
    <mergeCell ref="I8:K8"/>
    <mergeCell ref="L8:N8"/>
    <mergeCell ref="O8:Q8"/>
  </mergeCells>
  <printOptions/>
  <pageMargins left="0.31496062992125984" right="0.2362204724409449" top="0.7874015748031497" bottom="0.6692913385826772" header="0.5118110236220472" footer="0.5118110236220472"/>
  <pageSetup horizontalDpi="600" verticalDpi="600" orientation="landscape" paperSize="9" scale="40" r:id="rId1"/>
  <rowBreaks count="1" manualBreakCount="1">
    <brk id="34" max="1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8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7" customWidth="1"/>
    <col min="2" max="2" width="68.50390625" style="25" customWidth="1"/>
    <col min="3" max="14" width="16.875" style="25" customWidth="1"/>
    <col min="15" max="15" width="5.50390625" style="25" customWidth="1"/>
    <col min="16" max="16" width="13.375" style="25" customWidth="1"/>
    <col min="17" max="16384" width="9.375" style="25" customWidth="1"/>
  </cols>
  <sheetData>
    <row r="1" spans="1:14" ht="31.5" customHeight="1">
      <c r="A1" s="204"/>
      <c r="B1" s="26" t="s">
        <v>722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33" customHeight="1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0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22.5" customHeight="1">
      <c r="A4" s="1807" t="s">
        <v>223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</row>
    <row r="5" spans="1:14" ht="21.75" customHeight="1">
      <c r="A5" s="1808" t="s">
        <v>577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</row>
    <row r="6" spans="1:14" ht="25.5" customHeight="1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8" t="s">
        <v>1</v>
      </c>
    </row>
    <row r="7" spans="1:14" s="308" customFormat="1" ht="26.25" customHeight="1" thickBot="1">
      <c r="A7" s="129" t="s">
        <v>118</v>
      </c>
      <c r="B7" s="129" t="s">
        <v>142</v>
      </c>
      <c r="C7" s="1836" t="s">
        <v>363</v>
      </c>
      <c r="D7" s="1837"/>
      <c r="E7" s="1838"/>
      <c r="F7" s="1836" t="s">
        <v>364</v>
      </c>
      <c r="G7" s="1837"/>
      <c r="H7" s="1838"/>
      <c r="I7" s="1836" t="s">
        <v>371</v>
      </c>
      <c r="J7" s="1837"/>
      <c r="K7" s="1838"/>
      <c r="L7" s="1836" t="s">
        <v>366</v>
      </c>
      <c r="M7" s="1837"/>
      <c r="N7" s="1838"/>
    </row>
    <row r="8" spans="1:14" ht="45" customHeight="1">
      <c r="A8" s="209" t="s">
        <v>87</v>
      </c>
      <c r="B8" s="210" t="s">
        <v>88</v>
      </c>
      <c r="C8" s="1809" t="s">
        <v>149</v>
      </c>
      <c r="D8" s="1809"/>
      <c r="E8" s="1809"/>
      <c r="F8" s="1833" t="s">
        <v>150</v>
      </c>
      <c r="G8" s="1833"/>
      <c r="H8" s="1833"/>
      <c r="I8" s="1834" t="s">
        <v>151</v>
      </c>
      <c r="J8" s="1834"/>
      <c r="K8" s="1834"/>
      <c r="L8" s="1835" t="s">
        <v>152</v>
      </c>
      <c r="M8" s="1835"/>
      <c r="N8" s="1835"/>
    </row>
    <row r="9" spans="1:14" s="30" customFormat="1" ht="38.25" customHeight="1" thickBot="1">
      <c r="A9" s="211" t="s">
        <v>90</v>
      </c>
      <c r="B9" s="212" t="s">
        <v>91</v>
      </c>
      <c r="C9" s="213" t="s">
        <v>92</v>
      </c>
      <c r="D9" s="214" t="s">
        <v>93</v>
      </c>
      <c r="E9" s="215" t="s">
        <v>94</v>
      </c>
      <c r="F9" s="213" t="s">
        <v>92</v>
      </c>
      <c r="G9" s="214" t="s">
        <v>93</v>
      </c>
      <c r="H9" s="215" t="s">
        <v>94</v>
      </c>
      <c r="I9" s="213" t="s">
        <v>92</v>
      </c>
      <c r="J9" s="214" t="s">
        <v>93</v>
      </c>
      <c r="K9" s="215" t="s">
        <v>94</v>
      </c>
      <c r="L9" s="213" t="s">
        <v>92</v>
      </c>
      <c r="M9" s="214" t="s">
        <v>93</v>
      </c>
      <c r="N9" s="215" t="s">
        <v>94</v>
      </c>
    </row>
    <row r="10" spans="1:14" s="31" customFormat="1" ht="12" thickBo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  <c r="F10" s="218">
        <v>3</v>
      </c>
      <c r="G10" s="219">
        <v>4</v>
      </c>
      <c r="H10" s="220">
        <v>5</v>
      </c>
      <c r="I10" s="218">
        <v>3</v>
      </c>
      <c r="J10" s="219">
        <v>4</v>
      </c>
      <c r="K10" s="220">
        <v>5</v>
      </c>
      <c r="L10" s="218">
        <v>3</v>
      </c>
      <c r="M10" s="219">
        <v>4</v>
      </c>
      <c r="N10" s="220">
        <v>5</v>
      </c>
    </row>
    <row r="11" spans="1:14" s="30" customFormat="1" ht="18.7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23"/>
      <c r="J11" s="224"/>
      <c r="K11" s="225"/>
      <c r="L11" s="223"/>
      <c r="M11" s="224"/>
      <c r="N11" s="225"/>
    </row>
    <row r="12" spans="1:14" s="38" customFormat="1" ht="17.25" customHeight="1" thickBot="1">
      <c r="A12" s="46">
        <v>1</v>
      </c>
      <c r="B12" s="226" t="s">
        <v>8</v>
      </c>
      <c r="C12" s="69">
        <f>232102-I12</f>
        <v>225302</v>
      </c>
      <c r="D12" s="69">
        <f>225302+73+49</f>
        <v>225424</v>
      </c>
      <c r="E12" s="227"/>
      <c r="F12" s="69">
        <v>39514</v>
      </c>
      <c r="G12" s="69">
        <v>39514</v>
      </c>
      <c r="H12" s="227"/>
      <c r="I12" s="69">
        <v>6800</v>
      </c>
      <c r="J12" s="69">
        <f>6800+2844</f>
        <v>9644</v>
      </c>
      <c r="K12" s="227"/>
      <c r="L12" s="69">
        <f aca="true" t="shared" si="0" ref="L12:M33">SUM(C12+F12+I12)</f>
        <v>271616</v>
      </c>
      <c r="M12" s="69">
        <f aca="true" t="shared" si="1" ref="M12:N14">SUM(D12+G12+J12)</f>
        <v>274582</v>
      </c>
      <c r="N12" s="227">
        <f t="shared" si="1"/>
        <v>0</v>
      </c>
    </row>
    <row r="13" spans="1:14" s="38" customFormat="1" ht="17.25" customHeight="1" thickBot="1">
      <c r="A13" s="46">
        <v>2</v>
      </c>
      <c r="B13" s="226" t="s">
        <v>96</v>
      </c>
      <c r="C13" s="69">
        <f>49203-I13+1</f>
        <v>47283</v>
      </c>
      <c r="D13" s="69">
        <f>47283+14+9</f>
        <v>47306</v>
      </c>
      <c r="E13" s="227"/>
      <c r="F13" s="69">
        <v>7114</v>
      </c>
      <c r="G13" s="69">
        <v>7114</v>
      </c>
      <c r="H13" s="227"/>
      <c r="I13" s="69">
        <f>800+590+531</f>
        <v>1921</v>
      </c>
      <c r="J13" s="69">
        <f>1921+542+34</f>
        <v>2497</v>
      </c>
      <c r="K13" s="227"/>
      <c r="L13" s="69">
        <f t="shared" si="0"/>
        <v>56318</v>
      </c>
      <c r="M13" s="69">
        <f t="shared" si="1"/>
        <v>56917</v>
      </c>
      <c r="N13" s="227">
        <f t="shared" si="1"/>
        <v>0</v>
      </c>
    </row>
    <row r="14" spans="1:14" s="38" customFormat="1" ht="17.25" customHeight="1" thickBot="1">
      <c r="A14" s="46">
        <v>3</v>
      </c>
      <c r="B14" s="226" t="s">
        <v>15</v>
      </c>
      <c r="C14" s="69">
        <f>79780-I14</f>
        <v>78980</v>
      </c>
      <c r="D14" s="69">
        <v>78980</v>
      </c>
      <c r="E14" s="227"/>
      <c r="F14" s="69">
        <v>5943</v>
      </c>
      <c r="G14" s="69">
        <v>5943</v>
      </c>
      <c r="H14" s="227"/>
      <c r="I14" s="69">
        <v>800</v>
      </c>
      <c r="J14" s="69">
        <f>800+563-110</f>
        <v>1253</v>
      </c>
      <c r="K14" s="227"/>
      <c r="L14" s="69">
        <f>SUM(C14+F14+I14)</f>
        <v>85723</v>
      </c>
      <c r="M14" s="69">
        <f t="shared" si="1"/>
        <v>86176</v>
      </c>
      <c r="N14" s="227">
        <f t="shared" si="1"/>
        <v>0</v>
      </c>
    </row>
    <row r="15" spans="1:14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/>
      <c r="G15" s="69"/>
      <c r="H15" s="227"/>
      <c r="I15" s="69"/>
      <c r="J15" s="69"/>
      <c r="K15" s="227"/>
      <c r="L15" s="35">
        <f t="shared" si="0"/>
        <v>0</v>
      </c>
      <c r="M15" s="35">
        <f t="shared" si="0"/>
        <v>0</v>
      </c>
      <c r="N15" s="37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50">
        <f t="shared" si="0"/>
        <v>0</v>
      </c>
      <c r="M16" s="50">
        <f aca="true" t="shared" si="2" ref="M16:M23">SUM(D16+G16+J16)</f>
        <v>0</v>
      </c>
      <c r="N16" s="104">
        <f aca="true" t="shared" si="3" ref="N16:N23">SUM(E16+H16+K16)</f>
        <v>0</v>
      </c>
    </row>
    <row r="17" spans="1:14" s="38" customFormat="1" ht="17.25" customHeight="1">
      <c r="A17" s="39" t="s">
        <v>99</v>
      </c>
      <c r="B17" s="48" t="s">
        <v>100</v>
      </c>
      <c r="C17" s="229"/>
      <c r="D17" s="50"/>
      <c r="E17" s="104"/>
      <c r="F17" s="229"/>
      <c r="G17" s="50"/>
      <c r="H17" s="104"/>
      <c r="I17" s="229"/>
      <c r="J17" s="50"/>
      <c r="K17" s="104"/>
      <c r="L17" s="50">
        <f t="shared" si="0"/>
        <v>0</v>
      </c>
      <c r="M17" s="50">
        <f t="shared" si="2"/>
        <v>0</v>
      </c>
      <c r="N17" s="104">
        <f t="shared" si="3"/>
        <v>0</v>
      </c>
    </row>
    <row r="18" spans="1:14" s="38" customFormat="1" ht="17.25" customHeight="1">
      <c r="A18" s="39" t="s">
        <v>101</v>
      </c>
      <c r="B18" s="48" t="s">
        <v>102</v>
      </c>
      <c r="C18" s="229"/>
      <c r="D18" s="50"/>
      <c r="E18" s="104"/>
      <c r="F18" s="229"/>
      <c r="G18" s="50"/>
      <c r="H18" s="104"/>
      <c r="I18" s="229"/>
      <c r="J18" s="50"/>
      <c r="K18" s="104"/>
      <c r="L18" s="50">
        <f t="shared" si="0"/>
        <v>0</v>
      </c>
      <c r="M18" s="50">
        <f t="shared" si="2"/>
        <v>0</v>
      </c>
      <c r="N18" s="104">
        <f t="shared" si="3"/>
        <v>0</v>
      </c>
    </row>
    <row r="19" spans="1:14" s="38" customFormat="1" ht="17.25" customHeigh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4"/>
      <c r="I19" s="229"/>
      <c r="J19" s="50">
        <v>84</v>
      </c>
      <c r="K19" s="104"/>
      <c r="L19" s="50">
        <f t="shared" si="0"/>
        <v>0</v>
      </c>
      <c r="M19" s="50">
        <f t="shared" si="2"/>
        <v>84</v>
      </c>
      <c r="N19" s="104">
        <f t="shared" si="3"/>
        <v>0</v>
      </c>
    </row>
    <row r="20" spans="1:14" s="38" customFormat="1" ht="17.25" customHeight="1">
      <c r="A20" s="230" t="s">
        <v>104</v>
      </c>
      <c r="B20" s="48" t="s">
        <v>105</v>
      </c>
      <c r="C20" s="51"/>
      <c r="D20" s="50"/>
      <c r="E20" s="104"/>
      <c r="F20" s="51"/>
      <c r="G20" s="50"/>
      <c r="H20" s="104"/>
      <c r="I20" s="51"/>
      <c r="J20" s="50"/>
      <c r="K20" s="104"/>
      <c r="L20" s="50">
        <f t="shared" si="0"/>
        <v>0</v>
      </c>
      <c r="M20" s="50">
        <f t="shared" si="2"/>
        <v>0</v>
      </c>
      <c r="N20" s="104">
        <f t="shared" si="3"/>
        <v>0</v>
      </c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4"/>
      <c r="F21" s="51"/>
      <c r="G21" s="50"/>
      <c r="H21" s="104"/>
      <c r="I21" s="51"/>
      <c r="J21" s="50"/>
      <c r="K21" s="104"/>
      <c r="L21" s="50">
        <f t="shared" si="0"/>
        <v>0</v>
      </c>
      <c r="M21" s="50">
        <f t="shared" si="2"/>
        <v>0</v>
      </c>
      <c r="N21" s="104">
        <f t="shared" si="3"/>
        <v>0</v>
      </c>
    </row>
    <row r="22" spans="1:14" s="38" customFormat="1" ht="17.25" customHeight="1">
      <c r="A22" s="230" t="s">
        <v>108</v>
      </c>
      <c r="B22" s="48" t="s">
        <v>109</v>
      </c>
      <c r="C22" s="51"/>
      <c r="D22" s="50"/>
      <c r="E22" s="104"/>
      <c r="F22" s="51"/>
      <c r="G22" s="50"/>
      <c r="H22" s="104"/>
      <c r="I22" s="51"/>
      <c r="J22" s="50">
        <v>26</v>
      </c>
      <c r="K22" s="104"/>
      <c r="L22" s="50">
        <f t="shared" si="0"/>
        <v>0</v>
      </c>
      <c r="M22" s="50">
        <f t="shared" si="2"/>
        <v>26</v>
      </c>
      <c r="N22" s="104">
        <f t="shared" si="3"/>
        <v>0</v>
      </c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44">
        <f t="shared" si="0"/>
        <v>0</v>
      </c>
      <c r="M23" s="44">
        <f t="shared" si="2"/>
        <v>0</v>
      </c>
      <c r="N23" s="1105">
        <f t="shared" si="3"/>
        <v>0</v>
      </c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4" ref="C24:K24">SUM(C16:C23)</f>
        <v>0</v>
      </c>
      <c r="D24" s="47">
        <f t="shared" si="4"/>
        <v>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110</v>
      </c>
      <c r="K24" s="47">
        <f t="shared" si="4"/>
        <v>0</v>
      </c>
      <c r="L24" s="69">
        <f t="shared" si="0"/>
        <v>0</v>
      </c>
      <c r="M24" s="47">
        <f>SUM(M16:M23)</f>
        <v>110</v>
      </c>
      <c r="N24" s="293">
        <f>SUM(N16:N23)</f>
        <v>0</v>
      </c>
    </row>
    <row r="25" spans="1:14" s="38" customFormat="1" ht="17.25" customHeight="1" thickBot="1">
      <c r="A25" s="46">
        <v>6</v>
      </c>
      <c r="B25" s="226" t="s">
        <v>53</v>
      </c>
      <c r="C25" s="47">
        <f>17082-I25</f>
        <v>16582</v>
      </c>
      <c r="D25" s="69">
        <v>16582</v>
      </c>
      <c r="E25" s="227"/>
      <c r="F25" s="47">
        <v>64</v>
      </c>
      <c r="G25" s="69">
        <v>64</v>
      </c>
      <c r="H25" s="227"/>
      <c r="I25" s="47">
        <v>500</v>
      </c>
      <c r="J25" s="69">
        <v>500</v>
      </c>
      <c r="K25" s="227"/>
      <c r="L25" s="69">
        <f t="shared" si="0"/>
        <v>17146</v>
      </c>
      <c r="M25" s="69">
        <f>SUM(D25+G25+J25)</f>
        <v>17146</v>
      </c>
      <c r="N25" s="227">
        <f>SUM(E25+H25+K25)</f>
        <v>0</v>
      </c>
    </row>
    <row r="26" spans="1:14" s="38" customFormat="1" ht="17.25" customHeight="1" thickBot="1">
      <c r="A26" s="46">
        <v>7</v>
      </c>
      <c r="B26" s="226" t="s">
        <v>56</v>
      </c>
      <c r="C26" s="69"/>
      <c r="D26" s="69"/>
      <c r="E26" s="227"/>
      <c r="F26" s="69"/>
      <c r="G26" s="69"/>
      <c r="H26" s="227"/>
      <c r="I26" s="69"/>
      <c r="J26" s="69"/>
      <c r="K26" s="227"/>
      <c r="L26" s="69">
        <f t="shared" si="0"/>
        <v>0</v>
      </c>
      <c r="M26" s="69"/>
      <c r="N26" s="227"/>
    </row>
    <row r="27" spans="1:14" s="38" customFormat="1" ht="17.25" customHeight="1" thickBot="1">
      <c r="A27" s="231" t="s">
        <v>97</v>
      </c>
      <c r="B27" s="232" t="s">
        <v>112</v>
      </c>
      <c r="C27" s="233"/>
      <c r="D27" s="234"/>
      <c r="E27" s="235"/>
      <c r="F27" s="233"/>
      <c r="G27" s="234"/>
      <c r="H27" s="235"/>
      <c r="I27" s="233"/>
      <c r="J27" s="234"/>
      <c r="K27" s="235"/>
      <c r="L27" s="69">
        <f t="shared" si="0"/>
        <v>0</v>
      </c>
      <c r="M27" s="234"/>
      <c r="N27" s="235"/>
    </row>
    <row r="28" spans="1:14" s="38" customFormat="1" ht="17.25" customHeight="1" thickBot="1">
      <c r="A28" s="39" t="s">
        <v>99</v>
      </c>
      <c r="B28" s="48" t="s">
        <v>113</v>
      </c>
      <c r="C28" s="229"/>
      <c r="D28" s="50"/>
      <c r="E28" s="104"/>
      <c r="F28" s="229"/>
      <c r="G28" s="50"/>
      <c r="H28" s="104"/>
      <c r="I28" s="229"/>
      <c r="J28" s="50"/>
      <c r="K28" s="104"/>
      <c r="L28" s="69">
        <f t="shared" si="0"/>
        <v>0</v>
      </c>
      <c r="M28" s="50"/>
      <c r="N28" s="104"/>
    </row>
    <row r="29" spans="1:14" s="38" customFormat="1" ht="17.25" customHeight="1" thickBot="1">
      <c r="A29" s="236" t="s">
        <v>101</v>
      </c>
      <c r="B29" s="237" t="s">
        <v>114</v>
      </c>
      <c r="C29" s="238"/>
      <c r="D29" s="239"/>
      <c r="E29" s="240"/>
      <c r="F29" s="238"/>
      <c r="G29" s="239"/>
      <c r="H29" s="240"/>
      <c r="I29" s="238"/>
      <c r="J29" s="239"/>
      <c r="K29" s="240"/>
      <c r="L29" s="69">
        <f t="shared" si="0"/>
        <v>0</v>
      </c>
      <c r="M29" s="239"/>
      <c r="N29" s="240"/>
    </row>
    <row r="30" spans="1:14" s="38" customFormat="1" ht="17.25" customHeight="1" thickBo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69">
        <f t="shared" si="0"/>
        <v>0</v>
      </c>
      <c r="M30" s="69">
        <f t="shared" si="0"/>
        <v>0</v>
      </c>
      <c r="N30" s="52"/>
    </row>
    <row r="31" spans="1:14" s="38" customFormat="1" ht="17.25" customHeight="1" thickBot="1">
      <c r="A31" s="241" t="s">
        <v>104</v>
      </c>
      <c r="B31" s="242" t="s">
        <v>116</v>
      </c>
      <c r="C31" s="243"/>
      <c r="D31" s="244"/>
      <c r="E31" s="245"/>
      <c r="F31" s="243"/>
      <c r="G31" s="244"/>
      <c r="H31" s="245"/>
      <c r="I31" s="243"/>
      <c r="J31" s="244"/>
      <c r="K31" s="245"/>
      <c r="L31" s="69">
        <f t="shared" si="0"/>
        <v>0</v>
      </c>
      <c r="M31" s="244"/>
      <c r="N31" s="245"/>
    </row>
    <row r="32" spans="1:14" s="246" customFormat="1" ht="17.25" customHeight="1" thickBot="1">
      <c r="A32" s="46">
        <v>8</v>
      </c>
      <c r="B32" s="226" t="s">
        <v>59</v>
      </c>
      <c r="C32" s="47">
        <f aca="true" t="shared" si="5" ref="C32:K32">SUM(C27:C31)</f>
        <v>0</v>
      </c>
      <c r="D32" s="47">
        <f t="shared" si="5"/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69">
        <f t="shared" si="0"/>
        <v>0</v>
      </c>
      <c r="M32" s="47">
        <f>SUM(M27:M31)</f>
        <v>0</v>
      </c>
      <c r="N32" s="293">
        <f>SUM(N27:N31)</f>
        <v>0</v>
      </c>
    </row>
    <row r="33" spans="1:14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/>
      <c r="G33" s="69"/>
      <c r="H33" s="227"/>
      <c r="I33" s="47"/>
      <c r="J33" s="69"/>
      <c r="K33" s="227"/>
      <c r="L33" s="69">
        <f t="shared" si="0"/>
        <v>0</v>
      </c>
      <c r="M33" s="69"/>
      <c r="N33" s="227"/>
    </row>
    <row r="34" spans="1:16" s="58" customFormat="1" ht="17.25" customHeight="1" thickBot="1">
      <c r="A34" s="1256" t="s">
        <v>118</v>
      </c>
      <c r="B34" s="1257" t="s">
        <v>147</v>
      </c>
      <c r="C34" s="1258">
        <f aca="true" t="shared" si="6" ref="C34:N34">SUM(C12+C13+C14+C15+C24+C25+C26+C32+C33)</f>
        <v>368147</v>
      </c>
      <c r="D34" s="1258">
        <f t="shared" si="6"/>
        <v>368292</v>
      </c>
      <c r="E34" s="1258">
        <f t="shared" si="6"/>
        <v>0</v>
      </c>
      <c r="F34" s="1258">
        <f t="shared" si="6"/>
        <v>52635</v>
      </c>
      <c r="G34" s="1258">
        <f t="shared" si="6"/>
        <v>52635</v>
      </c>
      <c r="H34" s="1258">
        <f t="shared" si="6"/>
        <v>0</v>
      </c>
      <c r="I34" s="1258">
        <f t="shared" si="6"/>
        <v>10021</v>
      </c>
      <c r="J34" s="1258">
        <f t="shared" si="6"/>
        <v>14004</v>
      </c>
      <c r="K34" s="1258">
        <f t="shared" si="6"/>
        <v>0</v>
      </c>
      <c r="L34" s="1258">
        <f t="shared" si="6"/>
        <v>430803</v>
      </c>
      <c r="M34" s="1258">
        <f t="shared" si="6"/>
        <v>434931</v>
      </c>
      <c r="N34" s="1259">
        <f t="shared" si="6"/>
        <v>0</v>
      </c>
      <c r="O34" s="56"/>
      <c r="P34" s="57"/>
    </row>
    <row r="35" spans="1:15" s="191" customFormat="1" ht="17.25" customHeight="1" thickBot="1">
      <c r="A35" s="247"/>
      <c r="B35" s="248" t="s">
        <v>120</v>
      </c>
      <c r="C35" s="47"/>
      <c r="D35" s="69"/>
      <c r="E35" s="1260"/>
      <c r="F35" s="47"/>
      <c r="G35" s="69"/>
      <c r="H35" s="1260"/>
      <c r="I35" s="47"/>
      <c r="J35" s="69"/>
      <c r="K35" s="1260"/>
      <c r="L35" s="47"/>
      <c r="M35" s="69"/>
      <c r="N35" s="1260"/>
      <c r="O35" s="252"/>
    </row>
    <row r="36" spans="1:14" s="38" customFormat="1" ht="17.25" customHeight="1">
      <c r="A36" s="253" t="s">
        <v>97</v>
      </c>
      <c r="B36" s="254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>
        <f aca="true" t="shared" si="7" ref="L36:M55">SUM(C36+F36+I36)</f>
        <v>0</v>
      </c>
      <c r="M36" s="50">
        <f>SUM(D36+G36+J36)</f>
        <v>0</v>
      </c>
      <c r="N36" s="104">
        <f>SUM(E36+H36+K36)</f>
        <v>0</v>
      </c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40"/>
      <c r="I37" s="50"/>
      <c r="J37" s="50"/>
      <c r="K37" s="240"/>
      <c r="L37" s="50">
        <f t="shared" si="7"/>
        <v>0</v>
      </c>
      <c r="M37" s="50">
        <f>SUM(D37+G37+J37)</f>
        <v>0</v>
      </c>
      <c r="N37" s="240"/>
    </row>
    <row r="38" spans="1:14" s="38" customFormat="1" ht="17.25" customHeight="1">
      <c r="A38" s="39" t="s">
        <v>101</v>
      </c>
      <c r="B38" s="48" t="s">
        <v>122</v>
      </c>
      <c r="C38" s="50"/>
      <c r="D38" s="50"/>
      <c r="E38" s="240"/>
      <c r="F38" s="50"/>
      <c r="G38" s="50"/>
      <c r="H38" s="240"/>
      <c r="I38" s="50"/>
      <c r="J38" s="50"/>
      <c r="K38" s="240"/>
      <c r="L38" s="50">
        <f t="shared" si="7"/>
        <v>0</v>
      </c>
      <c r="M38" s="50">
        <f>SUM(D38+G38+J38)</f>
        <v>0</v>
      </c>
      <c r="N38" s="240"/>
    </row>
    <row r="39" spans="1:14" s="38" customFormat="1" ht="17.25" customHeight="1">
      <c r="A39" s="39" t="s">
        <v>103</v>
      </c>
      <c r="B39" s="48" t="s">
        <v>123</v>
      </c>
      <c r="C39" s="50"/>
      <c r="D39" s="50"/>
      <c r="E39" s="240"/>
      <c r="F39" s="50"/>
      <c r="G39" s="50"/>
      <c r="H39" s="240"/>
      <c r="I39" s="50"/>
      <c r="J39" s="50">
        <v>3983</v>
      </c>
      <c r="K39" s="240"/>
      <c r="L39" s="50">
        <f t="shared" si="7"/>
        <v>0</v>
      </c>
      <c r="M39" s="50">
        <f>SUM(D39+G39+J39)</f>
        <v>3983</v>
      </c>
      <c r="N39" s="240"/>
    </row>
    <row r="40" spans="1:14" s="63" customFormat="1" ht="17.25" customHeight="1">
      <c r="A40" s="255">
        <v>1</v>
      </c>
      <c r="B40" s="256" t="s">
        <v>124</v>
      </c>
      <c r="C40" s="257">
        <f aca="true" t="shared" si="8" ref="C40:K40">SUM(C36:C39)</f>
        <v>0</v>
      </c>
      <c r="D40" s="257">
        <f t="shared" si="8"/>
        <v>0</v>
      </c>
      <c r="E40" s="257">
        <f t="shared" si="8"/>
        <v>0</v>
      </c>
      <c r="F40" s="257">
        <f t="shared" si="8"/>
        <v>0</v>
      </c>
      <c r="G40" s="257">
        <f t="shared" si="8"/>
        <v>0</v>
      </c>
      <c r="H40" s="257">
        <f t="shared" si="8"/>
        <v>0</v>
      </c>
      <c r="I40" s="257">
        <f t="shared" si="8"/>
        <v>0</v>
      </c>
      <c r="J40" s="257">
        <f t="shared" si="8"/>
        <v>3983</v>
      </c>
      <c r="K40" s="257">
        <f t="shared" si="8"/>
        <v>0</v>
      </c>
      <c r="L40" s="50">
        <f t="shared" si="7"/>
        <v>0</v>
      </c>
      <c r="M40" s="257">
        <f>SUM(M36:M39)</f>
        <v>3983</v>
      </c>
      <c r="N40" s="298">
        <f>SUM(N36:N39)</f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40"/>
      <c r="I41" s="50"/>
      <c r="J41" s="50"/>
      <c r="K41" s="240"/>
      <c r="L41" s="50">
        <f t="shared" si="7"/>
        <v>0</v>
      </c>
      <c r="M41" s="50">
        <f t="shared" si="7"/>
        <v>0</v>
      </c>
      <c r="N41" s="240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40"/>
      <c r="F42" s="50"/>
      <c r="G42" s="50"/>
      <c r="H42" s="240"/>
      <c r="I42" s="50"/>
      <c r="J42" s="50"/>
      <c r="K42" s="240"/>
      <c r="L42" s="50">
        <f t="shared" si="7"/>
        <v>0</v>
      </c>
      <c r="M42" s="50">
        <f t="shared" si="7"/>
        <v>0</v>
      </c>
      <c r="N42" s="240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40"/>
      <c r="F43" s="50"/>
      <c r="G43" s="50"/>
      <c r="H43" s="240"/>
      <c r="I43" s="50"/>
      <c r="J43" s="50"/>
      <c r="K43" s="240"/>
      <c r="L43" s="50">
        <f t="shared" si="7"/>
        <v>0</v>
      </c>
      <c r="M43" s="50">
        <f t="shared" si="7"/>
        <v>0</v>
      </c>
      <c r="N43" s="240"/>
    </row>
    <row r="44" spans="1:14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/>
      <c r="G44" s="50"/>
      <c r="H44" s="240"/>
      <c r="I44" s="229"/>
      <c r="J44" s="50"/>
      <c r="K44" s="240"/>
      <c r="L44" s="50">
        <f t="shared" si="7"/>
        <v>0</v>
      </c>
      <c r="M44" s="50">
        <f t="shared" si="7"/>
        <v>0</v>
      </c>
      <c r="N44" s="240"/>
    </row>
    <row r="45" spans="1:14" s="63" customFormat="1" ht="17.25" customHeight="1">
      <c r="A45" s="255">
        <v>2</v>
      </c>
      <c r="B45" s="256" t="s">
        <v>129</v>
      </c>
      <c r="C45" s="258">
        <f aca="true" t="shared" si="9" ref="C45:K45">SUM(C41:C44)</f>
        <v>0</v>
      </c>
      <c r="D45" s="258">
        <f t="shared" si="9"/>
        <v>0</v>
      </c>
      <c r="E45" s="258">
        <f t="shared" si="9"/>
        <v>0</v>
      </c>
      <c r="F45" s="258">
        <f t="shared" si="9"/>
        <v>0</v>
      </c>
      <c r="G45" s="258">
        <f t="shared" si="9"/>
        <v>0</v>
      </c>
      <c r="H45" s="258">
        <f t="shared" si="9"/>
        <v>0</v>
      </c>
      <c r="I45" s="258">
        <f t="shared" si="9"/>
        <v>0</v>
      </c>
      <c r="J45" s="258">
        <f t="shared" si="9"/>
        <v>0</v>
      </c>
      <c r="K45" s="258">
        <f t="shared" si="9"/>
        <v>0</v>
      </c>
      <c r="L45" s="50">
        <f t="shared" si="7"/>
        <v>0</v>
      </c>
      <c r="M45" s="258">
        <f>SUM(M41:M44)</f>
        <v>0</v>
      </c>
      <c r="N45" s="1246">
        <f>SUM(N41:N44)</f>
        <v>0</v>
      </c>
    </row>
    <row r="46" spans="1:14" s="63" customFormat="1" ht="17.25" customHeight="1">
      <c r="A46" s="255">
        <v>3</v>
      </c>
      <c r="B46" s="256" t="s">
        <v>34</v>
      </c>
      <c r="C46" s="258">
        <v>686</v>
      </c>
      <c r="D46" s="257">
        <v>686</v>
      </c>
      <c r="E46" s="259"/>
      <c r="F46" s="258"/>
      <c r="G46" s="257"/>
      <c r="H46" s="259"/>
      <c r="I46" s="258"/>
      <c r="J46" s="257"/>
      <c r="K46" s="259"/>
      <c r="L46" s="50">
        <f t="shared" si="7"/>
        <v>686</v>
      </c>
      <c r="M46" s="50">
        <f t="shared" si="7"/>
        <v>686</v>
      </c>
      <c r="N46" s="259"/>
    </row>
    <row r="47" spans="1:14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259"/>
      <c r="I47" s="258"/>
      <c r="J47" s="257"/>
      <c r="K47" s="259"/>
      <c r="L47" s="50">
        <f t="shared" si="7"/>
        <v>0</v>
      </c>
      <c r="M47" s="50">
        <f t="shared" si="7"/>
        <v>0</v>
      </c>
      <c r="N47" s="259"/>
    </row>
    <row r="48" spans="1:14" s="38" customFormat="1" ht="17.25" customHeight="1">
      <c r="A48" s="39" t="s">
        <v>97</v>
      </c>
      <c r="B48" s="48" t="s">
        <v>130</v>
      </c>
      <c r="C48" s="229"/>
      <c r="D48" s="51"/>
      <c r="E48" s="260"/>
      <c r="F48" s="229"/>
      <c r="G48" s="51"/>
      <c r="H48" s="260"/>
      <c r="I48" s="229"/>
      <c r="J48" s="51"/>
      <c r="K48" s="260"/>
      <c r="L48" s="50">
        <f t="shared" si="7"/>
        <v>0</v>
      </c>
      <c r="M48" s="50">
        <f t="shared" si="7"/>
        <v>0</v>
      </c>
      <c r="N48" s="260"/>
    </row>
    <row r="49" spans="1:16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50">
        <f t="shared" si="7"/>
        <v>0</v>
      </c>
      <c r="M49" s="50">
        <f t="shared" si="7"/>
        <v>0</v>
      </c>
      <c r="N49" s="261"/>
      <c r="O49" s="262"/>
      <c r="P49" s="113"/>
    </row>
    <row r="50" spans="1:16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63"/>
      <c r="K50" s="264"/>
      <c r="L50" s="50">
        <f t="shared" si="7"/>
        <v>0</v>
      </c>
      <c r="M50" s="50">
        <f t="shared" si="7"/>
        <v>0</v>
      </c>
      <c r="N50" s="260"/>
      <c r="O50" s="262"/>
      <c r="P50" s="113"/>
    </row>
    <row r="51" spans="1:16" s="63" customFormat="1" ht="17.25" customHeight="1">
      <c r="A51" s="265">
        <v>5</v>
      </c>
      <c r="B51" s="266" t="s">
        <v>133</v>
      </c>
      <c r="C51" s="267">
        <f aca="true" t="shared" si="10" ref="C51:K51">SUM(C48:C50)</f>
        <v>0</v>
      </c>
      <c r="D51" s="267">
        <f t="shared" si="10"/>
        <v>0</v>
      </c>
      <c r="E51" s="267">
        <f t="shared" si="10"/>
        <v>0</v>
      </c>
      <c r="F51" s="267">
        <f t="shared" si="10"/>
        <v>0</v>
      </c>
      <c r="G51" s="267">
        <f t="shared" si="10"/>
        <v>0</v>
      </c>
      <c r="H51" s="267">
        <f t="shared" si="10"/>
        <v>0</v>
      </c>
      <c r="I51" s="267">
        <f t="shared" si="10"/>
        <v>0</v>
      </c>
      <c r="J51" s="267">
        <f t="shared" si="10"/>
        <v>0</v>
      </c>
      <c r="K51" s="267">
        <f t="shared" si="10"/>
        <v>0</v>
      </c>
      <c r="L51" s="50">
        <f t="shared" si="7"/>
        <v>0</v>
      </c>
      <c r="M51" s="267">
        <f>SUM(M48:M50)</f>
        <v>0</v>
      </c>
      <c r="N51" s="1247">
        <f>SUM(N48:N50)</f>
        <v>0</v>
      </c>
      <c r="O51" s="268"/>
      <c r="P51" s="107"/>
    </row>
    <row r="52" spans="1:16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269"/>
      <c r="K52" s="270"/>
      <c r="L52" s="50">
        <f t="shared" si="7"/>
        <v>0</v>
      </c>
      <c r="M52" s="50">
        <f t="shared" si="7"/>
        <v>0</v>
      </c>
      <c r="N52" s="271"/>
      <c r="O52" s="268"/>
      <c r="P52" s="107"/>
    </row>
    <row r="53" spans="1:16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/>
      <c r="J53" s="263"/>
      <c r="K53" s="264"/>
      <c r="L53" s="50">
        <f t="shared" si="7"/>
        <v>0</v>
      </c>
      <c r="M53" s="50">
        <f t="shared" si="7"/>
        <v>0</v>
      </c>
      <c r="N53" s="260"/>
      <c r="O53" s="262"/>
      <c r="P53" s="113"/>
    </row>
    <row r="54" spans="1:16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63"/>
      <c r="K54" s="264"/>
      <c r="L54" s="50">
        <f t="shared" si="7"/>
        <v>0</v>
      </c>
      <c r="M54" s="50">
        <f t="shared" si="7"/>
        <v>0</v>
      </c>
      <c r="N54" s="260"/>
      <c r="O54" s="262"/>
      <c r="P54" s="113"/>
    </row>
    <row r="55" spans="1:16" s="63" customFormat="1" ht="17.25" customHeight="1">
      <c r="A55" s="265">
        <v>7</v>
      </c>
      <c r="B55" s="266" t="s">
        <v>136</v>
      </c>
      <c r="C55" s="267">
        <f aca="true" t="shared" si="11" ref="C55:K55">SUM(C53:C54)</f>
        <v>0</v>
      </c>
      <c r="D55" s="267">
        <f t="shared" si="11"/>
        <v>0</v>
      </c>
      <c r="E55" s="267">
        <f t="shared" si="11"/>
        <v>0</v>
      </c>
      <c r="F55" s="267">
        <f t="shared" si="11"/>
        <v>0</v>
      </c>
      <c r="G55" s="267">
        <f t="shared" si="11"/>
        <v>0</v>
      </c>
      <c r="H55" s="267">
        <f t="shared" si="11"/>
        <v>0</v>
      </c>
      <c r="I55" s="267">
        <f t="shared" si="11"/>
        <v>0</v>
      </c>
      <c r="J55" s="267">
        <f t="shared" si="11"/>
        <v>0</v>
      </c>
      <c r="K55" s="267">
        <f t="shared" si="11"/>
        <v>0</v>
      </c>
      <c r="L55" s="50">
        <f t="shared" si="7"/>
        <v>0</v>
      </c>
      <c r="M55" s="267">
        <f>SUM(M53:M54)</f>
        <v>0</v>
      </c>
      <c r="N55" s="1247">
        <f>SUM(N53:N54)</f>
        <v>0</v>
      </c>
      <c r="O55" s="268"/>
      <c r="P55" s="107"/>
    </row>
    <row r="56" spans="1:16" s="38" customFormat="1" ht="17.25" customHeight="1">
      <c r="A56" s="236">
        <v>8</v>
      </c>
      <c r="B56" s="237" t="s">
        <v>137</v>
      </c>
      <c r="C56" s="238">
        <f aca="true" t="shared" si="12" ref="C56:N56">SUM(C34-C40-C45-C46-C47-C51-C52-C55-C57-C58)</f>
        <v>359408</v>
      </c>
      <c r="D56" s="238">
        <f t="shared" si="12"/>
        <v>359553</v>
      </c>
      <c r="E56" s="238">
        <f t="shared" si="12"/>
        <v>0</v>
      </c>
      <c r="F56" s="238">
        <f t="shared" si="12"/>
        <v>52635</v>
      </c>
      <c r="G56" s="238">
        <f t="shared" si="12"/>
        <v>52635</v>
      </c>
      <c r="H56" s="238">
        <f t="shared" si="12"/>
        <v>0</v>
      </c>
      <c r="I56" s="238">
        <f t="shared" si="12"/>
        <v>10021</v>
      </c>
      <c r="J56" s="238">
        <f t="shared" si="12"/>
        <v>10021</v>
      </c>
      <c r="K56" s="238">
        <f t="shared" si="12"/>
        <v>0</v>
      </c>
      <c r="L56" s="238">
        <f t="shared" si="12"/>
        <v>422064</v>
      </c>
      <c r="M56" s="238">
        <f t="shared" si="12"/>
        <v>422209</v>
      </c>
      <c r="N56" s="272">
        <f t="shared" si="12"/>
        <v>0</v>
      </c>
      <c r="O56" s="262"/>
      <c r="P56" s="113"/>
    </row>
    <row r="57" spans="1:16" s="63" customFormat="1" ht="17.25" customHeight="1">
      <c r="A57" s="265" t="s">
        <v>138</v>
      </c>
      <c r="B57" s="266" t="s">
        <v>139</v>
      </c>
      <c r="C57" s="267">
        <v>8053</v>
      </c>
      <c r="D57" s="269">
        <v>8053</v>
      </c>
      <c r="E57" s="270"/>
      <c r="F57" s="267"/>
      <c r="G57" s="269"/>
      <c r="H57" s="270"/>
      <c r="I57" s="267"/>
      <c r="J57" s="269"/>
      <c r="K57" s="270"/>
      <c r="L57" s="267">
        <f>SUM(C57)</f>
        <v>8053</v>
      </c>
      <c r="M57" s="267">
        <f>SUM(D57)</f>
        <v>8053</v>
      </c>
      <c r="N57" s="271"/>
      <c r="O57" s="268"/>
      <c r="P57" s="107"/>
    </row>
    <row r="58" spans="1:14" s="63" customFormat="1" ht="17.25" customHeight="1" thickBot="1">
      <c r="A58" s="59" t="s">
        <v>140</v>
      </c>
      <c r="B58" s="60" t="s">
        <v>141</v>
      </c>
      <c r="C58" s="273"/>
      <c r="D58" s="274"/>
      <c r="E58" s="275"/>
      <c r="F58" s="273"/>
      <c r="G58" s="274"/>
      <c r="H58" s="275"/>
      <c r="I58" s="273"/>
      <c r="J58" s="274"/>
      <c r="K58" s="275"/>
      <c r="L58" s="273"/>
      <c r="M58" s="274"/>
      <c r="N58" s="275"/>
    </row>
    <row r="59" spans="1:16" s="63" customFormat="1" ht="17.25" customHeight="1" thickBot="1" thickTop="1">
      <c r="A59" s="59" t="s">
        <v>142</v>
      </c>
      <c r="B59" s="60" t="s">
        <v>148</v>
      </c>
      <c r="C59" s="61">
        <f aca="true" t="shared" si="13" ref="C59:M59">SUM(C40+C45+C46+C47+C51+C52+C55+C56+C57+C58)</f>
        <v>368147</v>
      </c>
      <c r="D59" s="61">
        <f t="shared" si="13"/>
        <v>368292</v>
      </c>
      <c r="E59" s="61">
        <f t="shared" si="13"/>
        <v>0</v>
      </c>
      <c r="F59" s="61">
        <f t="shared" si="13"/>
        <v>52635</v>
      </c>
      <c r="G59" s="61">
        <f t="shared" si="13"/>
        <v>52635</v>
      </c>
      <c r="H59" s="61">
        <f t="shared" si="13"/>
        <v>0</v>
      </c>
      <c r="I59" s="61">
        <f t="shared" si="13"/>
        <v>10021</v>
      </c>
      <c r="J59" s="61">
        <f t="shared" si="13"/>
        <v>14004</v>
      </c>
      <c r="K59" s="61">
        <f t="shared" si="13"/>
        <v>0</v>
      </c>
      <c r="L59" s="61">
        <f t="shared" si="13"/>
        <v>430803</v>
      </c>
      <c r="M59" s="61">
        <f t="shared" si="13"/>
        <v>434931</v>
      </c>
      <c r="N59" s="62"/>
      <c r="P59" s="107"/>
    </row>
    <row r="60" spans="1:14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7"/>
      <c r="J60" s="277"/>
      <c r="K60" s="278"/>
      <c r="L60" s="277"/>
      <c r="M60" s="277"/>
      <c r="N60" s="279"/>
    </row>
    <row r="61" spans="1:14" s="38" customFormat="1" ht="17.25" customHeight="1" thickBot="1" thickTop="1">
      <c r="A61" s="280"/>
      <c r="B61" s="281" t="s">
        <v>427</v>
      </c>
      <c r="C61" s="282">
        <v>53</v>
      </c>
      <c r="D61" s="283">
        <v>53</v>
      </c>
      <c r="E61" s="284"/>
      <c r="F61" s="282">
        <v>6</v>
      </c>
      <c r="G61" s="283">
        <v>6</v>
      </c>
      <c r="H61" s="284"/>
      <c r="I61" s="282"/>
      <c r="J61" s="283"/>
      <c r="K61" s="285"/>
      <c r="L61" s="282">
        <f>SUM(I61+F61+C61)</f>
        <v>59</v>
      </c>
      <c r="M61" s="282">
        <f>SUM(J61+G61+D61)</f>
        <v>59</v>
      </c>
      <c r="N61" s="284"/>
    </row>
    <row r="62" spans="1:14" s="38" customFormat="1" ht="17.25" customHeight="1" thickBot="1" thickTop="1">
      <c r="A62" s="247"/>
      <c r="B62" s="1249" t="s">
        <v>144</v>
      </c>
      <c r="C62" s="1250">
        <v>2</v>
      </c>
      <c r="D62" s="1251">
        <v>2</v>
      </c>
      <c r="E62" s="1252"/>
      <c r="F62" s="1250"/>
      <c r="G62" s="1251"/>
      <c r="H62" s="1252"/>
      <c r="I62" s="1250"/>
      <c r="J62" s="1251"/>
      <c r="K62" s="1253"/>
      <c r="L62" s="1250">
        <f>SUM(I62+F62+C62)</f>
        <v>2</v>
      </c>
      <c r="M62" s="1250">
        <f>SUM(J62+G62+D62)</f>
        <v>2</v>
      </c>
      <c r="N62" s="1254"/>
    </row>
    <row r="63" ht="15.75">
      <c r="A63" s="286"/>
    </row>
    <row r="64" ht="12.75">
      <c r="H64" s="288"/>
    </row>
    <row r="66" spans="4:9" ht="12.75">
      <c r="D66" s="72"/>
      <c r="I66" s="72"/>
    </row>
    <row r="67" spans="10:11" ht="12.75">
      <c r="J67" s="72"/>
      <c r="K67" s="72"/>
    </row>
    <row r="68" ht="12.75">
      <c r="L68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8267716535433072" right="0.2362204724409449" top="0.7874015748031497" bottom="0.6692913385826772" header="0.5118110236220472" footer="0.5118110236220472"/>
  <pageSetup horizontalDpi="600" verticalDpi="600" orientation="landscape" paperSize="9" scale="55" r:id="rId1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80" zoomScaleSheetLayoutView="80" zoomScalePageLayoutView="0" workbookViewId="0" topLeftCell="A2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628" customWidth="1"/>
    <col min="3" max="3" width="17.125" style="0" customWidth="1"/>
    <col min="4" max="4" width="16.375" style="0" customWidth="1"/>
    <col min="5" max="5" width="15.50390625" style="0" customWidth="1"/>
    <col min="7" max="7" width="49.00390625" style="628" customWidth="1"/>
    <col min="8" max="8" width="16.125" style="0" customWidth="1"/>
    <col min="9" max="9" width="17.375" style="0" customWidth="1"/>
    <col min="10" max="10" width="15.125" style="0" customWidth="1"/>
  </cols>
  <sheetData>
    <row r="1" spans="1:8" ht="15.75" customHeight="1" hidden="1">
      <c r="A1" s="1"/>
      <c r="B1" s="1630" t="s">
        <v>408</v>
      </c>
      <c r="C1" s="346"/>
      <c r="D1" s="346"/>
      <c r="E1" s="346"/>
      <c r="F1" s="1"/>
      <c r="G1" s="1"/>
      <c r="H1" s="3"/>
    </row>
    <row r="2" spans="1:8" ht="15.75">
      <c r="A2" s="1"/>
      <c r="B2" s="1630" t="s">
        <v>708</v>
      </c>
      <c r="C2" s="346"/>
      <c r="D2" s="346"/>
      <c r="E2" s="346"/>
      <c r="F2" s="1"/>
      <c r="G2" s="1"/>
      <c r="H2" s="3"/>
    </row>
    <row r="3" spans="1:8" ht="15.75">
      <c r="A3" s="1"/>
      <c r="B3" s="1631"/>
      <c r="C3" s="346"/>
      <c r="D3" s="346"/>
      <c r="E3" s="346"/>
      <c r="F3" s="1"/>
      <c r="G3" s="1"/>
      <c r="H3" s="3"/>
    </row>
    <row r="4" spans="1:8" ht="15.75">
      <c r="A4" s="1"/>
      <c r="B4" s="1631"/>
      <c r="C4" s="346"/>
      <c r="D4" s="346"/>
      <c r="E4" s="346"/>
      <c r="F4" s="1"/>
      <c r="G4" s="1"/>
      <c r="H4" s="3"/>
    </row>
    <row r="5" spans="1:8" ht="15.75">
      <c r="A5" s="1794" t="s">
        <v>562</v>
      </c>
      <c r="B5" s="1794"/>
      <c r="C5" s="1794"/>
      <c r="D5" s="1794"/>
      <c r="E5" s="1794"/>
      <c r="F5" s="1794"/>
      <c r="G5" s="1794"/>
      <c r="H5" s="1794"/>
    </row>
    <row r="6" spans="1:8" ht="16.5" thickBot="1">
      <c r="A6" s="347"/>
      <c r="B6" s="1455"/>
      <c r="C6" s="347"/>
      <c r="D6" s="347"/>
      <c r="E6" s="347"/>
      <c r="F6" s="347"/>
      <c r="G6" s="1455"/>
      <c r="H6" s="347"/>
    </row>
    <row r="7" spans="1:10" ht="16.5" thickBot="1">
      <c r="A7" s="348" t="s">
        <v>118</v>
      </c>
      <c r="B7" s="1632" t="s">
        <v>142</v>
      </c>
      <c r="C7" s="348" t="s">
        <v>363</v>
      </c>
      <c r="D7" s="348" t="s">
        <v>364</v>
      </c>
      <c r="E7" s="348" t="s">
        <v>365</v>
      </c>
      <c r="F7" s="348" t="s">
        <v>366</v>
      </c>
      <c r="G7" s="1636" t="s">
        <v>367</v>
      </c>
      <c r="H7" s="349" t="s">
        <v>368</v>
      </c>
      <c r="I7" s="348" t="s">
        <v>230</v>
      </c>
      <c r="J7" s="348" t="s">
        <v>369</v>
      </c>
    </row>
    <row r="8" spans="1:10" ht="48" thickBot="1">
      <c r="A8" s="1229"/>
      <c r="B8" s="1633" t="s">
        <v>2</v>
      </c>
      <c r="C8" s="1355" t="s">
        <v>563</v>
      </c>
      <c r="D8" s="1355" t="s">
        <v>677</v>
      </c>
      <c r="E8" s="1355" t="s">
        <v>678</v>
      </c>
      <c r="F8" s="418"/>
      <c r="G8" s="1637" t="s">
        <v>3</v>
      </c>
      <c r="H8" s="1355" t="s">
        <v>563</v>
      </c>
      <c r="I8" s="1355" t="s">
        <v>677</v>
      </c>
      <c r="J8" s="1622" t="s">
        <v>678</v>
      </c>
    </row>
    <row r="9" spans="1:10" ht="29.25" thickBot="1">
      <c r="A9" s="685"/>
      <c r="B9" s="1236" t="s">
        <v>4</v>
      </c>
      <c r="C9" s="92">
        <f>SUM(C10+C23+C29+C41)</f>
        <v>640</v>
      </c>
      <c r="D9" s="92">
        <f>SUM(D10+D23+D29+D41)</f>
        <v>640</v>
      </c>
      <c r="E9" s="92"/>
      <c r="F9" s="153"/>
      <c r="G9" s="1237" t="s">
        <v>5</v>
      </c>
      <c r="H9" s="339">
        <f>SUM(H10:H14)</f>
        <v>115302</v>
      </c>
      <c r="I9" s="339">
        <f>SUM(I10:I14)</f>
        <v>115529</v>
      </c>
      <c r="J9" s="1482"/>
    </row>
    <row r="10" spans="1:10" ht="24.75" customHeight="1">
      <c r="A10" s="686" t="s">
        <v>6</v>
      </c>
      <c r="B10" s="154" t="s">
        <v>7</v>
      </c>
      <c r="C10" s="6">
        <f>SUM(C11+C18+C19+C20+C21+C22)</f>
        <v>0</v>
      </c>
      <c r="D10" s="6"/>
      <c r="E10" s="6"/>
      <c r="F10" s="4" t="s">
        <v>6</v>
      </c>
      <c r="G10" s="390" t="s">
        <v>8</v>
      </c>
      <c r="H10" s="1481">
        <v>82752</v>
      </c>
      <c r="I10" s="1554">
        <v>82942</v>
      </c>
      <c r="J10" s="1554"/>
    </row>
    <row r="11" spans="1:10" ht="31.5" customHeight="1">
      <c r="A11" s="687">
        <v>1</v>
      </c>
      <c r="B11" s="19" t="s">
        <v>10</v>
      </c>
      <c r="C11" s="9">
        <f>SUM(C12:C17)</f>
        <v>0</v>
      </c>
      <c r="D11" s="9"/>
      <c r="E11" s="9"/>
      <c r="F11" s="7" t="s">
        <v>11</v>
      </c>
      <c r="G11" s="391" t="s">
        <v>12</v>
      </c>
      <c r="H11" s="1466">
        <v>17810</v>
      </c>
      <c r="I11" s="1555">
        <v>17847</v>
      </c>
      <c r="J11" s="1555"/>
    </row>
    <row r="12" spans="1:10" ht="36.75" customHeight="1">
      <c r="A12" s="687"/>
      <c r="B12" s="10" t="s">
        <v>13</v>
      </c>
      <c r="C12" s="11"/>
      <c r="D12" s="11"/>
      <c r="E12" s="11"/>
      <c r="F12" s="7" t="s">
        <v>14</v>
      </c>
      <c r="G12" s="391" t="s">
        <v>15</v>
      </c>
      <c r="H12" s="1466">
        <v>14740</v>
      </c>
      <c r="I12" s="1555">
        <v>14740</v>
      </c>
      <c r="J12" s="1555"/>
    </row>
    <row r="13" spans="1:10" ht="31.5" customHeight="1">
      <c r="A13" s="687"/>
      <c r="B13" s="10" t="s">
        <v>16</v>
      </c>
      <c r="C13" s="11"/>
      <c r="D13" s="11"/>
      <c r="E13" s="11"/>
      <c r="F13" s="7" t="s">
        <v>17</v>
      </c>
      <c r="G13" s="391" t="s">
        <v>18</v>
      </c>
      <c r="H13" s="1466"/>
      <c r="I13" s="1555"/>
      <c r="J13" s="1555"/>
    </row>
    <row r="14" spans="1:10" ht="30" customHeight="1">
      <c r="A14" s="687"/>
      <c r="B14" s="10" t="s">
        <v>19</v>
      </c>
      <c r="C14" s="11"/>
      <c r="D14" s="11"/>
      <c r="E14" s="11"/>
      <c r="F14" s="7" t="s">
        <v>20</v>
      </c>
      <c r="G14" s="391" t="s">
        <v>21</v>
      </c>
      <c r="H14" s="1466"/>
      <c r="I14" s="1555"/>
      <c r="J14" s="1555"/>
    </row>
    <row r="15" spans="1:10" ht="37.5" customHeight="1">
      <c r="A15" s="687"/>
      <c r="B15" s="10" t="s">
        <v>22</v>
      </c>
      <c r="C15" s="11"/>
      <c r="D15" s="1548"/>
      <c r="E15" s="11"/>
      <c r="F15" s="1793"/>
      <c r="G15" s="156"/>
      <c r="H15" s="1467"/>
      <c r="I15" s="1556"/>
      <c r="J15" s="1556"/>
    </row>
    <row r="16" spans="1:10" ht="40.5" customHeight="1">
      <c r="A16" s="687"/>
      <c r="B16" s="10" t="s">
        <v>238</v>
      </c>
      <c r="C16" s="11"/>
      <c r="D16" s="1548"/>
      <c r="E16" s="11"/>
      <c r="F16" s="1795"/>
      <c r="G16" s="1"/>
      <c r="H16" s="1467"/>
      <c r="I16" s="1556"/>
      <c r="J16" s="1556"/>
    </row>
    <row r="17" spans="1:10" ht="25.5" customHeight="1">
      <c r="A17" s="687"/>
      <c r="B17" s="10" t="s">
        <v>239</v>
      </c>
      <c r="C17" s="11"/>
      <c r="D17" s="1548"/>
      <c r="E17" s="11"/>
      <c r="F17" s="1795"/>
      <c r="G17" s="1"/>
      <c r="H17" s="1467"/>
      <c r="I17" s="1556"/>
      <c r="J17" s="1556"/>
    </row>
    <row r="18" spans="1:10" ht="24" customHeight="1">
      <c r="A18" s="687">
        <v>2</v>
      </c>
      <c r="B18" s="13" t="s">
        <v>24</v>
      </c>
      <c r="C18" s="11"/>
      <c r="D18" s="1548"/>
      <c r="E18" s="11"/>
      <c r="F18" s="1795"/>
      <c r="G18" s="1"/>
      <c r="H18" s="1467"/>
      <c r="I18" s="1480"/>
      <c r="J18" s="1480"/>
    </row>
    <row r="19" spans="1:10" ht="44.25" customHeight="1">
      <c r="A19" s="687">
        <v>3</v>
      </c>
      <c r="B19" s="13" t="s">
        <v>26</v>
      </c>
      <c r="C19" s="11"/>
      <c r="D19" s="1548"/>
      <c r="E19" s="11"/>
      <c r="F19" s="1795"/>
      <c r="G19" s="1"/>
      <c r="H19" s="1467"/>
      <c r="I19" s="1480"/>
      <c r="J19" s="1480"/>
    </row>
    <row r="20" spans="1:10" ht="32.25" customHeight="1">
      <c r="A20" s="687">
        <v>4</v>
      </c>
      <c r="B20" s="13" t="s">
        <v>28</v>
      </c>
      <c r="C20" s="14"/>
      <c r="D20" s="1552"/>
      <c r="E20" s="14"/>
      <c r="F20" s="1795"/>
      <c r="G20" s="1"/>
      <c r="H20" s="1467"/>
      <c r="I20" s="1480"/>
      <c r="J20" s="1480"/>
    </row>
    <row r="21" spans="1:10" ht="27.75" customHeight="1">
      <c r="A21" s="687">
        <v>5</v>
      </c>
      <c r="B21" s="13" t="s">
        <v>30</v>
      </c>
      <c r="C21" s="14"/>
      <c r="D21" s="1552"/>
      <c r="E21" s="14"/>
      <c r="F21" s="1795"/>
      <c r="G21" s="1"/>
      <c r="H21" s="1467"/>
      <c r="I21" s="1480"/>
      <c r="J21" s="1480"/>
    </row>
    <row r="22" spans="1:10" ht="30" customHeight="1">
      <c r="A22" s="687">
        <v>6</v>
      </c>
      <c r="B22" s="13" t="s">
        <v>32</v>
      </c>
      <c r="C22" s="14"/>
      <c r="D22" s="1552"/>
      <c r="E22" s="14"/>
      <c r="F22" s="1795"/>
      <c r="G22" s="1"/>
      <c r="H22" s="1467"/>
      <c r="I22" s="1480"/>
      <c r="J22" s="1480"/>
    </row>
    <row r="23" spans="1:10" ht="15">
      <c r="A23" s="688" t="s">
        <v>11</v>
      </c>
      <c r="B23" s="13" t="s">
        <v>243</v>
      </c>
      <c r="C23" s="9">
        <f>SUM(C24:C28)</f>
        <v>0</v>
      </c>
      <c r="D23" s="1553"/>
      <c r="E23" s="9"/>
      <c r="F23" s="160"/>
      <c r="G23" s="1"/>
      <c r="H23" s="1467"/>
      <c r="I23" s="1480"/>
      <c r="J23" s="1480"/>
    </row>
    <row r="24" spans="1:10" ht="15">
      <c r="A24" s="688">
        <v>1</v>
      </c>
      <c r="B24" s="10" t="s">
        <v>240</v>
      </c>
      <c r="C24" s="12"/>
      <c r="D24" s="1551"/>
      <c r="E24" s="12"/>
      <c r="F24" s="160"/>
      <c r="G24" s="1"/>
      <c r="H24" s="1467"/>
      <c r="I24" s="1480"/>
      <c r="J24" s="1480"/>
    </row>
    <row r="25" spans="1:10" ht="15">
      <c r="A25" s="688">
        <v>2</v>
      </c>
      <c r="B25" s="10" t="s">
        <v>241</v>
      </c>
      <c r="C25" s="12"/>
      <c r="D25" s="1551"/>
      <c r="E25" s="12"/>
      <c r="F25" s="160"/>
      <c r="G25" s="1"/>
      <c r="H25" s="1467"/>
      <c r="I25" s="1480"/>
      <c r="J25" s="1480"/>
    </row>
    <row r="26" spans="1:10" ht="15">
      <c r="A26" s="688">
        <v>3</v>
      </c>
      <c r="B26" s="10" t="s">
        <v>242</v>
      </c>
      <c r="C26" s="12"/>
      <c r="D26" s="1551"/>
      <c r="E26" s="12"/>
      <c r="F26" s="160"/>
      <c r="G26" s="1"/>
      <c r="H26" s="1467"/>
      <c r="I26" s="1480"/>
      <c r="J26" s="1480"/>
    </row>
    <row r="27" spans="1:10" ht="15">
      <c r="A27" s="688">
        <v>4</v>
      </c>
      <c r="B27" s="10" t="s">
        <v>81</v>
      </c>
      <c r="C27" s="12"/>
      <c r="D27" s="1551"/>
      <c r="E27" s="12"/>
      <c r="F27" s="160"/>
      <c r="G27" s="1"/>
      <c r="H27" s="1467"/>
      <c r="I27" s="1480"/>
      <c r="J27" s="1480"/>
    </row>
    <row r="28" spans="1:10" ht="15">
      <c r="A28" s="688">
        <v>5</v>
      </c>
      <c r="B28" s="10" t="s">
        <v>82</v>
      </c>
      <c r="C28" s="12"/>
      <c r="D28" s="1551"/>
      <c r="E28" s="12"/>
      <c r="F28" s="160"/>
      <c r="G28" s="1"/>
      <c r="H28" s="1467"/>
      <c r="I28" s="1480"/>
      <c r="J28" s="1480"/>
    </row>
    <row r="29" spans="1:10" ht="15">
      <c r="A29" s="688" t="s">
        <v>14</v>
      </c>
      <c r="B29" s="13" t="s">
        <v>34</v>
      </c>
      <c r="C29" s="9">
        <f>SUM(C30:C40)</f>
        <v>640</v>
      </c>
      <c r="D29" s="9">
        <f>SUM(D30:D40)</f>
        <v>640</v>
      </c>
      <c r="E29" s="9"/>
      <c r="F29" s="160"/>
      <c r="G29" s="1"/>
      <c r="H29" s="1467"/>
      <c r="I29" s="1480"/>
      <c r="J29" s="1480"/>
    </row>
    <row r="30" spans="1:10" ht="27.75" customHeight="1">
      <c r="A30" s="688">
        <v>1</v>
      </c>
      <c r="B30" s="15" t="s">
        <v>35</v>
      </c>
      <c r="C30" s="12"/>
      <c r="D30" s="12"/>
      <c r="E30" s="12"/>
      <c r="F30" s="160"/>
      <c r="G30" s="1"/>
      <c r="H30" s="1467"/>
      <c r="I30" s="1480"/>
      <c r="J30" s="1480"/>
    </row>
    <row r="31" spans="1:10" ht="20.25" customHeight="1">
      <c r="A31" s="688">
        <v>2</v>
      </c>
      <c r="B31" s="15" t="s">
        <v>36</v>
      </c>
      <c r="C31" s="16">
        <v>40</v>
      </c>
      <c r="D31" s="16">
        <v>40</v>
      </c>
      <c r="E31" s="16"/>
      <c r="F31" s="160"/>
      <c r="G31" s="1"/>
      <c r="H31" s="1467"/>
      <c r="I31" s="1480"/>
      <c r="J31" s="1480"/>
    </row>
    <row r="32" spans="1:10" ht="24" customHeight="1">
      <c r="A32" s="688">
        <v>3</v>
      </c>
      <c r="B32" s="15" t="s">
        <v>37</v>
      </c>
      <c r="C32" s="16">
        <v>600</v>
      </c>
      <c r="D32" s="16">
        <v>600</v>
      </c>
      <c r="E32" s="16"/>
      <c r="F32" s="160"/>
      <c r="G32" s="1"/>
      <c r="H32" s="1467"/>
      <c r="I32" s="1480"/>
      <c r="J32" s="1480"/>
    </row>
    <row r="33" spans="1:10" ht="24.75" customHeight="1">
      <c r="A33" s="688">
        <v>4</v>
      </c>
      <c r="B33" s="15" t="s">
        <v>38</v>
      </c>
      <c r="C33" s="16"/>
      <c r="D33" s="16"/>
      <c r="E33" s="16"/>
      <c r="F33" s="160"/>
      <c r="G33" s="1"/>
      <c r="H33" s="1467"/>
      <c r="I33" s="1480"/>
      <c r="J33" s="1480"/>
    </row>
    <row r="34" spans="1:10" ht="23.25" customHeight="1">
      <c r="A34" s="688">
        <v>5</v>
      </c>
      <c r="B34" s="15" t="s">
        <v>39</v>
      </c>
      <c r="C34" s="16"/>
      <c r="D34" s="16"/>
      <c r="E34" s="16"/>
      <c r="F34" s="160"/>
      <c r="G34" s="1"/>
      <c r="H34" s="1467"/>
      <c r="I34" s="1480"/>
      <c r="J34" s="1480"/>
    </row>
    <row r="35" spans="1:10" ht="33" customHeight="1">
      <c r="A35" s="688">
        <v>6</v>
      </c>
      <c r="B35" s="15" t="s">
        <v>40</v>
      </c>
      <c r="C35" s="16"/>
      <c r="D35" s="16"/>
      <c r="E35" s="16"/>
      <c r="F35" s="160"/>
      <c r="G35" s="1"/>
      <c r="H35" s="1467"/>
      <c r="I35" s="1480"/>
      <c r="J35" s="1480"/>
    </row>
    <row r="36" spans="1:10" ht="27.75" customHeight="1">
      <c r="A36" s="688">
        <v>7</v>
      </c>
      <c r="B36" s="15" t="s">
        <v>41</v>
      </c>
      <c r="C36" s="16"/>
      <c r="D36" s="16"/>
      <c r="E36" s="16"/>
      <c r="F36" s="160"/>
      <c r="G36" s="1"/>
      <c r="H36" s="1467"/>
      <c r="I36" s="1480"/>
      <c r="J36" s="1480"/>
    </row>
    <row r="37" spans="1:10" ht="20.25" customHeight="1">
      <c r="A37" s="688">
        <v>8</v>
      </c>
      <c r="B37" s="15" t="s">
        <v>42</v>
      </c>
      <c r="C37" s="16"/>
      <c r="D37" s="16"/>
      <c r="E37" s="16"/>
      <c r="F37" s="160"/>
      <c r="G37" s="1"/>
      <c r="H37" s="1467"/>
      <c r="I37" s="1480"/>
      <c r="J37" s="1480"/>
    </row>
    <row r="38" spans="1:10" ht="30" customHeight="1">
      <c r="A38" s="688">
        <v>9</v>
      </c>
      <c r="B38" s="15" t="s">
        <v>43</v>
      </c>
      <c r="C38" s="16"/>
      <c r="D38" s="16"/>
      <c r="E38" s="16"/>
      <c r="F38" s="160"/>
      <c r="G38" s="1"/>
      <c r="H38" s="1467"/>
      <c r="I38" s="1480"/>
      <c r="J38" s="1480"/>
    </row>
    <row r="39" spans="1:10" ht="14.25" customHeight="1">
      <c r="A39" s="688">
        <v>10</v>
      </c>
      <c r="B39" s="15" t="s">
        <v>244</v>
      </c>
      <c r="C39" s="16"/>
      <c r="D39" s="16"/>
      <c r="E39" s="16"/>
      <c r="F39" s="160"/>
      <c r="G39" s="1"/>
      <c r="H39" s="1467"/>
      <c r="I39" s="1480"/>
      <c r="J39" s="1480"/>
    </row>
    <row r="40" spans="1:10" ht="17.25" customHeight="1">
      <c r="A40" s="688">
        <v>11</v>
      </c>
      <c r="B40" s="15" t="s">
        <v>44</v>
      </c>
      <c r="C40" s="16"/>
      <c r="D40" s="16"/>
      <c r="E40" s="16"/>
      <c r="F40" s="160"/>
      <c r="G40" s="1"/>
      <c r="H40" s="1467"/>
      <c r="I40" s="1480"/>
      <c r="J40" s="1480"/>
    </row>
    <row r="41" spans="1:10" ht="15">
      <c r="A41" s="692" t="s">
        <v>17</v>
      </c>
      <c r="B41" s="13" t="s">
        <v>45</v>
      </c>
      <c r="C41" s="96">
        <f>SUM(C42:C46)</f>
        <v>0</v>
      </c>
      <c r="D41" s="96"/>
      <c r="E41" s="96"/>
      <c r="F41" s="160"/>
      <c r="G41" s="1"/>
      <c r="H41" s="1467"/>
      <c r="I41" s="1480"/>
      <c r="J41" s="1480"/>
    </row>
    <row r="42" spans="1:10" ht="30">
      <c r="A42" s="692">
        <v>1</v>
      </c>
      <c r="B42" s="15" t="s">
        <v>46</v>
      </c>
      <c r="C42" s="12"/>
      <c r="D42" s="12"/>
      <c r="E42" s="12"/>
      <c r="F42" s="160"/>
      <c r="G42" s="1"/>
      <c r="H42" s="1467"/>
      <c r="I42" s="1480"/>
      <c r="J42" s="1480"/>
    </row>
    <row r="43" spans="1:10" ht="30">
      <c r="A43" s="692">
        <v>2</v>
      </c>
      <c r="B43" s="10" t="s">
        <v>245</v>
      </c>
      <c r="C43" s="16"/>
      <c r="D43" s="16"/>
      <c r="E43" s="16"/>
      <c r="F43" s="160"/>
      <c r="G43" s="1"/>
      <c r="H43" s="1467"/>
      <c r="I43" s="1480"/>
      <c r="J43" s="1480"/>
    </row>
    <row r="44" spans="1:10" ht="28.5" customHeight="1">
      <c r="A44" s="692">
        <v>3</v>
      </c>
      <c r="B44" s="10" t="s">
        <v>246</v>
      </c>
      <c r="C44" s="16"/>
      <c r="D44" s="16"/>
      <c r="E44" s="16"/>
      <c r="F44" s="160"/>
      <c r="G44" s="1"/>
      <c r="H44" s="1467"/>
      <c r="I44" s="1480"/>
      <c r="J44" s="1480"/>
    </row>
    <row r="45" spans="1:10" ht="30.75" thickBot="1">
      <c r="A45" s="692">
        <v>4</v>
      </c>
      <c r="B45" s="10" t="s">
        <v>47</v>
      </c>
      <c r="C45" s="18"/>
      <c r="D45" s="16"/>
      <c r="E45" s="16"/>
      <c r="F45" s="160"/>
      <c r="G45" s="1"/>
      <c r="H45" s="1467"/>
      <c r="I45" s="1480"/>
      <c r="J45" s="1480"/>
    </row>
    <row r="46" spans="1:10" ht="28.5" customHeight="1" thickBot="1">
      <c r="A46" s="695">
        <v>5</v>
      </c>
      <c r="B46" s="17" t="s">
        <v>48</v>
      </c>
      <c r="C46" s="342"/>
      <c r="D46" s="1460"/>
      <c r="E46" s="1460"/>
      <c r="F46" s="165"/>
      <c r="G46" s="166"/>
      <c r="H46" s="1468"/>
      <c r="I46" s="1480"/>
      <c r="J46" s="1480"/>
    </row>
    <row r="47" spans="1:10" ht="29.25" thickBot="1">
      <c r="A47" s="690"/>
      <c r="B47" s="1236" t="s">
        <v>49</v>
      </c>
      <c r="C47" s="6">
        <f>SUM(C48+C54+C60)</f>
        <v>0</v>
      </c>
      <c r="D47" s="1461"/>
      <c r="E47" s="1461"/>
      <c r="F47" s="168"/>
      <c r="G47" s="1237" t="s">
        <v>50</v>
      </c>
      <c r="H47" s="1469">
        <f>SUM(H48:H50)</f>
        <v>851</v>
      </c>
      <c r="I47" s="1469">
        <f>SUM(I48:I50)</f>
        <v>851</v>
      </c>
      <c r="J47" s="1483"/>
    </row>
    <row r="48" spans="1:10" ht="15">
      <c r="A48" s="688" t="s">
        <v>261</v>
      </c>
      <c r="B48" s="154" t="s">
        <v>51</v>
      </c>
      <c r="C48" s="14">
        <f>SUM(C49:C53)</f>
        <v>0</v>
      </c>
      <c r="D48" s="178"/>
      <c r="E48" s="178"/>
      <c r="F48" s="170" t="s">
        <v>52</v>
      </c>
      <c r="G48" s="1638" t="s">
        <v>53</v>
      </c>
      <c r="H48" s="1466">
        <v>851</v>
      </c>
      <c r="I48" s="1484">
        <v>851</v>
      </c>
      <c r="J48" s="1484"/>
    </row>
    <row r="49" spans="1:10" ht="31.5" customHeight="1">
      <c r="A49" s="688">
        <v>1</v>
      </c>
      <c r="B49" s="10" t="s">
        <v>54</v>
      </c>
      <c r="C49" s="11"/>
      <c r="D49" s="181"/>
      <c r="E49" s="181"/>
      <c r="F49" s="170" t="s">
        <v>55</v>
      </c>
      <c r="G49" s="701" t="s">
        <v>56</v>
      </c>
      <c r="H49" s="1466"/>
      <c r="I49" s="1484"/>
      <c r="J49" s="1484"/>
    </row>
    <row r="50" spans="1:10" ht="29.25" customHeight="1" thickBot="1">
      <c r="A50" s="688">
        <v>2</v>
      </c>
      <c r="B50" s="10" t="s">
        <v>57</v>
      </c>
      <c r="C50" s="11"/>
      <c r="D50" s="181"/>
      <c r="E50" s="181"/>
      <c r="F50" s="170" t="s">
        <v>58</v>
      </c>
      <c r="G50" s="1639" t="s">
        <v>59</v>
      </c>
      <c r="H50" s="1470"/>
      <c r="I50" s="1485"/>
      <c r="J50" s="1485"/>
    </row>
    <row r="51" spans="1:10" ht="27" customHeight="1">
      <c r="A51" s="688">
        <v>3</v>
      </c>
      <c r="B51" s="10" t="s">
        <v>60</v>
      </c>
      <c r="C51" s="11"/>
      <c r="D51" s="1548"/>
      <c r="E51" s="11"/>
      <c r="F51" s="174"/>
      <c r="G51" s="1640"/>
      <c r="H51" s="1471"/>
      <c r="I51" s="1480"/>
      <c r="J51" s="1480"/>
    </row>
    <row r="52" spans="1:10" ht="29.25" customHeight="1">
      <c r="A52" s="688">
        <v>4</v>
      </c>
      <c r="B52" s="10" t="s">
        <v>61</v>
      </c>
      <c r="C52" s="11"/>
      <c r="D52" s="1548"/>
      <c r="E52" s="11"/>
      <c r="F52" s="160"/>
      <c r="G52" s="1640"/>
      <c r="H52" s="1471"/>
      <c r="I52" s="1480"/>
      <c r="J52" s="1480"/>
    </row>
    <row r="53" spans="1:10" ht="30.75" customHeight="1">
      <c r="A53" s="688">
        <v>5</v>
      </c>
      <c r="B53" s="10" t="s">
        <v>62</v>
      </c>
      <c r="C53" s="11"/>
      <c r="D53" s="1548"/>
      <c r="E53" s="11"/>
      <c r="F53" s="160"/>
      <c r="G53" s="1640"/>
      <c r="H53" s="1471"/>
      <c r="I53" s="1480"/>
      <c r="J53" s="1480"/>
    </row>
    <row r="54" spans="1:10" ht="25.5" customHeight="1">
      <c r="A54" s="688" t="s">
        <v>52</v>
      </c>
      <c r="B54" s="19" t="s">
        <v>63</v>
      </c>
      <c r="C54" s="96">
        <f>SUM(C55:C59)</f>
        <v>0</v>
      </c>
      <c r="D54" s="1549"/>
      <c r="E54" s="96"/>
      <c r="F54" s="160"/>
      <c r="G54" s="1640"/>
      <c r="H54" s="1471"/>
      <c r="I54" s="1480"/>
      <c r="J54" s="1480"/>
    </row>
    <row r="55" spans="1:10" ht="25.5" customHeight="1">
      <c r="A55" s="688">
        <v>1</v>
      </c>
      <c r="B55" s="15" t="s">
        <v>64</v>
      </c>
      <c r="C55" s="16"/>
      <c r="D55" s="1550"/>
      <c r="E55" s="16"/>
      <c r="F55" s="160"/>
      <c r="G55" s="1640"/>
      <c r="H55" s="1471"/>
      <c r="I55" s="1480"/>
      <c r="J55" s="1480"/>
    </row>
    <row r="56" spans="1:10" ht="28.5" customHeight="1">
      <c r="A56" s="688">
        <v>2</v>
      </c>
      <c r="B56" s="15" t="s">
        <v>65</v>
      </c>
      <c r="C56" s="16"/>
      <c r="D56" s="1550"/>
      <c r="E56" s="16"/>
      <c r="F56" s="160"/>
      <c r="G56" s="1640"/>
      <c r="H56" s="1471"/>
      <c r="I56" s="1480"/>
      <c r="J56" s="1480"/>
    </row>
    <row r="57" spans="1:10" ht="21.75" customHeight="1">
      <c r="A57" s="688">
        <v>3</v>
      </c>
      <c r="B57" s="15" t="s">
        <v>66</v>
      </c>
      <c r="C57" s="16"/>
      <c r="D57" s="1550"/>
      <c r="E57" s="16"/>
      <c r="F57" s="160"/>
      <c r="G57" s="1640"/>
      <c r="H57" s="1471"/>
      <c r="I57" s="1480"/>
      <c r="J57" s="1480"/>
    </row>
    <row r="58" spans="1:10" ht="23.25" customHeight="1">
      <c r="A58" s="688">
        <v>4</v>
      </c>
      <c r="B58" s="15" t="s">
        <v>409</v>
      </c>
      <c r="C58" s="16"/>
      <c r="D58" s="1550"/>
      <c r="E58" s="16"/>
      <c r="F58" s="160"/>
      <c r="G58" s="1640"/>
      <c r="H58" s="1471"/>
      <c r="I58" s="1480"/>
      <c r="J58" s="1480"/>
    </row>
    <row r="59" spans="1:10" ht="22.5" customHeight="1">
      <c r="A59" s="688">
        <v>5</v>
      </c>
      <c r="B59" s="15" t="s">
        <v>68</v>
      </c>
      <c r="C59" s="12"/>
      <c r="D59" s="1551"/>
      <c r="E59" s="12"/>
      <c r="F59" s="160"/>
      <c r="G59" s="1640"/>
      <c r="H59" s="1471"/>
      <c r="I59" s="1480"/>
      <c r="J59" s="1480"/>
    </row>
    <row r="60" spans="1:10" ht="15">
      <c r="A60" s="692" t="s">
        <v>55</v>
      </c>
      <c r="B60" s="13" t="s">
        <v>69</v>
      </c>
      <c r="C60" s="96">
        <f>SUM(C61:C64)</f>
        <v>0</v>
      </c>
      <c r="D60" s="1549"/>
      <c r="E60" s="96"/>
      <c r="F60" s="160"/>
      <c r="G60" s="1640"/>
      <c r="H60" s="1471"/>
      <c r="I60" s="1480"/>
      <c r="J60" s="1480"/>
    </row>
    <row r="61" spans="1:10" ht="31.5" customHeight="1">
      <c r="A61" s="692">
        <v>1</v>
      </c>
      <c r="B61" s="15" t="s">
        <v>70</v>
      </c>
      <c r="C61" s="11"/>
      <c r="D61" s="1548"/>
      <c r="E61" s="11"/>
      <c r="F61" s="160"/>
      <c r="G61" s="1640"/>
      <c r="H61" s="1471"/>
      <c r="I61" s="1480"/>
      <c r="J61" s="1480"/>
    </row>
    <row r="62" spans="1:10" ht="29.25" customHeight="1">
      <c r="A62" s="692">
        <v>2</v>
      </c>
      <c r="B62" s="10" t="s">
        <v>247</v>
      </c>
      <c r="C62" s="16"/>
      <c r="D62" s="1550"/>
      <c r="E62" s="16"/>
      <c r="F62" s="160"/>
      <c r="G62" s="1640"/>
      <c r="H62" s="1471"/>
      <c r="I62" s="1480"/>
      <c r="J62" s="1480"/>
    </row>
    <row r="63" spans="1:10" ht="30" customHeight="1" thickBot="1">
      <c r="A63" s="692">
        <v>3</v>
      </c>
      <c r="B63" s="10" t="s">
        <v>248</v>
      </c>
      <c r="C63" s="16"/>
      <c r="D63" s="1550"/>
      <c r="E63" s="16"/>
      <c r="F63" s="160"/>
      <c r="G63" s="1640"/>
      <c r="H63" s="1471"/>
      <c r="I63" s="1480"/>
      <c r="J63" s="1480"/>
    </row>
    <row r="64" spans="1:10" ht="41.25" customHeight="1" thickBot="1">
      <c r="A64" s="695">
        <v>4</v>
      </c>
      <c r="B64" s="10" t="s">
        <v>71</v>
      </c>
      <c r="C64" s="1506"/>
      <c r="D64" s="1458"/>
      <c r="E64" s="1458"/>
      <c r="F64" s="160"/>
      <c r="G64" s="1640"/>
      <c r="H64" s="1471"/>
      <c r="I64" s="1480"/>
      <c r="J64" s="1480"/>
    </row>
    <row r="65" spans="1:10" ht="29.25" thickBot="1">
      <c r="A65" s="693"/>
      <c r="B65" s="1236" t="s">
        <v>72</v>
      </c>
      <c r="C65" s="568">
        <f>SUM(C66:C74)</f>
        <v>115513</v>
      </c>
      <c r="D65" s="568">
        <f>SUM(D66:D74)</f>
        <v>114889</v>
      </c>
      <c r="E65" s="568"/>
      <c r="F65" s="168"/>
      <c r="G65" s="1237" t="s">
        <v>73</v>
      </c>
      <c r="H65" s="1472">
        <f>SUM(H66:H74)</f>
        <v>0</v>
      </c>
      <c r="I65" s="1484"/>
      <c r="J65" s="1484"/>
    </row>
    <row r="66" spans="1:10" ht="30" customHeight="1">
      <c r="A66" s="687">
        <v>1</v>
      </c>
      <c r="B66" s="106" t="s">
        <v>410</v>
      </c>
      <c r="C66" s="181"/>
      <c r="D66" s="181"/>
      <c r="E66" s="181"/>
      <c r="F66" s="179" t="s">
        <v>9</v>
      </c>
      <c r="G66" s="394" t="s">
        <v>411</v>
      </c>
      <c r="H66" s="1473"/>
      <c r="I66" s="1484"/>
      <c r="J66" s="1484"/>
    </row>
    <row r="67" spans="1:10" ht="33.75" customHeight="1">
      <c r="A67" s="687">
        <v>2</v>
      </c>
      <c r="B67" s="20" t="s">
        <v>249</v>
      </c>
      <c r="C67" s="11"/>
      <c r="D67" s="11"/>
      <c r="E67" s="11"/>
      <c r="F67" s="7" t="s">
        <v>23</v>
      </c>
      <c r="G67" s="395" t="s">
        <v>257</v>
      </c>
      <c r="H67" s="1473"/>
      <c r="I67" s="1484"/>
      <c r="J67" s="1484"/>
    </row>
    <row r="68" spans="1:10" ht="30">
      <c r="A68" s="687">
        <v>3</v>
      </c>
      <c r="B68" s="20" t="s">
        <v>250</v>
      </c>
      <c r="C68" s="11"/>
      <c r="D68" s="11"/>
      <c r="E68" s="11"/>
      <c r="F68" s="7" t="s">
        <v>25</v>
      </c>
      <c r="G68" s="395" t="s">
        <v>258</v>
      </c>
      <c r="H68" s="1474"/>
      <c r="I68" s="1484"/>
      <c r="J68" s="1484"/>
    </row>
    <row r="69" spans="1:10" ht="30">
      <c r="A69" s="687">
        <v>4</v>
      </c>
      <c r="B69" s="20" t="s">
        <v>251</v>
      </c>
      <c r="C69" s="11"/>
      <c r="D69" s="11"/>
      <c r="E69" s="11"/>
      <c r="F69" s="7" t="s">
        <v>27</v>
      </c>
      <c r="G69" s="395" t="s">
        <v>259</v>
      </c>
      <c r="H69" s="1475"/>
      <c r="I69" s="1484"/>
      <c r="J69" s="1484"/>
    </row>
    <row r="70" spans="1:10" ht="30">
      <c r="A70" s="687">
        <v>5</v>
      </c>
      <c r="B70" s="20" t="s">
        <v>252</v>
      </c>
      <c r="C70" s="11">
        <v>17472</v>
      </c>
      <c r="D70" s="11">
        <v>17472</v>
      </c>
      <c r="E70" s="11"/>
      <c r="F70" s="7" t="s">
        <v>29</v>
      </c>
      <c r="G70" s="395" t="s">
        <v>412</v>
      </c>
      <c r="H70" s="1476"/>
      <c r="I70" s="1484"/>
      <c r="J70" s="1484"/>
    </row>
    <row r="71" spans="1:10" ht="45">
      <c r="A71" s="687">
        <v>6</v>
      </c>
      <c r="B71" s="21" t="s">
        <v>253</v>
      </c>
      <c r="C71" s="22"/>
      <c r="D71" s="22"/>
      <c r="E71" s="22"/>
      <c r="F71" s="7" t="s">
        <v>31</v>
      </c>
      <c r="G71" s="395" t="s">
        <v>413</v>
      </c>
      <c r="H71" s="1477"/>
      <c r="I71" s="1484"/>
      <c r="J71" s="1484"/>
    </row>
    <row r="72" spans="1:10" ht="33.75" customHeight="1" thickBot="1">
      <c r="A72" s="687">
        <v>7</v>
      </c>
      <c r="B72" s="20" t="s">
        <v>414</v>
      </c>
      <c r="C72" s="9"/>
      <c r="D72" s="1463"/>
      <c r="E72" s="1463"/>
      <c r="F72" s="183" t="s">
        <v>74</v>
      </c>
      <c r="G72" s="396" t="s">
        <v>415</v>
      </c>
      <c r="H72" s="1477"/>
      <c r="I72" s="1484"/>
      <c r="J72" s="1484"/>
    </row>
    <row r="73" spans="1:10" ht="24.75" customHeight="1" thickBot="1">
      <c r="A73" s="687">
        <v>8</v>
      </c>
      <c r="B73" s="20" t="s">
        <v>254</v>
      </c>
      <c r="C73" s="9">
        <f>98041-C81</f>
        <v>98041</v>
      </c>
      <c r="D73" s="1464">
        <v>97417</v>
      </c>
      <c r="E73" s="1464"/>
      <c r="F73" s="168"/>
      <c r="G73" s="1237"/>
      <c r="H73" s="1477"/>
      <c r="I73" s="1484"/>
      <c r="J73" s="1484"/>
    </row>
    <row r="74" spans="1:10" ht="26.25" customHeight="1" thickBot="1">
      <c r="A74" s="687">
        <v>9</v>
      </c>
      <c r="B74" s="29" t="s">
        <v>255</v>
      </c>
      <c r="C74" s="98"/>
      <c r="D74" s="1464"/>
      <c r="E74" s="1464"/>
      <c r="F74" s="91"/>
      <c r="G74" s="1641"/>
      <c r="H74" s="1477"/>
      <c r="I74" s="1484"/>
      <c r="J74" s="1484"/>
    </row>
    <row r="75" spans="1:10" ht="29.25" thickBot="1">
      <c r="A75" s="693" t="s">
        <v>9</v>
      </c>
      <c r="B75" s="1236" t="s">
        <v>75</v>
      </c>
      <c r="C75" s="343">
        <f>SUM(C76:C82)</f>
        <v>851</v>
      </c>
      <c r="D75" s="343">
        <f>SUM(D76:D82)</f>
        <v>851</v>
      </c>
      <c r="E75" s="343"/>
      <c r="F75" s="168"/>
      <c r="G75" s="1237" t="s">
        <v>76</v>
      </c>
      <c r="H75" s="1466">
        <f>SUM(H76:H83)</f>
        <v>0</v>
      </c>
      <c r="I75" s="1484"/>
      <c r="J75" s="1484"/>
    </row>
    <row r="76" spans="1:10" ht="27.75" customHeight="1" thickBot="1">
      <c r="A76" s="687" t="s">
        <v>23</v>
      </c>
      <c r="B76" s="351" t="s">
        <v>256</v>
      </c>
      <c r="C76" s="181"/>
      <c r="D76" s="181"/>
      <c r="E76" s="181"/>
      <c r="F76" s="179" t="s">
        <v>9</v>
      </c>
      <c r="G76" s="398" t="s">
        <v>260</v>
      </c>
      <c r="H76" s="1470"/>
      <c r="I76" s="1484"/>
      <c r="J76" s="1484"/>
    </row>
    <row r="77" spans="1:10" ht="28.5" customHeight="1">
      <c r="A77" s="687" t="s">
        <v>25</v>
      </c>
      <c r="B77" s="20" t="s">
        <v>416</v>
      </c>
      <c r="C77" s="11"/>
      <c r="D77" s="11"/>
      <c r="E77" s="11"/>
      <c r="F77" s="7" t="s">
        <v>23</v>
      </c>
      <c r="G77" s="395" t="s">
        <v>417</v>
      </c>
      <c r="H77" s="1469"/>
      <c r="I77" s="1484"/>
      <c r="J77" s="1484"/>
    </row>
    <row r="78" spans="1:10" ht="29.25" customHeight="1">
      <c r="A78" s="687" t="s">
        <v>27</v>
      </c>
      <c r="B78" s="20" t="s">
        <v>249</v>
      </c>
      <c r="C78" s="11"/>
      <c r="D78" s="11"/>
      <c r="E78" s="11"/>
      <c r="F78" s="7" t="s">
        <v>25</v>
      </c>
      <c r="G78" s="395" t="s">
        <v>418</v>
      </c>
      <c r="H78" s="1475"/>
      <c r="I78" s="1484"/>
      <c r="J78" s="1484"/>
    </row>
    <row r="79" spans="1:10" ht="27" customHeight="1">
      <c r="A79" s="687" t="s">
        <v>29</v>
      </c>
      <c r="B79" s="20" t="s">
        <v>419</v>
      </c>
      <c r="C79" s="11"/>
      <c r="D79" s="11"/>
      <c r="E79" s="11"/>
      <c r="F79" s="7" t="s">
        <v>27</v>
      </c>
      <c r="G79" s="395" t="s">
        <v>420</v>
      </c>
      <c r="H79" s="1475"/>
      <c r="I79" s="1484"/>
      <c r="J79" s="1484"/>
    </row>
    <row r="80" spans="1:10" ht="37.5" customHeight="1">
      <c r="A80" s="687" t="s">
        <v>31</v>
      </c>
      <c r="B80" s="20" t="s">
        <v>421</v>
      </c>
      <c r="C80" s="11"/>
      <c r="D80" s="11"/>
      <c r="E80" s="11"/>
      <c r="F80" s="7" t="s">
        <v>29</v>
      </c>
      <c r="G80" s="395" t="s">
        <v>422</v>
      </c>
      <c r="H80" s="1477"/>
      <c r="I80" s="1484"/>
      <c r="J80" s="1486"/>
    </row>
    <row r="81" spans="1:10" ht="27.75" customHeight="1">
      <c r="A81" s="687" t="s">
        <v>74</v>
      </c>
      <c r="B81" s="20" t="s">
        <v>252</v>
      </c>
      <c r="C81" s="11"/>
      <c r="D81" s="11"/>
      <c r="E81" s="11"/>
      <c r="F81" s="7" t="s">
        <v>31</v>
      </c>
      <c r="G81" s="395" t="s">
        <v>252</v>
      </c>
      <c r="H81" s="1477"/>
      <c r="I81" s="1484"/>
      <c r="J81" s="1484"/>
    </row>
    <row r="82" spans="1:10" ht="34.5" customHeight="1" thickBot="1">
      <c r="A82" s="1229" t="s">
        <v>77</v>
      </c>
      <c r="B82" s="20" t="s">
        <v>254</v>
      </c>
      <c r="C82" s="24">
        <v>851</v>
      </c>
      <c r="D82" s="1379">
        <v>851</v>
      </c>
      <c r="E82" s="1379"/>
      <c r="F82" s="183" t="s">
        <v>74</v>
      </c>
      <c r="G82" s="395" t="s">
        <v>253</v>
      </c>
      <c r="H82" s="1477"/>
      <c r="I82" s="1484"/>
      <c r="J82" s="1484"/>
    </row>
    <row r="83" spans="1:10" ht="15.75" thickBot="1">
      <c r="A83" s="1230"/>
      <c r="B83" s="1634"/>
      <c r="C83" s="352"/>
      <c r="D83" s="352"/>
      <c r="E83" s="352"/>
      <c r="F83" s="184" t="s">
        <v>77</v>
      </c>
      <c r="G83" s="1642" t="s">
        <v>79</v>
      </c>
      <c r="H83" s="1478"/>
      <c r="I83" s="1484"/>
      <c r="J83" s="1484"/>
    </row>
    <row r="84" spans="1:10" ht="15.75" thickBot="1">
      <c r="A84" s="1231"/>
      <c r="B84" s="1635" t="s">
        <v>78</v>
      </c>
      <c r="C84" s="1232">
        <f>(C9+C47+C65+C80)</f>
        <v>116153</v>
      </c>
      <c r="D84" s="1232">
        <f>(D9+D47+D65+D80+D75)</f>
        <v>116380</v>
      </c>
      <c r="E84" s="1465"/>
      <c r="F84" s="1233"/>
      <c r="G84" s="1643"/>
      <c r="H84" s="1479">
        <f>SUM(H9+H47+H65+H75)</f>
        <v>116153</v>
      </c>
      <c r="I84" s="1479">
        <f>SUM(I9+I47+I65+I75)</f>
        <v>116380</v>
      </c>
      <c r="J84" s="1485"/>
    </row>
  </sheetData>
  <sheetProtection/>
  <mergeCells count="2">
    <mergeCell ref="A5:H5"/>
    <mergeCell ref="F15:F2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45" r:id="rId3"/>
  <rowBreaks count="1" manualBreakCount="1">
    <brk id="64" max="9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8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7" customWidth="1"/>
    <col min="2" max="2" width="85.125" style="25" customWidth="1"/>
    <col min="3" max="3" width="16.375" style="25" customWidth="1"/>
    <col min="4" max="11" width="16.875" style="25" customWidth="1"/>
    <col min="12" max="12" width="19.625" style="25" customWidth="1"/>
    <col min="13" max="13" width="20.375" style="25" customWidth="1"/>
    <col min="14" max="14" width="16.875" style="25" customWidth="1"/>
    <col min="15" max="15" width="5.50390625" style="25" customWidth="1"/>
    <col min="16" max="16" width="13.375" style="25" customWidth="1"/>
    <col min="17" max="16384" width="9.375" style="25" customWidth="1"/>
  </cols>
  <sheetData>
    <row r="1" spans="1:14" ht="42" customHeight="1">
      <c r="A1" s="204"/>
      <c r="B1" s="26" t="s">
        <v>723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2.5" customHeight="1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0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22.5" customHeight="1">
      <c r="A4" s="1807" t="s">
        <v>292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</row>
    <row r="5" spans="1:14" ht="21.75" customHeight="1">
      <c r="A5" s="1808" t="s">
        <v>578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</row>
    <row r="6" spans="1:14" ht="18.7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8" t="s">
        <v>1</v>
      </c>
    </row>
    <row r="7" spans="1:14" s="308" customFormat="1" ht="24.75" customHeight="1" thickBot="1">
      <c r="A7" s="129" t="s">
        <v>118</v>
      </c>
      <c r="B7" s="129" t="s">
        <v>142</v>
      </c>
      <c r="C7" s="1836" t="s">
        <v>363</v>
      </c>
      <c r="D7" s="1837"/>
      <c r="E7" s="1838"/>
      <c r="F7" s="1836" t="s">
        <v>364</v>
      </c>
      <c r="G7" s="1837"/>
      <c r="H7" s="1838"/>
      <c r="I7" s="1836" t="s">
        <v>371</v>
      </c>
      <c r="J7" s="1837"/>
      <c r="K7" s="1838"/>
      <c r="L7" s="1836" t="s">
        <v>366</v>
      </c>
      <c r="M7" s="1837"/>
      <c r="N7" s="1838"/>
    </row>
    <row r="8" spans="1:14" ht="45" customHeight="1">
      <c r="A8" s="209" t="s">
        <v>87</v>
      </c>
      <c r="B8" s="210" t="s">
        <v>88</v>
      </c>
      <c r="C8" s="1809" t="s">
        <v>153</v>
      </c>
      <c r="D8" s="1809"/>
      <c r="E8" s="1809"/>
      <c r="F8" s="1809" t="s">
        <v>154</v>
      </c>
      <c r="G8" s="1809"/>
      <c r="H8" s="1809"/>
      <c r="I8" s="1839" t="s">
        <v>155</v>
      </c>
      <c r="J8" s="1839"/>
      <c r="K8" s="1839"/>
      <c r="L8" s="1839" t="s">
        <v>156</v>
      </c>
      <c r="M8" s="1839"/>
      <c r="N8" s="1839"/>
    </row>
    <row r="9" spans="1:14" s="30" customFormat="1" ht="27.75" customHeight="1" thickBot="1">
      <c r="A9" s="211" t="s">
        <v>90</v>
      </c>
      <c r="B9" s="212" t="s">
        <v>91</v>
      </c>
      <c r="C9" s="213" t="s">
        <v>92</v>
      </c>
      <c r="D9" s="214" t="s">
        <v>93</v>
      </c>
      <c r="E9" s="215" t="s">
        <v>94</v>
      </c>
      <c r="F9" s="213" t="s">
        <v>92</v>
      </c>
      <c r="G9" s="214" t="s">
        <v>93</v>
      </c>
      <c r="H9" s="215" t="s">
        <v>94</v>
      </c>
      <c r="I9" s="213" t="s">
        <v>92</v>
      </c>
      <c r="J9" s="214" t="s">
        <v>93</v>
      </c>
      <c r="K9" s="215" t="s">
        <v>94</v>
      </c>
      <c r="L9" s="213" t="s">
        <v>92</v>
      </c>
      <c r="M9" s="214" t="s">
        <v>93</v>
      </c>
      <c r="N9" s="215" t="s">
        <v>94</v>
      </c>
    </row>
    <row r="10" spans="1:14" s="456" customFormat="1" ht="19.5" customHeight="1" thickBot="1">
      <c r="A10" s="451">
        <v>1</v>
      </c>
      <c r="B10" s="452">
        <v>2</v>
      </c>
      <c r="C10" s="453">
        <v>3</v>
      </c>
      <c r="D10" s="454">
        <v>4</v>
      </c>
      <c r="E10" s="455">
        <v>5</v>
      </c>
      <c r="F10" s="453">
        <v>3</v>
      </c>
      <c r="G10" s="454">
        <v>4</v>
      </c>
      <c r="H10" s="455">
        <v>5</v>
      </c>
      <c r="I10" s="453">
        <v>3</v>
      </c>
      <c r="J10" s="454">
        <v>4</v>
      </c>
      <c r="K10" s="455">
        <v>5</v>
      </c>
      <c r="L10" s="453">
        <v>3</v>
      </c>
      <c r="M10" s="454">
        <v>4</v>
      </c>
      <c r="N10" s="455">
        <v>5</v>
      </c>
    </row>
    <row r="11" spans="1:14" s="30" customFormat="1" ht="18.7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23"/>
      <c r="J11" s="224"/>
      <c r="K11" s="225"/>
      <c r="L11" s="223"/>
      <c r="M11" s="224"/>
      <c r="N11" s="225"/>
    </row>
    <row r="12" spans="1:14" s="38" customFormat="1" ht="17.25" customHeight="1" thickBot="1">
      <c r="A12" s="46">
        <v>1</v>
      </c>
      <c r="B12" s="226" t="s">
        <v>8</v>
      </c>
      <c r="C12" s="69">
        <v>1587</v>
      </c>
      <c r="D12" s="69">
        <f>1587+894+991-1</f>
        <v>3471</v>
      </c>
      <c r="E12" s="227"/>
      <c r="F12" s="69"/>
      <c r="G12" s="69"/>
      <c r="H12" s="227"/>
      <c r="I12" s="69"/>
      <c r="J12" s="69"/>
      <c r="K12" s="227"/>
      <c r="L12" s="69"/>
      <c r="M12" s="69"/>
      <c r="N12" s="227"/>
    </row>
    <row r="13" spans="1:14" s="38" customFormat="1" ht="17.25" customHeight="1" thickBot="1">
      <c r="A13" s="46">
        <v>2</v>
      </c>
      <c r="B13" s="226" t="s">
        <v>96</v>
      </c>
      <c r="C13" s="69">
        <v>213</v>
      </c>
      <c r="D13" s="69">
        <f>213+330+330</f>
        <v>873</v>
      </c>
      <c r="E13" s="227"/>
      <c r="F13" s="69"/>
      <c r="G13" s="69"/>
      <c r="H13" s="227"/>
      <c r="I13" s="69"/>
      <c r="J13" s="69"/>
      <c r="K13" s="227"/>
      <c r="L13" s="69"/>
      <c r="M13" s="69"/>
      <c r="N13" s="227"/>
    </row>
    <row r="14" spans="1:14" s="38" customFormat="1" ht="17.25" customHeight="1" thickBot="1">
      <c r="A14" s="46">
        <v>3</v>
      </c>
      <c r="B14" s="226" t="s">
        <v>15</v>
      </c>
      <c r="C14" s="69">
        <v>200</v>
      </c>
      <c r="D14" s="69">
        <v>200</v>
      </c>
      <c r="E14" s="227"/>
      <c r="F14" s="69"/>
      <c r="G14" s="69"/>
      <c r="H14" s="227"/>
      <c r="I14" s="69">
        <v>13752</v>
      </c>
      <c r="J14" s="69">
        <v>13752</v>
      </c>
      <c r="K14" s="227"/>
      <c r="L14" s="69"/>
      <c r="M14" s="69"/>
      <c r="N14" s="227"/>
    </row>
    <row r="15" spans="1:14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>
        <v>43455</v>
      </c>
      <c r="G15" s="69">
        <v>43455</v>
      </c>
      <c r="H15" s="227"/>
      <c r="I15" s="69"/>
      <c r="J15" s="69"/>
      <c r="K15" s="227"/>
      <c r="L15" s="69"/>
      <c r="M15" s="69"/>
      <c r="N15" s="227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7"/>
    </row>
    <row r="17" spans="1:14" s="38" customFormat="1" ht="17.25" customHeight="1">
      <c r="A17" s="39" t="s">
        <v>99</v>
      </c>
      <c r="B17" s="48" t="s">
        <v>100</v>
      </c>
      <c r="C17" s="229"/>
      <c r="D17" s="50"/>
      <c r="E17" s="104"/>
      <c r="F17" s="229"/>
      <c r="G17" s="50"/>
      <c r="H17" s="104"/>
      <c r="I17" s="229"/>
      <c r="J17" s="50"/>
      <c r="K17" s="104"/>
      <c r="L17" s="229"/>
      <c r="M17" s="50"/>
      <c r="N17" s="104"/>
    </row>
    <row r="18" spans="1:14" s="38" customFormat="1" ht="17.25" customHeight="1">
      <c r="A18" s="39" t="s">
        <v>101</v>
      </c>
      <c r="B18" s="48" t="s">
        <v>102</v>
      </c>
      <c r="C18" s="229"/>
      <c r="D18" s="50"/>
      <c r="E18" s="104"/>
      <c r="F18" s="229"/>
      <c r="G18" s="50"/>
      <c r="H18" s="104"/>
      <c r="I18" s="229"/>
      <c r="J18" s="50"/>
      <c r="K18" s="104"/>
      <c r="L18" s="229"/>
      <c r="M18" s="50"/>
      <c r="N18" s="104"/>
    </row>
    <row r="19" spans="1:14" s="38" customFormat="1" ht="17.25" customHeigh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4"/>
      <c r="I19" s="229"/>
      <c r="J19" s="50"/>
      <c r="K19" s="104"/>
      <c r="L19" s="229"/>
      <c r="M19" s="50"/>
      <c r="N19" s="104"/>
    </row>
    <row r="20" spans="1:14" s="38" customFormat="1" ht="17.25" customHeight="1">
      <c r="A20" s="230" t="s">
        <v>104</v>
      </c>
      <c r="B20" s="48" t="s">
        <v>105</v>
      </c>
      <c r="C20" s="51"/>
      <c r="D20" s="50"/>
      <c r="E20" s="104"/>
      <c r="F20" s="51"/>
      <c r="G20" s="50"/>
      <c r="H20" s="104"/>
      <c r="I20" s="51"/>
      <c r="J20" s="50"/>
      <c r="K20" s="104"/>
      <c r="L20" s="51"/>
      <c r="M20" s="50"/>
      <c r="N20" s="104"/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4"/>
      <c r="F21" s="51"/>
      <c r="G21" s="50"/>
      <c r="H21" s="104"/>
      <c r="I21" s="51"/>
      <c r="J21" s="50"/>
      <c r="K21" s="104"/>
      <c r="L21" s="51"/>
      <c r="M21" s="50"/>
      <c r="N21" s="104"/>
    </row>
    <row r="22" spans="1:14" s="38" customFormat="1" ht="17.25" customHeight="1">
      <c r="A22" s="230" t="s">
        <v>108</v>
      </c>
      <c r="B22" s="48" t="s">
        <v>109</v>
      </c>
      <c r="C22" s="51"/>
      <c r="D22" s="50"/>
      <c r="E22" s="104"/>
      <c r="F22" s="51"/>
      <c r="G22" s="50"/>
      <c r="H22" s="104"/>
      <c r="I22" s="51">
        <v>8483</v>
      </c>
      <c r="J22" s="50">
        <v>8483</v>
      </c>
      <c r="K22" s="104"/>
      <c r="L22" s="51"/>
      <c r="M22" s="50"/>
      <c r="N22" s="104"/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43">
        <v>140000</v>
      </c>
      <c r="M23" s="44">
        <v>140000</v>
      </c>
      <c r="N23" s="45"/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8483</v>
      </c>
      <c r="J24" s="47">
        <f t="shared" si="0"/>
        <v>8483</v>
      </c>
      <c r="K24" s="47">
        <f t="shared" si="0"/>
        <v>0</v>
      </c>
      <c r="L24" s="47">
        <f t="shared" si="0"/>
        <v>140000</v>
      </c>
      <c r="M24" s="47">
        <f t="shared" si="0"/>
        <v>140000</v>
      </c>
      <c r="N24" s="293">
        <f t="shared" si="0"/>
        <v>0</v>
      </c>
    </row>
    <row r="25" spans="1:14" s="38" customFormat="1" ht="17.25" customHeight="1" thickBot="1">
      <c r="A25" s="46">
        <v>6</v>
      </c>
      <c r="B25" s="226" t="s">
        <v>53</v>
      </c>
      <c r="C25" s="47"/>
      <c r="D25" s="69"/>
      <c r="E25" s="227"/>
      <c r="F25" s="47"/>
      <c r="G25" s="69"/>
      <c r="H25" s="227"/>
      <c r="I25" s="47"/>
      <c r="J25" s="69"/>
      <c r="K25" s="227"/>
      <c r="L25" s="47">
        <v>5607</v>
      </c>
      <c r="M25" s="69">
        <v>5607</v>
      </c>
      <c r="N25" s="227"/>
    </row>
    <row r="26" spans="1:14" s="38" customFormat="1" ht="17.25" customHeight="1" thickBot="1">
      <c r="A26" s="46">
        <v>7</v>
      </c>
      <c r="B26" s="226" t="s">
        <v>56</v>
      </c>
      <c r="C26" s="69"/>
      <c r="D26" s="69"/>
      <c r="E26" s="227"/>
      <c r="F26" s="69"/>
      <c r="G26" s="69"/>
      <c r="H26" s="227"/>
      <c r="I26" s="69"/>
      <c r="J26" s="69"/>
      <c r="K26" s="227"/>
      <c r="L26" s="47">
        <f>28609+28609</f>
        <v>57218</v>
      </c>
      <c r="M26" s="69">
        <v>57218</v>
      </c>
      <c r="N26" s="227"/>
    </row>
    <row r="27" spans="1:14" s="38" customFormat="1" ht="17.25" customHeight="1">
      <c r="A27" s="231" t="s">
        <v>97</v>
      </c>
      <c r="B27" s="232" t="s">
        <v>112</v>
      </c>
      <c r="C27" s="233"/>
      <c r="D27" s="234"/>
      <c r="E27" s="235"/>
      <c r="F27" s="233"/>
      <c r="G27" s="234"/>
      <c r="H27" s="235"/>
      <c r="I27" s="233"/>
      <c r="J27" s="234"/>
      <c r="K27" s="235"/>
      <c r="L27" s="233"/>
      <c r="M27" s="234"/>
      <c r="N27" s="235"/>
    </row>
    <row r="28" spans="1:14" s="38" customFormat="1" ht="17.25" customHeight="1">
      <c r="A28" s="39" t="s">
        <v>99</v>
      </c>
      <c r="B28" s="48" t="s">
        <v>113</v>
      </c>
      <c r="C28" s="229"/>
      <c r="D28" s="50"/>
      <c r="E28" s="104"/>
      <c r="F28" s="229"/>
      <c r="G28" s="50"/>
      <c r="H28" s="104"/>
      <c r="I28" s="229"/>
      <c r="J28" s="50"/>
      <c r="K28" s="104"/>
      <c r="L28" s="229"/>
      <c r="M28" s="50"/>
      <c r="N28" s="104"/>
    </row>
    <row r="29" spans="1:14" s="38" customFormat="1" ht="17.25" customHeight="1">
      <c r="A29" s="236" t="s">
        <v>101</v>
      </c>
      <c r="B29" s="237" t="s">
        <v>114</v>
      </c>
      <c r="C29" s="238"/>
      <c r="D29" s="239"/>
      <c r="E29" s="240"/>
      <c r="F29" s="238"/>
      <c r="G29" s="239"/>
      <c r="H29" s="240"/>
      <c r="I29" s="238"/>
      <c r="J29" s="239"/>
      <c r="K29" s="240"/>
      <c r="L29" s="238"/>
      <c r="M29" s="239"/>
      <c r="N29" s="240"/>
    </row>
    <row r="30" spans="1:14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</row>
    <row r="31" spans="1:14" s="38" customFormat="1" ht="17.25" customHeight="1" thickBot="1">
      <c r="A31" s="241" t="s">
        <v>104</v>
      </c>
      <c r="B31" s="242" t="s">
        <v>116</v>
      </c>
      <c r="C31" s="243"/>
      <c r="D31" s="244"/>
      <c r="E31" s="245"/>
      <c r="F31" s="243"/>
      <c r="G31" s="244"/>
      <c r="H31" s="245"/>
      <c r="I31" s="243"/>
      <c r="J31" s="244"/>
      <c r="K31" s="245"/>
      <c r="L31" s="243"/>
      <c r="M31" s="244"/>
      <c r="N31" s="245"/>
    </row>
    <row r="32" spans="1:14" s="246" customFormat="1" ht="17.25" customHeight="1" thickBot="1">
      <c r="A32" s="46">
        <v>8</v>
      </c>
      <c r="B32" s="226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93">
        <f t="shared" si="1"/>
        <v>0</v>
      </c>
    </row>
    <row r="33" spans="1:14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/>
      <c r="G33" s="69"/>
      <c r="H33" s="227"/>
      <c r="I33" s="47"/>
      <c r="J33" s="69"/>
      <c r="K33" s="227"/>
      <c r="L33" s="47"/>
      <c r="M33" s="69"/>
      <c r="N33" s="227"/>
    </row>
    <row r="34" spans="1:16" s="58" customFormat="1" ht="17.25" customHeight="1" thickBot="1">
      <c r="A34" s="1256" t="s">
        <v>118</v>
      </c>
      <c r="B34" s="1257" t="s">
        <v>147</v>
      </c>
      <c r="C34" s="1258">
        <f aca="true" t="shared" si="2" ref="C34:N34">SUM(C12+C13+C14+C15+C24+C25+C26+C32+C33)</f>
        <v>2000</v>
      </c>
      <c r="D34" s="1258">
        <f t="shared" si="2"/>
        <v>4544</v>
      </c>
      <c r="E34" s="1258">
        <f t="shared" si="2"/>
        <v>0</v>
      </c>
      <c r="F34" s="1258">
        <f t="shared" si="2"/>
        <v>43455</v>
      </c>
      <c r="G34" s="1258">
        <f t="shared" si="2"/>
        <v>43455</v>
      </c>
      <c r="H34" s="1258">
        <f t="shared" si="2"/>
        <v>0</v>
      </c>
      <c r="I34" s="1258">
        <f t="shared" si="2"/>
        <v>22235</v>
      </c>
      <c r="J34" s="1258">
        <f t="shared" si="2"/>
        <v>22235</v>
      </c>
      <c r="K34" s="1258">
        <f t="shared" si="2"/>
        <v>0</v>
      </c>
      <c r="L34" s="1258">
        <f t="shared" si="2"/>
        <v>202825</v>
      </c>
      <c r="M34" s="1258">
        <f t="shared" si="2"/>
        <v>202825</v>
      </c>
      <c r="N34" s="1259">
        <f t="shared" si="2"/>
        <v>0</v>
      </c>
      <c r="O34" s="56"/>
      <c r="P34" s="57"/>
    </row>
    <row r="35" spans="1:15" s="191" customFormat="1" ht="17.25" customHeight="1" thickBot="1">
      <c r="A35" s="247"/>
      <c r="B35" s="248" t="s">
        <v>120</v>
      </c>
      <c r="C35" s="47"/>
      <c r="D35" s="69"/>
      <c r="E35" s="1260"/>
      <c r="F35" s="47"/>
      <c r="G35" s="69"/>
      <c r="H35" s="1260"/>
      <c r="I35" s="47"/>
      <c r="J35" s="69"/>
      <c r="K35" s="1260"/>
      <c r="L35" s="47"/>
      <c r="M35" s="69"/>
      <c r="N35" s="1260"/>
      <c r="O35" s="252"/>
    </row>
    <row r="36" spans="1:14" s="38" customFormat="1" ht="17.25" customHeight="1">
      <c r="A36" s="253" t="s">
        <v>97</v>
      </c>
      <c r="B36" s="254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/>
      <c r="M36" s="65"/>
      <c r="N36" s="66"/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40"/>
      <c r="I37" s="50"/>
      <c r="J37" s="50"/>
      <c r="K37" s="240"/>
      <c r="L37" s="50"/>
      <c r="M37" s="50"/>
      <c r="N37" s="240"/>
    </row>
    <row r="38" spans="1:16" s="38" customFormat="1" ht="17.25" customHeight="1">
      <c r="A38" s="39" t="s">
        <v>101</v>
      </c>
      <c r="B38" s="48" t="s">
        <v>122</v>
      </c>
      <c r="C38" s="50"/>
      <c r="D38" s="50"/>
      <c r="E38" s="240"/>
      <c r="F38" s="50"/>
      <c r="G38" s="50"/>
      <c r="H38" s="240"/>
      <c r="I38" s="50"/>
      <c r="J38" s="50"/>
      <c r="K38" s="240"/>
      <c r="L38" s="50"/>
      <c r="M38" s="50"/>
      <c r="N38" s="240"/>
      <c r="P38" s="113"/>
    </row>
    <row r="39" spans="1:14" s="38" customFormat="1" ht="17.25" customHeight="1">
      <c r="A39" s="39" t="s">
        <v>103</v>
      </c>
      <c r="B39" s="48" t="s">
        <v>123</v>
      </c>
      <c r="C39" s="50"/>
      <c r="D39" s="50">
        <f>1224+844</f>
        <v>2068</v>
      </c>
      <c r="E39" s="240"/>
      <c r="F39" s="50"/>
      <c r="G39" s="50"/>
      <c r="H39" s="240"/>
      <c r="I39" s="50"/>
      <c r="J39" s="50"/>
      <c r="K39" s="240"/>
      <c r="L39" s="50"/>
      <c r="M39" s="50"/>
      <c r="N39" s="240"/>
    </row>
    <row r="40" spans="1:14" s="63" customFormat="1" ht="17.25" customHeight="1">
      <c r="A40" s="255">
        <v>1</v>
      </c>
      <c r="B40" s="256" t="s">
        <v>124</v>
      </c>
      <c r="C40" s="257">
        <f aca="true" t="shared" si="3" ref="C40:N40">SUM(C36:C39)</f>
        <v>0</v>
      </c>
      <c r="D40" s="257">
        <f t="shared" si="3"/>
        <v>2068</v>
      </c>
      <c r="E40" s="257">
        <f t="shared" si="3"/>
        <v>0</v>
      </c>
      <c r="F40" s="257">
        <f t="shared" si="3"/>
        <v>0</v>
      </c>
      <c r="G40" s="257">
        <f t="shared" si="3"/>
        <v>0</v>
      </c>
      <c r="H40" s="257">
        <f t="shared" si="3"/>
        <v>0</v>
      </c>
      <c r="I40" s="257">
        <f t="shared" si="3"/>
        <v>0</v>
      </c>
      <c r="J40" s="257">
        <f t="shared" si="3"/>
        <v>0</v>
      </c>
      <c r="K40" s="257">
        <f t="shared" si="3"/>
        <v>0</v>
      </c>
      <c r="L40" s="257">
        <f t="shared" si="3"/>
        <v>0</v>
      </c>
      <c r="M40" s="257">
        <f t="shared" si="3"/>
        <v>0</v>
      </c>
      <c r="N40" s="298">
        <f t="shared" si="3"/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40"/>
      <c r="I41" s="50"/>
      <c r="J41" s="50"/>
      <c r="K41" s="240"/>
      <c r="L41" s="50"/>
      <c r="M41" s="50"/>
      <c r="N41" s="240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40"/>
      <c r="F42" s="50"/>
      <c r="G42" s="50"/>
      <c r="H42" s="240"/>
      <c r="I42" s="50"/>
      <c r="J42" s="50"/>
      <c r="K42" s="240"/>
      <c r="L42" s="50"/>
      <c r="M42" s="50"/>
      <c r="N42" s="240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40"/>
      <c r="F43" s="50"/>
      <c r="G43" s="50"/>
      <c r="H43" s="240"/>
      <c r="I43" s="50"/>
      <c r="J43" s="50"/>
      <c r="K43" s="240"/>
      <c r="L43" s="50"/>
      <c r="M43" s="50"/>
      <c r="N43" s="240"/>
    </row>
    <row r="44" spans="1:14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/>
      <c r="G44" s="50"/>
      <c r="H44" s="240"/>
      <c r="I44" s="229"/>
      <c r="J44" s="50"/>
      <c r="K44" s="240"/>
      <c r="L44" s="50"/>
      <c r="M44" s="50"/>
      <c r="N44" s="240"/>
    </row>
    <row r="45" spans="1:14" s="63" customFormat="1" ht="17.25" customHeight="1">
      <c r="A45" s="255">
        <v>2</v>
      </c>
      <c r="B45" s="256" t="s">
        <v>129</v>
      </c>
      <c r="C45" s="258">
        <f aca="true" t="shared" si="4" ref="C45:N45">SUM(C41:C44)</f>
        <v>0</v>
      </c>
      <c r="D45" s="258">
        <f t="shared" si="4"/>
        <v>0</v>
      </c>
      <c r="E45" s="258">
        <f t="shared" si="4"/>
        <v>0</v>
      </c>
      <c r="F45" s="258">
        <f t="shared" si="4"/>
        <v>0</v>
      </c>
      <c r="G45" s="258">
        <f t="shared" si="4"/>
        <v>0</v>
      </c>
      <c r="H45" s="258">
        <f t="shared" si="4"/>
        <v>0</v>
      </c>
      <c r="I45" s="258">
        <f t="shared" si="4"/>
        <v>0</v>
      </c>
      <c r="J45" s="258">
        <f t="shared" si="4"/>
        <v>0</v>
      </c>
      <c r="K45" s="258">
        <f t="shared" si="4"/>
        <v>0</v>
      </c>
      <c r="L45" s="258">
        <f t="shared" si="4"/>
        <v>0</v>
      </c>
      <c r="M45" s="258">
        <f t="shared" si="4"/>
        <v>0</v>
      </c>
      <c r="N45" s="1246">
        <f t="shared" si="4"/>
        <v>0</v>
      </c>
    </row>
    <row r="46" spans="1:14" s="63" customFormat="1" ht="17.25" customHeight="1">
      <c r="A46" s="255">
        <v>3</v>
      </c>
      <c r="B46" s="256" t="s">
        <v>34</v>
      </c>
      <c r="C46" s="258"/>
      <c r="D46" s="257"/>
      <c r="E46" s="259"/>
      <c r="F46" s="258"/>
      <c r="G46" s="257"/>
      <c r="H46" s="259"/>
      <c r="I46" s="258"/>
      <c r="J46" s="257"/>
      <c r="K46" s="259"/>
      <c r="L46" s="257"/>
      <c r="M46" s="257"/>
      <c r="N46" s="259"/>
    </row>
    <row r="47" spans="1:14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259"/>
      <c r="I47" s="258"/>
      <c r="J47" s="257"/>
      <c r="K47" s="259"/>
      <c r="L47" s="257"/>
      <c r="M47" s="257"/>
      <c r="N47" s="259"/>
    </row>
    <row r="48" spans="1:14" s="38" customFormat="1" ht="17.25" customHeight="1">
      <c r="A48" s="39" t="s">
        <v>97</v>
      </c>
      <c r="B48" s="48" t="s">
        <v>130</v>
      </c>
      <c r="C48" s="229"/>
      <c r="D48" s="51"/>
      <c r="E48" s="260"/>
      <c r="F48" s="229"/>
      <c r="G48" s="51"/>
      <c r="H48" s="260"/>
      <c r="I48" s="229"/>
      <c r="J48" s="51"/>
      <c r="K48" s="260"/>
      <c r="L48" s="50"/>
      <c r="M48" s="51"/>
      <c r="N48" s="260"/>
    </row>
    <row r="49" spans="1:16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61"/>
      <c r="O49" s="262"/>
      <c r="P49" s="113"/>
    </row>
    <row r="50" spans="1:16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63"/>
      <c r="K50" s="264"/>
      <c r="L50" s="238"/>
      <c r="M50" s="263"/>
      <c r="N50" s="260"/>
      <c r="O50" s="262"/>
      <c r="P50" s="113"/>
    </row>
    <row r="51" spans="1:16" s="63" customFormat="1" ht="17.25" customHeight="1">
      <c r="A51" s="265">
        <v>5</v>
      </c>
      <c r="B51" s="266" t="s">
        <v>133</v>
      </c>
      <c r="C51" s="267">
        <f aca="true" t="shared" si="5" ref="C51:N51">SUM(C48:C50)</f>
        <v>0</v>
      </c>
      <c r="D51" s="267">
        <f t="shared" si="5"/>
        <v>0</v>
      </c>
      <c r="E51" s="267">
        <f t="shared" si="5"/>
        <v>0</v>
      </c>
      <c r="F51" s="267">
        <f t="shared" si="5"/>
        <v>0</v>
      </c>
      <c r="G51" s="267">
        <f t="shared" si="5"/>
        <v>0</v>
      </c>
      <c r="H51" s="267">
        <f t="shared" si="5"/>
        <v>0</v>
      </c>
      <c r="I51" s="267">
        <f t="shared" si="5"/>
        <v>0</v>
      </c>
      <c r="J51" s="267">
        <f t="shared" si="5"/>
        <v>0</v>
      </c>
      <c r="K51" s="267">
        <f t="shared" si="5"/>
        <v>0</v>
      </c>
      <c r="L51" s="267">
        <f t="shared" si="5"/>
        <v>0</v>
      </c>
      <c r="M51" s="267">
        <f t="shared" si="5"/>
        <v>0</v>
      </c>
      <c r="N51" s="1247">
        <f t="shared" si="5"/>
        <v>0</v>
      </c>
      <c r="O51" s="268"/>
      <c r="P51" s="107"/>
    </row>
    <row r="52" spans="1:16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269"/>
      <c r="K52" s="270"/>
      <c r="L52" s="267"/>
      <c r="M52" s="269"/>
      <c r="N52" s="271"/>
      <c r="O52" s="268"/>
      <c r="P52" s="107"/>
    </row>
    <row r="53" spans="1:16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/>
      <c r="J53" s="263"/>
      <c r="K53" s="264"/>
      <c r="L53" s="238"/>
      <c r="M53" s="263"/>
      <c r="N53" s="260"/>
      <c r="O53" s="262"/>
      <c r="P53" s="113"/>
    </row>
    <row r="54" spans="1:16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63"/>
      <c r="K54" s="264"/>
      <c r="L54" s="238"/>
      <c r="M54" s="263"/>
      <c r="N54" s="260"/>
      <c r="O54" s="262"/>
      <c r="P54" s="113"/>
    </row>
    <row r="55" spans="1:16" s="63" customFormat="1" ht="17.25" customHeight="1">
      <c r="A55" s="265">
        <v>7</v>
      </c>
      <c r="B55" s="266" t="s">
        <v>136</v>
      </c>
      <c r="C55" s="267">
        <f aca="true" t="shared" si="6" ref="C55:N55">SUM(C53:C54)</f>
        <v>0</v>
      </c>
      <c r="D55" s="267">
        <f t="shared" si="6"/>
        <v>0</v>
      </c>
      <c r="E55" s="267">
        <f t="shared" si="6"/>
        <v>0</v>
      </c>
      <c r="F55" s="267">
        <f t="shared" si="6"/>
        <v>0</v>
      </c>
      <c r="G55" s="267">
        <f t="shared" si="6"/>
        <v>0</v>
      </c>
      <c r="H55" s="267">
        <f t="shared" si="6"/>
        <v>0</v>
      </c>
      <c r="I55" s="267">
        <f t="shared" si="6"/>
        <v>0</v>
      </c>
      <c r="J55" s="267">
        <f t="shared" si="6"/>
        <v>0</v>
      </c>
      <c r="K55" s="267">
        <f t="shared" si="6"/>
        <v>0</v>
      </c>
      <c r="L55" s="267">
        <f t="shared" si="6"/>
        <v>0</v>
      </c>
      <c r="M55" s="267">
        <f t="shared" si="6"/>
        <v>0</v>
      </c>
      <c r="N55" s="1247">
        <f t="shared" si="6"/>
        <v>0</v>
      </c>
      <c r="O55" s="268"/>
      <c r="P55" s="107"/>
    </row>
    <row r="56" spans="1:16" s="38" customFormat="1" ht="17.25" customHeight="1">
      <c r="A56" s="236">
        <v>8</v>
      </c>
      <c r="B56" s="237" t="s">
        <v>137</v>
      </c>
      <c r="C56" s="238">
        <f aca="true" t="shared" si="7" ref="C56:N56">SUM(C34-C40-C45-C46-C47-C51-C52-C55-C57-C58)</f>
        <v>2000</v>
      </c>
      <c r="D56" s="238">
        <f t="shared" si="7"/>
        <v>2476</v>
      </c>
      <c r="E56" s="238">
        <f t="shared" si="7"/>
        <v>0</v>
      </c>
      <c r="F56" s="238">
        <f t="shared" si="7"/>
        <v>43455</v>
      </c>
      <c r="G56" s="238">
        <f t="shared" si="7"/>
        <v>43455</v>
      </c>
      <c r="H56" s="238">
        <f t="shared" si="7"/>
        <v>0</v>
      </c>
      <c r="I56" s="238">
        <f t="shared" si="7"/>
        <v>22235</v>
      </c>
      <c r="J56" s="238">
        <f t="shared" si="7"/>
        <v>22235</v>
      </c>
      <c r="K56" s="238">
        <f t="shared" si="7"/>
        <v>0</v>
      </c>
      <c r="L56" s="238">
        <f t="shared" si="7"/>
        <v>202825</v>
      </c>
      <c r="M56" s="238">
        <f t="shared" si="7"/>
        <v>202825</v>
      </c>
      <c r="N56" s="272">
        <f t="shared" si="7"/>
        <v>0</v>
      </c>
      <c r="O56" s="262"/>
      <c r="P56" s="113"/>
    </row>
    <row r="57" spans="1:16" s="63" customFormat="1" ht="17.25" customHeight="1">
      <c r="A57" s="265" t="s">
        <v>138</v>
      </c>
      <c r="B57" s="266" t="s">
        <v>139</v>
      </c>
      <c r="C57" s="267"/>
      <c r="D57" s="269"/>
      <c r="E57" s="270"/>
      <c r="F57" s="267"/>
      <c r="G57" s="269"/>
      <c r="H57" s="270"/>
      <c r="I57" s="267"/>
      <c r="J57" s="269"/>
      <c r="K57" s="270"/>
      <c r="L57" s="267"/>
      <c r="M57" s="269"/>
      <c r="N57" s="271"/>
      <c r="O57" s="268"/>
      <c r="P57" s="107"/>
    </row>
    <row r="58" spans="1:14" s="63" customFormat="1" ht="17.25" customHeight="1" thickBot="1">
      <c r="A58" s="59" t="s">
        <v>140</v>
      </c>
      <c r="B58" s="60" t="s">
        <v>141</v>
      </c>
      <c r="C58" s="273"/>
      <c r="D58" s="274"/>
      <c r="E58" s="275"/>
      <c r="F58" s="273"/>
      <c r="G58" s="274"/>
      <c r="H58" s="275"/>
      <c r="I58" s="273"/>
      <c r="J58" s="274"/>
      <c r="K58" s="275"/>
      <c r="L58" s="273"/>
      <c r="M58" s="274"/>
      <c r="N58" s="275"/>
    </row>
    <row r="59" spans="1:14" s="63" customFormat="1" ht="17.25" customHeight="1" thickBot="1" thickTop="1">
      <c r="A59" s="59" t="s">
        <v>142</v>
      </c>
      <c r="B59" s="60" t="s">
        <v>148</v>
      </c>
      <c r="C59" s="61">
        <f aca="true" t="shared" si="8" ref="C59:N59">SUM(C40+C45+C46+C47+C51+C52+C55+C56+C57+C58)</f>
        <v>2000</v>
      </c>
      <c r="D59" s="61">
        <f t="shared" si="8"/>
        <v>4544</v>
      </c>
      <c r="E59" s="61">
        <f t="shared" si="8"/>
        <v>0</v>
      </c>
      <c r="F59" s="61">
        <f t="shared" si="8"/>
        <v>43455</v>
      </c>
      <c r="G59" s="61">
        <f t="shared" si="8"/>
        <v>43455</v>
      </c>
      <c r="H59" s="61">
        <f t="shared" si="8"/>
        <v>0</v>
      </c>
      <c r="I59" s="61">
        <f t="shared" si="8"/>
        <v>22235</v>
      </c>
      <c r="J59" s="61">
        <f t="shared" si="8"/>
        <v>22235</v>
      </c>
      <c r="K59" s="61">
        <f t="shared" si="8"/>
        <v>0</v>
      </c>
      <c r="L59" s="61">
        <f t="shared" si="8"/>
        <v>202825</v>
      </c>
      <c r="M59" s="61">
        <f t="shared" si="8"/>
        <v>202825</v>
      </c>
      <c r="N59" s="62">
        <f t="shared" si="8"/>
        <v>0</v>
      </c>
    </row>
    <row r="60" spans="1:14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7"/>
      <c r="J60" s="277"/>
      <c r="K60" s="278"/>
      <c r="L60" s="277"/>
      <c r="M60" s="277"/>
      <c r="N60" s="279"/>
    </row>
    <row r="61" spans="1:14" s="38" customFormat="1" ht="17.25" customHeight="1" thickBot="1" thickTop="1">
      <c r="A61" s="280"/>
      <c r="B61" s="281" t="s">
        <v>427</v>
      </c>
      <c r="C61" s="282"/>
      <c r="D61" s="283"/>
      <c r="E61" s="284"/>
      <c r="F61" s="282"/>
      <c r="G61" s="283"/>
      <c r="H61" s="284"/>
      <c r="I61" s="282"/>
      <c r="J61" s="283"/>
      <c r="K61" s="285"/>
      <c r="L61" s="282">
        <f>SUM(I61+F61+C61)</f>
        <v>0</v>
      </c>
      <c r="M61" s="283"/>
      <c r="N61" s="284"/>
    </row>
    <row r="62" spans="1:14" s="38" customFormat="1" ht="17.25" customHeight="1" thickBot="1" thickTop="1">
      <c r="A62" s="247"/>
      <c r="B62" s="1249" t="s">
        <v>144</v>
      </c>
      <c r="C62" s="1250">
        <v>2</v>
      </c>
      <c r="D62" s="1251"/>
      <c r="E62" s="1252"/>
      <c r="F62" s="1250"/>
      <c r="G62" s="1251"/>
      <c r="H62" s="1252"/>
      <c r="I62" s="1250"/>
      <c r="J62" s="1251"/>
      <c r="K62" s="1253"/>
      <c r="L62" s="1250"/>
      <c r="M62" s="1251"/>
      <c r="N62" s="1254"/>
    </row>
    <row r="63" ht="15.75">
      <c r="A63" s="286"/>
    </row>
    <row r="64" ht="12.75">
      <c r="H64" s="288"/>
    </row>
    <row r="66" ht="12.75">
      <c r="I66" s="72"/>
    </row>
    <row r="67" spans="6:11" ht="12.75">
      <c r="F67" s="72"/>
      <c r="K67" s="72"/>
    </row>
    <row r="68" spans="4:6" ht="12.75">
      <c r="D68" s="72"/>
      <c r="F68" s="195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5511811023622047" right="0.2362204724409449" top="0.4330708661417323" bottom="0.3937007874015748" header="0.31496062992125984" footer="0.2755905511811024"/>
  <pageSetup horizontalDpi="600" verticalDpi="600" orientation="landscape" paperSize="9" scale="52" r:id="rId1"/>
  <rowBreaks count="1" manualBreakCount="1">
    <brk id="34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67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7" customWidth="1"/>
    <col min="2" max="2" width="68.50390625" style="25" customWidth="1"/>
    <col min="3" max="14" width="16.875" style="25" customWidth="1"/>
    <col min="15" max="15" width="5.50390625" style="25" customWidth="1"/>
    <col min="16" max="16" width="22.50390625" style="195" customWidth="1"/>
    <col min="17" max="17" width="19.00390625" style="448" customWidth="1"/>
    <col min="18" max="22" width="9.375" style="195" customWidth="1"/>
    <col min="23" max="16384" width="9.375" style="25" customWidth="1"/>
  </cols>
  <sheetData>
    <row r="1" spans="1:14" ht="19.5" customHeight="1">
      <c r="A1" s="204"/>
      <c r="B1" s="26" t="s">
        <v>724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1.75" customHeight="1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0.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22.5" customHeight="1">
      <c r="A4" s="1807" t="s">
        <v>292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</row>
    <row r="5" spans="1:14" ht="21.75" customHeight="1">
      <c r="A5" s="1808" t="s">
        <v>578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</row>
    <row r="6" spans="1:14" ht="18.7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8" t="s">
        <v>1</v>
      </c>
    </row>
    <row r="7" spans="1:14" ht="30" customHeight="1" thickBot="1">
      <c r="A7" s="309" t="s">
        <v>118</v>
      </c>
      <c r="B7" s="309" t="s">
        <v>142</v>
      </c>
      <c r="C7" s="1840" t="s">
        <v>363</v>
      </c>
      <c r="D7" s="1841"/>
      <c r="E7" s="1842"/>
      <c r="F7" s="1840" t="s">
        <v>364</v>
      </c>
      <c r="G7" s="1841"/>
      <c r="H7" s="1842"/>
      <c r="I7" s="1840" t="s">
        <v>371</v>
      </c>
      <c r="J7" s="1841"/>
      <c r="K7" s="1842"/>
      <c r="L7" s="1840" t="s">
        <v>364</v>
      </c>
      <c r="M7" s="1841"/>
      <c r="N7" s="1842"/>
    </row>
    <row r="8" spans="1:14" ht="45" customHeight="1">
      <c r="A8" s="445" t="s">
        <v>87</v>
      </c>
      <c r="B8" s="442" t="s">
        <v>88</v>
      </c>
      <c r="C8" s="1843" t="s">
        <v>157</v>
      </c>
      <c r="D8" s="1843"/>
      <c r="E8" s="1843"/>
      <c r="F8" s="1835" t="s">
        <v>158</v>
      </c>
      <c r="G8" s="1835"/>
      <c r="H8" s="1835"/>
      <c r="I8" s="1814" t="s">
        <v>159</v>
      </c>
      <c r="J8" s="1814"/>
      <c r="K8" s="1814"/>
      <c r="L8" s="1814" t="s">
        <v>299</v>
      </c>
      <c r="M8" s="1844"/>
      <c r="N8" s="1845"/>
    </row>
    <row r="9" spans="1:22" s="30" customFormat="1" ht="31.5" customHeight="1" thickBot="1">
      <c r="A9" s="444" t="s">
        <v>90</v>
      </c>
      <c r="B9" s="41" t="s">
        <v>91</v>
      </c>
      <c r="C9" s="213" t="s">
        <v>92</v>
      </c>
      <c r="D9" s="214" t="s">
        <v>93</v>
      </c>
      <c r="E9" s="215" t="s">
        <v>94</v>
      </c>
      <c r="F9" s="213" t="s">
        <v>92</v>
      </c>
      <c r="G9" s="214" t="s">
        <v>93</v>
      </c>
      <c r="H9" s="215" t="s">
        <v>94</v>
      </c>
      <c r="I9" s="213" t="s">
        <v>92</v>
      </c>
      <c r="J9" s="214" t="s">
        <v>93</v>
      </c>
      <c r="K9" s="215" t="s">
        <v>94</v>
      </c>
      <c r="L9" s="213" t="s">
        <v>92</v>
      </c>
      <c r="M9" s="214" t="s">
        <v>93</v>
      </c>
      <c r="N9" s="215" t="s">
        <v>94</v>
      </c>
      <c r="P9" s="144"/>
      <c r="Q9" s="449"/>
      <c r="R9" s="144"/>
      <c r="S9" s="144"/>
      <c r="T9" s="144"/>
      <c r="U9" s="144"/>
      <c r="V9" s="144"/>
    </row>
    <row r="10" spans="1:22" s="31" customFormat="1" ht="16.5" thickBo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  <c r="F10" s="218">
        <v>3</v>
      </c>
      <c r="G10" s="219">
        <v>4</v>
      </c>
      <c r="H10" s="220">
        <v>5</v>
      </c>
      <c r="I10" s="218">
        <v>3</v>
      </c>
      <c r="J10" s="219">
        <v>4</v>
      </c>
      <c r="K10" s="220">
        <v>5</v>
      </c>
      <c r="L10" s="218">
        <v>3</v>
      </c>
      <c r="M10" s="219">
        <v>4</v>
      </c>
      <c r="N10" s="220">
        <v>5</v>
      </c>
      <c r="P10" s="145"/>
      <c r="Q10" s="450"/>
      <c r="R10" s="145"/>
      <c r="S10" s="145"/>
      <c r="T10" s="145"/>
      <c r="U10" s="145"/>
      <c r="V10" s="145"/>
    </row>
    <row r="11" spans="1:22" s="30" customFormat="1" ht="18.7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23"/>
      <c r="J11" s="224"/>
      <c r="K11" s="225"/>
      <c r="L11" s="223"/>
      <c r="M11" s="224"/>
      <c r="N11" s="225"/>
      <c r="P11" s="144"/>
      <c r="Q11" s="449"/>
      <c r="R11" s="144"/>
      <c r="S11" s="144"/>
      <c r="T11" s="144"/>
      <c r="U11" s="144"/>
      <c r="V11" s="144"/>
    </row>
    <row r="12" spans="1:22" s="38" customFormat="1" ht="17.25" customHeight="1" thickBot="1">
      <c r="A12" s="46">
        <v>1</v>
      </c>
      <c r="B12" s="226" t="s">
        <v>8</v>
      </c>
      <c r="C12" s="69"/>
      <c r="D12" s="69"/>
      <c r="E12" s="227"/>
      <c r="F12" s="69"/>
      <c r="G12" s="69"/>
      <c r="H12" s="227"/>
      <c r="I12" s="69">
        <v>53979</v>
      </c>
      <c r="J12" s="69">
        <f>53979+2006-1</f>
        <v>55984</v>
      </c>
      <c r="K12" s="227"/>
      <c r="L12" s="69"/>
      <c r="M12" s="69"/>
      <c r="N12" s="227"/>
      <c r="P12" s="307"/>
      <c r="Q12" s="446"/>
      <c r="R12" s="307"/>
      <c r="S12" s="307"/>
      <c r="T12" s="307"/>
      <c r="U12" s="307"/>
      <c r="V12" s="307"/>
    </row>
    <row r="13" spans="1:22" s="38" customFormat="1" ht="17.25" customHeight="1" thickBot="1">
      <c r="A13" s="46">
        <v>2</v>
      </c>
      <c r="B13" s="226" t="s">
        <v>96</v>
      </c>
      <c r="C13" s="69"/>
      <c r="D13" s="69"/>
      <c r="E13" s="227"/>
      <c r="F13" s="69"/>
      <c r="G13" s="69"/>
      <c r="H13" s="227"/>
      <c r="I13" s="69">
        <v>10822</v>
      </c>
      <c r="J13" s="69">
        <f>10822+391+1</f>
        <v>11214</v>
      </c>
      <c r="K13" s="227"/>
      <c r="L13" s="69"/>
      <c r="M13" s="69"/>
      <c r="N13" s="227"/>
      <c r="P13" s="307"/>
      <c r="Q13" s="446"/>
      <c r="R13" s="307"/>
      <c r="S13" s="307"/>
      <c r="T13" s="307"/>
      <c r="U13" s="307"/>
      <c r="V13" s="307"/>
    </row>
    <row r="14" spans="1:22" s="38" customFormat="1" ht="17.25" customHeight="1" thickBot="1">
      <c r="A14" s="46">
        <v>3</v>
      </c>
      <c r="B14" s="226" t="s">
        <v>15</v>
      </c>
      <c r="C14" s="69">
        <v>28962</v>
      </c>
      <c r="D14" s="69">
        <v>28962</v>
      </c>
      <c r="E14" s="227"/>
      <c r="F14" s="69"/>
      <c r="G14" s="69"/>
      <c r="H14" s="227"/>
      <c r="I14" s="69">
        <f>137674</f>
        <v>137674</v>
      </c>
      <c r="J14" s="69">
        <f>137674+638+10+19+2088+5000+290+476</f>
        <v>146195</v>
      </c>
      <c r="K14" s="227"/>
      <c r="L14" s="69">
        <v>12490</v>
      </c>
      <c r="M14" s="69">
        <v>12490</v>
      </c>
      <c r="N14" s="227"/>
      <c r="P14" s="307"/>
      <c r="Q14" s="446"/>
      <c r="R14" s="307"/>
      <c r="S14" s="307"/>
      <c r="T14" s="307"/>
      <c r="U14" s="307"/>
      <c r="V14" s="307"/>
    </row>
    <row r="15" spans="1:22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/>
      <c r="G15" s="69"/>
      <c r="H15" s="227"/>
      <c r="I15" s="69"/>
      <c r="J15" s="69"/>
      <c r="K15" s="227"/>
      <c r="L15" s="69"/>
      <c r="M15" s="69"/>
      <c r="N15" s="227"/>
      <c r="P15" s="307"/>
      <c r="Q15" s="446"/>
      <c r="R15" s="307"/>
      <c r="S15" s="307"/>
      <c r="T15" s="307"/>
      <c r="U15" s="307"/>
      <c r="V15" s="307"/>
    </row>
    <row r="16" spans="1:22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4"/>
      <c r="K16" s="36"/>
      <c r="L16" s="34"/>
      <c r="M16" s="35"/>
      <c r="N16" s="37"/>
      <c r="P16" s="307"/>
      <c r="Q16" s="446"/>
      <c r="R16" s="307"/>
      <c r="S16" s="307"/>
      <c r="T16" s="307"/>
      <c r="U16" s="307"/>
      <c r="V16" s="307"/>
    </row>
    <row r="17" spans="1:22" s="38" customFormat="1" ht="17.25" customHeight="1">
      <c r="A17" s="39" t="s">
        <v>99</v>
      </c>
      <c r="B17" s="48" t="s">
        <v>100</v>
      </c>
      <c r="C17" s="229"/>
      <c r="D17" s="50"/>
      <c r="E17" s="104"/>
      <c r="F17" s="229"/>
      <c r="G17" s="50"/>
      <c r="H17" s="104"/>
      <c r="I17" s="229"/>
      <c r="J17" s="229"/>
      <c r="K17" s="104"/>
      <c r="L17" s="229"/>
      <c r="M17" s="50"/>
      <c r="N17" s="104"/>
      <c r="P17" s="307"/>
      <c r="Q17" s="446"/>
      <c r="R17" s="307"/>
      <c r="S17" s="307"/>
      <c r="T17" s="307"/>
      <c r="U17" s="307"/>
      <c r="V17" s="307"/>
    </row>
    <row r="18" spans="1:22" s="38" customFormat="1" ht="17.25" customHeight="1">
      <c r="A18" s="39" t="s">
        <v>101</v>
      </c>
      <c r="B18" s="48" t="s">
        <v>102</v>
      </c>
      <c r="C18" s="229"/>
      <c r="D18" s="50"/>
      <c r="E18" s="104"/>
      <c r="F18" s="229"/>
      <c r="G18" s="50"/>
      <c r="H18" s="104"/>
      <c r="I18" s="229"/>
      <c r="J18" s="229"/>
      <c r="K18" s="104"/>
      <c r="L18" s="229"/>
      <c r="M18" s="50"/>
      <c r="N18" s="104"/>
      <c r="P18" s="307"/>
      <c r="Q18" s="446"/>
      <c r="R18" s="307"/>
      <c r="S18" s="307"/>
      <c r="T18" s="307"/>
      <c r="U18" s="307"/>
      <c r="V18" s="307"/>
    </row>
    <row r="19" spans="1:22" s="38" customFormat="1" ht="17.25" customHeigh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4"/>
      <c r="I19" s="229">
        <f>1300+16200+9500</f>
        <v>27000</v>
      </c>
      <c r="J19" s="229">
        <f>27000-1600</f>
        <v>25400</v>
      </c>
      <c r="K19" s="104"/>
      <c r="L19" s="229"/>
      <c r="M19" s="50"/>
      <c r="N19" s="104"/>
      <c r="P19" s="307"/>
      <c r="Q19" s="446"/>
      <c r="R19" s="307"/>
      <c r="S19" s="307"/>
      <c r="T19" s="307"/>
      <c r="U19" s="307"/>
      <c r="V19" s="307"/>
    </row>
    <row r="20" spans="1:22" s="38" customFormat="1" ht="17.25" customHeight="1">
      <c r="A20" s="230" t="s">
        <v>104</v>
      </c>
      <c r="B20" s="48" t="s">
        <v>105</v>
      </c>
      <c r="C20" s="51"/>
      <c r="D20" s="50"/>
      <c r="E20" s="104"/>
      <c r="F20" s="51"/>
      <c r="G20" s="50"/>
      <c r="H20" s="104"/>
      <c r="I20" s="51"/>
      <c r="J20" s="51"/>
      <c r="K20" s="104"/>
      <c r="L20" s="51"/>
      <c r="M20" s="50"/>
      <c r="N20" s="104"/>
      <c r="P20" s="307"/>
      <c r="Q20" s="446"/>
      <c r="R20" s="307"/>
      <c r="S20" s="307"/>
      <c r="T20" s="307"/>
      <c r="U20" s="307"/>
      <c r="V20" s="307"/>
    </row>
    <row r="21" spans="1:22" s="38" customFormat="1" ht="17.25" customHeight="1">
      <c r="A21" s="39" t="s">
        <v>106</v>
      </c>
      <c r="B21" s="40" t="s">
        <v>107</v>
      </c>
      <c r="C21" s="51"/>
      <c r="D21" s="50"/>
      <c r="E21" s="104"/>
      <c r="F21" s="51"/>
      <c r="G21" s="50"/>
      <c r="H21" s="104"/>
      <c r="I21" s="51"/>
      <c r="J21" s="51"/>
      <c r="K21" s="104"/>
      <c r="L21" s="51"/>
      <c r="M21" s="50"/>
      <c r="N21" s="104"/>
      <c r="P21" s="307"/>
      <c r="Q21" s="446"/>
      <c r="R21" s="307"/>
      <c r="S21" s="307"/>
      <c r="T21" s="307"/>
      <c r="U21" s="307"/>
      <c r="V21" s="307"/>
    </row>
    <row r="22" spans="1:22" s="38" customFormat="1" ht="17.25" customHeight="1">
      <c r="A22" s="230" t="s">
        <v>108</v>
      </c>
      <c r="B22" s="48" t="s">
        <v>109</v>
      </c>
      <c r="C22" s="51"/>
      <c r="D22" s="50"/>
      <c r="E22" s="104"/>
      <c r="F22" s="51"/>
      <c r="G22" s="50"/>
      <c r="H22" s="104"/>
      <c r="I22" s="51">
        <v>3000</v>
      </c>
      <c r="J22" s="51">
        <f>3000+500</f>
        <v>3500</v>
      </c>
      <c r="K22" s="104"/>
      <c r="L22" s="51"/>
      <c r="M22" s="50"/>
      <c r="N22" s="104"/>
      <c r="P22" s="307"/>
      <c r="Q22" s="446"/>
      <c r="R22" s="307"/>
      <c r="S22" s="307"/>
      <c r="T22" s="307"/>
      <c r="U22" s="307"/>
      <c r="V22" s="307"/>
    </row>
    <row r="23" spans="1:22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>
        <v>99135</v>
      </c>
      <c r="J23" s="43">
        <f>99135+637438-5000+2-1</f>
        <v>731574</v>
      </c>
      <c r="K23" s="44"/>
      <c r="L23" s="43"/>
      <c r="M23" s="44"/>
      <c r="N23" s="45"/>
      <c r="P23" s="307"/>
      <c r="Q23" s="446"/>
      <c r="R23" s="307"/>
      <c r="S23" s="307"/>
      <c r="T23" s="307"/>
      <c r="U23" s="307"/>
      <c r="V23" s="307"/>
    </row>
    <row r="24" spans="1:22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>SUM(I16:I23)</f>
        <v>129135</v>
      </c>
      <c r="J24" s="47">
        <f t="shared" si="0"/>
        <v>760474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293">
        <f t="shared" si="0"/>
        <v>0</v>
      </c>
      <c r="P24" s="307"/>
      <c r="Q24" s="446"/>
      <c r="R24" s="307"/>
      <c r="S24" s="307"/>
      <c r="T24" s="307"/>
      <c r="U24" s="307"/>
      <c r="V24" s="307"/>
    </row>
    <row r="25" spans="1:22" s="38" customFormat="1" ht="17.25" customHeight="1" thickBot="1">
      <c r="A25" s="46">
        <v>6</v>
      </c>
      <c r="B25" s="226" t="s">
        <v>53</v>
      </c>
      <c r="C25" s="47">
        <v>508</v>
      </c>
      <c r="D25" s="69">
        <v>508</v>
      </c>
      <c r="E25" s="227"/>
      <c r="F25" s="47"/>
      <c r="G25" s="69"/>
      <c r="H25" s="227"/>
      <c r="I25" s="47">
        <v>85500</v>
      </c>
      <c r="J25" s="69">
        <f>85500+22260</f>
        <v>107760</v>
      </c>
      <c r="K25" s="227"/>
      <c r="L25" s="47"/>
      <c r="M25" s="69"/>
      <c r="N25" s="227"/>
      <c r="P25" s="307"/>
      <c r="Q25" s="446"/>
      <c r="R25" s="307"/>
      <c r="S25" s="307"/>
      <c r="T25" s="307"/>
      <c r="U25" s="307"/>
      <c r="V25" s="307"/>
    </row>
    <row r="26" spans="1:22" s="38" customFormat="1" ht="17.25" customHeight="1" thickBot="1">
      <c r="A26" s="46">
        <v>7</v>
      </c>
      <c r="B26" s="226" t="s">
        <v>56</v>
      </c>
      <c r="C26" s="69">
        <v>305</v>
      </c>
      <c r="D26" s="69">
        <v>305</v>
      </c>
      <c r="E26" s="227"/>
      <c r="F26" s="69"/>
      <c r="G26" s="69"/>
      <c r="H26" s="227"/>
      <c r="I26" s="69">
        <v>2838</v>
      </c>
      <c r="J26" s="69">
        <v>2838</v>
      </c>
      <c r="K26" s="227"/>
      <c r="L26" s="47"/>
      <c r="M26" s="69"/>
      <c r="N26" s="227"/>
      <c r="P26" s="307"/>
      <c r="Q26" s="446"/>
      <c r="R26" s="307"/>
      <c r="S26" s="307"/>
      <c r="T26" s="307"/>
      <c r="U26" s="307"/>
      <c r="V26" s="307"/>
    </row>
    <row r="27" spans="1:22" s="38" customFormat="1" ht="17.25" customHeight="1">
      <c r="A27" s="231" t="s">
        <v>97</v>
      </c>
      <c r="B27" s="232" t="s">
        <v>112</v>
      </c>
      <c r="C27" s="233"/>
      <c r="D27" s="234"/>
      <c r="E27" s="235"/>
      <c r="F27" s="233"/>
      <c r="G27" s="234"/>
      <c r="H27" s="235"/>
      <c r="I27" s="233"/>
      <c r="J27" s="234"/>
      <c r="K27" s="235"/>
      <c r="L27" s="233"/>
      <c r="M27" s="234"/>
      <c r="N27" s="235"/>
      <c r="P27" s="307"/>
      <c r="Q27" s="446"/>
      <c r="R27" s="307"/>
      <c r="S27" s="307"/>
      <c r="T27" s="307"/>
      <c r="U27" s="307"/>
      <c r="V27" s="307"/>
    </row>
    <row r="28" spans="1:22" s="38" customFormat="1" ht="17.25" customHeight="1">
      <c r="A28" s="39" t="s">
        <v>99</v>
      </c>
      <c r="B28" s="48" t="s">
        <v>113</v>
      </c>
      <c r="C28" s="229"/>
      <c r="D28" s="50"/>
      <c r="E28" s="104"/>
      <c r="F28" s="229"/>
      <c r="G28" s="50"/>
      <c r="H28" s="104"/>
      <c r="I28" s="229"/>
      <c r="J28" s="50"/>
      <c r="K28" s="104"/>
      <c r="L28" s="229"/>
      <c r="M28" s="50"/>
      <c r="N28" s="104"/>
      <c r="P28" s="307"/>
      <c r="Q28" s="446"/>
      <c r="R28" s="307"/>
      <c r="S28" s="307"/>
      <c r="T28" s="307"/>
      <c r="U28" s="307"/>
      <c r="V28" s="307"/>
    </row>
    <row r="29" spans="1:22" s="38" customFormat="1" ht="17.25" customHeight="1">
      <c r="A29" s="236" t="s">
        <v>101</v>
      </c>
      <c r="B29" s="237" t="s">
        <v>114</v>
      </c>
      <c r="C29" s="238"/>
      <c r="D29" s="239"/>
      <c r="E29" s="240"/>
      <c r="F29" s="238"/>
      <c r="G29" s="239"/>
      <c r="H29" s="240"/>
      <c r="I29" s="238"/>
      <c r="J29" s="239"/>
      <c r="K29" s="240"/>
      <c r="L29" s="238"/>
      <c r="M29" s="239"/>
      <c r="N29" s="240"/>
      <c r="P29" s="307"/>
      <c r="Q29" s="446"/>
      <c r="R29" s="307"/>
      <c r="S29" s="307"/>
      <c r="T29" s="307"/>
      <c r="U29" s="307"/>
      <c r="V29" s="307"/>
    </row>
    <row r="30" spans="1:22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  <c r="P30" s="307"/>
      <c r="Q30" s="446"/>
      <c r="R30" s="307"/>
      <c r="S30" s="307"/>
      <c r="T30" s="307"/>
      <c r="U30" s="307"/>
      <c r="V30" s="307"/>
    </row>
    <row r="31" spans="1:22" s="38" customFormat="1" ht="17.25" customHeight="1" thickBot="1">
      <c r="A31" s="241" t="s">
        <v>104</v>
      </c>
      <c r="B31" s="242" t="s">
        <v>116</v>
      </c>
      <c r="C31" s="243"/>
      <c r="D31" s="244"/>
      <c r="E31" s="245"/>
      <c r="F31" s="243"/>
      <c r="G31" s="244"/>
      <c r="H31" s="245"/>
      <c r="I31" s="243"/>
      <c r="J31" s="244"/>
      <c r="K31" s="245"/>
      <c r="L31" s="243"/>
      <c r="M31" s="244"/>
      <c r="N31" s="245"/>
      <c r="P31" s="307"/>
      <c r="Q31" s="446"/>
      <c r="R31" s="307"/>
      <c r="S31" s="307"/>
      <c r="T31" s="307"/>
      <c r="U31" s="307"/>
      <c r="V31" s="307"/>
    </row>
    <row r="32" spans="1:22" s="246" customFormat="1" ht="17.25" customHeight="1" thickBot="1">
      <c r="A32" s="46">
        <v>8</v>
      </c>
      <c r="B32" s="226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/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93">
        <f t="shared" si="1"/>
        <v>0</v>
      </c>
      <c r="P32" s="446"/>
      <c r="Q32" s="446"/>
      <c r="R32" s="446"/>
      <c r="S32" s="446"/>
      <c r="T32" s="446"/>
      <c r="U32" s="446"/>
      <c r="V32" s="446"/>
    </row>
    <row r="33" spans="1:22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/>
      <c r="G33" s="69"/>
      <c r="H33" s="227"/>
      <c r="I33" s="47"/>
      <c r="J33" s="69"/>
      <c r="K33" s="227"/>
      <c r="L33" s="47"/>
      <c r="M33" s="69"/>
      <c r="N33" s="227"/>
      <c r="P33" s="307"/>
      <c r="Q33" s="446"/>
      <c r="R33" s="307"/>
      <c r="S33" s="307"/>
      <c r="T33" s="307"/>
      <c r="U33" s="307"/>
      <c r="V33" s="307"/>
    </row>
    <row r="34" spans="1:22" s="58" customFormat="1" ht="17.25" customHeight="1" thickBot="1">
      <c r="A34" s="1256" t="s">
        <v>118</v>
      </c>
      <c r="B34" s="1257" t="s">
        <v>147</v>
      </c>
      <c r="C34" s="1258">
        <f>SUM(C12+C13+C14+C15+C24+C25+C26+C32+C33)</f>
        <v>29775</v>
      </c>
      <c r="D34" s="1258">
        <f aca="true" t="shared" si="2" ref="D34:N34">SUM(D12+D13+D14+D15+D24+D25+D26+D32+D33)</f>
        <v>29775</v>
      </c>
      <c r="E34" s="1258">
        <f t="shared" si="2"/>
        <v>0</v>
      </c>
      <c r="F34" s="1258">
        <f t="shared" si="2"/>
        <v>0</v>
      </c>
      <c r="G34" s="1258">
        <f t="shared" si="2"/>
        <v>0</v>
      </c>
      <c r="H34" s="1258">
        <f t="shared" si="2"/>
        <v>0</v>
      </c>
      <c r="I34" s="1258">
        <f t="shared" si="2"/>
        <v>419948</v>
      </c>
      <c r="J34" s="1258">
        <f t="shared" si="2"/>
        <v>1084465</v>
      </c>
      <c r="K34" s="1258">
        <f t="shared" si="2"/>
        <v>0</v>
      </c>
      <c r="L34" s="1258">
        <f t="shared" si="2"/>
        <v>12490</v>
      </c>
      <c r="M34" s="1258">
        <f t="shared" si="2"/>
        <v>12490</v>
      </c>
      <c r="N34" s="1259">
        <f t="shared" si="2"/>
        <v>0</v>
      </c>
      <c r="O34" s="56"/>
      <c r="P34" s="146"/>
      <c r="Q34" s="146"/>
      <c r="R34" s="146"/>
      <c r="S34" s="146"/>
      <c r="T34" s="146"/>
      <c r="U34" s="146"/>
      <c r="V34" s="146"/>
    </row>
    <row r="35" spans="1:22" s="191" customFormat="1" ht="17.25" customHeight="1" thickBot="1">
      <c r="A35" s="247"/>
      <c r="B35" s="248" t="s">
        <v>120</v>
      </c>
      <c r="C35" s="47"/>
      <c r="D35" s="69"/>
      <c r="E35" s="1260"/>
      <c r="F35" s="47"/>
      <c r="G35" s="69"/>
      <c r="H35" s="1260"/>
      <c r="I35" s="47"/>
      <c r="J35" s="69"/>
      <c r="K35" s="1260"/>
      <c r="L35" s="47"/>
      <c r="M35" s="69"/>
      <c r="N35" s="1260"/>
      <c r="O35" s="252"/>
      <c r="P35" s="336"/>
      <c r="Q35" s="446"/>
      <c r="R35" s="336"/>
      <c r="S35" s="336"/>
      <c r="T35" s="336"/>
      <c r="U35" s="336"/>
      <c r="V35" s="336"/>
    </row>
    <row r="36" spans="1:22" s="38" customFormat="1" ht="17.25" customHeight="1">
      <c r="A36" s="253" t="s">
        <v>97</v>
      </c>
      <c r="B36" s="254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/>
      <c r="M36" s="65"/>
      <c r="N36" s="66"/>
      <c r="P36" s="307"/>
      <c r="Q36" s="446"/>
      <c r="R36" s="307"/>
      <c r="S36" s="307"/>
      <c r="T36" s="307"/>
      <c r="U36" s="307"/>
      <c r="V36" s="307"/>
    </row>
    <row r="37" spans="1:22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40"/>
      <c r="I37" s="50"/>
      <c r="J37" s="50"/>
      <c r="K37" s="240"/>
      <c r="L37" s="50"/>
      <c r="M37" s="50"/>
      <c r="N37" s="240"/>
      <c r="P37" s="307"/>
      <c r="Q37" s="446"/>
      <c r="R37" s="307"/>
      <c r="S37" s="307"/>
      <c r="T37" s="307"/>
      <c r="U37" s="307"/>
      <c r="V37" s="307"/>
    </row>
    <row r="38" spans="1:22" s="38" customFormat="1" ht="17.25" customHeight="1">
      <c r="A38" s="39" t="s">
        <v>101</v>
      </c>
      <c r="B38" s="48" t="s">
        <v>122</v>
      </c>
      <c r="C38" s="50"/>
      <c r="D38" s="50"/>
      <c r="E38" s="240"/>
      <c r="F38" s="50"/>
      <c r="G38" s="50"/>
      <c r="H38" s="240"/>
      <c r="I38" s="50"/>
      <c r="J38" s="50"/>
      <c r="K38" s="240"/>
      <c r="L38" s="50"/>
      <c r="M38" s="50"/>
      <c r="N38" s="240"/>
      <c r="P38" s="307"/>
      <c r="Q38" s="446"/>
      <c r="R38" s="307"/>
      <c r="S38" s="307"/>
      <c r="T38" s="307"/>
      <c r="U38" s="307"/>
      <c r="V38" s="307"/>
    </row>
    <row r="39" spans="1:22" s="38" customFormat="1" ht="17.25" customHeight="1">
      <c r="A39" s="39" t="s">
        <v>103</v>
      </c>
      <c r="B39" s="48" t="s">
        <v>123</v>
      </c>
      <c r="C39" s="50"/>
      <c r="D39" s="50"/>
      <c r="E39" s="240"/>
      <c r="F39" s="50"/>
      <c r="G39" s="50"/>
      <c r="H39" s="240"/>
      <c r="I39" s="50"/>
      <c r="J39" s="50">
        <f>476</f>
        <v>476</v>
      </c>
      <c r="K39" s="240"/>
      <c r="L39" s="50"/>
      <c r="M39" s="50"/>
      <c r="N39" s="240"/>
      <c r="P39" s="307"/>
      <c r="Q39" s="446"/>
      <c r="R39" s="307"/>
      <c r="S39" s="307"/>
      <c r="T39" s="307"/>
      <c r="U39" s="307"/>
      <c r="V39" s="307"/>
    </row>
    <row r="40" spans="1:22" s="63" customFormat="1" ht="17.25" customHeight="1">
      <c r="A40" s="255">
        <v>1</v>
      </c>
      <c r="B40" s="256" t="s">
        <v>124</v>
      </c>
      <c r="C40" s="257">
        <f aca="true" t="shared" si="3" ref="C40:N40">SUM(C36:C39)</f>
        <v>0</v>
      </c>
      <c r="D40" s="257">
        <f t="shared" si="3"/>
        <v>0</v>
      </c>
      <c r="E40" s="257">
        <f t="shared" si="3"/>
        <v>0</v>
      </c>
      <c r="F40" s="257">
        <f t="shared" si="3"/>
        <v>0</v>
      </c>
      <c r="G40" s="257">
        <f t="shared" si="3"/>
        <v>0</v>
      </c>
      <c r="H40" s="257">
        <f t="shared" si="3"/>
        <v>0</v>
      </c>
      <c r="I40" s="257">
        <f t="shared" si="3"/>
        <v>0</v>
      </c>
      <c r="J40" s="257">
        <f t="shared" si="3"/>
        <v>476</v>
      </c>
      <c r="K40" s="257">
        <f t="shared" si="3"/>
        <v>0</v>
      </c>
      <c r="L40" s="257">
        <f t="shared" si="3"/>
        <v>0</v>
      </c>
      <c r="M40" s="257">
        <f t="shared" si="3"/>
        <v>0</v>
      </c>
      <c r="N40" s="298">
        <f t="shared" si="3"/>
        <v>0</v>
      </c>
      <c r="P40" s="447"/>
      <c r="Q40" s="146"/>
      <c r="R40" s="447"/>
      <c r="S40" s="447"/>
      <c r="T40" s="447"/>
      <c r="U40" s="447"/>
      <c r="V40" s="447"/>
    </row>
    <row r="41" spans="1:22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40"/>
      <c r="I41" s="50"/>
      <c r="J41" s="50"/>
      <c r="K41" s="240"/>
      <c r="L41" s="50"/>
      <c r="M41" s="50"/>
      <c r="N41" s="240"/>
      <c r="P41" s="307"/>
      <c r="Q41" s="446"/>
      <c r="R41" s="307"/>
      <c r="S41" s="307"/>
      <c r="T41" s="307"/>
      <c r="U41" s="307"/>
      <c r="V41" s="307"/>
    </row>
    <row r="42" spans="1:22" s="38" customFormat="1" ht="17.25" customHeight="1">
      <c r="A42" s="39" t="s">
        <v>99</v>
      </c>
      <c r="B42" s="48" t="s">
        <v>126</v>
      </c>
      <c r="C42" s="50"/>
      <c r="D42" s="50"/>
      <c r="E42" s="240"/>
      <c r="F42" s="50"/>
      <c r="G42" s="50"/>
      <c r="H42" s="240"/>
      <c r="I42" s="50"/>
      <c r="J42" s="50"/>
      <c r="K42" s="240"/>
      <c r="L42" s="50"/>
      <c r="M42" s="50"/>
      <c r="N42" s="240"/>
      <c r="P42" s="307"/>
      <c r="Q42" s="446"/>
      <c r="R42" s="307"/>
      <c r="S42" s="307"/>
      <c r="T42" s="307"/>
      <c r="U42" s="307"/>
      <c r="V42" s="307"/>
    </row>
    <row r="43" spans="1:22" s="38" customFormat="1" ht="17.25" customHeight="1">
      <c r="A43" s="39" t="s">
        <v>101</v>
      </c>
      <c r="B43" s="48" t="s">
        <v>127</v>
      </c>
      <c r="C43" s="50"/>
      <c r="D43" s="50"/>
      <c r="E43" s="240"/>
      <c r="F43" s="50"/>
      <c r="G43" s="50"/>
      <c r="H43" s="240"/>
      <c r="I43" s="50"/>
      <c r="J43" s="50"/>
      <c r="K43" s="240"/>
      <c r="L43" s="50"/>
      <c r="M43" s="50"/>
      <c r="N43" s="240"/>
      <c r="P43" s="307"/>
      <c r="Q43" s="446"/>
      <c r="R43" s="307"/>
      <c r="S43" s="307"/>
      <c r="T43" s="307"/>
      <c r="U43" s="307"/>
      <c r="V43" s="307"/>
    </row>
    <row r="44" spans="1:22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/>
      <c r="G44" s="50"/>
      <c r="H44" s="240"/>
      <c r="I44" s="229"/>
      <c r="J44" s="50"/>
      <c r="K44" s="240"/>
      <c r="L44" s="50"/>
      <c r="M44" s="50"/>
      <c r="N44" s="240"/>
      <c r="P44" s="307"/>
      <c r="Q44" s="446"/>
      <c r="R44" s="307"/>
      <c r="S44" s="307"/>
      <c r="T44" s="307"/>
      <c r="U44" s="307"/>
      <c r="V44" s="307"/>
    </row>
    <row r="45" spans="1:22" s="63" customFormat="1" ht="15.75" customHeight="1">
      <c r="A45" s="255">
        <v>2</v>
      </c>
      <c r="B45" s="256" t="s">
        <v>129</v>
      </c>
      <c r="C45" s="258">
        <f aca="true" t="shared" si="4" ref="C45:N45">SUM(C41:C44)</f>
        <v>0</v>
      </c>
      <c r="D45" s="258">
        <f t="shared" si="4"/>
        <v>0</v>
      </c>
      <c r="E45" s="258">
        <f t="shared" si="4"/>
        <v>0</v>
      </c>
      <c r="F45" s="258">
        <f t="shared" si="4"/>
        <v>0</v>
      </c>
      <c r="G45" s="258">
        <f t="shared" si="4"/>
        <v>0</v>
      </c>
      <c r="H45" s="258">
        <f t="shared" si="4"/>
        <v>0</v>
      </c>
      <c r="I45" s="258">
        <f t="shared" si="4"/>
        <v>0</v>
      </c>
      <c r="J45" s="258">
        <f t="shared" si="4"/>
        <v>0</v>
      </c>
      <c r="K45" s="258">
        <f t="shared" si="4"/>
        <v>0</v>
      </c>
      <c r="L45" s="258">
        <f t="shared" si="4"/>
        <v>0</v>
      </c>
      <c r="M45" s="258">
        <f t="shared" si="4"/>
        <v>0</v>
      </c>
      <c r="N45" s="1246">
        <f t="shared" si="4"/>
        <v>0</v>
      </c>
      <c r="P45" s="447"/>
      <c r="Q45" s="146"/>
      <c r="R45" s="447"/>
      <c r="S45" s="447"/>
      <c r="T45" s="447"/>
      <c r="U45" s="447"/>
      <c r="V45" s="447"/>
    </row>
    <row r="46" spans="1:22" s="63" customFormat="1" ht="17.25" customHeight="1">
      <c r="A46" s="255">
        <v>3</v>
      </c>
      <c r="B46" s="256" t="s">
        <v>34</v>
      </c>
      <c r="C46" s="258">
        <v>126769</v>
      </c>
      <c r="D46" s="257">
        <f>126769</f>
        <v>126769</v>
      </c>
      <c r="E46" s="259"/>
      <c r="F46" s="258"/>
      <c r="G46" s="257"/>
      <c r="H46" s="259"/>
      <c r="I46" s="258"/>
      <c r="J46" s="257">
        <f>638+10+19+22260</f>
        <v>22927</v>
      </c>
      <c r="K46" s="259"/>
      <c r="L46" s="257"/>
      <c r="M46" s="257"/>
      <c r="N46" s="259"/>
      <c r="P46" s="447"/>
      <c r="Q46" s="146"/>
      <c r="R46" s="447"/>
      <c r="S46" s="447"/>
      <c r="T46" s="447"/>
      <c r="U46" s="447"/>
      <c r="V46" s="447"/>
    </row>
    <row r="47" spans="1:22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259"/>
      <c r="I47" s="258">
        <v>207</v>
      </c>
      <c r="J47" s="257">
        <f>207+2088+500+476-1</f>
        <v>3270</v>
      </c>
      <c r="K47" s="259"/>
      <c r="L47" s="257"/>
      <c r="M47" s="257"/>
      <c r="N47" s="259"/>
      <c r="P47" s="447"/>
      <c r="Q47" s="146"/>
      <c r="R47" s="447"/>
      <c r="S47" s="447"/>
      <c r="T47" s="447"/>
      <c r="U47" s="447"/>
      <c r="V47" s="447"/>
    </row>
    <row r="48" spans="1:22" s="38" customFormat="1" ht="17.25" customHeight="1">
      <c r="A48" s="39" t="s">
        <v>97</v>
      </c>
      <c r="B48" s="48" t="s">
        <v>130</v>
      </c>
      <c r="C48" s="229"/>
      <c r="D48" s="51"/>
      <c r="E48" s="260"/>
      <c r="F48" s="229"/>
      <c r="G48" s="51"/>
      <c r="H48" s="260"/>
      <c r="I48" s="229"/>
      <c r="J48" s="51"/>
      <c r="K48" s="260"/>
      <c r="L48" s="50"/>
      <c r="M48" s="51"/>
      <c r="N48" s="260"/>
      <c r="P48" s="307"/>
      <c r="Q48" s="446"/>
      <c r="R48" s="307"/>
      <c r="S48" s="307"/>
      <c r="T48" s="307"/>
      <c r="U48" s="307"/>
      <c r="V48" s="307"/>
    </row>
    <row r="49" spans="1:22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61"/>
      <c r="O49" s="262"/>
      <c r="P49" s="307"/>
      <c r="Q49" s="446"/>
      <c r="R49" s="307"/>
      <c r="S49" s="307"/>
      <c r="T49" s="307"/>
      <c r="U49" s="307"/>
      <c r="V49" s="307"/>
    </row>
    <row r="50" spans="1:22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63"/>
      <c r="K50" s="264"/>
      <c r="L50" s="238"/>
      <c r="M50" s="263"/>
      <c r="N50" s="260"/>
      <c r="O50" s="262"/>
      <c r="P50" s="307"/>
      <c r="Q50" s="446"/>
      <c r="R50" s="307"/>
      <c r="S50" s="307"/>
      <c r="T50" s="307"/>
      <c r="U50" s="307"/>
      <c r="V50" s="307"/>
    </row>
    <row r="51" spans="1:22" s="63" customFormat="1" ht="17.25" customHeight="1">
      <c r="A51" s="265">
        <v>5</v>
      </c>
      <c r="B51" s="266" t="s">
        <v>133</v>
      </c>
      <c r="C51" s="267">
        <f aca="true" t="shared" si="5" ref="C51:N51">SUM(C48:C50)</f>
        <v>0</v>
      </c>
      <c r="D51" s="267">
        <f t="shared" si="5"/>
        <v>0</v>
      </c>
      <c r="E51" s="267">
        <f t="shared" si="5"/>
        <v>0</v>
      </c>
      <c r="F51" s="267">
        <f t="shared" si="5"/>
        <v>0</v>
      </c>
      <c r="G51" s="267">
        <f t="shared" si="5"/>
        <v>0</v>
      </c>
      <c r="H51" s="267">
        <f t="shared" si="5"/>
        <v>0</v>
      </c>
      <c r="I51" s="267">
        <f t="shared" si="5"/>
        <v>0</v>
      </c>
      <c r="J51" s="267">
        <f t="shared" si="5"/>
        <v>0</v>
      </c>
      <c r="K51" s="267">
        <f t="shared" si="5"/>
        <v>0</v>
      </c>
      <c r="L51" s="267">
        <f t="shared" si="5"/>
        <v>0</v>
      </c>
      <c r="M51" s="267">
        <f t="shared" si="5"/>
        <v>0</v>
      </c>
      <c r="N51" s="1247">
        <f t="shared" si="5"/>
        <v>0</v>
      </c>
      <c r="O51" s="268"/>
      <c r="P51" s="447"/>
      <c r="Q51" s="146"/>
      <c r="R51" s="447"/>
      <c r="S51" s="447"/>
      <c r="T51" s="447"/>
      <c r="U51" s="447"/>
      <c r="V51" s="447"/>
    </row>
    <row r="52" spans="1:22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269"/>
      <c r="K52" s="270"/>
      <c r="L52" s="267"/>
      <c r="M52" s="269"/>
      <c r="N52" s="271"/>
      <c r="O52" s="268"/>
      <c r="P52" s="447"/>
      <c r="Q52" s="146"/>
      <c r="R52" s="447"/>
      <c r="S52" s="447"/>
      <c r="T52" s="447"/>
      <c r="U52" s="447"/>
      <c r="V52" s="447"/>
    </row>
    <row r="53" spans="1:22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>
        <v>420</v>
      </c>
      <c r="J53" s="263">
        <v>420</v>
      </c>
      <c r="K53" s="264"/>
      <c r="L53" s="238"/>
      <c r="M53" s="263"/>
      <c r="N53" s="260"/>
      <c r="O53" s="262"/>
      <c r="P53" s="307"/>
      <c r="Q53" s="446"/>
      <c r="R53" s="307"/>
      <c r="S53" s="307"/>
      <c r="T53" s="307"/>
      <c r="U53" s="307"/>
      <c r="V53" s="307"/>
    </row>
    <row r="54" spans="1:22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63"/>
      <c r="K54" s="264"/>
      <c r="L54" s="238"/>
      <c r="M54" s="263"/>
      <c r="N54" s="260"/>
      <c r="O54" s="262"/>
      <c r="P54" s="307"/>
      <c r="Q54" s="446"/>
      <c r="R54" s="307"/>
      <c r="S54" s="307"/>
      <c r="T54" s="307"/>
      <c r="U54" s="307"/>
      <c r="V54" s="307"/>
    </row>
    <row r="55" spans="1:22" s="63" customFormat="1" ht="17.25" customHeight="1">
      <c r="A55" s="265">
        <v>7</v>
      </c>
      <c r="B55" s="266" t="s">
        <v>136</v>
      </c>
      <c r="C55" s="267">
        <f aca="true" t="shared" si="6" ref="C55:N55">SUM(C53:C54)</f>
        <v>0</v>
      </c>
      <c r="D55" s="267">
        <f t="shared" si="6"/>
        <v>0</v>
      </c>
      <c r="E55" s="267">
        <f t="shared" si="6"/>
        <v>0</v>
      </c>
      <c r="F55" s="267">
        <f t="shared" si="6"/>
        <v>0</v>
      </c>
      <c r="G55" s="267">
        <f t="shared" si="6"/>
        <v>0</v>
      </c>
      <c r="H55" s="267">
        <f t="shared" si="6"/>
        <v>0</v>
      </c>
      <c r="I55" s="267">
        <f>SUM(I53:I54)</f>
        <v>420</v>
      </c>
      <c r="J55" s="267">
        <f t="shared" si="6"/>
        <v>420</v>
      </c>
      <c r="K55" s="267">
        <f t="shared" si="6"/>
        <v>0</v>
      </c>
      <c r="L55" s="267">
        <f t="shared" si="6"/>
        <v>0</v>
      </c>
      <c r="M55" s="267">
        <f t="shared" si="6"/>
        <v>0</v>
      </c>
      <c r="N55" s="1247">
        <f t="shared" si="6"/>
        <v>0</v>
      </c>
      <c r="O55" s="268"/>
      <c r="P55" s="447"/>
      <c r="Q55" s="146"/>
      <c r="R55" s="447"/>
      <c r="S55" s="447"/>
      <c r="T55" s="447"/>
      <c r="U55" s="447"/>
      <c r="V55" s="447"/>
    </row>
    <row r="56" spans="1:22" s="38" customFormat="1" ht="17.25" customHeight="1">
      <c r="A56" s="236">
        <v>8</v>
      </c>
      <c r="B56" s="237" t="s">
        <v>137</v>
      </c>
      <c r="C56" s="238">
        <f>SUM(C34-C40-C45-C46-C51-C55)</f>
        <v>-96994</v>
      </c>
      <c r="D56" s="238">
        <f>SUM(D34-D40-D45-D46-D51-D55)</f>
        <v>-96994</v>
      </c>
      <c r="E56" s="238">
        <f>SUM(E34-E40-E45-E46-E47-E51-E52-E55-E57-E58)</f>
        <v>0</v>
      </c>
      <c r="F56" s="238">
        <f>SUM(F34-F40-F45-F46-F47-F51-F52-F55-F57-F58)</f>
        <v>0</v>
      </c>
      <c r="G56" s="238">
        <f aca="true" t="shared" si="7" ref="G56:N56">SUM(G34-G40-G45-G46-G47-G51-G52-G55-G57-G58)</f>
        <v>0</v>
      </c>
      <c r="H56" s="238">
        <f t="shared" si="7"/>
        <v>0</v>
      </c>
      <c r="I56" s="238">
        <f>SUM(I34-I40-I45-I46-I47-I51-I52-I55-I57-I58)</f>
        <v>-627362</v>
      </c>
      <c r="J56" s="238">
        <f t="shared" si="7"/>
        <v>-629148</v>
      </c>
      <c r="K56" s="238">
        <f t="shared" si="7"/>
        <v>0</v>
      </c>
      <c r="L56" s="238">
        <f t="shared" si="7"/>
        <v>12490</v>
      </c>
      <c r="M56" s="238">
        <f t="shared" si="7"/>
        <v>12490</v>
      </c>
      <c r="N56" s="272">
        <f t="shared" si="7"/>
        <v>0</v>
      </c>
      <c r="O56" s="262"/>
      <c r="P56" s="307"/>
      <c r="Q56" s="446"/>
      <c r="R56" s="307"/>
      <c r="S56" s="307"/>
      <c r="T56" s="307"/>
      <c r="U56" s="307"/>
      <c r="V56" s="307"/>
    </row>
    <row r="57" spans="1:22" s="63" customFormat="1" ht="17.25" customHeight="1">
      <c r="A57" s="265" t="s">
        <v>138</v>
      </c>
      <c r="B57" s="266" t="s">
        <v>139</v>
      </c>
      <c r="C57" s="267"/>
      <c r="D57" s="269"/>
      <c r="E57" s="270"/>
      <c r="F57" s="267"/>
      <c r="G57" s="269"/>
      <c r="H57" s="270"/>
      <c r="I57" s="267">
        <v>1046683</v>
      </c>
      <c r="J57" s="269">
        <f>1046683+639837</f>
        <v>1686520</v>
      </c>
      <c r="K57" s="270"/>
      <c r="L57" s="267"/>
      <c r="M57" s="269"/>
      <c r="N57" s="271"/>
      <c r="O57" s="268"/>
      <c r="P57" s="447"/>
      <c r="Q57" s="146"/>
      <c r="R57" s="447"/>
      <c r="S57" s="447"/>
      <c r="T57" s="447"/>
      <c r="U57" s="447"/>
      <c r="V57" s="447"/>
    </row>
    <row r="58" spans="1:22" s="63" customFormat="1" ht="42" customHeight="1" thickBot="1">
      <c r="A58" s="59" t="s">
        <v>140</v>
      </c>
      <c r="B58" s="310" t="s">
        <v>301</v>
      </c>
      <c r="C58" s="273"/>
      <c r="D58" s="274"/>
      <c r="E58" s="275"/>
      <c r="F58" s="273"/>
      <c r="G58" s="274"/>
      <c r="H58" s="275"/>
      <c r="I58" s="273"/>
      <c r="J58" s="274"/>
      <c r="K58" s="275"/>
      <c r="L58" s="273"/>
      <c r="M58" s="274"/>
      <c r="N58" s="275"/>
      <c r="P58" s="447"/>
      <c r="Q58" s="146"/>
      <c r="R58" s="447"/>
      <c r="S58" s="447"/>
      <c r="T58" s="447"/>
      <c r="U58" s="447"/>
      <c r="V58" s="447"/>
    </row>
    <row r="59" spans="1:22" s="63" customFormat="1" ht="17.25" customHeight="1" thickBot="1" thickTop="1">
      <c r="A59" s="59" t="s">
        <v>142</v>
      </c>
      <c r="B59" s="60" t="s">
        <v>148</v>
      </c>
      <c r="C59" s="61">
        <f>SUM(C40+C45+C46+C47+C51+C52+C55+C56+C57+C58)</f>
        <v>29775</v>
      </c>
      <c r="D59" s="61">
        <f aca="true" t="shared" si="8" ref="D59:N59">SUM(D40+D45+D46+D47+D51+D52+D55+D56+D57+D58)</f>
        <v>29775</v>
      </c>
      <c r="E59" s="61">
        <f t="shared" si="8"/>
        <v>0</v>
      </c>
      <c r="F59" s="61">
        <f t="shared" si="8"/>
        <v>0</v>
      </c>
      <c r="G59" s="61">
        <f t="shared" si="8"/>
        <v>0</v>
      </c>
      <c r="H59" s="61">
        <f t="shared" si="8"/>
        <v>0</v>
      </c>
      <c r="I59" s="61">
        <f t="shared" si="8"/>
        <v>419948</v>
      </c>
      <c r="J59" s="61">
        <f t="shared" si="8"/>
        <v>1084465</v>
      </c>
      <c r="K59" s="61">
        <f t="shared" si="8"/>
        <v>0</v>
      </c>
      <c r="L59" s="61">
        <f t="shared" si="8"/>
        <v>12490</v>
      </c>
      <c r="M59" s="61">
        <f t="shared" si="8"/>
        <v>12490</v>
      </c>
      <c r="N59" s="62">
        <f t="shared" si="8"/>
        <v>0</v>
      </c>
      <c r="P59" s="447"/>
      <c r="Q59" s="146"/>
      <c r="R59" s="447"/>
      <c r="S59" s="447"/>
      <c r="T59" s="447"/>
      <c r="U59" s="447"/>
      <c r="V59" s="447"/>
    </row>
    <row r="60" spans="1:22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7"/>
      <c r="J60" s="277"/>
      <c r="K60" s="278"/>
      <c r="L60" s="277"/>
      <c r="M60" s="277"/>
      <c r="N60" s="279"/>
      <c r="P60" s="336"/>
      <c r="Q60" s="446"/>
      <c r="R60" s="336"/>
      <c r="S60" s="336"/>
      <c r="T60" s="336"/>
      <c r="U60" s="336"/>
      <c r="V60" s="336"/>
    </row>
    <row r="61" spans="1:22" s="38" customFormat="1" ht="17.25" customHeight="1" thickBot="1" thickTop="1">
      <c r="A61" s="280"/>
      <c r="B61" s="281" t="s">
        <v>427</v>
      </c>
      <c r="C61" s="282"/>
      <c r="D61" s="283"/>
      <c r="E61" s="284"/>
      <c r="F61" s="282"/>
      <c r="G61" s="283"/>
      <c r="H61" s="284"/>
      <c r="I61" s="282">
        <v>2</v>
      </c>
      <c r="J61" s="283"/>
      <c r="K61" s="285"/>
      <c r="L61" s="282"/>
      <c r="M61" s="283"/>
      <c r="N61" s="284"/>
      <c r="P61" s="307"/>
      <c r="Q61" s="446"/>
      <c r="R61" s="307"/>
      <c r="S61" s="307"/>
      <c r="T61" s="307"/>
      <c r="U61" s="307"/>
      <c r="V61" s="307"/>
    </row>
    <row r="62" spans="1:22" s="38" customFormat="1" ht="17.25" customHeight="1" thickBot="1" thickTop="1">
      <c r="A62" s="247"/>
      <c r="B62" s="1249" t="s">
        <v>144</v>
      </c>
      <c r="C62" s="1250"/>
      <c r="D62" s="1251"/>
      <c r="E62" s="1252"/>
      <c r="F62" s="1250"/>
      <c r="G62" s="1251"/>
      <c r="H62" s="1252"/>
      <c r="I62" s="1250"/>
      <c r="J62" s="1251"/>
      <c r="K62" s="1253"/>
      <c r="L62" s="1250">
        <f>SUM(I62+F62+C62)</f>
        <v>0</v>
      </c>
      <c r="M62" s="1251"/>
      <c r="N62" s="1254"/>
      <c r="P62" s="307"/>
      <c r="Q62" s="446"/>
      <c r="R62" s="307"/>
      <c r="S62" s="307"/>
      <c r="T62" s="307"/>
      <c r="U62" s="307"/>
      <c r="V62" s="307"/>
    </row>
    <row r="63" ht="15.75">
      <c r="A63" s="286"/>
    </row>
    <row r="64" ht="15.75">
      <c r="H64" s="288"/>
    </row>
    <row r="65" ht="15.75">
      <c r="C65" s="72"/>
    </row>
    <row r="66" ht="15.75">
      <c r="I66" s="72"/>
    </row>
    <row r="67" ht="15.75">
      <c r="K67" s="72"/>
    </row>
  </sheetData>
  <sheetProtection selectLockedCells="1" selectUnlockedCells="1"/>
  <mergeCells count="10">
    <mergeCell ref="L7:N7"/>
    <mergeCell ref="A4:N4"/>
    <mergeCell ref="A5:N5"/>
    <mergeCell ref="C8:E8"/>
    <mergeCell ref="F8:H8"/>
    <mergeCell ref="I8:K8"/>
    <mergeCell ref="L8:N8"/>
    <mergeCell ref="C7:E7"/>
    <mergeCell ref="F7:H7"/>
    <mergeCell ref="I7:K7"/>
  </mergeCells>
  <printOptions/>
  <pageMargins left="0.4330708661417323" right="0.2362204724409449" top="0.7874015748031497" bottom="0.6692913385826772" header="0.5118110236220472" footer="0.5118110236220472"/>
  <pageSetup horizontalDpi="600" verticalDpi="600" orientation="landscape" paperSize="9" scale="56" r:id="rId1"/>
  <rowBreaks count="1" manualBreakCount="1">
    <brk id="34" min="1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7"/>
  <sheetViews>
    <sheetView showGridLines="0" view="pageBreakPreview" zoomScale="70" zoomScaleSheetLayoutView="70" zoomScalePageLayoutView="0" workbookViewId="0" topLeftCell="A1">
      <selection activeCell="B2" sqref="B2"/>
    </sheetView>
  </sheetViews>
  <sheetFormatPr defaultColWidth="9.00390625" defaultRowHeight="12.75"/>
  <cols>
    <col min="1" max="1" width="4.875" style="287" customWidth="1"/>
    <col min="2" max="2" width="78.00390625" style="25" customWidth="1"/>
    <col min="3" max="14" width="16.875" style="25" customWidth="1"/>
    <col min="15" max="15" width="5.50390625" style="25" customWidth="1"/>
    <col min="16" max="16" width="13.375" style="25" customWidth="1"/>
    <col min="17" max="16384" width="9.375" style="25" customWidth="1"/>
  </cols>
  <sheetData>
    <row r="1" spans="1:14" ht="15">
      <c r="A1" s="204"/>
      <c r="B1" s="26" t="s">
        <v>725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22.5" customHeight="1">
      <c r="A4" s="1807" t="s">
        <v>292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</row>
    <row r="5" spans="1:14" ht="21.75" customHeight="1">
      <c r="A5" s="1808" t="s">
        <v>578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</row>
    <row r="6" spans="1:14" ht="18.7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8" t="s">
        <v>1</v>
      </c>
    </row>
    <row r="7" spans="1:14" s="308" customFormat="1" ht="22.5" customHeight="1" thickBot="1">
      <c r="A7" s="129" t="s">
        <v>118</v>
      </c>
      <c r="B7" s="129" t="s">
        <v>142</v>
      </c>
      <c r="C7" s="1836" t="s">
        <v>363</v>
      </c>
      <c r="D7" s="1837"/>
      <c r="E7" s="1838"/>
      <c r="F7" s="1836" t="s">
        <v>364</v>
      </c>
      <c r="G7" s="1837"/>
      <c r="H7" s="1838"/>
      <c r="I7" s="1836" t="s">
        <v>371</v>
      </c>
      <c r="J7" s="1837"/>
      <c r="K7" s="1838"/>
      <c r="L7" s="1836" t="s">
        <v>366</v>
      </c>
      <c r="M7" s="1837"/>
      <c r="N7" s="1838"/>
    </row>
    <row r="8" spans="1:14" ht="18">
      <c r="A8" s="209" t="s">
        <v>87</v>
      </c>
      <c r="B8" s="210" t="s">
        <v>88</v>
      </c>
      <c r="C8" s="1846" t="s">
        <v>300</v>
      </c>
      <c r="D8" s="1846"/>
      <c r="E8" s="1846"/>
      <c r="F8" s="1846" t="s">
        <v>160</v>
      </c>
      <c r="G8" s="1846"/>
      <c r="H8" s="1846"/>
      <c r="I8" s="1810" t="s">
        <v>161</v>
      </c>
      <c r="J8" s="1810"/>
      <c r="K8" s="1810"/>
      <c r="L8" s="1810" t="s">
        <v>162</v>
      </c>
      <c r="M8" s="1810"/>
      <c r="N8" s="1810"/>
    </row>
    <row r="9" spans="1:14" s="30" customFormat="1" ht="24.75" thickBot="1">
      <c r="A9" s="211" t="s">
        <v>90</v>
      </c>
      <c r="B9" s="212" t="s">
        <v>91</v>
      </c>
      <c r="C9" s="213" t="s">
        <v>92</v>
      </c>
      <c r="D9" s="214" t="s">
        <v>93</v>
      </c>
      <c r="E9" s="215" t="s">
        <v>94</v>
      </c>
      <c r="F9" s="213" t="s">
        <v>92</v>
      </c>
      <c r="G9" s="214" t="s">
        <v>93</v>
      </c>
      <c r="H9" s="215" t="s">
        <v>94</v>
      </c>
      <c r="I9" s="213" t="s">
        <v>92</v>
      </c>
      <c r="J9" s="214" t="s">
        <v>93</v>
      </c>
      <c r="K9" s="215" t="s">
        <v>94</v>
      </c>
      <c r="L9" s="213" t="s">
        <v>92</v>
      </c>
      <c r="M9" s="214" t="s">
        <v>93</v>
      </c>
      <c r="N9" s="215" t="s">
        <v>94</v>
      </c>
    </row>
    <row r="10" spans="1:14" s="31" customFormat="1" ht="12" thickBo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  <c r="F10" s="218">
        <v>3</v>
      </c>
      <c r="G10" s="219">
        <v>4</v>
      </c>
      <c r="H10" s="220">
        <v>5</v>
      </c>
      <c r="I10" s="218">
        <v>3</v>
      </c>
      <c r="J10" s="219">
        <v>4</v>
      </c>
      <c r="K10" s="220">
        <v>5</v>
      </c>
      <c r="L10" s="218">
        <v>3</v>
      </c>
      <c r="M10" s="219">
        <v>4</v>
      </c>
      <c r="N10" s="220">
        <v>5</v>
      </c>
    </row>
    <row r="11" spans="1:14" s="30" customFormat="1" ht="18.7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23"/>
      <c r="J11" s="224"/>
      <c r="K11" s="225"/>
      <c r="L11" s="223"/>
      <c r="M11" s="224"/>
      <c r="N11" s="225"/>
    </row>
    <row r="12" spans="1:14" s="38" customFormat="1" ht="17.25" customHeight="1" thickBot="1">
      <c r="A12" s="46">
        <v>1</v>
      </c>
      <c r="B12" s="226" t="s">
        <v>8</v>
      </c>
      <c r="C12" s="69"/>
      <c r="D12" s="69"/>
      <c r="E12" s="227"/>
      <c r="F12" s="69"/>
      <c r="G12" s="69"/>
      <c r="H12" s="227"/>
      <c r="I12" s="69"/>
      <c r="J12" s="69"/>
      <c r="K12" s="227"/>
      <c r="L12" s="69"/>
      <c r="M12" s="69"/>
      <c r="N12" s="227"/>
    </row>
    <row r="13" spans="1:14" s="38" customFormat="1" ht="17.25" customHeight="1" thickBot="1">
      <c r="A13" s="46">
        <v>2</v>
      </c>
      <c r="B13" s="226" t="s">
        <v>96</v>
      </c>
      <c r="C13" s="69"/>
      <c r="D13" s="69"/>
      <c r="E13" s="227"/>
      <c r="F13" s="69"/>
      <c r="G13" s="69"/>
      <c r="H13" s="227"/>
      <c r="I13" s="69"/>
      <c r="J13" s="69"/>
      <c r="K13" s="227"/>
      <c r="L13" s="69"/>
      <c r="M13" s="69"/>
      <c r="N13" s="227"/>
    </row>
    <row r="14" spans="1:14" s="38" customFormat="1" ht="17.25" customHeight="1" thickBot="1">
      <c r="A14" s="46">
        <v>3</v>
      </c>
      <c r="B14" s="226" t="s">
        <v>15</v>
      </c>
      <c r="C14" s="69"/>
      <c r="D14" s="69"/>
      <c r="E14" s="227"/>
      <c r="F14" s="69">
        <v>1816</v>
      </c>
      <c r="G14" s="69">
        <v>1816</v>
      </c>
      <c r="H14" s="227"/>
      <c r="I14" s="69"/>
      <c r="J14" s="69"/>
      <c r="K14" s="227"/>
      <c r="L14" s="69">
        <v>10956</v>
      </c>
      <c r="M14" s="69">
        <v>10956</v>
      </c>
      <c r="N14" s="227"/>
    </row>
    <row r="15" spans="1:14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/>
      <c r="G15" s="69"/>
      <c r="H15" s="227"/>
      <c r="I15" s="69"/>
      <c r="J15" s="69"/>
      <c r="K15" s="227"/>
      <c r="L15" s="69"/>
      <c r="M15" s="69"/>
      <c r="N15" s="227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7"/>
    </row>
    <row r="17" spans="1:14" s="38" customFormat="1" ht="17.25" customHeight="1">
      <c r="A17" s="39" t="s">
        <v>99</v>
      </c>
      <c r="B17" s="48" t="s">
        <v>100</v>
      </c>
      <c r="C17" s="229"/>
      <c r="D17" s="50"/>
      <c r="E17" s="104"/>
      <c r="F17" s="229"/>
      <c r="G17" s="50"/>
      <c r="H17" s="104"/>
      <c r="I17" s="229"/>
      <c r="J17" s="50"/>
      <c r="K17" s="104"/>
      <c r="L17" s="229"/>
      <c r="M17" s="50"/>
      <c r="N17" s="104"/>
    </row>
    <row r="18" spans="1:14" s="38" customFormat="1" ht="17.25" customHeight="1">
      <c r="A18" s="39" t="s">
        <v>101</v>
      </c>
      <c r="B18" s="48" t="s">
        <v>102</v>
      </c>
      <c r="C18" s="229"/>
      <c r="D18" s="50"/>
      <c r="E18" s="104"/>
      <c r="F18" s="229"/>
      <c r="G18" s="50"/>
      <c r="H18" s="104"/>
      <c r="I18" s="229"/>
      <c r="J18" s="50"/>
      <c r="K18" s="104"/>
      <c r="L18" s="229"/>
      <c r="M18" s="50"/>
      <c r="N18" s="104"/>
    </row>
    <row r="19" spans="1:14" s="38" customFormat="1" ht="17.25" customHeigh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4"/>
      <c r="I19" s="229"/>
      <c r="J19" s="50"/>
      <c r="K19" s="104"/>
      <c r="L19" s="229"/>
      <c r="M19" s="50"/>
      <c r="N19" s="104"/>
    </row>
    <row r="20" spans="1:14" s="38" customFormat="1" ht="17.25" customHeight="1">
      <c r="A20" s="230" t="s">
        <v>104</v>
      </c>
      <c r="B20" s="48" t="s">
        <v>105</v>
      </c>
      <c r="C20" s="51"/>
      <c r="D20" s="50"/>
      <c r="E20" s="104"/>
      <c r="F20" s="51"/>
      <c r="G20" s="50"/>
      <c r="H20" s="104"/>
      <c r="I20" s="51"/>
      <c r="J20" s="50"/>
      <c r="K20" s="104"/>
      <c r="L20" s="51"/>
      <c r="M20" s="50"/>
      <c r="N20" s="104"/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4"/>
      <c r="F21" s="51"/>
      <c r="G21" s="50"/>
      <c r="H21" s="104"/>
      <c r="I21" s="51"/>
      <c r="J21" s="50"/>
      <c r="K21" s="104"/>
      <c r="L21" s="51"/>
      <c r="M21" s="50"/>
      <c r="N21" s="104"/>
    </row>
    <row r="22" spans="1:14" s="38" customFormat="1" ht="17.25" customHeight="1">
      <c r="A22" s="230" t="s">
        <v>108</v>
      </c>
      <c r="B22" s="48" t="s">
        <v>109</v>
      </c>
      <c r="C22" s="51">
        <v>34932</v>
      </c>
      <c r="D22" s="50">
        <f>34932+1600</f>
        <v>36532</v>
      </c>
      <c r="E22" s="104"/>
      <c r="F22" s="51"/>
      <c r="G22" s="50"/>
      <c r="H22" s="104"/>
      <c r="I22" s="51"/>
      <c r="J22" s="50"/>
      <c r="K22" s="104"/>
      <c r="L22" s="51"/>
      <c r="M22" s="50"/>
      <c r="N22" s="104"/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43"/>
      <c r="M23" s="44"/>
      <c r="N23" s="45"/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34932</v>
      </c>
      <c r="D24" s="47">
        <f t="shared" si="0"/>
        <v>36532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293">
        <f t="shared" si="0"/>
        <v>0</v>
      </c>
    </row>
    <row r="25" spans="1:14" s="38" customFormat="1" ht="17.25" customHeight="1" thickBot="1">
      <c r="A25" s="46">
        <v>6</v>
      </c>
      <c r="B25" s="226" t="s">
        <v>53</v>
      </c>
      <c r="C25" s="47"/>
      <c r="D25" s="69"/>
      <c r="E25" s="227"/>
      <c r="F25" s="47"/>
      <c r="G25" s="69"/>
      <c r="H25" s="227"/>
      <c r="I25" s="47"/>
      <c r="J25" s="69"/>
      <c r="K25" s="227"/>
      <c r="L25" s="47"/>
      <c r="M25" s="69"/>
      <c r="N25" s="227"/>
    </row>
    <row r="26" spans="1:14" s="38" customFormat="1" ht="17.25" customHeight="1" thickBot="1">
      <c r="A26" s="46">
        <v>7</v>
      </c>
      <c r="B26" s="226" t="s">
        <v>56</v>
      </c>
      <c r="C26" s="69"/>
      <c r="D26" s="69"/>
      <c r="E26" s="227"/>
      <c r="F26" s="69"/>
      <c r="G26" s="69"/>
      <c r="H26" s="227"/>
      <c r="I26" s="69"/>
      <c r="J26" s="69"/>
      <c r="K26" s="227"/>
      <c r="L26" s="47"/>
      <c r="M26" s="69"/>
      <c r="N26" s="227"/>
    </row>
    <row r="27" spans="1:14" s="38" customFormat="1" ht="17.25" customHeight="1">
      <c r="A27" s="231" t="s">
        <v>97</v>
      </c>
      <c r="B27" s="232" t="s">
        <v>112</v>
      </c>
      <c r="C27" s="233"/>
      <c r="D27" s="234"/>
      <c r="E27" s="235"/>
      <c r="F27" s="233"/>
      <c r="G27" s="234"/>
      <c r="H27" s="235"/>
      <c r="I27" s="233"/>
      <c r="J27" s="234"/>
      <c r="K27" s="235"/>
      <c r="L27" s="233"/>
      <c r="M27" s="234"/>
      <c r="N27" s="235"/>
    </row>
    <row r="28" spans="1:14" s="38" customFormat="1" ht="17.25" customHeight="1">
      <c r="A28" s="39" t="s">
        <v>99</v>
      </c>
      <c r="B28" s="48" t="s">
        <v>113</v>
      </c>
      <c r="C28" s="229"/>
      <c r="D28" s="50"/>
      <c r="E28" s="104"/>
      <c r="F28" s="229"/>
      <c r="G28" s="50"/>
      <c r="H28" s="104"/>
      <c r="I28" s="229"/>
      <c r="J28" s="50"/>
      <c r="K28" s="104"/>
      <c r="L28" s="229"/>
      <c r="M28" s="50"/>
      <c r="N28" s="104"/>
    </row>
    <row r="29" spans="1:14" s="38" customFormat="1" ht="17.25" customHeight="1">
      <c r="A29" s="236" t="s">
        <v>101</v>
      </c>
      <c r="B29" s="237" t="s">
        <v>114</v>
      </c>
      <c r="C29" s="238"/>
      <c r="D29" s="239"/>
      <c r="E29" s="240"/>
      <c r="F29" s="238"/>
      <c r="G29" s="239"/>
      <c r="H29" s="240"/>
      <c r="I29" s="238"/>
      <c r="J29" s="239"/>
      <c r="K29" s="240"/>
      <c r="L29" s="238"/>
      <c r="M29" s="239"/>
      <c r="N29" s="240"/>
    </row>
    <row r="30" spans="1:14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</row>
    <row r="31" spans="1:14" s="38" customFormat="1" ht="17.25" customHeight="1" thickBot="1">
      <c r="A31" s="241" t="s">
        <v>104</v>
      </c>
      <c r="B31" s="242" t="s">
        <v>116</v>
      </c>
      <c r="C31" s="243"/>
      <c r="D31" s="244"/>
      <c r="E31" s="245"/>
      <c r="F31" s="243"/>
      <c r="G31" s="244"/>
      <c r="H31" s="245"/>
      <c r="I31" s="243"/>
      <c r="J31" s="244"/>
      <c r="K31" s="245"/>
      <c r="L31" s="243"/>
      <c r="M31" s="244"/>
      <c r="N31" s="245"/>
    </row>
    <row r="32" spans="1:14" s="246" customFormat="1" ht="17.25" customHeight="1" thickBot="1">
      <c r="A32" s="46">
        <v>8</v>
      </c>
      <c r="B32" s="226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93">
        <f t="shared" si="1"/>
        <v>0</v>
      </c>
    </row>
    <row r="33" spans="1:14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/>
      <c r="G33" s="69"/>
      <c r="H33" s="227"/>
      <c r="I33" s="47"/>
      <c r="J33" s="69"/>
      <c r="K33" s="227"/>
      <c r="L33" s="47"/>
      <c r="M33" s="69"/>
      <c r="N33" s="227"/>
    </row>
    <row r="34" spans="1:16" s="58" customFormat="1" ht="17.25" customHeight="1" thickBot="1">
      <c r="A34" s="53" t="s">
        <v>118</v>
      </c>
      <c r="B34" s="54" t="s">
        <v>147</v>
      </c>
      <c r="C34" s="55">
        <f aca="true" t="shared" si="2" ref="C34:N34">SUM(C12+C13+C14+C15+C24+C25+C26+C32+C33)</f>
        <v>34932</v>
      </c>
      <c r="D34" s="55">
        <f t="shared" si="2"/>
        <v>36532</v>
      </c>
      <c r="E34" s="55">
        <f t="shared" si="2"/>
        <v>0</v>
      </c>
      <c r="F34" s="55">
        <f t="shared" si="2"/>
        <v>1816</v>
      </c>
      <c r="G34" s="55">
        <f t="shared" si="2"/>
        <v>1816</v>
      </c>
      <c r="H34" s="55">
        <f t="shared" si="2"/>
        <v>0</v>
      </c>
      <c r="I34" s="55">
        <f t="shared" si="2"/>
        <v>0</v>
      </c>
      <c r="J34" s="55">
        <f t="shared" si="2"/>
        <v>0</v>
      </c>
      <c r="K34" s="55">
        <f t="shared" si="2"/>
        <v>0</v>
      </c>
      <c r="L34" s="55">
        <f t="shared" si="2"/>
        <v>10956</v>
      </c>
      <c r="M34" s="55">
        <f t="shared" si="2"/>
        <v>10956</v>
      </c>
      <c r="N34" s="1245">
        <f t="shared" si="2"/>
        <v>0</v>
      </c>
      <c r="O34" s="56"/>
      <c r="P34" s="57"/>
    </row>
    <row r="35" spans="1:15" s="191" customFormat="1" ht="17.25" customHeight="1" thickBot="1" thickTop="1">
      <c r="A35" s="247"/>
      <c r="B35" s="248" t="s">
        <v>120</v>
      </c>
      <c r="C35" s="249"/>
      <c r="D35" s="250"/>
      <c r="E35" s="251"/>
      <c r="F35" s="249"/>
      <c r="G35" s="250"/>
      <c r="H35" s="251"/>
      <c r="I35" s="249"/>
      <c r="J35" s="250"/>
      <c r="K35" s="251"/>
      <c r="L35" s="249"/>
      <c r="M35" s="250"/>
      <c r="N35" s="251"/>
      <c r="O35" s="252"/>
    </row>
    <row r="36" spans="1:14" s="38" customFormat="1" ht="17.25" customHeight="1">
      <c r="A36" s="253" t="s">
        <v>97</v>
      </c>
      <c r="B36" s="254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/>
      <c r="M36" s="65"/>
      <c r="N36" s="66"/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40"/>
      <c r="I37" s="50"/>
      <c r="J37" s="50"/>
      <c r="K37" s="240"/>
      <c r="L37" s="50"/>
      <c r="M37" s="50"/>
      <c r="N37" s="240"/>
    </row>
    <row r="38" spans="1:14" s="38" customFormat="1" ht="17.25" customHeight="1">
      <c r="A38" s="39" t="s">
        <v>101</v>
      </c>
      <c r="B38" s="48" t="s">
        <v>122</v>
      </c>
      <c r="C38" s="50"/>
      <c r="D38" s="50"/>
      <c r="E38" s="240"/>
      <c r="F38" s="50"/>
      <c r="G38" s="50"/>
      <c r="H38" s="240"/>
      <c r="I38" s="50"/>
      <c r="J38" s="50"/>
      <c r="K38" s="240"/>
      <c r="L38" s="50"/>
      <c r="M38" s="50"/>
      <c r="N38" s="240"/>
    </row>
    <row r="39" spans="1:14" s="38" customFormat="1" ht="17.25" customHeight="1">
      <c r="A39" s="39" t="s">
        <v>103</v>
      </c>
      <c r="B39" s="48" t="s">
        <v>123</v>
      </c>
      <c r="C39" s="50"/>
      <c r="D39" s="50"/>
      <c r="E39" s="240"/>
      <c r="F39" s="50"/>
      <c r="G39" s="50"/>
      <c r="H39" s="240"/>
      <c r="I39" s="50"/>
      <c r="J39" s="50"/>
      <c r="K39" s="240"/>
      <c r="L39" s="50"/>
      <c r="M39" s="50"/>
      <c r="N39" s="240"/>
    </row>
    <row r="40" spans="1:14" s="63" customFormat="1" ht="17.25" customHeight="1">
      <c r="A40" s="255">
        <v>1</v>
      </c>
      <c r="B40" s="256" t="s">
        <v>124</v>
      </c>
      <c r="C40" s="257">
        <f aca="true" t="shared" si="3" ref="C40:N40">SUM(C36:C39)</f>
        <v>0</v>
      </c>
      <c r="D40" s="257">
        <f t="shared" si="3"/>
        <v>0</v>
      </c>
      <c r="E40" s="257">
        <f t="shared" si="3"/>
        <v>0</v>
      </c>
      <c r="F40" s="257">
        <f t="shared" si="3"/>
        <v>0</v>
      </c>
      <c r="G40" s="257">
        <f t="shared" si="3"/>
        <v>0</v>
      </c>
      <c r="H40" s="257">
        <f t="shared" si="3"/>
        <v>0</v>
      </c>
      <c r="I40" s="257">
        <f t="shared" si="3"/>
        <v>0</v>
      </c>
      <c r="J40" s="257">
        <f t="shared" si="3"/>
        <v>0</v>
      </c>
      <c r="K40" s="257">
        <f t="shared" si="3"/>
        <v>0</v>
      </c>
      <c r="L40" s="257">
        <f t="shared" si="3"/>
        <v>0</v>
      </c>
      <c r="M40" s="257">
        <f t="shared" si="3"/>
        <v>0</v>
      </c>
      <c r="N40" s="298">
        <f t="shared" si="3"/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40"/>
      <c r="I41" s="50"/>
      <c r="J41" s="50"/>
      <c r="K41" s="240"/>
      <c r="L41" s="50"/>
      <c r="M41" s="50"/>
      <c r="N41" s="240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40"/>
      <c r="F42" s="50"/>
      <c r="G42" s="50"/>
      <c r="H42" s="240"/>
      <c r="I42" s="50"/>
      <c r="J42" s="50"/>
      <c r="K42" s="240"/>
      <c r="L42" s="50"/>
      <c r="M42" s="50"/>
      <c r="N42" s="240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40"/>
      <c r="F43" s="50"/>
      <c r="G43" s="50"/>
      <c r="H43" s="240"/>
      <c r="I43" s="50"/>
      <c r="J43" s="50"/>
      <c r="K43" s="240"/>
      <c r="L43" s="50"/>
      <c r="M43" s="50"/>
      <c r="N43" s="240"/>
    </row>
    <row r="44" spans="1:14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/>
      <c r="G44" s="50"/>
      <c r="H44" s="240"/>
      <c r="I44" s="229"/>
      <c r="J44" s="50"/>
      <c r="K44" s="240"/>
      <c r="L44" s="50"/>
      <c r="M44" s="50"/>
      <c r="N44" s="240"/>
    </row>
    <row r="45" spans="1:14" s="63" customFormat="1" ht="17.25" customHeight="1">
      <c r="A45" s="255">
        <v>2</v>
      </c>
      <c r="B45" s="256" t="s">
        <v>129</v>
      </c>
      <c r="C45" s="258">
        <f aca="true" t="shared" si="4" ref="C45:N45">SUM(C41:C44)</f>
        <v>0</v>
      </c>
      <c r="D45" s="258">
        <f t="shared" si="4"/>
        <v>0</v>
      </c>
      <c r="E45" s="258">
        <f t="shared" si="4"/>
        <v>0</v>
      </c>
      <c r="F45" s="258">
        <f t="shared" si="4"/>
        <v>0</v>
      </c>
      <c r="G45" s="258">
        <f t="shared" si="4"/>
        <v>0</v>
      </c>
      <c r="H45" s="258">
        <f t="shared" si="4"/>
        <v>0</v>
      </c>
      <c r="I45" s="258">
        <f t="shared" si="4"/>
        <v>0</v>
      </c>
      <c r="J45" s="258">
        <f t="shared" si="4"/>
        <v>0</v>
      </c>
      <c r="K45" s="258">
        <f t="shared" si="4"/>
        <v>0</v>
      </c>
      <c r="L45" s="258">
        <f t="shared" si="4"/>
        <v>0</v>
      </c>
      <c r="M45" s="258">
        <f t="shared" si="4"/>
        <v>0</v>
      </c>
      <c r="N45" s="1246">
        <f t="shared" si="4"/>
        <v>0</v>
      </c>
    </row>
    <row r="46" spans="1:14" s="63" customFormat="1" ht="17.25" customHeight="1">
      <c r="A46" s="255">
        <v>3</v>
      </c>
      <c r="B46" s="256" t="s">
        <v>34</v>
      </c>
      <c r="C46" s="258"/>
      <c r="D46" s="257"/>
      <c r="E46" s="259"/>
      <c r="F46" s="258"/>
      <c r="G46" s="257"/>
      <c r="H46" s="259"/>
      <c r="I46" s="258"/>
      <c r="J46" s="257"/>
      <c r="K46" s="259"/>
      <c r="L46" s="257"/>
      <c r="M46" s="257"/>
      <c r="N46" s="259"/>
    </row>
    <row r="47" spans="1:14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259"/>
      <c r="I47" s="258"/>
      <c r="J47" s="257"/>
      <c r="K47" s="259"/>
      <c r="L47" s="257"/>
      <c r="M47" s="257"/>
      <c r="N47" s="259"/>
    </row>
    <row r="48" spans="1:14" s="38" customFormat="1" ht="17.25" customHeight="1">
      <c r="A48" s="39" t="s">
        <v>97</v>
      </c>
      <c r="B48" s="48" t="s">
        <v>130</v>
      </c>
      <c r="C48" s="229"/>
      <c r="D48" s="51"/>
      <c r="E48" s="260"/>
      <c r="F48" s="229"/>
      <c r="G48" s="51"/>
      <c r="H48" s="260"/>
      <c r="I48" s="229"/>
      <c r="J48" s="51"/>
      <c r="K48" s="260"/>
      <c r="L48" s="50"/>
      <c r="M48" s="51"/>
      <c r="N48" s="260"/>
    </row>
    <row r="49" spans="1:16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61"/>
      <c r="O49" s="262"/>
      <c r="P49" s="113"/>
    </row>
    <row r="50" spans="1:16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63"/>
      <c r="K50" s="264"/>
      <c r="L50" s="238"/>
      <c r="M50" s="263"/>
      <c r="N50" s="260"/>
      <c r="O50" s="262"/>
      <c r="P50" s="113"/>
    </row>
    <row r="51" spans="1:16" s="63" customFormat="1" ht="17.25" customHeight="1">
      <c r="A51" s="265">
        <v>5</v>
      </c>
      <c r="B51" s="266" t="s">
        <v>133</v>
      </c>
      <c r="C51" s="267">
        <f aca="true" t="shared" si="5" ref="C51:N51">SUM(C48:C50)</f>
        <v>0</v>
      </c>
      <c r="D51" s="267">
        <f t="shared" si="5"/>
        <v>0</v>
      </c>
      <c r="E51" s="267">
        <f t="shared" si="5"/>
        <v>0</v>
      </c>
      <c r="F51" s="267">
        <f t="shared" si="5"/>
        <v>0</v>
      </c>
      <c r="G51" s="267">
        <f t="shared" si="5"/>
        <v>0</v>
      </c>
      <c r="H51" s="267">
        <f t="shared" si="5"/>
        <v>0</v>
      </c>
      <c r="I51" s="267">
        <f t="shared" si="5"/>
        <v>0</v>
      </c>
      <c r="J51" s="267">
        <f t="shared" si="5"/>
        <v>0</v>
      </c>
      <c r="K51" s="267">
        <f t="shared" si="5"/>
        <v>0</v>
      </c>
      <c r="L51" s="267">
        <f t="shared" si="5"/>
        <v>0</v>
      </c>
      <c r="M51" s="267">
        <f t="shared" si="5"/>
        <v>0</v>
      </c>
      <c r="N51" s="1247">
        <f t="shared" si="5"/>
        <v>0</v>
      </c>
      <c r="O51" s="268"/>
      <c r="P51" s="107"/>
    </row>
    <row r="52" spans="1:16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269"/>
      <c r="K52" s="270"/>
      <c r="L52" s="267"/>
      <c r="M52" s="269"/>
      <c r="N52" s="271"/>
      <c r="O52" s="268"/>
      <c r="P52" s="107"/>
    </row>
    <row r="53" spans="1:16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/>
      <c r="J53" s="263"/>
      <c r="K53" s="264"/>
      <c r="L53" s="238"/>
      <c r="M53" s="263"/>
      <c r="N53" s="260"/>
      <c r="O53" s="262"/>
      <c r="P53" s="113"/>
    </row>
    <row r="54" spans="1:16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63"/>
      <c r="K54" s="264"/>
      <c r="L54" s="238"/>
      <c r="M54" s="263"/>
      <c r="N54" s="260"/>
      <c r="O54" s="262"/>
      <c r="P54" s="113"/>
    </row>
    <row r="55" spans="1:16" s="63" customFormat="1" ht="17.25" customHeight="1">
      <c r="A55" s="265">
        <v>7</v>
      </c>
      <c r="B55" s="266" t="s">
        <v>136</v>
      </c>
      <c r="C55" s="267">
        <f aca="true" t="shared" si="6" ref="C55:N55">SUM(C53:C54)</f>
        <v>0</v>
      </c>
      <c r="D55" s="267">
        <f t="shared" si="6"/>
        <v>0</v>
      </c>
      <c r="E55" s="267">
        <f t="shared" si="6"/>
        <v>0</v>
      </c>
      <c r="F55" s="267">
        <f t="shared" si="6"/>
        <v>0</v>
      </c>
      <c r="G55" s="267">
        <f t="shared" si="6"/>
        <v>0</v>
      </c>
      <c r="H55" s="267">
        <f t="shared" si="6"/>
        <v>0</v>
      </c>
      <c r="I55" s="267">
        <f t="shared" si="6"/>
        <v>0</v>
      </c>
      <c r="J55" s="267">
        <f t="shared" si="6"/>
        <v>0</v>
      </c>
      <c r="K55" s="267">
        <f t="shared" si="6"/>
        <v>0</v>
      </c>
      <c r="L55" s="267">
        <f t="shared" si="6"/>
        <v>0</v>
      </c>
      <c r="M55" s="267">
        <f t="shared" si="6"/>
        <v>0</v>
      </c>
      <c r="N55" s="1247">
        <f t="shared" si="6"/>
        <v>0</v>
      </c>
      <c r="O55" s="268"/>
      <c r="P55" s="107"/>
    </row>
    <row r="56" spans="1:16" s="38" customFormat="1" ht="17.25" customHeight="1">
      <c r="A56" s="236">
        <v>8</v>
      </c>
      <c r="B56" s="237" t="s">
        <v>137</v>
      </c>
      <c r="C56" s="238">
        <f aca="true" t="shared" si="7" ref="C56:N56">SUM(C34-C40-C45-C46-C47-C51-C52-C55-C57-C58)</f>
        <v>34932</v>
      </c>
      <c r="D56" s="238">
        <f t="shared" si="7"/>
        <v>36532</v>
      </c>
      <c r="E56" s="238">
        <f t="shared" si="7"/>
        <v>0</v>
      </c>
      <c r="F56" s="238">
        <f t="shared" si="7"/>
        <v>1816</v>
      </c>
      <c r="G56" s="238">
        <f t="shared" si="7"/>
        <v>1816</v>
      </c>
      <c r="H56" s="238">
        <f t="shared" si="7"/>
        <v>0</v>
      </c>
      <c r="I56" s="238">
        <f>SUM(I34-I40-I45-I46-I47-I51-I52-I55-I57-I58)</f>
        <v>0</v>
      </c>
      <c r="J56" s="238">
        <f t="shared" si="7"/>
        <v>0</v>
      </c>
      <c r="K56" s="238">
        <f t="shared" si="7"/>
        <v>0</v>
      </c>
      <c r="L56" s="238">
        <f t="shared" si="7"/>
        <v>10956</v>
      </c>
      <c r="M56" s="238">
        <f t="shared" si="7"/>
        <v>10956</v>
      </c>
      <c r="N56" s="272">
        <f t="shared" si="7"/>
        <v>0</v>
      </c>
      <c r="O56" s="262"/>
      <c r="P56" s="113"/>
    </row>
    <row r="57" spans="1:16" s="63" customFormat="1" ht="17.25" customHeight="1">
      <c r="A57" s="265" t="s">
        <v>138</v>
      </c>
      <c r="B57" s="266" t="s">
        <v>139</v>
      </c>
      <c r="C57" s="267"/>
      <c r="D57" s="269"/>
      <c r="E57" s="270"/>
      <c r="F57" s="267"/>
      <c r="G57" s="269"/>
      <c r="H57" s="270"/>
      <c r="I57" s="267"/>
      <c r="J57" s="269"/>
      <c r="K57" s="270"/>
      <c r="L57" s="267"/>
      <c r="M57" s="269"/>
      <c r="N57" s="271"/>
      <c r="O57" s="268"/>
      <c r="P57" s="107"/>
    </row>
    <row r="58" spans="1:14" s="63" customFormat="1" ht="17.25" customHeight="1" thickBot="1">
      <c r="A58" s="59" t="s">
        <v>140</v>
      </c>
      <c r="B58" s="60" t="s">
        <v>141</v>
      </c>
      <c r="C58" s="273"/>
      <c r="D58" s="274"/>
      <c r="E58" s="275"/>
      <c r="F58" s="273"/>
      <c r="G58" s="274"/>
      <c r="H58" s="275"/>
      <c r="I58" s="273"/>
      <c r="J58" s="274"/>
      <c r="K58" s="275"/>
      <c r="L58" s="273"/>
      <c r="M58" s="274"/>
      <c r="N58" s="275"/>
    </row>
    <row r="59" spans="1:14" s="63" customFormat="1" ht="17.25" customHeight="1" thickBot="1" thickTop="1">
      <c r="A59" s="59" t="s">
        <v>142</v>
      </c>
      <c r="B59" s="60" t="s">
        <v>148</v>
      </c>
      <c r="C59" s="61">
        <f aca="true" t="shared" si="8" ref="C59:N59">SUM(C40+C45+C46+C47+C51+C52+C55+C56+C57+C58)</f>
        <v>34932</v>
      </c>
      <c r="D59" s="61">
        <f t="shared" si="8"/>
        <v>36532</v>
      </c>
      <c r="E59" s="61">
        <f t="shared" si="8"/>
        <v>0</v>
      </c>
      <c r="F59" s="61">
        <f t="shared" si="8"/>
        <v>1816</v>
      </c>
      <c r="G59" s="61">
        <f t="shared" si="8"/>
        <v>1816</v>
      </c>
      <c r="H59" s="61">
        <f t="shared" si="8"/>
        <v>0</v>
      </c>
      <c r="I59" s="61">
        <f>SUM(I40+I45+I46+I47+I51+I52+I55+I56+I57+I58)</f>
        <v>0</v>
      </c>
      <c r="J59" s="61">
        <f t="shared" si="8"/>
        <v>0</v>
      </c>
      <c r="K59" s="61">
        <f t="shared" si="8"/>
        <v>0</v>
      </c>
      <c r="L59" s="61">
        <f t="shared" si="8"/>
        <v>10956</v>
      </c>
      <c r="M59" s="61">
        <f t="shared" si="8"/>
        <v>10956</v>
      </c>
      <c r="N59" s="62">
        <f t="shared" si="8"/>
        <v>0</v>
      </c>
    </row>
    <row r="60" spans="1:14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7"/>
      <c r="J60" s="277"/>
      <c r="K60" s="278"/>
      <c r="L60" s="277"/>
      <c r="M60" s="277"/>
      <c r="N60" s="279"/>
    </row>
    <row r="61" spans="1:14" s="38" customFormat="1" ht="17.25" customHeight="1" thickBot="1" thickTop="1">
      <c r="A61" s="280"/>
      <c r="B61" s="281" t="s">
        <v>427</v>
      </c>
      <c r="C61" s="282"/>
      <c r="D61" s="283"/>
      <c r="E61" s="284"/>
      <c r="F61" s="282"/>
      <c r="G61" s="283"/>
      <c r="H61" s="284"/>
      <c r="I61" s="282"/>
      <c r="J61" s="283"/>
      <c r="K61" s="285"/>
      <c r="L61" s="282">
        <f>SUM(I61+F61+C61)</f>
        <v>0</v>
      </c>
      <c r="M61" s="283"/>
      <c r="N61" s="284"/>
    </row>
    <row r="62" spans="1:14" s="38" customFormat="1" ht="17.25" customHeight="1" thickBot="1" thickTop="1">
      <c r="A62" s="247"/>
      <c r="B62" s="1249" t="s">
        <v>144</v>
      </c>
      <c r="C62" s="1250"/>
      <c r="D62" s="1251"/>
      <c r="E62" s="1252"/>
      <c r="F62" s="1250"/>
      <c r="G62" s="1251"/>
      <c r="H62" s="1252"/>
      <c r="I62" s="1250"/>
      <c r="J62" s="1251"/>
      <c r="K62" s="1253"/>
      <c r="L62" s="1250">
        <f>SUM(I62+F62+C62)</f>
        <v>0</v>
      </c>
      <c r="M62" s="1251"/>
      <c r="N62" s="1254"/>
    </row>
    <row r="63" ht="15.75">
      <c r="A63" s="286"/>
    </row>
    <row r="64" spans="3:9" ht="12.75">
      <c r="C64" s="72"/>
      <c r="H64" s="288"/>
      <c r="I64" s="72"/>
    </row>
    <row r="66" ht="12.75">
      <c r="I66" s="72"/>
    </row>
    <row r="67" spans="3:11" ht="12.75">
      <c r="C67" s="72"/>
      <c r="H67" s="72"/>
      <c r="K67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3937007874015748" right="0.2362204724409449" top="0.35433070866141736" bottom="0.11811023622047245" header="0.1968503937007874" footer="0.6299212598425197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67"/>
  <sheetViews>
    <sheetView showGridLines="0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4.875" style="287" customWidth="1"/>
    <col min="2" max="2" width="89.625" style="25" bestFit="1" customWidth="1"/>
    <col min="3" max="14" width="16.875" style="25" customWidth="1"/>
    <col min="15" max="16384" width="9.375" style="25" customWidth="1"/>
  </cols>
  <sheetData>
    <row r="1" spans="1:14" ht="30.75" customHeight="1">
      <c r="A1" s="204"/>
      <c r="B1" s="26" t="s">
        <v>726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5">
      <c r="A2" s="204"/>
      <c r="B2" s="26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22.5" customHeight="1">
      <c r="A4" s="1807" t="s">
        <v>292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</row>
    <row r="5" spans="1:14" ht="21.75" customHeight="1">
      <c r="A5" s="1808" t="s">
        <v>578</v>
      </c>
      <c r="B5" s="1808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</row>
    <row r="6" spans="1:14" ht="18.7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8" t="s">
        <v>1</v>
      </c>
    </row>
    <row r="7" spans="1:14" s="308" customFormat="1" ht="22.5" customHeight="1" thickBot="1">
      <c r="A7" s="129" t="s">
        <v>118</v>
      </c>
      <c r="B7" s="129" t="s">
        <v>142</v>
      </c>
      <c r="C7" s="1836" t="s">
        <v>363</v>
      </c>
      <c r="D7" s="1837"/>
      <c r="E7" s="1838"/>
      <c r="F7" s="1836" t="s">
        <v>364</v>
      </c>
      <c r="G7" s="1837"/>
      <c r="H7" s="1838"/>
      <c r="I7" s="1836" t="s">
        <v>371</v>
      </c>
      <c r="J7" s="1837"/>
      <c r="K7" s="1838"/>
      <c r="L7" s="1836" t="s">
        <v>366</v>
      </c>
      <c r="M7" s="1837"/>
      <c r="N7" s="1838"/>
    </row>
    <row r="8" spans="1:14" ht="45" customHeight="1">
      <c r="A8" s="443" t="s">
        <v>87</v>
      </c>
      <c r="B8" s="442" t="s">
        <v>88</v>
      </c>
      <c r="C8" s="1835" t="s">
        <v>163</v>
      </c>
      <c r="D8" s="1835"/>
      <c r="E8" s="1835"/>
      <c r="F8" s="1847" t="s">
        <v>164</v>
      </c>
      <c r="G8" s="1847"/>
      <c r="H8" s="1847"/>
      <c r="I8" s="1839" t="s">
        <v>165</v>
      </c>
      <c r="J8" s="1839"/>
      <c r="K8" s="1839"/>
      <c r="L8" s="1835" t="s">
        <v>166</v>
      </c>
      <c r="M8" s="1835"/>
      <c r="N8" s="1835"/>
    </row>
    <row r="9" spans="1:14" s="30" customFormat="1" ht="48.75" customHeight="1" thickBot="1">
      <c r="A9" s="441" t="s">
        <v>90</v>
      </c>
      <c r="B9" s="441" t="s">
        <v>91</v>
      </c>
      <c r="C9" s="438" t="s">
        <v>92</v>
      </c>
      <c r="D9" s="439" t="s">
        <v>93</v>
      </c>
      <c r="E9" s="440" t="s">
        <v>94</v>
      </c>
      <c r="F9" s="438" t="s">
        <v>92</v>
      </c>
      <c r="G9" s="439" t="s">
        <v>93</v>
      </c>
      <c r="H9" s="440" t="s">
        <v>94</v>
      </c>
      <c r="I9" s="438" t="s">
        <v>92</v>
      </c>
      <c r="J9" s="439" t="s">
        <v>93</v>
      </c>
      <c r="K9" s="440" t="s">
        <v>94</v>
      </c>
      <c r="L9" s="438" t="s">
        <v>92</v>
      </c>
      <c r="M9" s="439" t="s">
        <v>93</v>
      </c>
      <c r="N9" s="440" t="s">
        <v>94</v>
      </c>
    </row>
    <row r="10" spans="1:14" s="31" customFormat="1" ht="12" thickBo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  <c r="F10" s="218">
        <v>3</v>
      </c>
      <c r="G10" s="219">
        <v>4</v>
      </c>
      <c r="H10" s="220">
        <v>5</v>
      </c>
      <c r="I10" s="218">
        <v>3</v>
      </c>
      <c r="J10" s="219">
        <v>4</v>
      </c>
      <c r="K10" s="220">
        <v>5</v>
      </c>
      <c r="L10" s="218">
        <v>3</v>
      </c>
      <c r="M10" s="219">
        <v>4</v>
      </c>
      <c r="N10" s="220">
        <v>5</v>
      </c>
    </row>
    <row r="11" spans="1:14" s="30" customFormat="1" ht="18.75" thickBot="1">
      <c r="A11" s="221"/>
      <c r="B11" s="222" t="s">
        <v>95</v>
      </c>
      <c r="C11" s="223"/>
      <c r="D11" s="224"/>
      <c r="E11" s="225"/>
      <c r="F11" s="223"/>
      <c r="G11" s="224"/>
      <c r="H11" s="225"/>
      <c r="I11" s="223"/>
      <c r="J11" s="224"/>
      <c r="K11" s="225"/>
      <c r="L11" s="223"/>
      <c r="M11" s="224"/>
      <c r="N11" s="225"/>
    </row>
    <row r="12" spans="1:14" s="38" customFormat="1" ht="17.25" customHeight="1" thickBot="1">
      <c r="A12" s="46">
        <v>1</v>
      </c>
      <c r="B12" s="226" t="s">
        <v>8</v>
      </c>
      <c r="C12" s="69">
        <v>8698</v>
      </c>
      <c r="D12" s="69">
        <v>8698</v>
      </c>
      <c r="E12" s="227"/>
      <c r="F12" s="69"/>
      <c r="G12" s="69"/>
      <c r="H12" s="227"/>
      <c r="I12" s="69">
        <v>7091</v>
      </c>
      <c r="J12" s="69">
        <v>7091</v>
      </c>
      <c r="K12" s="227"/>
      <c r="L12" s="69"/>
      <c r="M12" s="69"/>
      <c r="N12" s="227"/>
    </row>
    <row r="13" spans="1:14" s="38" customFormat="1" ht="17.25" customHeight="1" thickBot="1">
      <c r="A13" s="46">
        <v>2</v>
      </c>
      <c r="B13" s="226" t="s">
        <v>96</v>
      </c>
      <c r="C13" s="69">
        <v>3321</v>
      </c>
      <c r="D13" s="69">
        <v>3321</v>
      </c>
      <c r="E13" s="227"/>
      <c r="F13" s="69"/>
      <c r="G13" s="69"/>
      <c r="H13" s="227"/>
      <c r="I13" s="69">
        <v>1904</v>
      </c>
      <c r="J13" s="69">
        <v>1904</v>
      </c>
      <c r="K13" s="227"/>
      <c r="L13" s="69"/>
      <c r="M13" s="69"/>
      <c r="N13" s="227"/>
    </row>
    <row r="14" spans="1:14" s="38" customFormat="1" ht="17.25" customHeight="1" thickBot="1">
      <c r="A14" s="46">
        <v>3</v>
      </c>
      <c r="B14" s="226" t="s">
        <v>15</v>
      </c>
      <c r="C14" s="69">
        <v>16901</v>
      </c>
      <c r="D14" s="69">
        <v>16901</v>
      </c>
      <c r="E14" s="227"/>
      <c r="F14" s="69"/>
      <c r="G14" s="69"/>
      <c r="H14" s="227"/>
      <c r="I14" s="69">
        <v>6640</v>
      </c>
      <c r="J14" s="69">
        <v>6640</v>
      </c>
      <c r="K14" s="227"/>
      <c r="L14" s="69"/>
      <c r="M14" s="69"/>
      <c r="N14" s="227"/>
    </row>
    <row r="15" spans="1:14" s="38" customFormat="1" ht="17.25" customHeight="1" thickBot="1">
      <c r="A15" s="228">
        <v>4</v>
      </c>
      <c r="B15" s="226" t="s">
        <v>18</v>
      </c>
      <c r="C15" s="69"/>
      <c r="D15" s="69"/>
      <c r="E15" s="227"/>
      <c r="F15" s="69"/>
      <c r="G15" s="69"/>
      <c r="H15" s="227"/>
      <c r="I15" s="69"/>
      <c r="J15" s="69"/>
      <c r="K15" s="227"/>
      <c r="L15" s="69"/>
      <c r="M15" s="69"/>
      <c r="N15" s="227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>
        <v>110</v>
      </c>
      <c r="J16" s="35">
        <v>110</v>
      </c>
      <c r="K16" s="36"/>
      <c r="L16" s="34"/>
      <c r="M16" s="35"/>
      <c r="N16" s="37"/>
    </row>
    <row r="17" spans="1:14" s="38" customFormat="1" ht="17.25" customHeight="1">
      <c r="A17" s="39" t="s">
        <v>99</v>
      </c>
      <c r="B17" s="48" t="s">
        <v>100</v>
      </c>
      <c r="C17" s="229"/>
      <c r="D17" s="50"/>
      <c r="E17" s="104"/>
      <c r="F17" s="229"/>
      <c r="G17" s="50"/>
      <c r="H17" s="104"/>
      <c r="I17" s="229"/>
      <c r="J17" s="50"/>
      <c r="K17" s="104"/>
      <c r="L17" s="229"/>
      <c r="M17" s="50"/>
      <c r="N17" s="104"/>
    </row>
    <row r="18" spans="1:14" s="38" customFormat="1" ht="17.25" customHeight="1">
      <c r="A18" s="39" t="s">
        <v>101</v>
      </c>
      <c r="B18" s="48" t="s">
        <v>102</v>
      </c>
      <c r="C18" s="229"/>
      <c r="D18" s="50"/>
      <c r="E18" s="104"/>
      <c r="F18" s="229"/>
      <c r="G18" s="50"/>
      <c r="H18" s="104"/>
      <c r="I18" s="229"/>
      <c r="J18" s="50"/>
      <c r="K18" s="104"/>
      <c r="L18" s="229"/>
      <c r="M18" s="50"/>
      <c r="N18" s="104"/>
    </row>
    <row r="19" spans="1:14" s="38" customFormat="1" ht="17.25" customHeight="1">
      <c r="A19" s="39" t="s">
        <v>103</v>
      </c>
      <c r="B19" s="48" t="s">
        <v>84</v>
      </c>
      <c r="C19" s="229"/>
      <c r="D19" s="50"/>
      <c r="E19" s="104"/>
      <c r="F19" s="229"/>
      <c r="G19" s="50"/>
      <c r="H19" s="104"/>
      <c r="I19" s="229"/>
      <c r="J19" s="50"/>
      <c r="K19" s="104"/>
      <c r="L19" s="229"/>
      <c r="M19" s="50"/>
      <c r="N19" s="104"/>
    </row>
    <row r="20" spans="1:14" s="38" customFormat="1" ht="17.25" customHeight="1">
      <c r="A20" s="230" t="s">
        <v>104</v>
      </c>
      <c r="B20" s="48" t="s">
        <v>105</v>
      </c>
      <c r="C20" s="51"/>
      <c r="D20" s="50"/>
      <c r="E20" s="104"/>
      <c r="F20" s="51"/>
      <c r="G20" s="50"/>
      <c r="H20" s="104"/>
      <c r="I20" s="51"/>
      <c r="J20" s="50"/>
      <c r="K20" s="104"/>
      <c r="L20" s="51"/>
      <c r="M20" s="50"/>
      <c r="N20" s="104"/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4"/>
      <c r="F21" s="51"/>
      <c r="G21" s="50"/>
      <c r="H21" s="104"/>
      <c r="I21" s="51"/>
      <c r="J21" s="50"/>
      <c r="K21" s="104"/>
      <c r="L21" s="51"/>
      <c r="M21" s="50"/>
      <c r="N21" s="104"/>
    </row>
    <row r="22" spans="1:14" s="38" customFormat="1" ht="17.25" customHeight="1">
      <c r="A22" s="230" t="s">
        <v>108</v>
      </c>
      <c r="B22" s="48" t="s">
        <v>109</v>
      </c>
      <c r="C22" s="51"/>
      <c r="D22" s="50"/>
      <c r="E22" s="104"/>
      <c r="F22" s="51"/>
      <c r="G22" s="50"/>
      <c r="H22" s="104"/>
      <c r="I22" s="51"/>
      <c r="J22" s="50"/>
      <c r="K22" s="104"/>
      <c r="L22" s="51"/>
      <c r="M22" s="50"/>
      <c r="N22" s="104"/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>
        <v>504292</v>
      </c>
      <c r="J23" s="44">
        <v>504292</v>
      </c>
      <c r="K23" s="44"/>
      <c r="L23" s="43"/>
      <c r="M23" s="44"/>
      <c r="N23" s="45"/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0</v>
      </c>
      <c r="D24" s="47">
        <f t="shared" si="0"/>
        <v>0</v>
      </c>
      <c r="E24" s="47">
        <f>SUM(E16:E23)</f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504402</v>
      </c>
      <c r="J24" s="47">
        <f t="shared" si="0"/>
        <v>504402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293">
        <f t="shared" si="0"/>
        <v>0</v>
      </c>
    </row>
    <row r="25" spans="1:14" s="38" customFormat="1" ht="17.25" customHeight="1" thickBot="1">
      <c r="A25" s="46">
        <v>6</v>
      </c>
      <c r="B25" s="226" t="s">
        <v>53</v>
      </c>
      <c r="C25" s="47"/>
      <c r="D25" s="69"/>
      <c r="E25" s="227"/>
      <c r="F25" s="47"/>
      <c r="G25" s="69"/>
      <c r="H25" s="227"/>
      <c r="I25" s="47">
        <v>1402078</v>
      </c>
      <c r="J25" s="69">
        <v>1402078</v>
      </c>
      <c r="K25" s="227"/>
      <c r="L25" s="47">
        <v>3239</v>
      </c>
      <c r="M25" s="69">
        <v>3239</v>
      </c>
      <c r="N25" s="227"/>
    </row>
    <row r="26" spans="1:14" s="38" customFormat="1" ht="17.25" customHeight="1" thickBot="1">
      <c r="A26" s="46">
        <v>7</v>
      </c>
      <c r="B26" s="226" t="s">
        <v>56</v>
      </c>
      <c r="C26" s="69"/>
      <c r="D26" s="69"/>
      <c r="E26" s="227"/>
      <c r="F26" s="69"/>
      <c r="G26" s="69"/>
      <c r="H26" s="227"/>
      <c r="I26" s="69">
        <v>72706</v>
      </c>
      <c r="J26" s="69">
        <v>72706</v>
      </c>
      <c r="K26" s="227"/>
      <c r="L26" s="47"/>
      <c r="M26" s="69"/>
      <c r="N26" s="227"/>
    </row>
    <row r="27" spans="1:14" s="38" customFormat="1" ht="17.25" customHeight="1">
      <c r="A27" s="231" t="s">
        <v>97</v>
      </c>
      <c r="B27" s="232" t="s">
        <v>112</v>
      </c>
      <c r="C27" s="233"/>
      <c r="D27" s="234"/>
      <c r="E27" s="235"/>
      <c r="F27" s="233"/>
      <c r="G27" s="234"/>
      <c r="H27" s="235"/>
      <c r="I27" s="233"/>
      <c r="J27" s="234"/>
      <c r="K27" s="235"/>
      <c r="L27" s="233"/>
      <c r="M27" s="234"/>
      <c r="N27" s="235"/>
    </row>
    <row r="28" spans="1:14" s="38" customFormat="1" ht="17.25" customHeight="1">
      <c r="A28" s="39" t="s">
        <v>99</v>
      </c>
      <c r="B28" s="48" t="s">
        <v>113</v>
      </c>
      <c r="C28" s="229"/>
      <c r="D28" s="50"/>
      <c r="E28" s="104"/>
      <c r="F28" s="229"/>
      <c r="G28" s="50"/>
      <c r="H28" s="104"/>
      <c r="I28" s="229"/>
      <c r="J28" s="50"/>
      <c r="K28" s="104"/>
      <c r="L28" s="229"/>
      <c r="M28" s="50"/>
      <c r="N28" s="104"/>
    </row>
    <row r="29" spans="1:14" s="38" customFormat="1" ht="17.25" customHeight="1">
      <c r="A29" s="236" t="s">
        <v>101</v>
      </c>
      <c r="B29" s="237" t="s">
        <v>114</v>
      </c>
      <c r="C29" s="238"/>
      <c r="D29" s="239"/>
      <c r="E29" s="240"/>
      <c r="F29" s="238"/>
      <c r="G29" s="239"/>
      <c r="H29" s="240"/>
      <c r="I29" s="238"/>
      <c r="J29" s="239"/>
      <c r="K29" s="240"/>
      <c r="L29" s="238"/>
      <c r="M29" s="239"/>
      <c r="N29" s="240"/>
    </row>
    <row r="30" spans="1:14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</row>
    <row r="31" spans="1:14" s="38" customFormat="1" ht="17.25" customHeight="1" thickBot="1">
      <c r="A31" s="241" t="s">
        <v>104</v>
      </c>
      <c r="B31" s="242" t="s">
        <v>116</v>
      </c>
      <c r="C31" s="243"/>
      <c r="D31" s="244"/>
      <c r="E31" s="245"/>
      <c r="F31" s="243"/>
      <c r="G31" s="244"/>
      <c r="H31" s="245"/>
      <c r="I31" s="243"/>
      <c r="J31" s="244"/>
      <c r="K31" s="245"/>
      <c r="L31" s="243"/>
      <c r="M31" s="244"/>
      <c r="N31" s="245"/>
    </row>
    <row r="32" spans="1:14" s="246" customFormat="1" ht="17.25" customHeight="1" thickBot="1">
      <c r="A32" s="46">
        <v>8</v>
      </c>
      <c r="B32" s="226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93">
        <f t="shared" si="1"/>
        <v>0</v>
      </c>
    </row>
    <row r="33" spans="1:14" s="38" customFormat="1" ht="17.25" customHeight="1" thickBot="1">
      <c r="A33" s="46">
        <v>9</v>
      </c>
      <c r="B33" s="226" t="s">
        <v>117</v>
      </c>
      <c r="C33" s="47"/>
      <c r="D33" s="69"/>
      <c r="E33" s="227"/>
      <c r="F33" s="47">
        <v>11681</v>
      </c>
      <c r="G33" s="69">
        <v>11681</v>
      </c>
      <c r="H33" s="227"/>
      <c r="I33" s="47"/>
      <c r="J33" s="69"/>
      <c r="K33" s="227"/>
      <c r="L33" s="47"/>
      <c r="M33" s="69"/>
      <c r="N33" s="227"/>
    </row>
    <row r="34" spans="1:14" s="58" customFormat="1" ht="17.25" customHeight="1" thickBot="1">
      <c r="A34" s="53" t="s">
        <v>118</v>
      </c>
      <c r="B34" s="54" t="s">
        <v>147</v>
      </c>
      <c r="C34" s="55">
        <f aca="true" t="shared" si="2" ref="C34:N34">SUM(C12+C13+C14+C15+C24+C25+C26+C32+C33)</f>
        <v>28920</v>
      </c>
      <c r="D34" s="55">
        <f t="shared" si="2"/>
        <v>28920</v>
      </c>
      <c r="E34" s="55">
        <f t="shared" si="2"/>
        <v>0</v>
      </c>
      <c r="F34" s="55">
        <f t="shared" si="2"/>
        <v>11681</v>
      </c>
      <c r="G34" s="55">
        <f t="shared" si="2"/>
        <v>11681</v>
      </c>
      <c r="H34" s="55">
        <f t="shared" si="2"/>
        <v>0</v>
      </c>
      <c r="I34" s="55">
        <f t="shared" si="2"/>
        <v>1994821</v>
      </c>
      <c r="J34" s="55">
        <f t="shared" si="2"/>
        <v>1994821</v>
      </c>
      <c r="K34" s="55">
        <f t="shared" si="2"/>
        <v>0</v>
      </c>
      <c r="L34" s="55">
        <f t="shared" si="2"/>
        <v>3239</v>
      </c>
      <c r="M34" s="55">
        <f t="shared" si="2"/>
        <v>3239</v>
      </c>
      <c r="N34" s="1245">
        <f t="shared" si="2"/>
        <v>0</v>
      </c>
    </row>
    <row r="35" spans="1:14" s="191" customFormat="1" ht="17.25" customHeight="1" thickBot="1" thickTop="1">
      <c r="A35" s="247"/>
      <c r="B35" s="248" t="s">
        <v>120</v>
      </c>
      <c r="C35" s="249"/>
      <c r="D35" s="250"/>
      <c r="E35" s="251"/>
      <c r="F35" s="249"/>
      <c r="G35" s="250"/>
      <c r="H35" s="251"/>
      <c r="I35" s="249"/>
      <c r="J35" s="250"/>
      <c r="K35" s="251"/>
      <c r="L35" s="249"/>
      <c r="M35" s="250"/>
      <c r="N35" s="251"/>
    </row>
    <row r="36" spans="1:14" s="38" customFormat="1" ht="17.25" customHeight="1">
      <c r="A36" s="253" t="s">
        <v>97</v>
      </c>
      <c r="B36" s="254" t="s">
        <v>121</v>
      </c>
      <c r="C36" s="50"/>
      <c r="D36" s="65"/>
      <c r="E36" s="66"/>
      <c r="F36" s="50">
        <v>445892</v>
      </c>
      <c r="G36" s="65">
        <f>445892+777+4432+771+470+3077+550+290</f>
        <v>456259</v>
      </c>
      <c r="H36" s="66"/>
      <c r="I36" s="50"/>
      <c r="J36" s="65"/>
      <c r="K36" s="66"/>
      <c r="L36" s="50"/>
      <c r="M36" s="65"/>
      <c r="N36" s="66"/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40"/>
      <c r="F37" s="50"/>
      <c r="G37" s="50"/>
      <c r="H37" s="240"/>
      <c r="I37" s="50"/>
      <c r="J37" s="50"/>
      <c r="K37" s="240"/>
      <c r="L37" s="50"/>
      <c r="M37" s="50"/>
      <c r="N37" s="240"/>
    </row>
    <row r="38" spans="1:14" s="38" customFormat="1" ht="17.25" customHeight="1">
      <c r="A38" s="39" t="s">
        <v>101</v>
      </c>
      <c r="B38" s="48" t="s">
        <v>122</v>
      </c>
      <c r="C38" s="50"/>
      <c r="D38" s="50"/>
      <c r="E38" s="240"/>
      <c r="F38" s="50"/>
      <c r="G38" s="50"/>
      <c r="H38" s="240"/>
      <c r="I38" s="50"/>
      <c r="J38" s="50"/>
      <c r="K38" s="240"/>
      <c r="L38" s="50"/>
      <c r="M38" s="50"/>
      <c r="N38" s="240"/>
    </row>
    <row r="39" spans="1:14" s="38" customFormat="1" ht="17.25" customHeight="1">
      <c r="A39" s="39" t="s">
        <v>103</v>
      </c>
      <c r="B39" s="48" t="s">
        <v>123</v>
      </c>
      <c r="C39" s="50"/>
      <c r="D39" s="50"/>
      <c r="E39" s="240"/>
      <c r="F39" s="50"/>
      <c r="G39" s="50"/>
      <c r="H39" s="240"/>
      <c r="I39" s="50">
        <v>88413</v>
      </c>
      <c r="J39" s="50">
        <v>88413</v>
      </c>
      <c r="K39" s="240"/>
      <c r="L39" s="50"/>
      <c r="M39" s="50"/>
      <c r="N39" s="240"/>
    </row>
    <row r="40" spans="1:14" s="63" customFormat="1" ht="17.25" customHeight="1">
      <c r="A40" s="255">
        <v>1</v>
      </c>
      <c r="B40" s="256" t="s">
        <v>124</v>
      </c>
      <c r="C40" s="257">
        <f aca="true" t="shared" si="3" ref="C40:N40">SUM(C36:C39)</f>
        <v>0</v>
      </c>
      <c r="D40" s="257">
        <f t="shared" si="3"/>
        <v>0</v>
      </c>
      <c r="E40" s="257">
        <f t="shared" si="3"/>
        <v>0</v>
      </c>
      <c r="F40" s="257">
        <f t="shared" si="3"/>
        <v>445892</v>
      </c>
      <c r="G40" s="257">
        <f t="shared" si="3"/>
        <v>456259</v>
      </c>
      <c r="H40" s="257">
        <f t="shared" si="3"/>
        <v>0</v>
      </c>
      <c r="I40" s="257">
        <f t="shared" si="3"/>
        <v>88413</v>
      </c>
      <c r="J40" s="257">
        <f t="shared" si="3"/>
        <v>88413</v>
      </c>
      <c r="K40" s="257">
        <f t="shared" si="3"/>
        <v>0</v>
      </c>
      <c r="L40" s="257">
        <f t="shared" si="3"/>
        <v>0</v>
      </c>
      <c r="M40" s="257">
        <f t="shared" si="3"/>
        <v>0</v>
      </c>
      <c r="N40" s="298">
        <f t="shared" si="3"/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40"/>
      <c r="F41" s="50"/>
      <c r="G41" s="50"/>
      <c r="H41" s="240"/>
      <c r="I41" s="50"/>
      <c r="J41" s="50"/>
      <c r="K41" s="240"/>
      <c r="L41" s="50"/>
      <c r="M41" s="50"/>
      <c r="N41" s="240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40"/>
      <c r="F42" s="50">
        <v>208000</v>
      </c>
      <c r="G42" s="50">
        <v>208000</v>
      </c>
      <c r="H42" s="240"/>
      <c r="I42" s="50"/>
      <c r="J42" s="50"/>
      <c r="K42" s="240"/>
      <c r="L42" s="50"/>
      <c r="M42" s="50"/>
      <c r="N42" s="240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40"/>
      <c r="F43" s="50">
        <v>870000</v>
      </c>
      <c r="G43" s="50">
        <v>870000</v>
      </c>
      <c r="H43" s="240"/>
      <c r="I43" s="50"/>
      <c r="J43" s="50"/>
      <c r="K43" s="240"/>
      <c r="L43" s="50"/>
      <c r="M43" s="50"/>
      <c r="N43" s="240"/>
    </row>
    <row r="44" spans="1:14" s="38" customFormat="1" ht="17.25" customHeight="1">
      <c r="A44" s="39" t="s">
        <v>103</v>
      </c>
      <c r="B44" s="48" t="s">
        <v>128</v>
      </c>
      <c r="C44" s="229"/>
      <c r="D44" s="50"/>
      <c r="E44" s="240"/>
      <c r="F44" s="229">
        <v>3000</v>
      </c>
      <c r="G44" s="229">
        <v>3000</v>
      </c>
      <c r="H44" s="240"/>
      <c r="I44" s="229"/>
      <c r="J44" s="50"/>
      <c r="K44" s="240"/>
      <c r="L44" s="50"/>
      <c r="M44" s="50"/>
      <c r="N44" s="240"/>
    </row>
    <row r="45" spans="1:14" s="63" customFormat="1" ht="17.25" customHeight="1">
      <c r="A45" s="255">
        <v>2</v>
      </c>
      <c r="B45" s="256" t="s">
        <v>129</v>
      </c>
      <c r="C45" s="258">
        <f aca="true" t="shared" si="4" ref="C45:N45">SUM(C41:C44)</f>
        <v>0</v>
      </c>
      <c r="D45" s="258">
        <f t="shared" si="4"/>
        <v>0</v>
      </c>
      <c r="E45" s="258">
        <f t="shared" si="4"/>
        <v>0</v>
      </c>
      <c r="F45" s="258">
        <f t="shared" si="4"/>
        <v>1081000</v>
      </c>
      <c r="G45" s="258">
        <f t="shared" si="4"/>
        <v>1081000</v>
      </c>
      <c r="H45" s="258">
        <f t="shared" si="4"/>
        <v>0</v>
      </c>
      <c r="I45" s="258">
        <f t="shared" si="4"/>
        <v>0</v>
      </c>
      <c r="J45" s="258">
        <f t="shared" si="4"/>
        <v>0</v>
      </c>
      <c r="K45" s="258">
        <f t="shared" si="4"/>
        <v>0</v>
      </c>
      <c r="L45" s="258">
        <f t="shared" si="4"/>
        <v>0</v>
      </c>
      <c r="M45" s="258">
        <f t="shared" si="4"/>
        <v>0</v>
      </c>
      <c r="N45" s="1246">
        <f t="shared" si="4"/>
        <v>0</v>
      </c>
    </row>
    <row r="46" spans="1:14" s="63" customFormat="1" ht="17.25" customHeight="1">
      <c r="A46" s="255">
        <v>3</v>
      </c>
      <c r="B46" s="256" t="s">
        <v>34</v>
      </c>
      <c r="C46" s="258"/>
      <c r="D46" s="257"/>
      <c r="E46" s="259"/>
      <c r="F46" s="258"/>
      <c r="G46" s="257"/>
      <c r="H46" s="259"/>
      <c r="I46" s="258"/>
      <c r="J46" s="257"/>
      <c r="K46" s="259"/>
      <c r="L46" s="257"/>
      <c r="M46" s="257"/>
      <c r="N46" s="259"/>
    </row>
    <row r="47" spans="1:14" s="63" customFormat="1" ht="17.25" customHeight="1">
      <c r="A47" s="255">
        <v>4</v>
      </c>
      <c r="B47" s="256" t="s">
        <v>45</v>
      </c>
      <c r="C47" s="258"/>
      <c r="D47" s="257"/>
      <c r="E47" s="259"/>
      <c r="F47" s="258"/>
      <c r="G47" s="257"/>
      <c r="H47" s="259"/>
      <c r="I47" s="258"/>
      <c r="J47" s="257"/>
      <c r="K47" s="259"/>
      <c r="L47" s="257"/>
      <c r="M47" s="257"/>
      <c r="N47" s="259"/>
    </row>
    <row r="48" spans="1:14" s="38" customFormat="1" ht="17.25" customHeight="1">
      <c r="A48" s="39" t="s">
        <v>97</v>
      </c>
      <c r="B48" s="48" t="s">
        <v>130</v>
      </c>
      <c r="C48" s="229"/>
      <c r="D48" s="51"/>
      <c r="E48" s="260"/>
      <c r="F48" s="229"/>
      <c r="G48" s="51"/>
      <c r="H48" s="260"/>
      <c r="I48" s="229">
        <v>253546</v>
      </c>
      <c r="J48" s="51">
        <v>253546</v>
      </c>
      <c r="K48" s="260"/>
      <c r="L48" s="50"/>
      <c r="M48" s="51"/>
      <c r="N48" s="260"/>
    </row>
    <row r="49" spans="1:14" s="38" customFormat="1" ht="17.25" customHeight="1">
      <c r="A49" s="39" t="s">
        <v>99</v>
      </c>
      <c r="B49" s="48" t="s">
        <v>131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61"/>
    </row>
    <row r="50" spans="1:14" s="38" customFormat="1" ht="17.25" customHeight="1">
      <c r="A50" s="236" t="s">
        <v>101</v>
      </c>
      <c r="B50" s="237" t="s">
        <v>132</v>
      </c>
      <c r="C50" s="238"/>
      <c r="D50" s="263"/>
      <c r="E50" s="264"/>
      <c r="F50" s="238"/>
      <c r="G50" s="263"/>
      <c r="H50" s="264"/>
      <c r="I50" s="238"/>
      <c r="J50" s="263"/>
      <c r="K50" s="264"/>
      <c r="L50" s="238"/>
      <c r="M50" s="263"/>
      <c r="N50" s="260"/>
    </row>
    <row r="51" spans="1:14" s="63" customFormat="1" ht="17.25" customHeight="1">
      <c r="A51" s="265">
        <v>5</v>
      </c>
      <c r="B51" s="266" t="s">
        <v>133</v>
      </c>
      <c r="C51" s="267">
        <f aca="true" t="shared" si="5" ref="C51:N51">SUM(C48:C50)</f>
        <v>0</v>
      </c>
      <c r="D51" s="267">
        <f t="shared" si="5"/>
        <v>0</v>
      </c>
      <c r="E51" s="267">
        <f t="shared" si="5"/>
        <v>0</v>
      </c>
      <c r="F51" s="267">
        <f t="shared" si="5"/>
        <v>0</v>
      </c>
      <c r="G51" s="267">
        <f t="shared" si="5"/>
        <v>0</v>
      </c>
      <c r="H51" s="267">
        <f t="shared" si="5"/>
        <v>0</v>
      </c>
      <c r="I51" s="267">
        <f t="shared" si="5"/>
        <v>253546</v>
      </c>
      <c r="J51" s="267">
        <f t="shared" si="5"/>
        <v>253546</v>
      </c>
      <c r="K51" s="267">
        <f t="shared" si="5"/>
        <v>0</v>
      </c>
      <c r="L51" s="267">
        <f t="shared" si="5"/>
        <v>0</v>
      </c>
      <c r="M51" s="267">
        <f t="shared" si="5"/>
        <v>0</v>
      </c>
      <c r="N51" s="1247">
        <f t="shared" si="5"/>
        <v>0</v>
      </c>
    </row>
    <row r="52" spans="1:14" s="63" customFormat="1" ht="17.25" customHeight="1">
      <c r="A52" s="265">
        <v>6</v>
      </c>
      <c r="B52" s="266" t="s">
        <v>63</v>
      </c>
      <c r="C52" s="267"/>
      <c r="D52" s="269"/>
      <c r="E52" s="270"/>
      <c r="F52" s="267"/>
      <c r="G52" s="269"/>
      <c r="H52" s="270"/>
      <c r="I52" s="267"/>
      <c r="J52" s="269"/>
      <c r="K52" s="270"/>
      <c r="L52" s="267"/>
      <c r="M52" s="269"/>
      <c r="N52" s="271"/>
    </row>
    <row r="53" spans="1:14" s="38" customFormat="1" ht="17.25" customHeight="1">
      <c r="A53" s="236" t="s">
        <v>97</v>
      </c>
      <c r="B53" s="237" t="s">
        <v>134</v>
      </c>
      <c r="C53" s="238"/>
      <c r="D53" s="263"/>
      <c r="E53" s="264"/>
      <c r="F53" s="238"/>
      <c r="G53" s="263"/>
      <c r="H53" s="264"/>
      <c r="I53" s="238"/>
      <c r="J53" s="263"/>
      <c r="K53" s="264"/>
      <c r="L53" s="238"/>
      <c r="M53" s="263"/>
      <c r="N53" s="260"/>
    </row>
    <row r="54" spans="1:14" s="38" customFormat="1" ht="17.25" customHeight="1">
      <c r="A54" s="236" t="s">
        <v>99</v>
      </c>
      <c r="B54" s="237" t="s">
        <v>135</v>
      </c>
      <c r="C54" s="238"/>
      <c r="D54" s="263"/>
      <c r="E54" s="264"/>
      <c r="F54" s="238"/>
      <c r="G54" s="263"/>
      <c r="H54" s="264"/>
      <c r="I54" s="238"/>
      <c r="J54" s="263"/>
      <c r="K54" s="264"/>
      <c r="L54" s="238"/>
      <c r="M54" s="263"/>
      <c r="N54" s="260"/>
    </row>
    <row r="55" spans="1:14" s="63" customFormat="1" ht="17.25" customHeight="1">
      <c r="A55" s="265">
        <v>7</v>
      </c>
      <c r="B55" s="266" t="s">
        <v>136</v>
      </c>
      <c r="C55" s="267">
        <f aca="true" t="shared" si="6" ref="C55:N55">SUM(C53:C54)</f>
        <v>0</v>
      </c>
      <c r="D55" s="267">
        <f t="shared" si="6"/>
        <v>0</v>
      </c>
      <c r="E55" s="267">
        <f t="shared" si="6"/>
        <v>0</v>
      </c>
      <c r="F55" s="267">
        <f t="shared" si="6"/>
        <v>0</v>
      </c>
      <c r="G55" s="267">
        <f t="shared" si="6"/>
        <v>0</v>
      </c>
      <c r="H55" s="267">
        <f t="shared" si="6"/>
        <v>0</v>
      </c>
      <c r="I55" s="267">
        <f t="shared" si="6"/>
        <v>0</v>
      </c>
      <c r="J55" s="267">
        <f t="shared" si="6"/>
        <v>0</v>
      </c>
      <c r="K55" s="267">
        <f t="shared" si="6"/>
        <v>0</v>
      </c>
      <c r="L55" s="267">
        <f t="shared" si="6"/>
        <v>0</v>
      </c>
      <c r="M55" s="267">
        <f t="shared" si="6"/>
        <v>0</v>
      </c>
      <c r="N55" s="1247">
        <f t="shared" si="6"/>
        <v>0</v>
      </c>
    </row>
    <row r="56" spans="1:14" s="38" customFormat="1" ht="17.25" customHeight="1">
      <c r="A56" s="236">
        <v>8</v>
      </c>
      <c r="B56" s="237" t="s">
        <v>137</v>
      </c>
      <c r="C56" s="238">
        <f aca="true" t="shared" si="7" ref="C56:N56">SUM(C34-C40-C45-C46-C47-C51-C52-C55-C57-C58)</f>
        <v>28920</v>
      </c>
      <c r="D56" s="238">
        <f t="shared" si="7"/>
        <v>28920</v>
      </c>
      <c r="E56" s="238">
        <f t="shared" si="7"/>
        <v>0</v>
      </c>
      <c r="F56" s="238">
        <f t="shared" si="7"/>
        <v>-1515211</v>
      </c>
      <c r="G56" s="238">
        <f t="shared" si="7"/>
        <v>-1525578</v>
      </c>
      <c r="H56" s="238">
        <f t="shared" si="7"/>
        <v>0</v>
      </c>
      <c r="I56" s="238">
        <f t="shared" si="7"/>
        <v>400417</v>
      </c>
      <c r="J56" s="238">
        <f t="shared" si="7"/>
        <v>400417</v>
      </c>
      <c r="K56" s="238">
        <f t="shared" si="7"/>
        <v>0</v>
      </c>
      <c r="L56" s="238">
        <f t="shared" si="7"/>
        <v>3239</v>
      </c>
      <c r="M56" s="238">
        <f t="shared" si="7"/>
        <v>3239</v>
      </c>
      <c r="N56" s="272">
        <f t="shared" si="7"/>
        <v>0</v>
      </c>
    </row>
    <row r="57" spans="1:14" s="63" customFormat="1" ht="17.25" customHeight="1">
      <c r="A57" s="265" t="s">
        <v>138</v>
      </c>
      <c r="B57" s="266" t="s">
        <v>139</v>
      </c>
      <c r="C57" s="267"/>
      <c r="D57" s="269"/>
      <c r="E57" s="270"/>
      <c r="F57" s="267"/>
      <c r="G57" s="269"/>
      <c r="H57" s="270"/>
      <c r="I57" s="267">
        <v>1252445</v>
      </c>
      <c r="J57" s="269">
        <v>1252445</v>
      </c>
      <c r="K57" s="270"/>
      <c r="L57" s="267"/>
      <c r="M57" s="269"/>
      <c r="N57" s="271"/>
    </row>
    <row r="58" spans="1:14" s="63" customFormat="1" ht="17.25" customHeight="1" thickBot="1">
      <c r="A58" s="59" t="s">
        <v>140</v>
      </c>
      <c r="B58" s="60" t="s">
        <v>141</v>
      </c>
      <c r="C58" s="273"/>
      <c r="D58" s="274"/>
      <c r="E58" s="275"/>
      <c r="F58" s="273"/>
      <c r="G58" s="274"/>
      <c r="H58" s="275"/>
      <c r="I58" s="273"/>
      <c r="J58" s="274"/>
      <c r="K58" s="275"/>
      <c r="L58" s="273"/>
      <c r="M58" s="274"/>
      <c r="N58" s="275"/>
    </row>
    <row r="59" spans="1:14" s="63" customFormat="1" ht="17.25" customHeight="1" thickBot="1" thickTop="1">
      <c r="A59" s="59" t="s">
        <v>142</v>
      </c>
      <c r="B59" s="60" t="s">
        <v>148</v>
      </c>
      <c r="C59" s="61">
        <f aca="true" t="shared" si="8" ref="C59:N59">SUM(C40+C45+C46+C47+C51+C52+C55+C56+C57+C58)</f>
        <v>28920</v>
      </c>
      <c r="D59" s="61">
        <f t="shared" si="8"/>
        <v>28920</v>
      </c>
      <c r="E59" s="61">
        <f t="shared" si="8"/>
        <v>0</v>
      </c>
      <c r="F59" s="61">
        <f t="shared" si="8"/>
        <v>11681</v>
      </c>
      <c r="G59" s="61">
        <f t="shared" si="8"/>
        <v>11681</v>
      </c>
      <c r="H59" s="61">
        <f t="shared" si="8"/>
        <v>0</v>
      </c>
      <c r="I59" s="61">
        <f t="shared" si="8"/>
        <v>1994821</v>
      </c>
      <c r="J59" s="61">
        <f t="shared" si="8"/>
        <v>1994821</v>
      </c>
      <c r="K59" s="61">
        <f t="shared" si="8"/>
        <v>0</v>
      </c>
      <c r="L59" s="61">
        <f t="shared" si="8"/>
        <v>3239</v>
      </c>
      <c r="M59" s="61">
        <f t="shared" si="8"/>
        <v>3239</v>
      </c>
      <c r="N59" s="62">
        <f t="shared" si="8"/>
        <v>0</v>
      </c>
    </row>
    <row r="60" spans="1:14" s="191" customFormat="1" ht="17.25" customHeight="1" thickBot="1" thickTop="1">
      <c r="A60" s="1248"/>
      <c r="B60" s="276"/>
      <c r="C60" s="277"/>
      <c r="D60" s="277"/>
      <c r="E60" s="278"/>
      <c r="F60" s="277"/>
      <c r="G60" s="277"/>
      <c r="H60" s="278"/>
      <c r="I60" s="277"/>
      <c r="J60" s="277"/>
      <c r="K60" s="278"/>
      <c r="L60" s="277"/>
      <c r="M60" s="277"/>
      <c r="N60" s="279"/>
    </row>
    <row r="61" spans="1:14" s="38" customFormat="1" ht="17.25" customHeight="1" thickBot="1" thickTop="1">
      <c r="A61" s="280"/>
      <c r="B61" s="281" t="s">
        <v>427</v>
      </c>
      <c r="C61" s="282"/>
      <c r="D61" s="283"/>
      <c r="E61" s="284"/>
      <c r="F61" s="282"/>
      <c r="G61" s="283"/>
      <c r="H61" s="284"/>
      <c r="I61" s="282"/>
      <c r="J61" s="283"/>
      <c r="K61" s="285"/>
      <c r="L61" s="282">
        <f>SUM(I61+F61+C61)</f>
        <v>0</v>
      </c>
      <c r="M61" s="283"/>
      <c r="N61" s="284"/>
    </row>
    <row r="62" spans="1:14" s="38" customFormat="1" ht="17.25" customHeight="1" thickBot="1" thickTop="1">
      <c r="A62" s="247"/>
      <c r="B62" s="1249" t="s">
        <v>144</v>
      </c>
      <c r="C62" s="1250"/>
      <c r="D62" s="1251"/>
      <c r="E62" s="1252"/>
      <c r="F62" s="1250"/>
      <c r="G62" s="1251"/>
      <c r="H62" s="1252"/>
      <c r="I62" s="1250"/>
      <c r="J62" s="1251"/>
      <c r="K62" s="1253"/>
      <c r="L62" s="1250">
        <f>SUM(I62+F62+C62)</f>
        <v>0</v>
      </c>
      <c r="M62" s="1251"/>
      <c r="N62" s="1254"/>
    </row>
    <row r="63" ht="15.75">
      <c r="A63" s="286"/>
    </row>
    <row r="64" spans="3:8" ht="12.75">
      <c r="C64" s="72"/>
      <c r="H64" s="288"/>
    </row>
    <row r="66" spans="3:9" ht="12.75">
      <c r="C66" s="72"/>
      <c r="I66" s="72"/>
    </row>
    <row r="67" spans="7:11" ht="12.75">
      <c r="G67" s="72"/>
      <c r="K67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31496062992125984" right="0.2362204724409449" top="0.3937007874015748" bottom="0.07874015748031496" header="0.5118110236220472" footer="0.5118110236220472"/>
  <pageSetup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77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1103" customWidth="1"/>
    <col min="2" max="2" width="89.625" style="978" customWidth="1"/>
    <col min="3" max="17" width="16.875" style="978" customWidth="1"/>
    <col min="18" max="18" width="20.50390625" style="977" customWidth="1"/>
    <col min="19" max="19" width="13.375" style="978" customWidth="1"/>
    <col min="20" max="20" width="9.375" style="978" customWidth="1"/>
    <col min="21" max="21" width="10.375" style="978" bestFit="1" customWidth="1"/>
    <col min="22" max="16384" width="9.375" style="978" customWidth="1"/>
  </cols>
  <sheetData>
    <row r="1" spans="1:17" ht="30.75" customHeight="1">
      <c r="A1" s="974"/>
      <c r="B1" s="26" t="s">
        <v>727</v>
      </c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</row>
    <row r="2" spans="1:17" ht="18.75">
      <c r="A2" s="974"/>
      <c r="B2" s="975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</row>
    <row r="3" spans="1:17" ht="18.75">
      <c r="A3" s="974"/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</row>
    <row r="4" spans="1:17" ht="22.5" customHeight="1">
      <c r="A4" s="1851" t="s">
        <v>292</v>
      </c>
      <c r="B4" s="1851"/>
      <c r="C4" s="1851"/>
      <c r="D4" s="1851"/>
      <c r="E4" s="1851"/>
      <c r="F4" s="1851"/>
      <c r="G4" s="1851"/>
      <c r="H4" s="1851"/>
      <c r="I4" s="1851"/>
      <c r="J4" s="1851"/>
      <c r="K4" s="1851"/>
      <c r="L4" s="1851"/>
      <c r="M4" s="1851"/>
      <c r="N4" s="1851"/>
      <c r="O4" s="1851"/>
      <c r="P4" s="1851"/>
      <c r="Q4" s="1851"/>
    </row>
    <row r="5" spans="1:17" ht="21.75" customHeight="1">
      <c r="A5" s="1852" t="s">
        <v>578</v>
      </c>
      <c r="B5" s="1853"/>
      <c r="C5" s="1853"/>
      <c r="D5" s="1853"/>
      <c r="E5" s="1853"/>
      <c r="F5" s="1853"/>
      <c r="G5" s="1853"/>
      <c r="H5" s="1853"/>
      <c r="I5" s="1853"/>
      <c r="J5" s="1853"/>
      <c r="K5" s="1853"/>
      <c r="L5" s="1853"/>
      <c r="M5" s="1853"/>
      <c r="N5" s="1853"/>
      <c r="O5" s="1853"/>
      <c r="P5" s="1853"/>
      <c r="Q5" s="1853"/>
    </row>
    <row r="6" spans="1:17" ht="19.5" thickBot="1">
      <c r="A6" s="979"/>
      <c r="B6" s="980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81" t="s">
        <v>1</v>
      </c>
    </row>
    <row r="7" spans="1:18" s="984" customFormat="1" ht="28.5" customHeight="1" thickBot="1">
      <c r="A7" s="982" t="s">
        <v>118</v>
      </c>
      <c r="B7" s="982" t="s">
        <v>142</v>
      </c>
      <c r="C7" s="1858" t="s">
        <v>363</v>
      </c>
      <c r="D7" s="1859"/>
      <c r="E7" s="1860"/>
      <c r="F7" s="1848" t="s">
        <v>364</v>
      </c>
      <c r="G7" s="1849"/>
      <c r="H7" s="1850"/>
      <c r="I7" s="1848" t="s">
        <v>371</v>
      </c>
      <c r="J7" s="1849"/>
      <c r="K7" s="1850"/>
      <c r="L7" s="1848" t="s">
        <v>366</v>
      </c>
      <c r="M7" s="1849"/>
      <c r="N7" s="1850"/>
      <c r="O7" s="1848" t="s">
        <v>367</v>
      </c>
      <c r="P7" s="1849"/>
      <c r="Q7" s="1850"/>
      <c r="R7" s="983"/>
    </row>
    <row r="8" spans="1:17" ht="24" customHeight="1">
      <c r="A8" s="985" t="s">
        <v>87</v>
      </c>
      <c r="B8" s="986" t="s">
        <v>88</v>
      </c>
      <c r="C8" s="1854" t="s">
        <v>167</v>
      </c>
      <c r="D8" s="1854"/>
      <c r="E8" s="1854"/>
      <c r="F8" s="1855" t="s">
        <v>168</v>
      </c>
      <c r="G8" s="1855"/>
      <c r="H8" s="1855"/>
      <c r="I8" s="1856" t="s">
        <v>169</v>
      </c>
      <c r="J8" s="1856"/>
      <c r="K8" s="1856"/>
      <c r="L8" s="1855" t="s">
        <v>170</v>
      </c>
      <c r="M8" s="1855"/>
      <c r="N8" s="1855"/>
      <c r="O8" s="1857" t="s">
        <v>152</v>
      </c>
      <c r="P8" s="1857"/>
      <c r="Q8" s="1857"/>
    </row>
    <row r="9" spans="1:18" s="993" customFormat="1" ht="37.5" customHeight="1" thickBot="1">
      <c r="A9" s="987" t="s">
        <v>90</v>
      </c>
      <c r="B9" s="988" t="s">
        <v>91</v>
      </c>
      <c r="C9" s="989" t="s">
        <v>92</v>
      </c>
      <c r="D9" s="990" t="s">
        <v>93</v>
      </c>
      <c r="E9" s="991" t="s">
        <v>94</v>
      </c>
      <c r="F9" s="989" t="s">
        <v>92</v>
      </c>
      <c r="G9" s="990" t="s">
        <v>93</v>
      </c>
      <c r="H9" s="991" t="s">
        <v>94</v>
      </c>
      <c r="I9" s="989" t="s">
        <v>92</v>
      </c>
      <c r="J9" s="990" t="s">
        <v>93</v>
      </c>
      <c r="K9" s="991" t="s">
        <v>94</v>
      </c>
      <c r="L9" s="989" t="s">
        <v>92</v>
      </c>
      <c r="M9" s="990" t="s">
        <v>93</v>
      </c>
      <c r="N9" s="991" t="s">
        <v>94</v>
      </c>
      <c r="O9" s="989" t="s">
        <v>92</v>
      </c>
      <c r="P9" s="990" t="s">
        <v>93</v>
      </c>
      <c r="Q9" s="991" t="s">
        <v>94</v>
      </c>
      <c r="R9" s="992"/>
    </row>
    <row r="10" spans="1:18" s="1001" customFormat="1" ht="19.5" thickBot="1">
      <c r="A10" s="994">
        <v>1</v>
      </c>
      <c r="B10" s="995">
        <v>2</v>
      </c>
      <c r="C10" s="996">
        <v>3</v>
      </c>
      <c r="D10" s="997">
        <v>4</v>
      </c>
      <c r="E10" s="998">
        <v>5</v>
      </c>
      <c r="F10" s="999"/>
      <c r="G10" s="999"/>
      <c r="H10" s="999"/>
      <c r="I10" s="996">
        <v>3</v>
      </c>
      <c r="J10" s="997">
        <v>4</v>
      </c>
      <c r="K10" s="998">
        <v>5</v>
      </c>
      <c r="L10" s="996">
        <v>3</v>
      </c>
      <c r="M10" s="997">
        <v>4</v>
      </c>
      <c r="N10" s="998">
        <v>5</v>
      </c>
      <c r="O10" s="996">
        <v>3</v>
      </c>
      <c r="P10" s="997">
        <v>4</v>
      </c>
      <c r="Q10" s="998">
        <v>5</v>
      </c>
      <c r="R10" s="1000"/>
    </row>
    <row r="11" spans="1:18" s="993" customFormat="1" ht="19.5" thickBot="1">
      <c r="A11" s="1002"/>
      <c r="B11" s="1003" t="s">
        <v>95</v>
      </c>
      <c r="C11" s="1004"/>
      <c r="D11" s="1005"/>
      <c r="E11" s="1006"/>
      <c r="F11" s="1007"/>
      <c r="G11" s="1007"/>
      <c r="H11" s="1007"/>
      <c r="I11" s="1004"/>
      <c r="J11" s="1005"/>
      <c r="K11" s="1006"/>
      <c r="L11" s="1004"/>
      <c r="M11" s="1005"/>
      <c r="N11" s="1006"/>
      <c r="O11" s="1004"/>
      <c r="P11" s="1005"/>
      <c r="Q11" s="1006"/>
      <c r="R11" s="992"/>
    </row>
    <row r="12" spans="1:19" s="1014" customFormat="1" ht="17.25" customHeight="1" thickBot="1">
      <c r="A12" s="1008">
        <v>1</v>
      </c>
      <c r="B12" s="1009" t="s">
        <v>8</v>
      </c>
      <c r="C12" s="1010"/>
      <c r="D12" s="1010"/>
      <c r="E12" s="1011"/>
      <c r="F12" s="1012">
        <f>SUM('20_Bicske Város Önkor 1'!C12+'20_Bicske Város Önkor 1'!F12+'20_Bicske Város Önkor 1'!I12+'20_Bicske Város Önkor 1'!L12+'21_Bicske Város Önkor 2'!C12+'21_Bicske Város Önkor 2'!F12+'21_Bicske Város Önkor 2'!I12+'21_Bicske Város Önkor 2'!L12+'22_Bicske Város Önkor 3'!C12+'22_Bicske Város Önkor 3'!F12+'22_Bicske Város Önkor 3'!I12+'22_Bicske Város Önkor 3'!L12+'23_Bicske Város Önkor 4'!C12+'23_Bicske Város Önkor 4'!F12+'23_Bicske Város Önkor 4'!I12+'23_Bicske Város Önkor 4'!L12+'24_Bicske Város Önkor 5'!C12)</f>
        <v>71355</v>
      </c>
      <c r="G12" s="1012">
        <f>SUM('20_Bicske Város Önkor 1'!D12+'20_Bicske Város Önkor 1'!G12+'20_Bicske Város Önkor 1'!J12+'20_Bicske Város Önkor 1'!M12+'21_Bicske Város Önkor 2'!D12+'21_Bicske Város Önkor 2'!G12+'21_Bicske Város Önkor 2'!J12+'21_Bicske Város Önkor 2'!M12+'22_Bicske Város Önkor 3'!D12+'22_Bicske Város Önkor 3'!G12+'22_Bicske Város Önkor 3'!J12+'22_Bicske Város Önkor 3'!M12+'23_Bicske Város Önkor 4'!D12+'23_Bicske Város Önkor 4'!G12+'23_Bicske Város Önkor 4'!J12+'23_Bicske Város Önkor 4'!M12+'24_Bicske Város Önkor 5'!D12)</f>
        <v>75244</v>
      </c>
      <c r="H12" s="1012"/>
      <c r="I12" s="1010">
        <f>SUM('19_Polgármesteri H.l'!L12)</f>
        <v>271616</v>
      </c>
      <c r="J12" s="1010">
        <f>SUM('19_Polgármesteri H.l'!M12)</f>
        <v>274582</v>
      </c>
      <c r="K12" s="1011"/>
      <c r="L12" s="1010">
        <f>SUM('17_Bicskei Egy Műv. Közp, '!R12+'18_Kapcsolat Központ'!O12+'18_Kapcsolat Központ'!R12)</f>
        <v>673062</v>
      </c>
      <c r="M12" s="1010">
        <f>SUM('17_Bicskei Egy Műv. Közp, '!S12+'18_Kapcsolat Központ'!P12+'18_Kapcsolat Központ'!S12)</f>
        <v>698735</v>
      </c>
      <c r="N12" s="1010">
        <f>SUM('17_Bicskei Egy Műv. Közp, '!T12+'18_Kapcsolat Központ'!Q12)</f>
        <v>0</v>
      </c>
      <c r="O12" s="1010">
        <f aca="true" t="shared" si="0" ref="O12:P32">SUM(F12+I12+L12)</f>
        <v>1016033</v>
      </c>
      <c r="P12" s="1010">
        <f>SUM(G12+J12+M12)</f>
        <v>1048561</v>
      </c>
      <c r="Q12" s="1011">
        <f>SUM(H12+K12+N12)</f>
        <v>0</v>
      </c>
      <c r="R12" s="1013"/>
      <c r="S12" s="1091"/>
    </row>
    <row r="13" spans="1:19" s="1014" customFormat="1" ht="17.25" customHeight="1" thickBot="1">
      <c r="A13" s="1008">
        <v>2</v>
      </c>
      <c r="B13" s="1015" t="s">
        <v>96</v>
      </c>
      <c r="C13" s="1010"/>
      <c r="D13" s="1010"/>
      <c r="E13" s="1011"/>
      <c r="F13" s="1012">
        <f>SUM('20_Bicske Város Önkor 1'!C13+'20_Bicske Város Önkor 1'!F13+'20_Bicske Város Önkor 1'!I13+'20_Bicske Város Önkor 1'!L13+'21_Bicske Város Önkor 2'!C13+'21_Bicske Város Önkor 2'!F13+'21_Bicske Város Önkor 2'!I13+'21_Bicske Város Önkor 2'!L13+'22_Bicske Város Önkor 3'!C13+'22_Bicske Város Önkor 3'!F13+'22_Bicske Város Önkor 3'!I13+'22_Bicske Város Önkor 3'!L13+'23_Bicske Város Önkor 4'!C13+'23_Bicske Város Önkor 4'!F13+'23_Bicske Város Önkor 4'!I13+'23_Bicske Város Önkor 4'!L13+'24_Bicske Város Önkor 5'!C13)</f>
        <v>16260</v>
      </c>
      <c r="G13" s="1012">
        <f>SUM('20_Bicske Város Önkor 1'!D13+'20_Bicske Város Önkor 1'!G13+'20_Bicske Város Önkor 1'!J13+'20_Bicske Város Önkor 1'!M13+'21_Bicske Város Önkor 2'!D13+'21_Bicske Város Önkor 2'!G13+'21_Bicske Város Önkor 2'!J13+'21_Bicske Város Önkor 2'!M13+'22_Bicske Város Önkor 3'!D13+'22_Bicske Város Önkor 3'!G13+'22_Bicske Város Önkor 3'!J13+'22_Bicske Város Önkor 3'!M13+'23_Bicske Város Önkor 4'!D13+'23_Bicske Város Önkor 4'!G13+'23_Bicske Város Önkor 4'!J13+'23_Bicske Város Önkor 4'!M13+'24_Bicske Város Önkor 5'!D13)</f>
        <v>17312</v>
      </c>
      <c r="H13" s="1012"/>
      <c r="I13" s="1010">
        <f>SUM('19_Polgármesteri H.l'!L13)</f>
        <v>56318</v>
      </c>
      <c r="J13" s="1010">
        <f>SUM('19_Polgármesteri H.l'!M13)</f>
        <v>56917</v>
      </c>
      <c r="K13" s="1011"/>
      <c r="L13" s="1010">
        <f>SUM('17_Bicskei Egy Műv. Közp, '!R13+'18_Kapcsolat Központ'!O13+'18_Kapcsolat Központ'!R13)</f>
        <v>132303</v>
      </c>
      <c r="M13" s="1016">
        <f>SUM('17_Bicskei Egy Műv. Közp, '!S13+'18_Kapcsolat Központ'!P13+'18_Kapcsolat Központ'!S13)</f>
        <v>137323</v>
      </c>
      <c r="N13" s="1010">
        <f>SUM('17_Bicskei Egy Műv. Közp, '!T13+'18_Kapcsolat Központ'!Q13)</f>
        <v>0</v>
      </c>
      <c r="O13" s="1010">
        <f t="shared" si="0"/>
        <v>204881</v>
      </c>
      <c r="P13" s="1010">
        <f aca="true" t="shared" si="1" ref="P13:P23">SUM(G13+J13+M13)</f>
        <v>211552</v>
      </c>
      <c r="Q13" s="1011">
        <f>SUM(H13+K13+N13)</f>
        <v>0</v>
      </c>
      <c r="R13" s="1013"/>
      <c r="S13" s="1091"/>
    </row>
    <row r="14" spans="1:19" s="1018" customFormat="1" ht="17.25" customHeight="1" thickBot="1">
      <c r="A14" s="1008">
        <v>3</v>
      </c>
      <c r="B14" s="1009" t="s">
        <v>15</v>
      </c>
      <c r="C14" s="1010"/>
      <c r="D14" s="1010"/>
      <c r="E14" s="1011"/>
      <c r="F14" s="1012">
        <f>SUM('20_Bicske Város Önkor 1'!C14+'20_Bicske Város Önkor 1'!F14+'20_Bicske Város Önkor 1'!I14+'20_Bicske Város Önkor 1'!L14+'21_Bicske Város Önkor 2'!C14+'21_Bicske Város Önkor 2'!F14+'21_Bicske Város Önkor 2'!I14+'21_Bicske Város Önkor 2'!L14+'22_Bicske Város Önkor 3'!C14+'22_Bicske Város Önkor 3'!F14+'22_Bicske Város Önkor 3'!I14+'22_Bicske Város Önkor 3'!L14+'23_Bicske Város Önkor 4'!C14+'23_Bicske Város Önkor 4'!F14+'23_Bicske Város Önkor 4'!I14+'23_Bicske Város Önkor 4'!L14+'24_Bicske Város Önkor 5'!C14)</f>
        <v>229391</v>
      </c>
      <c r="G14" s="1012">
        <f>SUM('20_Bicske Város Önkor 1'!D14+'20_Bicske Város Önkor 1'!G14+'20_Bicske Város Önkor 1'!J14+'20_Bicske Város Önkor 1'!M14+'21_Bicske Város Önkor 2'!D14+'21_Bicske Város Önkor 2'!G14+'21_Bicske Város Önkor 2'!J14+'21_Bicske Város Önkor 2'!M14+'22_Bicske Város Önkor 3'!D14+'22_Bicske Város Önkor 3'!G14+'22_Bicske Város Önkor 3'!J14+'22_Bicske Város Önkor 3'!M14+'23_Bicske Város Önkor 4'!D14+'23_Bicske Város Önkor 4'!G14+'23_Bicske Város Önkor 4'!J14+'23_Bicske Város Önkor 4'!M14+'24_Bicske Város Önkor 5'!D14)</f>
        <v>237912</v>
      </c>
      <c r="H14" s="1012"/>
      <c r="I14" s="1010">
        <f>SUM('19_Polgármesteri H.l'!L14)</f>
        <v>85723</v>
      </c>
      <c r="J14" s="1010">
        <f>SUM('19_Polgármesteri H.l'!M14)</f>
        <v>86176</v>
      </c>
      <c r="K14" s="1011"/>
      <c r="L14" s="1010">
        <f>SUM('17_Bicskei Egy Műv. Közp, '!R14+'18_Kapcsolat Központ'!O14+'18_Kapcsolat Központ'!R14)</f>
        <v>438804</v>
      </c>
      <c r="M14" s="1017">
        <f>SUM('17_Bicskei Egy Műv. Közp, '!S14+'18_Kapcsolat Központ'!P14+'18_Kapcsolat Központ'!S14)</f>
        <v>452058</v>
      </c>
      <c r="N14" s="1010">
        <f>SUM('17_Bicskei Egy Műv. Közp, '!T14+'18_Kapcsolat Központ'!Q14)</f>
        <v>0</v>
      </c>
      <c r="O14" s="1010">
        <f t="shared" si="0"/>
        <v>753918</v>
      </c>
      <c r="P14" s="1010">
        <f t="shared" si="1"/>
        <v>776146</v>
      </c>
      <c r="Q14" s="1011"/>
      <c r="R14" s="1013"/>
      <c r="S14" s="1091"/>
    </row>
    <row r="15" spans="1:19" s="1014" customFormat="1" ht="17.25" customHeight="1" thickBot="1">
      <c r="A15" s="1019">
        <v>4</v>
      </c>
      <c r="B15" s="1009" t="s">
        <v>18</v>
      </c>
      <c r="C15" s="1010"/>
      <c r="D15" s="1010"/>
      <c r="E15" s="1011"/>
      <c r="F15" s="1012">
        <f>SUM('20_Bicske Város Önkor 1'!C15+'20_Bicske Város Önkor 1'!F15+'20_Bicske Város Önkor 1'!I15+'20_Bicske Város Önkor 1'!L15+'21_Bicske Város Önkor 2'!C15+'21_Bicske Város Önkor 2'!F15+'21_Bicske Város Önkor 2'!I15+'21_Bicske Város Önkor 2'!L15+'22_Bicske Város Önkor 3'!C15+'22_Bicske Város Önkor 3'!F15+'22_Bicske Város Önkor 3'!I15+'22_Bicske Város Önkor 3'!L15+'23_Bicske Város Önkor 4'!C15+'23_Bicske Város Önkor 4'!F15+'23_Bicske Város Önkor 4'!I15+'23_Bicske Város Önkor 4'!L15+'24_Bicske Város Önkor 5'!C15)</f>
        <v>43455</v>
      </c>
      <c r="G15" s="1012">
        <f>SUM('20_Bicske Város Önkor 1'!D15+'20_Bicske Város Önkor 1'!G15+'20_Bicske Város Önkor 1'!J15+'20_Bicske Város Önkor 1'!M15+'21_Bicske Város Önkor 2'!D15+'21_Bicske Város Önkor 2'!G15+'21_Bicske Város Önkor 2'!J15+'21_Bicske Város Önkor 2'!M15+'22_Bicske Város Önkor 3'!D15+'22_Bicske Város Önkor 3'!G15+'22_Bicske Város Önkor 3'!J15+'22_Bicske Város Önkor 3'!M15+'23_Bicske Város Önkor 4'!D15+'23_Bicske Város Önkor 4'!G15+'23_Bicske Város Önkor 4'!J15+'23_Bicske Város Önkor 4'!M15+'24_Bicske Város Önkor 5'!D15)</f>
        <v>43455</v>
      </c>
      <c r="H15" s="1012"/>
      <c r="I15" s="1010">
        <f>SUM('19_Polgármesteri H.l'!L15)</f>
        <v>0</v>
      </c>
      <c r="J15" s="1010">
        <f>SUM('19_Polgármesteri H.l'!M15)</f>
        <v>0</v>
      </c>
      <c r="K15" s="1011"/>
      <c r="L15" s="1010">
        <f>SUM('17_Bicskei Egy Műv. Közp, '!R15+'18_Kapcsolat Központ'!O15+'18_Kapcsolat Központ'!R15)</f>
        <v>400</v>
      </c>
      <c r="M15" s="1017">
        <f>SUM('17_Bicskei Egy Műv. Közp, '!S15+'18_Kapcsolat Központ'!P15+'18_Kapcsolat Központ'!S15)</f>
        <v>400</v>
      </c>
      <c r="N15" s="1010">
        <f>SUM('17_Bicskei Egy Műv. Közp, '!T15+'18_Kapcsolat Központ'!Q15)</f>
        <v>0</v>
      </c>
      <c r="O15" s="1010">
        <f t="shared" si="0"/>
        <v>43855</v>
      </c>
      <c r="P15" s="1010">
        <f t="shared" si="1"/>
        <v>43855</v>
      </c>
      <c r="Q15" s="1011"/>
      <c r="R15" s="1013"/>
      <c r="S15" s="1091"/>
    </row>
    <row r="16" spans="1:19" s="1028" customFormat="1" ht="17.25" customHeight="1" thickBot="1">
      <c r="A16" s="1020" t="s">
        <v>97</v>
      </c>
      <c r="B16" s="1021" t="s">
        <v>98</v>
      </c>
      <c r="C16" s="1022"/>
      <c r="D16" s="1023"/>
      <c r="E16" s="1024"/>
      <c r="F16" s="1012">
        <f>SUM('20_Bicske Város Önkor 1'!C16+'20_Bicske Város Önkor 1'!F16+'20_Bicske Város Önkor 1'!I16+'20_Bicske Város Önkor 1'!L16+'21_Bicske Város Önkor 2'!C16+'21_Bicske Város Önkor 2'!F16+'21_Bicske Város Önkor 2'!I16+'21_Bicske Város Önkor 2'!L16+'22_Bicske Város Önkor 3'!C16+'22_Bicske Város Önkor 3'!F16+'22_Bicske Város Önkor 3'!I16+'22_Bicske Város Önkor 3'!L16+'23_Bicske Város Önkor 4'!C16+'23_Bicske Város Önkor 4'!F16+'23_Bicske Város Önkor 4'!I16+'23_Bicske Város Önkor 4'!L16+'24_Bicske Város Önkor 5'!C16)</f>
        <v>110</v>
      </c>
      <c r="G16" s="1012">
        <f>SUM('20_Bicske Város Önkor 1'!D16+'20_Bicske Város Önkor 1'!G16+'20_Bicske Város Önkor 1'!J16+'20_Bicske Város Önkor 1'!M16+'21_Bicske Város Önkor 2'!D16+'21_Bicske Város Önkor 2'!G16+'21_Bicske Város Önkor 2'!J16+'21_Bicske Város Önkor 2'!M16+'22_Bicske Város Önkor 3'!D16+'22_Bicske Város Önkor 3'!G16+'22_Bicske Város Önkor 3'!J16+'22_Bicske Város Önkor 3'!M16+'23_Bicske Város Önkor 4'!D16+'23_Bicske Város Önkor 4'!G16+'23_Bicske Város Önkor 4'!J16+'23_Bicske Város Önkor 4'!M16+'24_Bicske Város Önkor 5'!D16)</f>
        <v>110</v>
      </c>
      <c r="H16" s="1025"/>
      <c r="I16" s="1016">
        <f>SUM('19_Polgármesteri H.l'!L16)</f>
        <v>0</v>
      </c>
      <c r="J16" s="1016">
        <f>SUM('19_Polgármesteri H.l'!M16)</f>
        <v>0</v>
      </c>
      <c r="K16" s="1026"/>
      <c r="L16" s="1016">
        <f>SUM('17_Bicskei Egy Műv. Közp, '!R16+'18_Kapcsolat Központ'!O16)</f>
        <v>0</v>
      </c>
      <c r="M16" s="1017">
        <f>SUM('17_Bicskei Egy Műv. Közp, '!S16+'18_Kapcsolat Központ'!P16+'18_Kapcsolat Központ'!S16)</f>
        <v>0</v>
      </c>
      <c r="N16" s="1016">
        <f>SUM('17_Bicskei Egy Műv. Közp, '!T16+'18_Kapcsolat Központ'!Q16)</f>
        <v>0</v>
      </c>
      <c r="O16" s="1010">
        <f t="shared" si="0"/>
        <v>110</v>
      </c>
      <c r="P16" s="1010">
        <f t="shared" si="1"/>
        <v>110</v>
      </c>
      <c r="Q16" s="1027"/>
      <c r="R16" s="1013"/>
      <c r="S16" s="1091"/>
    </row>
    <row r="17" spans="1:19" s="1014" customFormat="1" ht="17.25" customHeight="1" thickBot="1">
      <c r="A17" s="1029" t="s">
        <v>99</v>
      </c>
      <c r="B17" s="1030" t="s">
        <v>100</v>
      </c>
      <c r="C17" s="1031"/>
      <c r="D17" s="1017"/>
      <c r="E17" s="1032"/>
      <c r="F17" s="1012">
        <f>SUM('20_Bicske Város Önkor 1'!C17+'20_Bicske Város Önkor 1'!F17+'20_Bicske Város Önkor 1'!I17+'20_Bicske Város Önkor 1'!L17+'21_Bicske Város Önkor 2'!C17+'21_Bicske Város Önkor 2'!F17+'21_Bicske Város Önkor 2'!I17+'21_Bicske Város Önkor 2'!L17+'22_Bicske Város Önkor 3'!C17+'22_Bicske Város Önkor 3'!F17+'22_Bicske Város Önkor 3'!I17+'22_Bicske Város Önkor 3'!L17+'23_Bicske Város Önkor 4'!C17+'23_Bicske Város Önkor 4'!F17+'23_Bicske Város Önkor 4'!I17+'23_Bicske Város Önkor 4'!L17+'24_Bicske Város Önkor 5'!C17)</f>
        <v>0</v>
      </c>
      <c r="G17" s="1012">
        <f>SUM('20_Bicske Város Önkor 1'!D17+'20_Bicske Város Önkor 1'!G17+'20_Bicske Város Önkor 1'!J17+'20_Bicske Város Önkor 1'!M17+'21_Bicske Város Önkor 2'!D17+'21_Bicske Város Önkor 2'!G17+'21_Bicske Város Önkor 2'!J17+'21_Bicske Város Önkor 2'!M17+'22_Bicske Város Önkor 3'!D17+'22_Bicske Város Önkor 3'!G17+'22_Bicske Város Önkor 3'!J17+'22_Bicske Város Önkor 3'!M17+'23_Bicske Város Önkor 4'!D17+'23_Bicske Város Önkor 4'!G17+'23_Bicske Város Önkor 4'!J17+'23_Bicske Város Önkor 4'!M17+'24_Bicske Város Önkor 5'!D17)</f>
        <v>0</v>
      </c>
      <c r="H17" s="1017"/>
      <c r="I17" s="1017">
        <f>SUM('19_Polgármesteri H.l'!L17)</f>
        <v>0</v>
      </c>
      <c r="J17" s="1017">
        <f>SUM('19_Polgármesteri H.l'!M17)</f>
        <v>0</v>
      </c>
      <c r="K17" s="1033"/>
      <c r="L17" s="1017">
        <f>SUM('17_Bicskei Egy Műv. Közp, '!R17+'18_Kapcsolat Központ'!O17)</f>
        <v>0</v>
      </c>
      <c r="M17" s="1017">
        <f>SUM('17_Bicskei Egy Műv. Közp, '!S17+'18_Kapcsolat Központ'!P17+'18_Kapcsolat Központ'!S17)</f>
        <v>0</v>
      </c>
      <c r="N17" s="1033"/>
      <c r="O17" s="1010">
        <f t="shared" si="0"/>
        <v>0</v>
      </c>
      <c r="P17" s="1010">
        <f t="shared" si="1"/>
        <v>0</v>
      </c>
      <c r="Q17" s="1033"/>
      <c r="R17" s="1013"/>
      <c r="S17" s="1091"/>
    </row>
    <row r="18" spans="1:19" s="1014" customFormat="1" ht="17.25" customHeight="1" thickBot="1">
      <c r="A18" s="1029" t="s">
        <v>101</v>
      </c>
      <c r="B18" s="1030" t="s">
        <v>102</v>
      </c>
      <c r="C18" s="1031"/>
      <c r="D18" s="1017"/>
      <c r="E18" s="1032"/>
      <c r="F18" s="1012">
        <f>SUM('20_Bicske Város Önkor 1'!C18+'20_Bicske Város Önkor 1'!F18+'20_Bicske Város Önkor 1'!I18+'20_Bicske Város Önkor 1'!L18+'21_Bicske Város Önkor 2'!C18+'21_Bicske Város Önkor 2'!F18+'21_Bicske Város Önkor 2'!I18+'21_Bicske Város Önkor 2'!L18+'22_Bicske Város Önkor 3'!C18+'22_Bicske Város Önkor 3'!F18+'22_Bicske Város Önkor 3'!I18+'22_Bicske Város Önkor 3'!L18+'23_Bicske Város Önkor 4'!C18+'23_Bicske Város Önkor 4'!F18+'23_Bicske Város Önkor 4'!I18+'23_Bicske Város Önkor 4'!L18+'24_Bicske Város Önkor 5'!C18)</f>
        <v>0</v>
      </c>
      <c r="G18" s="1012">
        <f>SUM('20_Bicske Város Önkor 1'!D18+'20_Bicske Város Önkor 1'!G18+'20_Bicske Város Önkor 1'!J18+'20_Bicske Város Önkor 1'!M18+'21_Bicske Város Önkor 2'!D18+'21_Bicske Város Önkor 2'!G18+'21_Bicske Város Önkor 2'!J18+'21_Bicske Város Önkor 2'!M18+'22_Bicske Város Önkor 3'!D18+'22_Bicske Város Önkor 3'!G18+'22_Bicske Város Önkor 3'!J18+'22_Bicske Város Önkor 3'!M18+'23_Bicske Város Önkor 4'!D18+'23_Bicske Város Önkor 4'!G18+'23_Bicske Város Önkor 4'!J18+'23_Bicske Város Önkor 4'!M18+'24_Bicske Város Önkor 5'!D18)</f>
        <v>0</v>
      </c>
      <c r="H18" s="1017"/>
      <c r="I18" s="1017">
        <f>SUM('19_Polgármesteri H.l'!L18)</f>
        <v>0</v>
      </c>
      <c r="J18" s="1017">
        <f>SUM('19_Polgármesteri H.l'!M18)</f>
        <v>0</v>
      </c>
      <c r="K18" s="1033"/>
      <c r="L18" s="1017">
        <f>SUM('17_Bicskei Egy Műv. Közp, '!R18+'18_Kapcsolat Központ'!O18)</f>
        <v>0</v>
      </c>
      <c r="M18" s="1017">
        <f>SUM('17_Bicskei Egy Műv. Közp, '!S18+'18_Kapcsolat Központ'!P18+'18_Kapcsolat Központ'!S18)</f>
        <v>0</v>
      </c>
      <c r="N18" s="1033"/>
      <c r="O18" s="1010">
        <f t="shared" si="0"/>
        <v>0</v>
      </c>
      <c r="P18" s="1010">
        <f t="shared" si="1"/>
        <v>0</v>
      </c>
      <c r="Q18" s="1033"/>
      <c r="R18" s="1013"/>
      <c r="S18" s="1091"/>
    </row>
    <row r="19" spans="1:19" s="1014" customFormat="1" ht="17.25" customHeight="1" thickBot="1">
      <c r="A19" s="1029" t="s">
        <v>103</v>
      </c>
      <c r="B19" s="1034" t="s">
        <v>84</v>
      </c>
      <c r="C19" s="1031"/>
      <c r="D19" s="1017"/>
      <c r="E19" s="1032"/>
      <c r="F19" s="1012">
        <f>SUM('20_Bicske Város Önkor 1'!C19+'20_Bicske Város Önkor 1'!F19+'20_Bicske Város Önkor 1'!I19+'20_Bicske Város Önkor 1'!L19+'21_Bicske Város Önkor 2'!C19+'21_Bicske Város Önkor 2'!F19+'21_Bicske Város Önkor 2'!I19+'21_Bicske Város Önkor 2'!L19+'22_Bicske Város Önkor 3'!C19+'22_Bicske Város Önkor 3'!F19+'22_Bicske Város Önkor 3'!I19+'22_Bicske Város Önkor 3'!L19+'23_Bicske Város Önkor 4'!C19+'23_Bicske Város Önkor 4'!F19+'23_Bicske Város Önkor 4'!I19+'23_Bicske Város Önkor 4'!L19+'24_Bicske Város Önkor 5'!C19)</f>
        <v>27000</v>
      </c>
      <c r="G19" s="1012">
        <f>SUM('20_Bicske Város Önkor 1'!D19+'20_Bicske Város Önkor 1'!G19+'20_Bicske Város Önkor 1'!J19+'20_Bicske Város Önkor 1'!M19+'21_Bicske Város Önkor 2'!D19+'21_Bicske Város Önkor 2'!G19+'21_Bicske Város Önkor 2'!J19+'21_Bicske Város Önkor 2'!M19+'22_Bicske Város Önkor 3'!D19+'22_Bicske Város Önkor 3'!G19+'22_Bicske Város Önkor 3'!J19+'22_Bicske Város Önkor 3'!M19+'23_Bicske Város Önkor 4'!D19+'23_Bicske Város Önkor 4'!G19+'23_Bicske Város Önkor 4'!J19+'23_Bicske Város Önkor 4'!M19+'24_Bicske Város Önkor 5'!D19)</f>
        <v>25400</v>
      </c>
      <c r="H19" s="1017"/>
      <c r="I19" s="1017">
        <f>SUM('19_Polgármesteri H.l'!L19)</f>
        <v>0</v>
      </c>
      <c r="J19" s="1017">
        <f>SUM('19_Polgármesteri H.l'!M19)</f>
        <v>84</v>
      </c>
      <c r="K19" s="1033"/>
      <c r="L19" s="1017">
        <f>SUM('17_Bicskei Egy Műv. Közp, '!R19+'18_Kapcsolat Központ'!O19)</f>
        <v>0</v>
      </c>
      <c r="M19" s="1017">
        <f>SUM('17_Bicskei Egy Műv. Közp, '!S19+'18_Kapcsolat Központ'!P19+'18_Kapcsolat Központ'!S19)</f>
        <v>0</v>
      </c>
      <c r="N19" s="1033"/>
      <c r="O19" s="1010">
        <f t="shared" si="0"/>
        <v>27000</v>
      </c>
      <c r="P19" s="1010">
        <f t="shared" si="1"/>
        <v>25484</v>
      </c>
      <c r="Q19" s="1033"/>
      <c r="R19" s="1013"/>
      <c r="S19" s="1091"/>
    </row>
    <row r="20" spans="1:19" s="1014" customFormat="1" ht="17.25" customHeight="1" thickBot="1">
      <c r="A20" s="1035" t="s">
        <v>104</v>
      </c>
      <c r="B20" s="1030" t="s">
        <v>105</v>
      </c>
      <c r="C20" s="1036"/>
      <c r="D20" s="1017"/>
      <c r="E20" s="1032"/>
      <c r="F20" s="1012">
        <f>SUM('20_Bicske Város Önkor 1'!C20+'20_Bicske Város Önkor 1'!F20+'20_Bicske Város Önkor 1'!I20+'20_Bicske Város Önkor 1'!L20+'21_Bicske Város Önkor 2'!C20+'21_Bicske Város Önkor 2'!F20+'21_Bicske Város Önkor 2'!I20+'21_Bicske Város Önkor 2'!L20+'22_Bicske Város Önkor 3'!C20+'22_Bicske Város Önkor 3'!F20+'22_Bicske Város Önkor 3'!I20+'22_Bicske Város Önkor 3'!L20+'23_Bicske Város Önkor 4'!C20+'23_Bicske Város Önkor 4'!F20+'23_Bicske Város Önkor 4'!I20+'23_Bicske Város Önkor 4'!L20+'24_Bicske Város Önkor 5'!C20)</f>
        <v>0</v>
      </c>
      <c r="G20" s="1012">
        <f>SUM('20_Bicske Város Önkor 1'!D20+'20_Bicske Város Önkor 1'!G20+'20_Bicske Város Önkor 1'!J20+'20_Bicske Város Önkor 1'!M20+'21_Bicske Város Önkor 2'!D20+'21_Bicske Város Önkor 2'!G20+'21_Bicske Város Önkor 2'!J20+'21_Bicske Város Önkor 2'!M20+'22_Bicske Város Önkor 3'!D20+'22_Bicske Város Önkor 3'!G20+'22_Bicske Város Önkor 3'!J20+'22_Bicske Város Önkor 3'!M20+'23_Bicske Város Önkor 4'!D20+'23_Bicske Város Önkor 4'!G20+'23_Bicske Város Önkor 4'!J20+'23_Bicske Város Önkor 4'!M20+'24_Bicske Város Önkor 5'!D20)</f>
        <v>0</v>
      </c>
      <c r="H20" s="1017"/>
      <c r="I20" s="1017">
        <f>SUM('19_Polgármesteri H.l'!L20)</f>
        <v>0</v>
      </c>
      <c r="J20" s="1017">
        <f>SUM('19_Polgármesteri H.l'!M20)</f>
        <v>0</v>
      </c>
      <c r="K20" s="1033"/>
      <c r="L20" s="1017">
        <f>SUM('17_Bicskei Egy Műv. Közp, '!R20+'18_Kapcsolat Központ'!O20)</f>
        <v>0</v>
      </c>
      <c r="M20" s="1017">
        <f>SUM('17_Bicskei Egy Műv. Közp, '!S20+'18_Kapcsolat Központ'!P20+'18_Kapcsolat Központ'!S20)</f>
        <v>0</v>
      </c>
      <c r="N20" s="1033"/>
      <c r="O20" s="1010">
        <f t="shared" si="0"/>
        <v>0</v>
      </c>
      <c r="P20" s="1010">
        <f t="shared" si="1"/>
        <v>0</v>
      </c>
      <c r="Q20" s="1033"/>
      <c r="R20" s="1013"/>
      <c r="S20" s="1091"/>
    </row>
    <row r="21" spans="1:19" s="1014" customFormat="1" ht="17.25" customHeight="1" thickBot="1">
      <c r="A21" s="1037" t="s">
        <v>106</v>
      </c>
      <c r="B21" s="1038" t="s">
        <v>107</v>
      </c>
      <c r="C21" s="1036"/>
      <c r="D21" s="1017"/>
      <c r="E21" s="1032"/>
      <c r="F21" s="1012">
        <f>SUM('20_Bicske Város Önkor 1'!C21+'20_Bicske Város Önkor 1'!F21+'20_Bicske Város Önkor 1'!I21+'20_Bicske Város Önkor 1'!L21+'21_Bicske Város Önkor 2'!C21+'21_Bicske Város Önkor 2'!F21+'21_Bicske Város Önkor 2'!I21+'21_Bicske Város Önkor 2'!L21+'22_Bicske Város Önkor 3'!C21+'22_Bicske Város Önkor 3'!F21+'22_Bicske Város Önkor 3'!I21+'22_Bicske Város Önkor 3'!L21+'23_Bicske Város Önkor 4'!C21+'23_Bicske Város Önkor 4'!F21+'23_Bicske Város Önkor 4'!I21+'23_Bicske Város Önkor 4'!L21+'24_Bicske Város Önkor 5'!C21)</f>
        <v>0</v>
      </c>
      <c r="G21" s="1012">
        <f>SUM('20_Bicske Város Önkor 1'!D21+'20_Bicske Város Önkor 1'!G21+'20_Bicske Város Önkor 1'!J21+'20_Bicske Város Önkor 1'!M21+'21_Bicske Város Önkor 2'!D21+'21_Bicske Város Önkor 2'!G21+'21_Bicske Város Önkor 2'!J21+'21_Bicske Város Önkor 2'!M21+'22_Bicske Város Önkor 3'!D21+'22_Bicske Város Önkor 3'!G21+'22_Bicske Város Önkor 3'!J21+'22_Bicske Város Önkor 3'!M21+'23_Bicske Város Önkor 4'!D21+'23_Bicske Város Önkor 4'!G21+'23_Bicske Város Önkor 4'!J21+'23_Bicske Város Önkor 4'!M21+'24_Bicske Város Önkor 5'!D21)</f>
        <v>0</v>
      </c>
      <c r="H21" s="1017"/>
      <c r="I21" s="1017">
        <f>SUM('19_Polgármesteri H.l'!L21)</f>
        <v>0</v>
      </c>
      <c r="J21" s="1017">
        <f>SUM('19_Polgármesteri H.l'!M21)</f>
        <v>0</v>
      </c>
      <c r="K21" s="1033"/>
      <c r="L21" s="1017">
        <f>SUM('17_Bicskei Egy Műv. Közp, '!R21+'18_Kapcsolat Központ'!O21)</f>
        <v>0</v>
      </c>
      <c r="M21" s="1017">
        <f>SUM('17_Bicskei Egy Műv. Közp, '!S21+'18_Kapcsolat Központ'!P21+'18_Kapcsolat Központ'!S21)</f>
        <v>0</v>
      </c>
      <c r="N21" s="1033"/>
      <c r="O21" s="1010">
        <f t="shared" si="0"/>
        <v>0</v>
      </c>
      <c r="P21" s="1010">
        <f t="shared" si="1"/>
        <v>0</v>
      </c>
      <c r="Q21" s="1033"/>
      <c r="R21" s="1013"/>
      <c r="S21" s="1091"/>
    </row>
    <row r="22" spans="1:19" s="1014" customFormat="1" ht="17.25" customHeight="1" thickBot="1">
      <c r="A22" s="1035" t="s">
        <v>108</v>
      </c>
      <c r="B22" s="1030" t="s">
        <v>109</v>
      </c>
      <c r="C22" s="1036">
        <v>6600</v>
      </c>
      <c r="D22" s="1017">
        <v>6600</v>
      </c>
      <c r="E22" s="1032"/>
      <c r="F22" s="1012">
        <f>SUM('20_Bicske Város Önkor 1'!C22+'20_Bicske Város Önkor 1'!F22+'20_Bicske Város Önkor 1'!I22+'20_Bicske Város Önkor 1'!L22+'21_Bicske Város Önkor 2'!C22+'21_Bicske Város Önkor 2'!F22+'21_Bicske Város Önkor 2'!I22+'21_Bicske Város Önkor 2'!L22+'22_Bicske Város Önkor 3'!C22+'22_Bicske Város Önkor 3'!F22+'22_Bicske Város Önkor 3'!I22+'22_Bicske Város Önkor 3'!L22+'23_Bicske Város Önkor 4'!C22+'23_Bicske Város Önkor 4'!F22+'23_Bicske Város Önkor 4'!I22+'23_Bicske Város Önkor 4'!L22+'24_Bicske Város Önkor 5'!C22)</f>
        <v>53015</v>
      </c>
      <c r="G22" s="1012">
        <f>SUM('20_Bicske Város Önkor 1'!D22+'20_Bicske Város Önkor 1'!G22+'20_Bicske Város Önkor 1'!J22+'20_Bicske Város Önkor 1'!M22+'21_Bicske Város Önkor 2'!D22+'21_Bicske Város Önkor 2'!G22+'21_Bicske Város Önkor 2'!J22+'21_Bicske Város Önkor 2'!M22+'22_Bicske Város Önkor 3'!D22+'22_Bicske Város Önkor 3'!G22+'22_Bicske Város Önkor 3'!J22+'22_Bicske Város Önkor 3'!M22+'23_Bicske Város Önkor 4'!D22+'23_Bicske Város Önkor 4'!G22+'23_Bicske Város Önkor 4'!J22+'23_Bicske Város Önkor 4'!M22+'24_Bicske Város Önkor 5'!D22)</f>
        <v>55115</v>
      </c>
      <c r="H22" s="1017"/>
      <c r="I22" s="1017">
        <f>SUM('19_Polgármesteri H.l'!L22)</f>
        <v>0</v>
      </c>
      <c r="J22" s="1017">
        <f>SUM('19_Polgármesteri H.l'!M22)</f>
        <v>26</v>
      </c>
      <c r="K22" s="1033"/>
      <c r="L22" s="1017">
        <f>SUM('17_Bicskei Egy Műv. Közp, '!R22+'18_Kapcsolat Központ'!O22)</f>
        <v>0</v>
      </c>
      <c r="M22" s="1017">
        <f>SUM('17_Bicskei Egy Műv. Közp, '!S22+'18_Kapcsolat Központ'!P22+'18_Kapcsolat Központ'!S22)</f>
        <v>0</v>
      </c>
      <c r="N22" s="1033"/>
      <c r="O22" s="1010">
        <f t="shared" si="0"/>
        <v>53015</v>
      </c>
      <c r="P22" s="1010">
        <f t="shared" si="1"/>
        <v>55141</v>
      </c>
      <c r="Q22" s="1033"/>
      <c r="R22" s="1013"/>
      <c r="S22" s="1091"/>
    </row>
    <row r="23" spans="1:19" s="1028" customFormat="1" ht="17.25" customHeight="1" thickBot="1">
      <c r="A23" s="1039" t="s">
        <v>110</v>
      </c>
      <c r="B23" s="1040" t="s">
        <v>111</v>
      </c>
      <c r="C23" s="1041"/>
      <c r="D23" s="1042"/>
      <c r="E23" s="1043"/>
      <c r="F23" s="1012">
        <f>SUM('20_Bicske Város Önkor 1'!C23+'20_Bicske Város Önkor 1'!F23+'20_Bicske Város Önkor 1'!I23+'20_Bicske Város Önkor 1'!L23+'21_Bicske Város Önkor 2'!C23+'21_Bicske Város Önkor 2'!F23+'21_Bicske Város Önkor 2'!I23+'21_Bicske Város Önkor 2'!L23+'22_Bicske Város Önkor 3'!C23+'22_Bicske Város Önkor 3'!F23+'22_Bicske Város Önkor 3'!I23+'22_Bicske Város Önkor 3'!L23+'23_Bicske Város Önkor 4'!C23+'23_Bicske Város Önkor 4'!F23+'23_Bicske Város Önkor 4'!I23+'23_Bicske Város Önkor 4'!L23+'24_Bicske Város Önkor 5'!C23)</f>
        <v>743427</v>
      </c>
      <c r="G23" s="1012">
        <f>SUM('20_Bicske Város Önkor 1'!D23+'20_Bicske Város Önkor 1'!G23+'20_Bicske Város Önkor 1'!J23+'20_Bicske Város Önkor 1'!M23+'21_Bicske Város Önkor 2'!D23+'21_Bicske Város Önkor 2'!G23+'21_Bicske Város Önkor 2'!J23+'21_Bicske Város Önkor 2'!M23+'22_Bicske Város Önkor 3'!D23+'22_Bicske Város Önkor 3'!G23+'22_Bicske Város Önkor 3'!J23+'22_Bicske Város Önkor 3'!M23+'23_Bicske Város Önkor 4'!D23+'23_Bicske Város Önkor 4'!G23+'23_Bicske Város Önkor 4'!J23+'23_Bicske Város Önkor 4'!M23+'24_Bicske Város Önkor 5'!D23)</f>
        <v>1375866</v>
      </c>
      <c r="H23" s="1042"/>
      <c r="I23" s="1044">
        <f>SUM('19_Polgármesteri H.l'!L23)</f>
        <v>0</v>
      </c>
      <c r="J23" s="1044">
        <f>SUM('19_Polgármesteri H.l'!M23)</f>
        <v>0</v>
      </c>
      <c r="K23" s="1042"/>
      <c r="L23" s="1044">
        <f>SUM('17_Bicskei Egy Műv. Közp, '!R23+'18_Kapcsolat Központ'!O23)</f>
        <v>0</v>
      </c>
      <c r="M23" s="1017">
        <f>SUM('17_Bicskei Egy Műv. Közp, '!S23+'18_Kapcsolat Központ'!P23+'18_Kapcsolat Központ'!S23)</f>
        <v>0</v>
      </c>
      <c r="N23" s="1042"/>
      <c r="O23" s="1010">
        <f t="shared" si="0"/>
        <v>743427</v>
      </c>
      <c r="P23" s="1010">
        <f t="shared" si="1"/>
        <v>1375866</v>
      </c>
      <c r="Q23" s="1045"/>
      <c r="R23" s="1013"/>
      <c r="S23" s="1091"/>
    </row>
    <row r="24" spans="1:21" s="1028" customFormat="1" ht="17.25" customHeight="1" thickBot="1">
      <c r="A24" s="1046">
        <v>5</v>
      </c>
      <c r="B24" s="1047" t="s">
        <v>21</v>
      </c>
      <c r="C24" s="1048">
        <f>SUM(C16:C23)</f>
        <v>6600</v>
      </c>
      <c r="D24" s="1048">
        <f>SUM(D16:D23)</f>
        <v>6600</v>
      </c>
      <c r="E24" s="1049">
        <f>SUM(E16:E23)</f>
        <v>0</v>
      </c>
      <c r="F24" s="1012">
        <f>SUM('20_Bicske Város Önkor 1'!C24+'20_Bicske Város Önkor 1'!F24+'20_Bicske Város Önkor 1'!I24+'20_Bicske Város Önkor 1'!L24+'21_Bicske Város Önkor 2'!C24+'21_Bicske Város Önkor 2'!F24+'21_Bicske Város Önkor 2'!I24+'21_Bicske Város Önkor 2'!L24+'22_Bicske Város Önkor 3'!C24+'22_Bicske Város Önkor 3'!F24+'22_Bicske Város Önkor 3'!I24+'22_Bicske Város Önkor 3'!L24+'23_Bicske Város Önkor 4'!C24+'23_Bicske Város Önkor 4'!F24+'23_Bicske Város Önkor 4'!I24+'23_Bicske Város Önkor 4'!L24+'24_Bicske Város Önkor 5'!C24)</f>
        <v>823552</v>
      </c>
      <c r="G24" s="1012">
        <f>SUM('20_Bicske Város Önkor 1'!D24+'20_Bicske Város Önkor 1'!G24+'20_Bicske Város Önkor 1'!J24+'20_Bicske Város Önkor 1'!M24+'21_Bicske Város Önkor 2'!D24+'21_Bicske Város Önkor 2'!G24+'21_Bicske Város Önkor 2'!J24+'21_Bicske Város Önkor 2'!M24+'22_Bicske Város Önkor 3'!D24+'22_Bicske Város Önkor 3'!G24+'22_Bicske Város Önkor 3'!J24+'22_Bicske Város Önkor 3'!M24+'23_Bicske Város Önkor 4'!D24+'23_Bicske Város Önkor 4'!G24+'23_Bicske Város Önkor 4'!J24+'23_Bicske Város Önkor 4'!M24+'24_Bicske Város Önkor 5'!D24)</f>
        <v>1456491</v>
      </c>
      <c r="H24" s="1050"/>
      <c r="I24" s="1010">
        <f>SUM('19_Polgármesteri H.l'!L24)</f>
        <v>0</v>
      </c>
      <c r="J24" s="1048">
        <f>SUM(J16:J23)</f>
        <v>110</v>
      </c>
      <c r="K24" s="1048">
        <f>SUM(K16:K23)</f>
        <v>0</v>
      </c>
      <c r="L24" s="1010">
        <f>SUM('17_Bicskei Egy Műv. Közp, '!R24+'18_Kapcsolat Központ'!L24)</f>
        <v>0</v>
      </c>
      <c r="M24" s="1017">
        <f>SUM('17_Bicskei Egy Műv. Közp, '!S24+'18_Kapcsolat Központ'!P24+'18_Kapcsolat Központ'!S24)</f>
        <v>0</v>
      </c>
      <c r="N24" s="1010">
        <f>SUM('17_Bicskei Egy Műv. Közp, '!T24+'18_Kapcsolat Központ'!N24)</f>
        <v>0</v>
      </c>
      <c r="O24" s="1010">
        <f>SUM(F24+I24+L24)</f>
        <v>823552</v>
      </c>
      <c r="P24" s="1010">
        <f>SUM(G24+J24+M24)</f>
        <v>1456601</v>
      </c>
      <c r="Q24" s="1261">
        <f>SUM(Q16:Q23)</f>
        <v>0</v>
      </c>
      <c r="R24" s="1013"/>
      <c r="S24" s="1091"/>
      <c r="U24" s="1434"/>
    </row>
    <row r="25" spans="1:19" s="1014" customFormat="1" ht="17.25" customHeight="1" thickBot="1">
      <c r="A25" s="1008">
        <v>6</v>
      </c>
      <c r="B25" s="1009" t="s">
        <v>53</v>
      </c>
      <c r="C25" s="1051"/>
      <c r="D25" s="1010"/>
      <c r="E25" s="1012"/>
      <c r="F25" s="1012">
        <f>SUM('20_Bicske Város Önkor 1'!C25+'20_Bicske Város Önkor 1'!F25+'20_Bicske Város Önkor 1'!I25+'20_Bicske Város Önkor 1'!L25+'21_Bicske Város Önkor 2'!C25+'21_Bicske Város Önkor 2'!F25+'21_Bicske Város Önkor 2'!I25+'21_Bicske Város Önkor 2'!L25+'22_Bicske Város Önkor 3'!C25+'22_Bicske Város Önkor 3'!F25+'22_Bicske Város Önkor 3'!I25+'22_Bicske Város Önkor 3'!L25+'23_Bicske Város Önkor 4'!C25+'23_Bicske Város Önkor 4'!F25+'23_Bicske Város Önkor 4'!I25+'23_Bicske Város Önkor 4'!L25+'24_Bicske Város Önkor 5'!C25)</f>
        <v>1496932</v>
      </c>
      <c r="G25" s="1012">
        <f>SUM('20_Bicske Város Önkor 1'!D25+'20_Bicske Város Önkor 1'!G25+'20_Bicske Város Önkor 1'!J25+'20_Bicske Város Önkor 1'!M25+'21_Bicske Város Önkor 2'!D25+'21_Bicske Város Önkor 2'!G25+'21_Bicske Város Önkor 2'!J25+'21_Bicske Város Önkor 2'!M25+'22_Bicske Város Önkor 3'!D25+'22_Bicske Város Önkor 3'!G25+'22_Bicske Város Önkor 3'!J25+'22_Bicske Város Önkor 3'!M25+'23_Bicske Város Önkor 4'!D25+'23_Bicske Város Önkor 4'!G25+'23_Bicske Város Önkor 4'!J25+'23_Bicske Város Önkor 4'!M25+'24_Bicske Város Önkor 5'!D25)</f>
        <v>1519192</v>
      </c>
      <c r="H25" s="1010"/>
      <c r="I25" s="1010">
        <f>SUM('19_Polgármesteri H.l'!L25)</f>
        <v>17146</v>
      </c>
      <c r="J25" s="1010">
        <f>SUM('19_Polgármesteri H.l'!M25)</f>
        <v>17146</v>
      </c>
      <c r="K25" s="1011"/>
      <c r="L25" s="1010">
        <f>SUM('17_Bicskei Egy Műv. Közp, '!R25+'18_Kapcsolat Központ'!O25+'18_Kapcsolat Központ'!R25)</f>
        <v>41266</v>
      </c>
      <c r="M25" s="1017">
        <f>SUM('17_Bicskei Egy Műv. Közp, '!S25+'18_Kapcsolat Központ'!P25+'18_Kapcsolat Központ'!S25)</f>
        <v>43092</v>
      </c>
      <c r="N25" s="1010">
        <f>SUM('17_Bicskei Egy Műv. Közp, '!T25+'18_Kapcsolat Központ'!Q25)</f>
        <v>0</v>
      </c>
      <c r="O25" s="1010">
        <f>SUM(F25+I25+L25)</f>
        <v>1555344</v>
      </c>
      <c r="P25" s="1010">
        <f t="shared" si="0"/>
        <v>1579430</v>
      </c>
      <c r="Q25" s="1011"/>
      <c r="R25" s="1013"/>
      <c r="S25" s="1091"/>
    </row>
    <row r="26" spans="1:19" s="1014" customFormat="1" ht="17.25" customHeight="1" thickBot="1">
      <c r="A26" s="1008">
        <v>7</v>
      </c>
      <c r="B26" s="1009" t="s">
        <v>56</v>
      </c>
      <c r="C26" s="1010"/>
      <c r="D26" s="1010"/>
      <c r="E26" s="1012"/>
      <c r="F26" s="1012">
        <f>SUM('20_Bicske Város Önkor 1'!C26+'20_Bicske Város Önkor 1'!F26+'20_Bicske Város Önkor 1'!I26+'20_Bicske Város Önkor 1'!L26+'21_Bicske Város Önkor 2'!C26+'21_Bicske Város Önkor 2'!F26+'21_Bicske Város Önkor 2'!I26+'21_Bicske Város Önkor 2'!L26+'22_Bicske Város Önkor 3'!C26+'22_Bicske Város Önkor 3'!F26+'22_Bicske Város Önkor 3'!I26+'22_Bicske Város Önkor 3'!L26+'23_Bicske Város Önkor 4'!C26+'23_Bicske Város Önkor 4'!F26+'23_Bicske Város Önkor 4'!I26+'23_Bicske Város Önkor 4'!L26+'24_Bicske Város Önkor 5'!C26)</f>
        <v>133067</v>
      </c>
      <c r="G26" s="1012">
        <f>SUM('20_Bicske Város Önkor 1'!D26+'20_Bicske Város Önkor 1'!G26+'20_Bicske Város Önkor 1'!J26+'20_Bicske Város Önkor 1'!M26+'21_Bicske Város Önkor 2'!D26+'21_Bicske Város Önkor 2'!G26+'21_Bicske Város Önkor 2'!J26+'21_Bicske Város Önkor 2'!M26+'22_Bicske Város Önkor 3'!D26+'22_Bicske Város Önkor 3'!G26+'22_Bicske Város Önkor 3'!J26+'22_Bicske Város Önkor 3'!M26+'23_Bicske Város Önkor 4'!D26+'23_Bicske Város Önkor 4'!G26+'23_Bicske Város Önkor 4'!J26+'23_Bicske Város Önkor 4'!M26+'24_Bicske Város Önkor 5'!D26)</f>
        <v>133067</v>
      </c>
      <c r="H26" s="1010"/>
      <c r="I26" s="1010">
        <f>SUM('19_Polgármesteri H.l'!L26)</f>
        <v>0</v>
      </c>
      <c r="J26" s="1010">
        <f>SUM('19_Polgármesteri H.l'!M26)</f>
        <v>0</v>
      </c>
      <c r="K26" s="1011"/>
      <c r="L26" s="1016">
        <f>SUM('17_Bicskei Egy Műv. Közp, '!R26+'18_Kapcsolat Központ'!O26)</f>
        <v>0</v>
      </c>
      <c r="M26" s="1017">
        <f>SUM('17_Bicskei Egy Műv. Közp, '!S26+'18_Kapcsolat Központ'!P26+'18_Kapcsolat Központ'!S26)</f>
        <v>0</v>
      </c>
      <c r="N26" s="1016">
        <f>SUM('17_Bicskei Egy Műv. Közp, '!T26+'18_Kapcsolat Központ'!Q26)</f>
        <v>0</v>
      </c>
      <c r="O26" s="1010">
        <f>SUM(F26+I26+L26)</f>
        <v>133067</v>
      </c>
      <c r="P26" s="1010">
        <f>SUM(G26+J26+M26)</f>
        <v>133067</v>
      </c>
      <c r="Q26" s="1011"/>
      <c r="R26" s="1013"/>
      <c r="S26" s="1091"/>
    </row>
    <row r="27" spans="1:19" s="1014" customFormat="1" ht="17.25" customHeight="1" thickBot="1">
      <c r="A27" s="1052" t="s">
        <v>97</v>
      </c>
      <c r="B27" s="1053" t="s">
        <v>112</v>
      </c>
      <c r="C27" s="1054"/>
      <c r="D27" s="1055"/>
      <c r="E27" s="1056"/>
      <c r="F27" s="1012">
        <f>SUM('20_Bicske Város Önkor 1'!C27+'20_Bicske Város Önkor 1'!F27+'20_Bicske Város Önkor 1'!I27+'20_Bicske Város Önkor 1'!L27+'21_Bicske Város Önkor 2'!C27+'21_Bicske Város Önkor 2'!F27+'21_Bicske Város Önkor 2'!I27+'21_Bicske Város Önkor 2'!L27+'22_Bicske Város Önkor 3'!C27+'22_Bicske Város Önkor 3'!F27+'22_Bicske Város Önkor 3'!I27+'22_Bicske Város Önkor 3'!L27+'23_Bicske Város Önkor 4'!C27+'23_Bicske Város Önkor 4'!F27+'23_Bicske Város Önkor 4'!I27+'23_Bicske Város Önkor 4'!L27+'24_Bicske Város Önkor 5'!C27)</f>
        <v>0</v>
      </c>
      <c r="G27" s="1012">
        <f>SUM('20_Bicske Város Önkor 1'!D27+'20_Bicske Város Önkor 1'!G27+'20_Bicske Város Önkor 1'!J27+'20_Bicske Város Önkor 1'!M27+'21_Bicske Város Önkor 2'!D27+'21_Bicske Város Önkor 2'!G27+'21_Bicske Város Önkor 2'!J27+'21_Bicske Város Önkor 2'!M27+'22_Bicske Város Önkor 3'!D27+'22_Bicske Város Önkor 3'!G27+'22_Bicske Város Önkor 3'!J27+'22_Bicske Város Önkor 3'!M27+'23_Bicske Város Önkor 4'!D27+'23_Bicske Város Önkor 4'!G27+'23_Bicske Város Önkor 4'!J27+'23_Bicske Város Önkor 4'!M27+'24_Bicske Város Önkor 5'!D27)</f>
        <v>0</v>
      </c>
      <c r="H27" s="1055"/>
      <c r="I27" s="1010">
        <f>SUM('19_Polgármesteri H.l'!L27)</f>
        <v>0</v>
      </c>
      <c r="J27" s="1010">
        <f>SUM('19_Polgármesteri H.l'!M27)</f>
        <v>0</v>
      </c>
      <c r="K27" s="1057"/>
      <c r="L27" s="1017">
        <f>SUM('17_Bicskei Egy Műv. Közp, '!R27+'18_Kapcsolat Központ'!O27)</f>
        <v>0</v>
      </c>
      <c r="M27" s="1017">
        <f>SUM('17_Bicskei Egy Műv. Közp, '!S27+'18_Kapcsolat Központ'!P27+'18_Kapcsolat Központ'!S27)</f>
        <v>0</v>
      </c>
      <c r="N27" s="1057"/>
      <c r="O27" s="1010">
        <f t="shared" si="0"/>
        <v>0</v>
      </c>
      <c r="P27" s="1010">
        <f t="shared" si="0"/>
        <v>0</v>
      </c>
      <c r="Q27" s="1057"/>
      <c r="R27" s="1013"/>
      <c r="S27" s="1091"/>
    </row>
    <row r="28" spans="1:19" s="1014" customFormat="1" ht="17.25" customHeight="1" thickBot="1">
      <c r="A28" s="1029" t="s">
        <v>99</v>
      </c>
      <c r="B28" s="1030" t="s">
        <v>113</v>
      </c>
      <c r="C28" s="1031"/>
      <c r="D28" s="1017"/>
      <c r="E28" s="1032"/>
      <c r="F28" s="1012">
        <f>SUM('20_Bicske Város Önkor 1'!C28+'20_Bicske Város Önkor 1'!F28+'20_Bicske Város Önkor 1'!I28+'20_Bicske Város Önkor 1'!L28+'21_Bicske Város Önkor 2'!C28+'21_Bicske Város Önkor 2'!F28+'21_Bicske Város Önkor 2'!I28+'21_Bicske Város Önkor 2'!L28+'22_Bicske Város Önkor 3'!C28+'22_Bicske Város Önkor 3'!F28+'22_Bicske Város Önkor 3'!I28+'22_Bicske Város Önkor 3'!L28+'23_Bicske Város Önkor 4'!C28+'23_Bicske Város Önkor 4'!F28+'23_Bicske Város Önkor 4'!I28+'23_Bicske Város Önkor 4'!L28+'24_Bicske Város Önkor 5'!C28)</f>
        <v>0</v>
      </c>
      <c r="G28" s="1012">
        <f>SUM('20_Bicske Város Önkor 1'!D28+'20_Bicske Város Önkor 1'!G28+'20_Bicske Város Önkor 1'!J28+'20_Bicske Város Önkor 1'!M28+'21_Bicske Város Önkor 2'!D28+'21_Bicske Város Önkor 2'!G28+'21_Bicske Város Önkor 2'!J28+'21_Bicske Város Önkor 2'!M28+'22_Bicske Város Önkor 3'!D28+'22_Bicske Város Önkor 3'!G28+'22_Bicske Város Önkor 3'!J28+'22_Bicske Város Önkor 3'!M28+'23_Bicske Város Önkor 4'!D28+'23_Bicske Város Önkor 4'!G28+'23_Bicske Város Önkor 4'!J28+'23_Bicske Város Önkor 4'!M28+'24_Bicske Város Önkor 5'!D28)</f>
        <v>0</v>
      </c>
      <c r="H28" s="1017"/>
      <c r="I28" s="1010">
        <f>SUM('19_Polgármesteri H.l'!L28)</f>
        <v>0</v>
      </c>
      <c r="J28" s="1010">
        <f>SUM('19_Polgármesteri H.l'!M28)</f>
        <v>0</v>
      </c>
      <c r="K28" s="1033"/>
      <c r="L28" s="1017">
        <f>SUM('17_Bicskei Egy Műv. Közp, '!R28+'18_Kapcsolat Központ'!O28)</f>
        <v>0</v>
      </c>
      <c r="M28" s="1017">
        <f>SUM('17_Bicskei Egy Műv. Közp, '!S28+'18_Kapcsolat Központ'!P28+'18_Kapcsolat Központ'!S28)</f>
        <v>0</v>
      </c>
      <c r="N28" s="1033"/>
      <c r="O28" s="1010">
        <f t="shared" si="0"/>
        <v>0</v>
      </c>
      <c r="P28" s="1010">
        <f t="shared" si="0"/>
        <v>0</v>
      </c>
      <c r="Q28" s="1033"/>
      <c r="R28" s="1013"/>
      <c r="S28" s="1091"/>
    </row>
    <row r="29" spans="1:19" s="1014" customFormat="1" ht="17.25" customHeight="1" thickBot="1">
      <c r="A29" s="1058" t="s">
        <v>101</v>
      </c>
      <c r="B29" s="1059" t="s">
        <v>114</v>
      </c>
      <c r="C29" s="1060"/>
      <c r="D29" s="1061"/>
      <c r="E29" s="1062"/>
      <c r="F29" s="1012">
        <f>SUM('20_Bicske Város Önkor 1'!C29+'20_Bicske Város Önkor 1'!F29+'20_Bicske Város Önkor 1'!I29+'20_Bicske Város Önkor 1'!L29+'21_Bicske Város Önkor 2'!C29+'21_Bicske Város Önkor 2'!F29+'21_Bicske Város Önkor 2'!I29+'21_Bicske Város Önkor 2'!L29+'22_Bicske Város Önkor 3'!C29+'22_Bicske Város Önkor 3'!F29+'22_Bicske Város Önkor 3'!I29+'22_Bicske Város Önkor 3'!L29+'23_Bicske Város Önkor 4'!C29+'23_Bicske Város Önkor 4'!F29+'23_Bicske Város Önkor 4'!I29+'23_Bicske Város Önkor 4'!L29+'24_Bicske Város Önkor 5'!C29)</f>
        <v>0</v>
      </c>
      <c r="G29" s="1012">
        <f>SUM('20_Bicske Város Önkor 1'!D29+'20_Bicske Város Önkor 1'!G29+'20_Bicske Város Önkor 1'!J29+'20_Bicske Város Önkor 1'!M29+'21_Bicske Város Önkor 2'!D29+'21_Bicske Város Önkor 2'!G29+'21_Bicske Város Önkor 2'!J29+'21_Bicske Város Önkor 2'!M29+'22_Bicske Város Önkor 3'!D29+'22_Bicske Város Önkor 3'!G29+'22_Bicske Város Önkor 3'!J29+'22_Bicske Város Önkor 3'!M29+'23_Bicske Város Önkor 4'!D29+'23_Bicske Város Önkor 4'!G29+'23_Bicske Város Önkor 4'!J29+'23_Bicske Város Önkor 4'!M29+'24_Bicske Város Önkor 5'!D29)</f>
        <v>0</v>
      </c>
      <c r="H29" s="1061"/>
      <c r="I29" s="1010">
        <f>SUM('19_Polgármesteri H.l'!L29)</f>
        <v>0</v>
      </c>
      <c r="J29" s="1010">
        <f>SUM('19_Polgármesteri H.l'!M29)</f>
        <v>0</v>
      </c>
      <c r="K29" s="1063"/>
      <c r="L29" s="1017">
        <f>SUM('17_Bicskei Egy Műv. Közp, '!R29+'18_Kapcsolat Központ'!O29)</f>
        <v>0</v>
      </c>
      <c r="M29" s="1017">
        <f>SUM('17_Bicskei Egy Műv. Közp, '!S29+'18_Kapcsolat Központ'!P29+'18_Kapcsolat Központ'!S29)</f>
        <v>0</v>
      </c>
      <c r="N29" s="1063"/>
      <c r="O29" s="1010">
        <f t="shared" si="0"/>
        <v>0</v>
      </c>
      <c r="P29" s="1010">
        <f t="shared" si="0"/>
        <v>0</v>
      </c>
      <c r="Q29" s="1063"/>
      <c r="R29" s="1013"/>
      <c r="S29" s="1091"/>
    </row>
    <row r="30" spans="1:19" s="1028" customFormat="1" ht="17.25" customHeight="1" thickBot="1">
      <c r="A30" s="1037" t="s">
        <v>103</v>
      </c>
      <c r="B30" s="1064" t="s">
        <v>115</v>
      </c>
      <c r="C30" s="1065"/>
      <c r="D30" s="1066"/>
      <c r="E30" s="1067"/>
      <c r="F30" s="1012">
        <f>SUM('20_Bicske Város Önkor 1'!C30+'20_Bicske Város Önkor 1'!F30+'20_Bicske Város Önkor 1'!I30+'20_Bicske Város Önkor 1'!L30+'21_Bicske Város Önkor 2'!C30+'21_Bicske Város Önkor 2'!F30+'21_Bicske Város Önkor 2'!I30+'21_Bicske Város Önkor 2'!L30+'22_Bicske Város Önkor 3'!C30+'22_Bicske Város Önkor 3'!F30+'22_Bicske Város Önkor 3'!I30+'22_Bicske Város Önkor 3'!L30+'23_Bicske Város Önkor 4'!C30+'23_Bicske Város Önkor 4'!F30+'23_Bicske Város Önkor 4'!I30+'23_Bicske Város Önkor 4'!L30+'24_Bicske Város Önkor 5'!C30)</f>
        <v>0</v>
      </c>
      <c r="G30" s="1012">
        <f>SUM('20_Bicske Város Önkor 1'!D30+'20_Bicske Város Önkor 1'!G30+'20_Bicske Város Önkor 1'!J30+'20_Bicske Város Önkor 1'!M30+'21_Bicske Város Önkor 2'!D30+'21_Bicske Város Önkor 2'!G30+'21_Bicske Város Önkor 2'!J30+'21_Bicske Város Önkor 2'!M30+'22_Bicske Város Önkor 3'!D30+'22_Bicske Város Önkor 3'!G30+'22_Bicske Város Önkor 3'!J30+'22_Bicske Város Önkor 3'!M30+'23_Bicske Város Önkor 4'!D30+'23_Bicske Város Önkor 4'!G30+'23_Bicske Város Önkor 4'!J30+'23_Bicske Város Önkor 4'!M30+'24_Bicske Város Önkor 5'!D30)</f>
        <v>0</v>
      </c>
      <c r="H30" s="1066"/>
      <c r="I30" s="1010">
        <f>SUM('19_Polgármesteri H.l'!L30)</f>
        <v>0</v>
      </c>
      <c r="J30" s="1010">
        <f>SUM('19_Polgármesteri H.l'!M30)</f>
        <v>0</v>
      </c>
      <c r="K30" s="1068"/>
      <c r="L30" s="1017">
        <f>SUM('17_Bicskei Egy Műv. Közp, '!R30+'18_Kapcsolat Központ'!O30)</f>
        <v>0</v>
      </c>
      <c r="M30" s="1017">
        <f>SUM('17_Bicskei Egy Műv. Közp, '!S30+'18_Kapcsolat Központ'!P30+'18_Kapcsolat Központ'!S30)</f>
        <v>0</v>
      </c>
      <c r="N30" s="1068"/>
      <c r="O30" s="1010">
        <f t="shared" si="0"/>
        <v>0</v>
      </c>
      <c r="P30" s="1010">
        <f t="shared" si="0"/>
        <v>0</v>
      </c>
      <c r="Q30" s="1069"/>
      <c r="R30" s="1013"/>
      <c r="S30" s="1091"/>
    </row>
    <row r="31" spans="1:19" s="1014" customFormat="1" ht="17.25" customHeight="1" thickBot="1">
      <c r="A31" s="1070" t="s">
        <v>104</v>
      </c>
      <c r="B31" s="1071" t="s">
        <v>116</v>
      </c>
      <c r="C31" s="1072"/>
      <c r="D31" s="1073"/>
      <c r="E31" s="1074"/>
      <c r="F31" s="1012">
        <f>SUM('20_Bicske Város Önkor 1'!C31+'20_Bicske Város Önkor 1'!F31+'20_Bicske Város Önkor 1'!I31+'20_Bicske Város Önkor 1'!L31+'21_Bicske Város Önkor 2'!C31+'21_Bicske Város Önkor 2'!F31+'21_Bicske Város Önkor 2'!I31+'21_Bicske Város Önkor 2'!L31+'22_Bicske Város Önkor 3'!C31+'22_Bicske Város Önkor 3'!F31+'22_Bicske Város Önkor 3'!I31+'22_Bicske Város Önkor 3'!L31+'23_Bicske Város Önkor 4'!C31+'23_Bicske Város Önkor 4'!F31+'23_Bicske Város Önkor 4'!I31+'23_Bicske Város Önkor 4'!L31+'24_Bicske Város Önkor 5'!C31)</f>
        <v>0</v>
      </c>
      <c r="G31" s="1012">
        <f>SUM('20_Bicske Város Önkor 1'!D31+'20_Bicske Város Önkor 1'!G31+'20_Bicske Város Önkor 1'!J31+'20_Bicske Város Önkor 1'!M31+'21_Bicske Város Önkor 2'!D31+'21_Bicske Város Önkor 2'!G31+'21_Bicske Város Önkor 2'!J31+'21_Bicske Város Önkor 2'!M31+'22_Bicske Város Önkor 3'!D31+'22_Bicske Város Önkor 3'!G31+'22_Bicske Város Önkor 3'!J31+'22_Bicske Város Önkor 3'!M31+'23_Bicske Város Önkor 4'!D31+'23_Bicske Város Önkor 4'!G31+'23_Bicske Város Önkor 4'!J31+'23_Bicske Város Önkor 4'!M31+'24_Bicske Város Önkor 5'!D31)</f>
        <v>0</v>
      </c>
      <c r="H31" s="1044"/>
      <c r="I31" s="1010">
        <f>SUM('19_Polgármesteri H.l'!L31)</f>
        <v>0</v>
      </c>
      <c r="J31" s="1010">
        <f>SUM('19_Polgármesteri H.l'!M31)</f>
        <v>0</v>
      </c>
      <c r="K31" s="1075"/>
      <c r="L31" s="1044">
        <f>SUM('17_Bicskei Egy Műv. Közp, '!R31+'18_Kapcsolat Központ'!O31)</f>
        <v>0</v>
      </c>
      <c r="M31" s="1017">
        <f>SUM('17_Bicskei Egy Műv. Közp, '!S31+'18_Kapcsolat Központ'!P31+'18_Kapcsolat Központ'!S31)</f>
        <v>0</v>
      </c>
      <c r="N31" s="1075"/>
      <c r="O31" s="1010">
        <f t="shared" si="0"/>
        <v>0</v>
      </c>
      <c r="P31" s="1010">
        <f t="shared" si="0"/>
        <v>0</v>
      </c>
      <c r="Q31" s="1075"/>
      <c r="R31" s="1013"/>
      <c r="S31" s="1091"/>
    </row>
    <row r="32" spans="1:19" s="1076" customFormat="1" ht="17.25" customHeight="1" thickBot="1">
      <c r="A32" s="1008">
        <v>8</v>
      </c>
      <c r="B32" s="1009" t="s">
        <v>59</v>
      </c>
      <c r="C32" s="1051">
        <f>SUM(C27:C31)</f>
        <v>0</v>
      </c>
      <c r="D32" s="1051">
        <f>SUM(D27:D31)</f>
        <v>0</v>
      </c>
      <c r="E32" s="1051">
        <f>SUM(E27:E31)</f>
        <v>0</v>
      </c>
      <c r="F32" s="1012">
        <f>SUM('20_Bicske Város Önkor 1'!C32+'20_Bicske Város Önkor 1'!F32+'20_Bicske Város Önkor 1'!I32+'20_Bicske Város Önkor 1'!L32+'21_Bicske Város Önkor 2'!C32+'21_Bicske Város Önkor 2'!F32+'21_Bicske Város Önkor 2'!I32+'21_Bicske Város Önkor 2'!L32+'22_Bicske Város Önkor 3'!C32+'22_Bicske Város Önkor 3'!F32+'22_Bicske Város Önkor 3'!I32+'22_Bicske Város Önkor 3'!L32+'23_Bicske Város Önkor 4'!C32+'23_Bicske Város Önkor 4'!F32+'23_Bicske Város Önkor 4'!I32+'23_Bicske Város Önkor 4'!L32+'24_Bicske Város Önkor 5'!C32)</f>
        <v>0</v>
      </c>
      <c r="G32" s="1012">
        <f>SUM('20_Bicske Város Önkor 1'!D32+'20_Bicske Város Önkor 1'!G32+'20_Bicske Város Önkor 1'!J32+'20_Bicske Város Önkor 1'!M32+'21_Bicske Város Önkor 2'!D32+'21_Bicske Város Önkor 2'!G32+'21_Bicske Város Önkor 2'!J32+'21_Bicske Város Önkor 2'!M32+'22_Bicske Város Önkor 3'!D32+'22_Bicske Város Önkor 3'!G32+'22_Bicske Város Önkor 3'!J32+'22_Bicske Város Önkor 3'!M32+'23_Bicske Város Önkor 4'!D32+'23_Bicske Város Önkor 4'!G32+'23_Bicske Város Önkor 4'!J32+'23_Bicske Város Önkor 4'!M32+'24_Bicske Város Önkor 5'!D32)</f>
        <v>0</v>
      </c>
      <c r="H32" s="1051"/>
      <c r="I32" s="1010">
        <f>SUM('19_Polgármesteri H.l'!L32)</f>
        <v>0</v>
      </c>
      <c r="J32" s="1051">
        <f>SUM(J27:J31)</f>
        <v>0</v>
      </c>
      <c r="K32" s="1051">
        <f>SUM(K27:K31)</f>
        <v>0</v>
      </c>
      <c r="L32" s="1010">
        <f>SUM('17_Bicskei Egy Műv. Közp, '!R32+'18_Kapcsolat Központ'!O32)</f>
        <v>0</v>
      </c>
      <c r="M32" s="1051">
        <f>SUM(M27:M31)</f>
        <v>0</v>
      </c>
      <c r="N32" s="1051">
        <f>SUM(N27:N31)</f>
        <v>0</v>
      </c>
      <c r="O32" s="1010">
        <f t="shared" si="0"/>
        <v>0</v>
      </c>
      <c r="P32" s="1051">
        <f>SUM(P27:P31)</f>
        <v>0</v>
      </c>
      <c r="Q32" s="1262">
        <f>SUM(Q27:Q31)</f>
        <v>0</v>
      </c>
      <c r="R32" s="1013"/>
      <c r="S32" s="1091"/>
    </row>
    <row r="33" spans="1:19" s="1014" customFormat="1" ht="17.25" customHeight="1" thickBot="1">
      <c r="A33" s="1008">
        <v>9</v>
      </c>
      <c r="B33" s="1009" t="s">
        <v>117</v>
      </c>
      <c r="C33" s="1051"/>
      <c r="D33" s="1010"/>
      <c r="E33" s="1011"/>
      <c r="F33" s="1012">
        <f>SUM('21_Bicske Város Önkor 2'!I33+'23_Bicske Város Önkor 4'!F33)</f>
        <v>11681</v>
      </c>
      <c r="G33" s="1012">
        <f>SUM('21_Bicske Város Önkor 2'!J33+'23_Bicske Város Önkor 4'!G33)</f>
        <v>11681</v>
      </c>
      <c r="H33" s="1011"/>
      <c r="I33" s="1010">
        <f>SUM('19_Polgármesteri H.l'!L33)</f>
        <v>0</v>
      </c>
      <c r="J33" s="1010">
        <f>SUM('19_Polgármesteri H.l'!M33)</f>
        <v>0</v>
      </c>
      <c r="K33" s="1011"/>
      <c r="L33" s="1051"/>
      <c r="M33" s="1010"/>
      <c r="N33" s="1011"/>
      <c r="O33" s="1010">
        <v>11681</v>
      </c>
      <c r="P33" s="1010">
        <v>11681</v>
      </c>
      <c r="Q33" s="1011"/>
      <c r="R33" s="1013"/>
      <c r="S33" s="1091"/>
    </row>
    <row r="34" spans="1:19" s="1080" customFormat="1" ht="17.25" customHeight="1" thickBot="1">
      <c r="A34" s="1077" t="s">
        <v>118</v>
      </c>
      <c r="B34" s="1078" t="s">
        <v>147</v>
      </c>
      <c r="C34" s="1079">
        <f>SUM(C12+C13+C14+C15+C24+C25+C26+C32+C33)</f>
        <v>6600</v>
      </c>
      <c r="D34" s="1079">
        <f>SUM(D12+D13+D14+D15+D24+D25+D26+D32+D33)</f>
        <v>6600</v>
      </c>
      <c r="E34" s="1079">
        <f>SUM(E12+E13+E14+E15+E24+E25+E26+E32+E33)</f>
        <v>0</v>
      </c>
      <c r="F34" s="1012">
        <f>SUM('20_Bicske Város Önkor 1'!C34+'20_Bicske Város Önkor 1'!F34+'20_Bicske Város Önkor 1'!I34+'20_Bicske Város Önkor 1'!L34+'21_Bicske Város Önkor 2'!C34+'21_Bicske Város Önkor 2'!F34+'21_Bicske Város Önkor 2'!I34+'21_Bicske Város Önkor 2'!L34+'22_Bicske Város Önkor 3'!C34+'22_Bicske Város Önkor 3'!F34+'22_Bicske Város Önkor 3'!I34+'22_Bicske Város Önkor 3'!L34+'23_Bicske Város Önkor 4'!C34+'23_Bicske Város Önkor 4'!F34+'23_Bicske Város Önkor 4'!I34+'23_Bicske Város Önkor 4'!L34+'24_Bicske Város Önkor 5'!C34)+1469682</f>
        <v>4295375</v>
      </c>
      <c r="G34" s="1012">
        <f>SUM('20_Bicske Város Önkor 1'!D34+'20_Bicske Város Önkor 1'!G34+'20_Bicske Város Önkor 1'!J34+'20_Bicske Város Önkor 1'!M34+'21_Bicske Város Önkor 2'!D34+'21_Bicske Város Önkor 2'!G34+'21_Bicske Város Önkor 2'!J34+'21_Bicske Város Önkor 2'!M34+'22_Bicske Város Önkor 3'!D34+'22_Bicske Város Önkor 3'!G34+'22_Bicske Város Önkor 3'!J34+'22_Bicske Város Önkor 3'!M34+'23_Bicske Város Önkor 4'!D34+'23_Bicske Város Önkor 4'!G34+'23_Bicske Város Önkor 4'!J34+'23_Bicske Város Önkor 4'!M34+'24_Bicske Város Önkor 5'!D34)+1469682+777+4432+771+470+3077+550</f>
        <v>4974113</v>
      </c>
      <c r="H34" s="1079"/>
      <c r="I34" s="1079">
        <f aca="true" t="shared" si="2" ref="I34:Q34">SUM(I12+I13+I14+I15+I24+I25+I26+I32+I33)</f>
        <v>430803</v>
      </c>
      <c r="J34" s="1079">
        <f t="shared" si="2"/>
        <v>434931</v>
      </c>
      <c r="K34" s="1079">
        <f t="shared" si="2"/>
        <v>0</v>
      </c>
      <c r="L34" s="1079">
        <f>SUM(L12+L13+L14+L15+L24+L25+L26+L32+L33)</f>
        <v>1285835</v>
      </c>
      <c r="M34" s="1079">
        <f>SUM(M12+M13+M14+M15+M24+M25+M26+M32+M33)</f>
        <v>1331608</v>
      </c>
      <c r="N34" s="1079">
        <f t="shared" si="2"/>
        <v>0</v>
      </c>
      <c r="O34" s="1079">
        <f>SUM(O12+O13+O14+O15+O24+O25+O26+O32+O33)</f>
        <v>4542331</v>
      </c>
      <c r="P34" s="1079">
        <f>SUM(P12+P13+P14+P15+P24+P25+P26+P32+P33)</f>
        <v>5260893</v>
      </c>
      <c r="Q34" s="1263">
        <f t="shared" si="2"/>
        <v>0</v>
      </c>
      <c r="R34" s="1013"/>
      <c r="S34" s="1091"/>
    </row>
    <row r="35" spans="1:19" s="1014" customFormat="1" ht="17.25" customHeight="1" thickBot="1" thickTop="1">
      <c r="A35" s="1081"/>
      <c r="B35" s="1082" t="s">
        <v>120</v>
      </c>
      <c r="C35" s="1083"/>
      <c r="D35" s="1084"/>
      <c r="E35" s="1085"/>
      <c r="F35" s="1086"/>
      <c r="G35" s="1086"/>
      <c r="H35" s="1086"/>
      <c r="I35" s="1083"/>
      <c r="J35" s="1084"/>
      <c r="K35" s="1085"/>
      <c r="L35" s="1083"/>
      <c r="M35" s="1084"/>
      <c r="N35" s="1085"/>
      <c r="O35" s="1083"/>
      <c r="P35" s="1084"/>
      <c r="Q35" s="1085"/>
      <c r="R35" s="1013"/>
      <c r="S35" s="1091"/>
    </row>
    <row r="36" spans="1:19" s="1014" customFormat="1" ht="17.25" customHeight="1">
      <c r="A36" s="1087" t="s">
        <v>97</v>
      </c>
      <c r="B36" s="1660" t="s">
        <v>121</v>
      </c>
      <c r="C36" s="1670"/>
      <c r="D36" s="1670"/>
      <c r="E36" s="1670"/>
      <c r="F36" s="1671">
        <f>SUM('20_Bicske Város Önkor 1'!C36+'20_Bicske Város Önkor 1'!F36+'20_Bicske Város Önkor 1'!I36+'20_Bicske Város Önkor 1'!L36+'21_Bicske Város Önkor 2'!C36+'21_Bicske Város Önkor 2'!F36+'21_Bicske Város Önkor 2'!I36+'21_Bicske Város Önkor 2'!L36+'22_Bicske Város Önkor 3'!C36+'22_Bicske Város Önkor 3'!F36+'22_Bicske Város Önkor 3'!I36+'22_Bicske Város Önkor 3'!L36+'23_Bicske Város Önkor 4'!C36+'23_Bicske Város Önkor 4'!F36+'23_Bicske Város Önkor 4'!I36+'23_Bicske Város Önkor 4'!L36+'24_Bicske Város Önkor 5'!C36)</f>
        <v>445892</v>
      </c>
      <c r="G36" s="1671">
        <f>SUM('20_Bicske Város Önkor 1'!D36+'20_Bicske Város Önkor 1'!G36+'20_Bicske Város Önkor 1'!J36+'20_Bicske Város Önkor 1'!M36+'21_Bicske Város Önkor 2'!D36+'21_Bicske Város Önkor 2'!G36+'21_Bicske Város Önkor 2'!J36+'21_Bicske Város Önkor 2'!M36+'22_Bicske Város Önkor 3'!D36+'22_Bicske Város Önkor 3'!G36+'22_Bicske Város Önkor 3'!J36+'22_Bicske Város Önkor 3'!M36+'23_Bicske Város Önkor 4'!D36+'23_Bicske Város Önkor 4'!G36+'23_Bicske Város Önkor 4'!J36+'23_Bicske Város Önkor 4'!M36+'24_Bicske Város Önkor 5'!D36)</f>
        <v>456259</v>
      </c>
      <c r="H36" s="1670"/>
      <c r="I36" s="1670">
        <f>SUM('19_Polgármesteri H.l'!L36)</f>
        <v>0</v>
      </c>
      <c r="J36" s="1670">
        <f>SUM('19_Polgármesteri H.l'!M36)</f>
        <v>0</v>
      </c>
      <c r="K36" s="1670"/>
      <c r="L36" s="1670">
        <f>SUM('17_Bicskei Egy Műv. Közp, '!R36+'18_Kapcsolat Központ'!O36)</f>
        <v>0</v>
      </c>
      <c r="M36" s="1670">
        <f>SUM('17_Bicskei Egy Műv. Közp, '!S36+'18_Kapcsolat Központ'!S36+'18_Kapcsolat Központ'!P36)</f>
        <v>0</v>
      </c>
      <c r="N36" s="1670"/>
      <c r="O36" s="1670">
        <f aca="true" t="shared" si="3" ref="O36:P58">SUM(F36+I36+L36)</f>
        <v>445892</v>
      </c>
      <c r="P36" s="1670">
        <f t="shared" si="3"/>
        <v>456259</v>
      </c>
      <c r="Q36" s="1670"/>
      <c r="R36" s="1013"/>
      <c r="S36" s="1091"/>
    </row>
    <row r="37" spans="1:19" s="1014" customFormat="1" ht="17.25" customHeight="1">
      <c r="A37" s="1029" t="s">
        <v>99</v>
      </c>
      <c r="B37" s="1661">
        <v>1500000</v>
      </c>
      <c r="C37" s="1090"/>
      <c r="D37" s="1090"/>
      <c r="E37" s="1672"/>
      <c r="F37" s="1673">
        <f>SUM('20_Bicske Város Önkor 1'!C37+'20_Bicske Város Önkor 1'!F37+'20_Bicske Város Önkor 1'!I37+'20_Bicske Város Önkor 1'!L37+'21_Bicske Város Önkor 2'!C37+'21_Bicske Város Önkor 2'!F37+'21_Bicske Város Önkor 2'!I37+'21_Bicske Város Önkor 2'!L37+'22_Bicske Város Önkor 3'!C37+'22_Bicske Város Önkor 3'!F37+'22_Bicske Város Önkor 3'!I37+'22_Bicske Város Önkor 3'!L37+'23_Bicske Város Önkor 4'!C37+'23_Bicske Város Önkor 4'!F37+'23_Bicske Város Önkor 4'!I37+'23_Bicske Város Önkor 4'!L37+'24_Bicske Város Önkor 5'!C37)</f>
        <v>0</v>
      </c>
      <c r="G37" s="1673">
        <f>SUM('20_Bicske Város Önkor 1'!D37+'20_Bicske Város Önkor 1'!G37+'20_Bicske Város Önkor 1'!J37+'20_Bicske Város Önkor 1'!M37+'21_Bicske Város Önkor 2'!D37+'21_Bicske Város Önkor 2'!G37+'21_Bicske Város Önkor 2'!J37+'21_Bicske Város Önkor 2'!M37+'22_Bicske Város Önkor 3'!D37+'22_Bicske Város Önkor 3'!G37+'22_Bicske Város Önkor 3'!J37+'22_Bicske Város Önkor 3'!M37+'23_Bicske Város Önkor 4'!D37+'23_Bicske Város Önkor 4'!G37+'23_Bicske Város Önkor 4'!J37+'23_Bicske Város Önkor 4'!M37+'24_Bicske Város Önkor 5'!D37)</f>
        <v>0</v>
      </c>
      <c r="H37" s="1672"/>
      <c r="I37" s="1090">
        <f>SUM('19_Polgármesteri H.l'!L37)</f>
        <v>0</v>
      </c>
      <c r="J37" s="1090">
        <f>SUM('19_Polgármesteri H.l'!M37)</f>
        <v>0</v>
      </c>
      <c r="K37" s="1672"/>
      <c r="L37" s="1090">
        <f>SUM('17_Bicskei Egy Műv. Közp, '!R37+'18_Kapcsolat Központ'!O37)</f>
        <v>0</v>
      </c>
      <c r="M37" s="1090">
        <f>SUM('17_Bicskei Egy Műv. Közp, '!S37+'18_Kapcsolat Központ'!S37+'18_Kapcsolat Központ'!P37)</f>
        <v>0</v>
      </c>
      <c r="N37" s="1672"/>
      <c r="O37" s="1090">
        <f t="shared" si="3"/>
        <v>0</v>
      </c>
      <c r="P37" s="1090">
        <f t="shared" si="3"/>
        <v>0</v>
      </c>
      <c r="Q37" s="1672"/>
      <c r="R37" s="1013"/>
      <c r="S37" s="1091"/>
    </row>
    <row r="38" spans="1:19" s="1014" customFormat="1" ht="17.25" customHeight="1">
      <c r="A38" s="1029" t="s">
        <v>101</v>
      </c>
      <c r="B38" s="1661" t="s">
        <v>122</v>
      </c>
      <c r="C38" s="1090"/>
      <c r="D38" s="1090"/>
      <c r="E38" s="1672"/>
      <c r="F38" s="1673">
        <f>SUM('20_Bicske Város Önkor 1'!C38+'20_Bicske Város Önkor 1'!F38+'20_Bicske Város Önkor 1'!I38+'20_Bicske Város Önkor 1'!L38+'21_Bicske Város Önkor 2'!C38+'21_Bicske Város Önkor 2'!F38+'21_Bicske Város Önkor 2'!I38+'21_Bicske Város Önkor 2'!L38+'22_Bicske Város Önkor 3'!C38+'22_Bicske Város Önkor 3'!F38+'22_Bicske Város Önkor 3'!I38+'22_Bicske Város Önkor 3'!L38+'23_Bicske Város Önkor 4'!C38+'23_Bicske Város Önkor 4'!F38+'23_Bicske Város Önkor 4'!I38+'23_Bicske Város Önkor 4'!L38+'24_Bicske Város Önkor 5'!C38)</f>
        <v>0</v>
      </c>
      <c r="G38" s="1673">
        <f>SUM('20_Bicske Város Önkor 1'!D38+'20_Bicske Város Önkor 1'!G38+'20_Bicske Város Önkor 1'!J38+'20_Bicske Város Önkor 1'!M38+'21_Bicske Város Önkor 2'!D38+'21_Bicske Város Önkor 2'!G38+'21_Bicske Város Önkor 2'!J38+'21_Bicske Város Önkor 2'!M38+'22_Bicske Város Önkor 3'!D38+'22_Bicske Város Önkor 3'!G38+'22_Bicske Város Önkor 3'!J38+'22_Bicske Város Önkor 3'!M38+'23_Bicske Város Önkor 4'!D38+'23_Bicske Város Önkor 4'!G38+'23_Bicske Város Önkor 4'!J38+'23_Bicske Város Önkor 4'!M38+'24_Bicske Város Önkor 5'!D38)</f>
        <v>0</v>
      </c>
      <c r="H38" s="1672"/>
      <c r="I38" s="1090">
        <f>SUM('19_Polgármesteri H.l'!L38)</f>
        <v>0</v>
      </c>
      <c r="J38" s="1090">
        <f>SUM('19_Polgármesteri H.l'!M38)</f>
        <v>0</v>
      </c>
      <c r="K38" s="1672"/>
      <c r="L38" s="1090">
        <f>SUM('17_Bicskei Egy Műv. Közp, '!R38+'18_Kapcsolat Központ'!O38)</f>
        <v>0</v>
      </c>
      <c r="M38" s="1090">
        <f>SUM('17_Bicskei Egy Műv. Közp, '!S38+'18_Kapcsolat Központ'!S38+'18_Kapcsolat Központ'!P38)</f>
        <v>0</v>
      </c>
      <c r="N38" s="1672"/>
      <c r="O38" s="1090">
        <f t="shared" si="3"/>
        <v>0</v>
      </c>
      <c r="P38" s="1090">
        <f t="shared" si="3"/>
        <v>0</v>
      </c>
      <c r="Q38" s="1672"/>
      <c r="R38" s="1013"/>
      <c r="S38" s="1091"/>
    </row>
    <row r="39" spans="1:19" s="1014" customFormat="1" ht="17.25" customHeight="1">
      <c r="A39" s="1029" t="s">
        <v>103</v>
      </c>
      <c r="B39" s="1661" t="s">
        <v>123</v>
      </c>
      <c r="C39" s="1090"/>
      <c r="D39" s="1090"/>
      <c r="E39" s="1672"/>
      <c r="F39" s="1673">
        <f>SUM('20_Bicske Város Önkor 1'!C39+'20_Bicske Város Önkor 1'!F39+'20_Bicske Város Önkor 1'!I39+'20_Bicske Város Önkor 1'!L39+'21_Bicske Város Önkor 2'!C39+'21_Bicske Város Önkor 2'!F39+'21_Bicske Város Önkor 2'!I39+'21_Bicske Város Önkor 2'!L39+'22_Bicske Város Önkor 3'!C39+'22_Bicske Város Önkor 3'!F39+'22_Bicske Város Önkor 3'!I39+'22_Bicske Város Önkor 3'!L39+'23_Bicske Város Önkor 4'!C39+'23_Bicske Város Önkor 4'!F39+'23_Bicske Város Önkor 4'!I39+'23_Bicske Város Önkor 4'!L39+'24_Bicske Város Önkor 5'!C39)</f>
        <v>88413</v>
      </c>
      <c r="G39" s="1673">
        <f>SUM('20_Bicske Város Önkor 1'!D39+'20_Bicske Város Önkor 1'!G39+'20_Bicske Város Önkor 1'!J39+'20_Bicske Város Önkor 1'!M39+'21_Bicske Város Önkor 2'!D39+'21_Bicske Város Önkor 2'!G39+'21_Bicske Város Önkor 2'!J39+'21_Bicske Város Önkor 2'!M39+'22_Bicske Város Önkor 3'!D39+'22_Bicske Város Önkor 3'!G39+'22_Bicske Város Önkor 3'!J39+'22_Bicske Város Önkor 3'!M39+'23_Bicske Város Önkor 4'!D39+'23_Bicske Város Önkor 4'!G39+'23_Bicske Város Önkor 4'!J39+'23_Bicske Város Önkor 4'!M39+'24_Bicske Város Önkor 5'!D39)</f>
        <v>90957</v>
      </c>
      <c r="H39" s="1672"/>
      <c r="I39" s="1090">
        <f>SUM('19_Polgármesteri H.l'!L39)</f>
        <v>0</v>
      </c>
      <c r="J39" s="1090">
        <f>SUM('19_Polgármesteri H.l'!M39)</f>
        <v>3983</v>
      </c>
      <c r="K39" s="1672"/>
      <c r="L39" s="1090">
        <f>SUM('17_Bicskei Egy Műv. Közp, '!R39+'18_Kapcsolat Központ'!O39+'18_Kapcsolat Központ'!R39)</f>
        <v>41571</v>
      </c>
      <c r="M39" s="1090">
        <f>SUM('17_Bicskei Egy Műv. Közp, '!S39+'18_Kapcsolat Központ'!S39+'18_Kapcsolat Központ'!P39)</f>
        <v>76823</v>
      </c>
      <c r="N39" s="1672"/>
      <c r="O39" s="1090">
        <f t="shared" si="3"/>
        <v>129984</v>
      </c>
      <c r="P39" s="1090">
        <f t="shared" si="3"/>
        <v>171763</v>
      </c>
      <c r="Q39" s="1672"/>
      <c r="R39" s="1013"/>
      <c r="S39" s="1091"/>
    </row>
    <row r="40" spans="1:19" s="1089" customFormat="1" ht="17.25" customHeight="1">
      <c r="A40" s="1088">
        <v>1</v>
      </c>
      <c r="B40" s="1662" t="s">
        <v>124</v>
      </c>
      <c r="C40" s="1264">
        <f>SUM(C36:C39)</f>
        <v>0</v>
      </c>
      <c r="D40" s="1264">
        <f>SUM(D36:D39)</f>
        <v>0</v>
      </c>
      <c r="E40" s="1264">
        <f>SUM(E36:E39)</f>
        <v>0</v>
      </c>
      <c r="F40" s="1674">
        <f>SUM('20_Bicske Város Önkor 1'!C40+'20_Bicske Város Önkor 1'!F40+'20_Bicske Város Önkor 1'!I40+'20_Bicske Város Önkor 1'!L40+'21_Bicske Város Önkor 2'!C40+'21_Bicske Város Önkor 2'!F40+'21_Bicske Város Önkor 2'!I40+'21_Bicske Város Önkor 2'!L40+'22_Bicske Város Önkor 3'!C40+'22_Bicske Város Önkor 3'!F40+'22_Bicske Város Önkor 3'!I40+'22_Bicske Város Önkor 3'!L40+'23_Bicske Város Önkor 4'!C40+'23_Bicske Város Önkor 4'!F40+'23_Bicske Város Önkor 4'!I40+'23_Bicske Város Önkor 4'!L40+'24_Bicske Város Önkor 5'!C40)</f>
        <v>534305</v>
      </c>
      <c r="G40" s="1674">
        <f>SUM('20_Bicske Város Önkor 1'!D40+'20_Bicske Város Önkor 1'!G40+'20_Bicske Város Önkor 1'!J40+'20_Bicske Város Önkor 1'!M40+'21_Bicske Város Önkor 2'!D40+'21_Bicske Város Önkor 2'!G40+'21_Bicske Város Önkor 2'!J40+'21_Bicske Város Önkor 2'!M40+'22_Bicske Város Önkor 3'!D40+'22_Bicske Város Önkor 3'!G40+'22_Bicske Város Önkor 3'!J40+'22_Bicske Város Önkor 3'!M40+'23_Bicske Város Önkor 4'!D40+'23_Bicske Város Önkor 4'!G40+'23_Bicske Város Önkor 4'!J40+'23_Bicske Város Önkor 4'!M40+'24_Bicske Város Önkor 5'!D40)</f>
        <v>547216</v>
      </c>
      <c r="H40" s="1264"/>
      <c r="I40" s="1090">
        <f>SUM('19_Polgármesteri H.l'!L40)</f>
        <v>0</v>
      </c>
      <c r="J40" s="1264">
        <f>SUM(J36:J39)</f>
        <v>3983</v>
      </c>
      <c r="K40" s="1264">
        <f>SUM(K36:K39)</f>
        <v>0</v>
      </c>
      <c r="L40" s="1090">
        <f>SUM('17_Bicskei Egy Műv. Közp, '!R40+'18_Kapcsolat Központ'!O40)</f>
        <v>41571</v>
      </c>
      <c r="M40" s="1090">
        <f>SUM('17_Bicskei Egy Műv. Közp, '!S40+'18_Kapcsolat Központ'!S40+'18_Kapcsolat Központ'!P40)</f>
        <v>76823</v>
      </c>
      <c r="N40" s="1264">
        <f>SUM(N36:N39)</f>
        <v>0</v>
      </c>
      <c r="O40" s="1090">
        <f t="shared" si="3"/>
        <v>575876</v>
      </c>
      <c r="P40" s="1264">
        <f>SUM(P36:P39)</f>
        <v>628022</v>
      </c>
      <c r="Q40" s="1264">
        <f>SUM(Q36:Q39)</f>
        <v>0</v>
      </c>
      <c r="R40" s="1013"/>
      <c r="S40" s="1091"/>
    </row>
    <row r="41" spans="1:19" s="1014" customFormat="1" ht="17.25" customHeight="1">
      <c r="A41" s="1029" t="s">
        <v>97</v>
      </c>
      <c r="B41" s="1663" t="s">
        <v>125</v>
      </c>
      <c r="C41" s="1090"/>
      <c r="D41" s="1090"/>
      <c r="E41" s="1672"/>
      <c r="F41" s="1673">
        <f>SUM('20_Bicske Város Önkor 1'!C41+'20_Bicske Város Önkor 1'!F41+'20_Bicske Város Önkor 1'!I41+'20_Bicske Város Önkor 1'!L41+'21_Bicske Város Önkor 2'!C41+'21_Bicske Város Önkor 2'!F41+'21_Bicske Város Önkor 2'!I41+'21_Bicske Város Önkor 2'!L41+'22_Bicske Város Önkor 3'!C41+'22_Bicske Város Önkor 3'!F41+'22_Bicske Város Önkor 3'!I41+'22_Bicske Város Önkor 3'!L41+'23_Bicske Város Önkor 4'!C41+'23_Bicske Város Önkor 4'!F41+'23_Bicske Város Önkor 4'!I41+'23_Bicske Város Önkor 4'!L41+'24_Bicske Város Önkor 5'!C41)</f>
        <v>0</v>
      </c>
      <c r="G41" s="1673">
        <f>SUM('20_Bicske Város Önkor 1'!D41+'20_Bicske Város Önkor 1'!G41+'20_Bicske Város Önkor 1'!J41+'20_Bicske Város Önkor 1'!M41+'21_Bicske Város Önkor 2'!D41+'21_Bicske Város Önkor 2'!G41+'21_Bicske Város Önkor 2'!J41+'21_Bicske Város Önkor 2'!M41+'22_Bicske Város Önkor 3'!D41+'22_Bicske Város Önkor 3'!G41+'22_Bicske Város Önkor 3'!J41+'22_Bicske Város Önkor 3'!M41+'23_Bicske Város Önkor 4'!D41+'23_Bicske Város Önkor 4'!G41+'23_Bicske Város Önkor 4'!J41+'23_Bicske Város Önkor 4'!M41+'24_Bicske Város Önkor 5'!D41)</f>
        <v>0</v>
      </c>
      <c r="H41" s="1672"/>
      <c r="I41" s="1090">
        <f>SUM('19_Polgármesteri H.l'!L41)</f>
        <v>0</v>
      </c>
      <c r="J41" s="1090">
        <f>SUM('19_Polgármesteri H.l'!M41)</f>
        <v>0</v>
      </c>
      <c r="K41" s="1672"/>
      <c r="L41" s="1090">
        <f>SUM('17_Bicskei Egy Műv. Közp, '!R41+'18_Kapcsolat Központ'!O41)</f>
        <v>0</v>
      </c>
      <c r="M41" s="1090">
        <f>SUM('17_Bicskei Egy Műv. Közp, '!S41+'18_Kapcsolat Központ'!S41+'18_Kapcsolat Központ'!P41)</f>
        <v>0</v>
      </c>
      <c r="N41" s="1672"/>
      <c r="O41" s="1090">
        <f t="shared" si="3"/>
        <v>0</v>
      </c>
      <c r="P41" s="1090">
        <f t="shared" si="3"/>
        <v>0</v>
      </c>
      <c r="Q41" s="1672"/>
      <c r="R41" s="1013"/>
      <c r="S41" s="1091"/>
    </row>
    <row r="42" spans="1:19" s="1014" customFormat="1" ht="17.25" customHeight="1">
      <c r="A42" s="1029" t="s">
        <v>99</v>
      </c>
      <c r="B42" s="1661" t="s">
        <v>126</v>
      </c>
      <c r="C42" s="1090"/>
      <c r="D42" s="1090"/>
      <c r="E42" s="1672"/>
      <c r="F42" s="1673">
        <f>SUM('20_Bicske Város Önkor 1'!C42+'20_Bicske Város Önkor 1'!F42+'20_Bicske Város Önkor 1'!I42+'20_Bicske Város Önkor 1'!L42+'21_Bicske Város Önkor 2'!C42+'21_Bicske Város Önkor 2'!F42+'21_Bicske Város Önkor 2'!I42+'21_Bicske Város Önkor 2'!L42+'22_Bicske Város Önkor 3'!C42+'22_Bicske Város Önkor 3'!F42+'22_Bicske Város Önkor 3'!I42+'22_Bicske Város Önkor 3'!L42+'23_Bicske Város Önkor 4'!C42+'23_Bicske Város Önkor 4'!F42+'23_Bicske Város Önkor 4'!I42+'23_Bicske Város Önkor 4'!L42+'24_Bicske Város Önkor 5'!C42)</f>
        <v>208000</v>
      </c>
      <c r="G42" s="1673">
        <f>SUM('20_Bicske Város Önkor 1'!D42+'20_Bicske Város Önkor 1'!G42+'20_Bicske Város Önkor 1'!J42+'20_Bicske Város Önkor 1'!M42+'21_Bicske Város Önkor 2'!D42+'21_Bicske Város Önkor 2'!G42+'21_Bicske Város Önkor 2'!J42+'21_Bicske Város Önkor 2'!M42+'22_Bicske Város Önkor 3'!D42+'22_Bicske Város Önkor 3'!G42+'22_Bicske Város Önkor 3'!J42+'22_Bicske Város Önkor 3'!M42+'23_Bicske Város Önkor 4'!D42+'23_Bicske Város Önkor 4'!G42+'23_Bicske Város Önkor 4'!J42+'23_Bicske Város Önkor 4'!M42+'24_Bicske Város Önkor 5'!D42)</f>
        <v>208000</v>
      </c>
      <c r="H42" s="1672"/>
      <c r="I42" s="1090">
        <f>SUM('19_Polgármesteri H.l'!L42)</f>
        <v>0</v>
      </c>
      <c r="J42" s="1090">
        <f>SUM('19_Polgármesteri H.l'!M42)</f>
        <v>0</v>
      </c>
      <c r="K42" s="1672"/>
      <c r="L42" s="1090">
        <f>SUM('17_Bicskei Egy Műv. Közp, '!R42+'18_Kapcsolat Központ'!O42)</f>
        <v>0</v>
      </c>
      <c r="M42" s="1090">
        <f>SUM('17_Bicskei Egy Műv. Közp, '!S42+'18_Kapcsolat Központ'!S42+'18_Kapcsolat Központ'!P42)</f>
        <v>0</v>
      </c>
      <c r="N42" s="1672"/>
      <c r="O42" s="1090">
        <f t="shared" si="3"/>
        <v>208000</v>
      </c>
      <c r="P42" s="1090">
        <f t="shared" si="3"/>
        <v>208000</v>
      </c>
      <c r="Q42" s="1672"/>
      <c r="R42" s="1013"/>
      <c r="S42" s="1091"/>
    </row>
    <row r="43" spans="1:19" s="1014" customFormat="1" ht="17.25" customHeight="1">
      <c r="A43" s="1029" t="s">
        <v>101</v>
      </c>
      <c r="B43" s="1661" t="s">
        <v>127</v>
      </c>
      <c r="C43" s="1090"/>
      <c r="D43" s="1090"/>
      <c r="E43" s="1672"/>
      <c r="F43" s="1673">
        <f>SUM('20_Bicske Város Önkor 1'!C43+'20_Bicske Város Önkor 1'!F43+'20_Bicske Város Önkor 1'!I43+'20_Bicske Város Önkor 1'!L43+'21_Bicske Város Önkor 2'!C43+'21_Bicske Város Önkor 2'!F43+'21_Bicske Város Önkor 2'!I43+'21_Bicske Város Önkor 2'!L43+'22_Bicske Város Önkor 3'!C43+'22_Bicske Város Önkor 3'!F43+'22_Bicske Város Önkor 3'!I43+'22_Bicske Város Önkor 3'!L43+'23_Bicske Város Önkor 4'!C43+'23_Bicske Város Önkor 4'!F43+'23_Bicske Város Önkor 4'!I43+'23_Bicske Város Önkor 4'!L43+'24_Bicske Város Önkor 5'!C43)</f>
        <v>870000</v>
      </c>
      <c r="G43" s="1673">
        <f>SUM('20_Bicske Város Önkor 1'!D43+'20_Bicske Város Önkor 1'!G43+'20_Bicske Város Önkor 1'!J43+'20_Bicske Város Önkor 1'!M43+'21_Bicske Város Önkor 2'!D43+'21_Bicske Város Önkor 2'!G43+'21_Bicske Város Önkor 2'!J43+'21_Bicske Város Önkor 2'!M43+'22_Bicske Város Önkor 3'!D43+'22_Bicske Város Önkor 3'!G43+'22_Bicske Város Önkor 3'!J43+'22_Bicske Város Önkor 3'!M43+'23_Bicske Város Önkor 4'!D43+'23_Bicske Város Önkor 4'!G43+'23_Bicske Város Önkor 4'!J43+'23_Bicske Város Önkor 4'!M43+'24_Bicske Város Önkor 5'!D43)</f>
        <v>870000</v>
      </c>
      <c r="H43" s="1672"/>
      <c r="I43" s="1090">
        <f>SUM('19_Polgármesteri H.l'!L43)</f>
        <v>0</v>
      </c>
      <c r="J43" s="1090">
        <f>SUM('19_Polgármesteri H.l'!M43)</f>
        <v>0</v>
      </c>
      <c r="K43" s="1672"/>
      <c r="L43" s="1090">
        <f>SUM('17_Bicskei Egy Műv. Közp, '!R43+'18_Kapcsolat Központ'!O43)</f>
        <v>0</v>
      </c>
      <c r="M43" s="1090">
        <f>SUM('17_Bicskei Egy Műv. Közp, '!S43+'18_Kapcsolat Központ'!S43+'18_Kapcsolat Központ'!P43)</f>
        <v>0</v>
      </c>
      <c r="N43" s="1672"/>
      <c r="O43" s="1090">
        <f t="shared" si="3"/>
        <v>870000</v>
      </c>
      <c r="P43" s="1090">
        <f t="shared" si="3"/>
        <v>870000</v>
      </c>
      <c r="Q43" s="1672"/>
      <c r="R43" s="1013"/>
      <c r="S43" s="1091"/>
    </row>
    <row r="44" spans="1:19" s="1014" customFormat="1" ht="17.25" customHeight="1">
      <c r="A44" s="1029" t="s">
        <v>103</v>
      </c>
      <c r="B44" s="1661" t="s">
        <v>128</v>
      </c>
      <c r="C44" s="1090"/>
      <c r="D44" s="1090"/>
      <c r="E44" s="1672"/>
      <c r="F44" s="1673">
        <f>SUM('20_Bicske Város Önkor 1'!C44+'20_Bicske Város Önkor 1'!F44+'20_Bicske Város Önkor 1'!I44+'20_Bicske Város Önkor 1'!L44+'21_Bicske Város Önkor 2'!C44+'21_Bicske Város Önkor 2'!F44+'21_Bicske Város Önkor 2'!I44+'21_Bicske Város Önkor 2'!L44+'22_Bicske Város Önkor 3'!C44+'22_Bicske Város Önkor 3'!F44+'22_Bicske Város Önkor 3'!I44+'22_Bicske Város Önkor 3'!L44+'23_Bicske Város Önkor 4'!C44+'23_Bicske Város Önkor 4'!F44+'23_Bicske Város Önkor 4'!I44+'23_Bicske Város Önkor 4'!L44+'24_Bicske Város Önkor 5'!C44)</f>
        <v>3000</v>
      </c>
      <c r="G44" s="1673">
        <f>SUM('20_Bicske Város Önkor 1'!D44+'20_Bicske Város Önkor 1'!G44+'20_Bicske Város Önkor 1'!J44+'20_Bicske Város Önkor 1'!M44+'21_Bicske Város Önkor 2'!D44+'21_Bicske Város Önkor 2'!G44+'21_Bicske Város Önkor 2'!J44+'21_Bicske Város Önkor 2'!M44+'22_Bicske Város Önkor 3'!D44+'22_Bicske Város Önkor 3'!G44+'22_Bicske Város Önkor 3'!J44+'22_Bicske Város Önkor 3'!M44+'23_Bicske Város Önkor 4'!D44+'23_Bicske Város Önkor 4'!G44+'23_Bicske Város Önkor 4'!J44+'23_Bicske Város Önkor 4'!M44+'24_Bicske Város Önkor 5'!D44)</f>
        <v>3000</v>
      </c>
      <c r="H44" s="1672"/>
      <c r="I44" s="1090">
        <f>SUM('19_Polgármesteri H.l'!L44)</f>
        <v>0</v>
      </c>
      <c r="J44" s="1090">
        <f>SUM('19_Polgármesteri H.l'!M44)</f>
        <v>0</v>
      </c>
      <c r="K44" s="1672"/>
      <c r="L44" s="1090">
        <f>SUM('17_Bicskei Egy Műv. Közp, '!R44+'18_Kapcsolat Központ'!O44)</f>
        <v>0</v>
      </c>
      <c r="M44" s="1090">
        <f>SUM('17_Bicskei Egy Műv. Közp, '!S44+'18_Kapcsolat Központ'!S44+'18_Kapcsolat Központ'!P44)</f>
        <v>0</v>
      </c>
      <c r="N44" s="1672"/>
      <c r="O44" s="1090">
        <f t="shared" si="3"/>
        <v>3000</v>
      </c>
      <c r="P44" s="1090">
        <f t="shared" si="3"/>
        <v>3000</v>
      </c>
      <c r="Q44" s="1672"/>
      <c r="R44" s="1013"/>
      <c r="S44" s="1091"/>
    </row>
    <row r="45" spans="1:19" s="1089" customFormat="1" ht="17.25" customHeight="1">
      <c r="A45" s="1088">
        <v>2</v>
      </c>
      <c r="B45" s="1662" t="s">
        <v>129</v>
      </c>
      <c r="C45" s="1264">
        <f>SUM(C41:C44)</f>
        <v>0</v>
      </c>
      <c r="D45" s="1264">
        <f>SUM(D41:D44)</f>
        <v>0</v>
      </c>
      <c r="E45" s="1264">
        <f>SUM(E41:E44)</f>
        <v>0</v>
      </c>
      <c r="F45" s="1674">
        <f>SUM('20_Bicske Város Önkor 1'!C45+'20_Bicske Város Önkor 1'!F45+'20_Bicske Város Önkor 1'!I45+'20_Bicske Város Önkor 1'!L45+'21_Bicske Város Önkor 2'!C45+'21_Bicske Város Önkor 2'!F45+'21_Bicske Város Önkor 2'!I45+'21_Bicske Város Önkor 2'!L45+'22_Bicske Város Önkor 3'!C45+'22_Bicske Város Önkor 3'!F45+'22_Bicske Város Önkor 3'!I45+'22_Bicske Város Önkor 3'!L45+'23_Bicske Város Önkor 4'!C45+'23_Bicske Város Önkor 4'!F45+'23_Bicske Város Önkor 4'!I45+'23_Bicske Város Önkor 4'!L45+'24_Bicske Város Önkor 5'!C45)</f>
        <v>1081000</v>
      </c>
      <c r="G45" s="1674">
        <f>SUM('20_Bicske Város Önkor 1'!D45+'20_Bicske Város Önkor 1'!G45+'20_Bicske Város Önkor 1'!J45+'20_Bicske Város Önkor 1'!M45+'21_Bicske Város Önkor 2'!D45+'21_Bicske Város Önkor 2'!G45+'21_Bicske Város Önkor 2'!J45+'21_Bicske Város Önkor 2'!M45+'22_Bicske Város Önkor 3'!D45+'22_Bicske Város Önkor 3'!G45+'22_Bicske Város Önkor 3'!J45+'22_Bicske Város Önkor 3'!M45+'23_Bicske Város Önkor 4'!D45+'23_Bicske Város Önkor 4'!G45+'23_Bicske Város Önkor 4'!J45+'23_Bicske Város Önkor 4'!M45+'24_Bicske Város Önkor 5'!D45)</f>
        <v>1081000</v>
      </c>
      <c r="H45" s="1264"/>
      <c r="I45" s="1090">
        <f>SUM('19_Polgármesteri H.l'!L45)</f>
        <v>0</v>
      </c>
      <c r="J45" s="1264">
        <f>SUM(J41:J44)</f>
        <v>0</v>
      </c>
      <c r="K45" s="1264">
        <f>SUM(K41:K44)</f>
        <v>0</v>
      </c>
      <c r="L45" s="1090">
        <f>SUM('17_Bicskei Egy Műv. Közp, '!R45+'18_Kapcsolat Központ'!O45)</f>
        <v>0</v>
      </c>
      <c r="M45" s="1090">
        <f>SUM('17_Bicskei Egy Műv. Közp, '!S45+'18_Kapcsolat Központ'!S45+'18_Kapcsolat Központ'!P45)</f>
        <v>0</v>
      </c>
      <c r="N45" s="1264">
        <f>SUM(N41:N44)</f>
        <v>0</v>
      </c>
      <c r="O45" s="1090">
        <f t="shared" si="3"/>
        <v>1081000</v>
      </c>
      <c r="P45" s="1264">
        <f>SUM(P41:P44)</f>
        <v>1081000</v>
      </c>
      <c r="Q45" s="1264">
        <f>SUM(Q41:Q44)</f>
        <v>0</v>
      </c>
      <c r="R45" s="1013"/>
      <c r="S45" s="1091"/>
    </row>
    <row r="46" spans="1:19" s="1089" customFormat="1" ht="17.25" customHeight="1">
      <c r="A46" s="1088">
        <v>3</v>
      </c>
      <c r="B46" s="1662" t="s">
        <v>34</v>
      </c>
      <c r="C46" s="1264"/>
      <c r="D46" s="1264"/>
      <c r="E46" s="1265"/>
      <c r="F46" s="1673">
        <f>SUM('20_Bicske Város Önkor 1'!C46+'20_Bicske Város Önkor 1'!F46+'20_Bicske Város Önkor 1'!I46+'20_Bicske Város Önkor 1'!L46+'21_Bicske Város Önkor 2'!C46+'21_Bicske Város Önkor 2'!F46+'21_Bicske Város Önkor 2'!I46+'21_Bicske Város Önkor 2'!L46+'22_Bicske Város Önkor 3'!C46+'22_Bicske Város Önkor 3'!F46+'22_Bicske Város Önkor 3'!I46+'22_Bicske Város Önkor 3'!L46+'23_Bicske Város Önkor 4'!C46+'23_Bicske Város Önkor 4'!F46+'23_Bicske Város Önkor 4'!I46+'23_Bicske Város Önkor 4'!L46+'24_Bicske Város Önkor 5'!C46)</f>
        <v>126769</v>
      </c>
      <c r="G46" s="1673">
        <f>SUM('20_Bicske Város Önkor 1'!D46+'20_Bicske Város Önkor 1'!G46+'20_Bicske Város Önkor 1'!J46+'20_Bicske Város Önkor 1'!M46+'21_Bicske Város Önkor 2'!D46+'21_Bicske Város Önkor 2'!G46+'21_Bicske Város Önkor 2'!J46+'21_Bicske Város Önkor 2'!M46+'22_Bicske Város Önkor 3'!D46+'22_Bicske Város Önkor 3'!G46+'22_Bicske Város Önkor 3'!J46+'22_Bicske Város Önkor 3'!M46+'23_Bicske Város Önkor 4'!D46+'23_Bicske Város Önkor 4'!G46+'23_Bicske Város Önkor 4'!J46+'23_Bicske Város Önkor 4'!M46+'24_Bicske Város Önkor 5'!D46)</f>
        <v>149696</v>
      </c>
      <c r="H46" s="1265"/>
      <c r="I46" s="1090">
        <f>SUM('19_Polgármesteri H.l'!L46)</f>
        <v>686</v>
      </c>
      <c r="J46" s="1090">
        <f>SUM('19_Polgármesteri H.l'!M46)</f>
        <v>686</v>
      </c>
      <c r="K46" s="1265"/>
      <c r="L46" s="1090">
        <f>SUM('17_Bicskei Egy Műv. Közp, '!R46+'18_Kapcsolat Központ'!O46+'18_Kapcsolat Központ'!R46)</f>
        <v>130285</v>
      </c>
      <c r="M46" s="1090">
        <f>SUM('17_Bicskei Egy Műv. Közp, '!S46+'18_Kapcsolat Központ'!S46+'18_Kapcsolat Központ'!P46)</f>
        <v>130474</v>
      </c>
      <c r="N46" s="1265"/>
      <c r="O46" s="1090">
        <f>SUM(F46+I46+L46)</f>
        <v>257740</v>
      </c>
      <c r="P46" s="1090">
        <f t="shared" si="3"/>
        <v>280856</v>
      </c>
      <c r="Q46" s="1265"/>
      <c r="R46" s="1013"/>
      <c r="S46" s="1091"/>
    </row>
    <row r="47" spans="1:19" s="1089" customFormat="1" ht="17.25" customHeight="1">
      <c r="A47" s="1088">
        <v>4</v>
      </c>
      <c r="B47" s="1662" t="s">
        <v>45</v>
      </c>
      <c r="C47" s="1264"/>
      <c r="D47" s="1264"/>
      <c r="E47" s="1265"/>
      <c r="F47" s="1673">
        <f>SUM('20_Bicske Város Önkor 1'!C47+'20_Bicske Város Önkor 1'!F47+'20_Bicske Város Önkor 1'!I47+'20_Bicske Város Önkor 1'!L47+'21_Bicske Város Önkor 2'!C47+'21_Bicske Város Önkor 2'!F47+'21_Bicske Város Önkor 2'!I47+'21_Bicske Város Önkor 2'!L47+'22_Bicske Város Önkor 3'!C47+'22_Bicske Város Önkor 3'!F47+'22_Bicske Város Önkor 3'!I47+'22_Bicske Város Önkor 3'!L47+'23_Bicske Város Önkor 4'!C47+'23_Bicske Város Önkor 4'!F47+'23_Bicske Város Önkor 4'!I47+'23_Bicske Város Önkor 4'!L47+'24_Bicske Város Önkor 5'!C47)</f>
        <v>207</v>
      </c>
      <c r="G47" s="1673">
        <f>SUM('20_Bicske Város Önkor 1'!D47+'20_Bicske Város Önkor 1'!G47+'20_Bicske Város Önkor 1'!J47+'20_Bicske Város Önkor 1'!M47+'21_Bicske Város Önkor 2'!D47+'21_Bicske Város Önkor 2'!G47+'21_Bicske Város Önkor 2'!J47+'21_Bicske Város Önkor 2'!M47+'22_Bicske Város Önkor 3'!D47+'22_Bicske Város Önkor 3'!G47+'22_Bicske Város Önkor 3'!J47+'22_Bicske Város Önkor 3'!M47+'23_Bicske Város Önkor 4'!D47+'23_Bicske Város Önkor 4'!G47+'23_Bicske Város Önkor 4'!J47+'23_Bicske Város Önkor 4'!M47+'24_Bicske Város Önkor 5'!D47)</f>
        <v>3270</v>
      </c>
      <c r="H47" s="1265"/>
      <c r="I47" s="1090">
        <f>SUM('19_Polgármesteri H.l'!L47)</f>
        <v>0</v>
      </c>
      <c r="J47" s="1090">
        <f>SUM('19_Polgármesteri H.l'!M47)</f>
        <v>0</v>
      </c>
      <c r="K47" s="1265"/>
      <c r="L47" s="1090">
        <f>SUM('17_Bicskei Egy Műv. Közp, '!R47+'18_Kapcsolat Központ'!O47)</f>
        <v>0</v>
      </c>
      <c r="M47" s="1090">
        <f>SUM('17_Bicskei Egy Műv. Közp, '!S47+'18_Kapcsolat Központ'!S47+'18_Kapcsolat Központ'!P47)</f>
        <v>0</v>
      </c>
      <c r="N47" s="1265"/>
      <c r="O47" s="1090">
        <f t="shared" si="3"/>
        <v>207</v>
      </c>
      <c r="P47" s="1090">
        <f t="shared" si="3"/>
        <v>3270</v>
      </c>
      <c r="Q47" s="1265"/>
      <c r="R47" s="1013"/>
      <c r="S47" s="1091"/>
    </row>
    <row r="48" spans="1:19" s="1014" customFormat="1" ht="17.25" customHeight="1">
      <c r="A48" s="1029" t="s">
        <v>97</v>
      </c>
      <c r="B48" s="1661" t="s">
        <v>130</v>
      </c>
      <c r="C48" s="1090"/>
      <c r="D48" s="1090"/>
      <c r="E48" s="1672"/>
      <c r="F48" s="1673">
        <f>SUM('20_Bicske Város Önkor 1'!C48+'20_Bicske Város Önkor 1'!F48+'20_Bicske Város Önkor 1'!I48+'20_Bicske Város Önkor 1'!L48+'21_Bicske Város Önkor 2'!C48+'21_Bicske Város Önkor 2'!F48+'21_Bicske Város Önkor 2'!I48+'21_Bicske Város Önkor 2'!L48+'22_Bicske Város Önkor 3'!C48+'22_Bicske Város Önkor 3'!F48+'22_Bicske Város Önkor 3'!I48+'22_Bicske Város Önkor 3'!L48+'23_Bicske Város Önkor 4'!C48+'23_Bicske Város Önkor 4'!F48+'23_Bicske Város Önkor 4'!I48+'23_Bicske Város Önkor 4'!L48+'24_Bicske Város Önkor 5'!C48)</f>
        <v>253546</v>
      </c>
      <c r="G48" s="1673">
        <f>SUM('20_Bicske Város Önkor 1'!D48+'20_Bicske Város Önkor 1'!G48+'20_Bicske Város Önkor 1'!J48+'20_Bicske Város Önkor 1'!M48+'21_Bicske Város Önkor 2'!D48+'21_Bicske Város Önkor 2'!G48+'21_Bicske Város Önkor 2'!J48+'21_Bicske Város Önkor 2'!M48+'22_Bicske Város Önkor 3'!D48+'22_Bicske Város Önkor 3'!G48+'22_Bicske Város Önkor 3'!J48+'22_Bicske Város Önkor 3'!M48+'23_Bicske Város Önkor 4'!D48+'23_Bicske Város Önkor 4'!G48+'23_Bicske Város Önkor 4'!J48+'23_Bicske Város Önkor 4'!M48+'24_Bicske Város Önkor 5'!D48)</f>
        <v>253546</v>
      </c>
      <c r="H48" s="1672"/>
      <c r="I48" s="1090">
        <f>SUM('19_Polgármesteri H.l'!L48)</f>
        <v>0</v>
      </c>
      <c r="J48" s="1090">
        <f>SUM('19_Polgármesteri H.l'!M48)</f>
        <v>0</v>
      </c>
      <c r="K48" s="1672"/>
      <c r="L48" s="1090">
        <f>SUM('17_Bicskei Egy Műv. Közp, '!R48+'18_Kapcsolat Központ'!O48)</f>
        <v>0</v>
      </c>
      <c r="M48" s="1090">
        <f>SUM('17_Bicskei Egy Műv. Közp, '!S48+'18_Kapcsolat Központ'!S48+'18_Kapcsolat Központ'!P48)</f>
        <v>0</v>
      </c>
      <c r="N48" s="1672"/>
      <c r="O48" s="1090">
        <f t="shared" si="3"/>
        <v>253546</v>
      </c>
      <c r="P48" s="1090">
        <f t="shared" si="3"/>
        <v>253546</v>
      </c>
      <c r="Q48" s="1672"/>
      <c r="R48" s="1013"/>
      <c r="S48" s="1091"/>
    </row>
    <row r="49" spans="1:19" s="1014" customFormat="1" ht="17.25" customHeight="1">
      <c r="A49" s="1029" t="s">
        <v>99</v>
      </c>
      <c r="B49" s="1661" t="s">
        <v>131</v>
      </c>
      <c r="C49" s="1090"/>
      <c r="D49" s="1090"/>
      <c r="E49" s="1090"/>
      <c r="F49" s="1673">
        <f>SUM('20_Bicske Város Önkor 1'!C49+'20_Bicske Város Önkor 1'!F49+'20_Bicske Város Önkor 1'!I49+'20_Bicske Város Önkor 1'!L49+'21_Bicske Város Önkor 2'!C49+'21_Bicske Város Önkor 2'!F49+'21_Bicske Város Önkor 2'!I49+'21_Bicske Város Önkor 2'!L49+'22_Bicske Város Önkor 3'!C49+'22_Bicske Város Önkor 3'!F49+'22_Bicske Város Önkor 3'!I49+'22_Bicske Város Önkor 3'!L49+'23_Bicske Város Önkor 4'!C49+'23_Bicske Város Önkor 4'!F49+'23_Bicske Város Önkor 4'!I49+'23_Bicske Város Önkor 4'!L49+'24_Bicske Város Önkor 5'!C49)</f>
        <v>0</v>
      </c>
      <c r="G49" s="1673">
        <f>SUM('20_Bicske Város Önkor 1'!D49+'20_Bicske Város Önkor 1'!G49+'20_Bicske Város Önkor 1'!J49+'20_Bicske Város Önkor 1'!M49+'21_Bicske Város Önkor 2'!D49+'21_Bicske Város Önkor 2'!G49+'21_Bicske Város Önkor 2'!J49+'21_Bicske Város Önkor 2'!M49+'22_Bicske Város Önkor 3'!D49+'22_Bicske Város Önkor 3'!G49+'22_Bicske Város Önkor 3'!J49+'22_Bicske Város Önkor 3'!M49+'23_Bicske Város Önkor 4'!D49+'23_Bicske Város Önkor 4'!G49+'23_Bicske Város Önkor 4'!J49+'23_Bicske Város Önkor 4'!M49+'24_Bicske Város Önkor 5'!D49)</f>
        <v>0</v>
      </c>
      <c r="H49" s="1090"/>
      <c r="I49" s="1090">
        <f>SUM('19_Polgármesteri H.l'!L49)</f>
        <v>0</v>
      </c>
      <c r="J49" s="1090">
        <f>SUM('19_Polgármesteri H.l'!M49)</f>
        <v>0</v>
      </c>
      <c r="K49" s="1090"/>
      <c r="L49" s="1090">
        <f>SUM('17_Bicskei Egy Műv. Közp, '!R49+'18_Kapcsolat Központ'!O49)</f>
        <v>0</v>
      </c>
      <c r="M49" s="1090">
        <f>SUM('17_Bicskei Egy Műv. Közp, '!S49+'18_Kapcsolat Központ'!S49+'18_Kapcsolat Központ'!P49)</f>
        <v>0</v>
      </c>
      <c r="N49" s="1090"/>
      <c r="O49" s="1090">
        <f t="shared" si="3"/>
        <v>0</v>
      </c>
      <c r="P49" s="1090">
        <f t="shared" si="3"/>
        <v>0</v>
      </c>
      <c r="Q49" s="1090"/>
      <c r="R49" s="1013"/>
      <c r="S49" s="1091"/>
    </row>
    <row r="50" spans="1:19" s="1014" customFormat="1" ht="17.25" customHeight="1">
      <c r="A50" s="1058" t="s">
        <v>101</v>
      </c>
      <c r="B50" s="1664" t="s">
        <v>132</v>
      </c>
      <c r="C50" s="1672"/>
      <c r="D50" s="1672"/>
      <c r="E50" s="1672"/>
      <c r="F50" s="1673">
        <f>SUM('20_Bicske Város Önkor 1'!C50+'20_Bicske Város Önkor 1'!F50+'20_Bicske Város Önkor 1'!I50+'20_Bicske Város Önkor 1'!L50+'21_Bicske Város Önkor 2'!C50+'21_Bicske Város Önkor 2'!F50+'21_Bicske Város Önkor 2'!I50+'21_Bicske Város Önkor 2'!L50+'22_Bicske Város Önkor 3'!C50+'22_Bicske Város Önkor 3'!F50+'22_Bicske Város Önkor 3'!I50+'22_Bicske Város Önkor 3'!L50+'23_Bicske Város Önkor 4'!C50+'23_Bicske Város Önkor 4'!F50+'23_Bicske Város Önkor 4'!I50+'23_Bicske Város Önkor 4'!L50+'24_Bicske Város Önkor 5'!C50)</f>
        <v>0</v>
      </c>
      <c r="G50" s="1673">
        <f>SUM('20_Bicske Város Önkor 1'!D50+'20_Bicske Város Önkor 1'!G50+'20_Bicske Város Önkor 1'!J50+'20_Bicske Város Önkor 1'!M50+'21_Bicske Város Önkor 2'!D50+'21_Bicske Város Önkor 2'!G50+'21_Bicske Város Önkor 2'!J50+'21_Bicske Város Önkor 2'!M50+'22_Bicske Város Önkor 3'!D50+'22_Bicske Város Önkor 3'!G50+'22_Bicske Város Önkor 3'!J50+'22_Bicske Város Önkor 3'!M50+'23_Bicske Város Önkor 4'!D50+'23_Bicske Város Önkor 4'!G50+'23_Bicske Város Önkor 4'!J50+'23_Bicske Város Önkor 4'!M50+'24_Bicske Város Önkor 5'!D50)</f>
        <v>0</v>
      </c>
      <c r="H50" s="1672"/>
      <c r="I50" s="1090">
        <f>SUM('19_Polgármesteri H.l'!L50)</f>
        <v>0</v>
      </c>
      <c r="J50" s="1090">
        <f>SUM('19_Polgármesteri H.l'!M50)</f>
        <v>0</v>
      </c>
      <c r="K50" s="1672"/>
      <c r="L50" s="1090">
        <f>SUM('17_Bicskei Egy Műv. Közp, '!R50+'18_Kapcsolat Központ'!O50)</f>
        <v>0</v>
      </c>
      <c r="M50" s="1090">
        <f>SUM('17_Bicskei Egy Műv. Közp, '!S50+'18_Kapcsolat Központ'!S50+'18_Kapcsolat Központ'!P50)</f>
        <v>0</v>
      </c>
      <c r="N50" s="1672"/>
      <c r="O50" s="1090">
        <f t="shared" si="3"/>
        <v>0</v>
      </c>
      <c r="P50" s="1090">
        <f t="shared" si="3"/>
        <v>0</v>
      </c>
      <c r="Q50" s="1672"/>
      <c r="R50" s="1013"/>
      <c r="S50" s="1091"/>
    </row>
    <row r="51" spans="1:19" s="1089" customFormat="1" ht="17.25" customHeight="1">
      <c r="A51" s="1092">
        <v>5</v>
      </c>
      <c r="B51" s="1665" t="s">
        <v>133</v>
      </c>
      <c r="C51" s="1265">
        <f>SUM(C48:C50)</f>
        <v>0</v>
      </c>
      <c r="D51" s="1265">
        <f>SUM(D48:D50)</f>
        <v>0</v>
      </c>
      <c r="E51" s="1265">
        <f>SUM(E48:E50)</f>
        <v>0</v>
      </c>
      <c r="F51" s="1674">
        <f>SUM('20_Bicske Város Önkor 1'!C51+'20_Bicske Város Önkor 1'!F51+'20_Bicske Város Önkor 1'!I51+'20_Bicske Város Önkor 1'!L51+'21_Bicske Város Önkor 2'!C51+'21_Bicske Város Önkor 2'!F51+'21_Bicske Város Önkor 2'!I51+'21_Bicske Város Önkor 2'!L51+'22_Bicske Város Önkor 3'!C51+'22_Bicske Város Önkor 3'!F51+'22_Bicske Város Önkor 3'!I51+'22_Bicske Város Önkor 3'!L51+'23_Bicske Város Önkor 4'!C51+'23_Bicske Város Önkor 4'!F51+'23_Bicske Város Önkor 4'!I51+'23_Bicske Város Önkor 4'!L51+'24_Bicske Város Önkor 5'!C51)</f>
        <v>253546</v>
      </c>
      <c r="G51" s="1674">
        <f>SUM('20_Bicske Város Önkor 1'!D51+'20_Bicske Város Önkor 1'!G51+'20_Bicske Város Önkor 1'!J51+'20_Bicske Város Önkor 1'!M51+'21_Bicske Város Önkor 2'!D51+'21_Bicske Város Önkor 2'!G51+'21_Bicske Város Önkor 2'!J51+'21_Bicske Város Önkor 2'!M51+'22_Bicske Város Önkor 3'!D51+'22_Bicske Város Önkor 3'!G51+'22_Bicske Város Önkor 3'!J51+'22_Bicske Város Önkor 3'!M51+'23_Bicske Város Önkor 4'!D51+'23_Bicske Város Önkor 4'!G51+'23_Bicske Város Önkor 4'!J51+'23_Bicske Város Önkor 4'!M51+'24_Bicske Város Önkor 5'!D51)</f>
        <v>253546</v>
      </c>
      <c r="H51" s="1265"/>
      <c r="I51" s="1090">
        <f>SUM('19_Polgármesteri H.l'!L51)</f>
        <v>0</v>
      </c>
      <c r="J51" s="1265">
        <f>SUM(J48:J50)</f>
        <v>0</v>
      </c>
      <c r="K51" s="1265">
        <f>SUM(K48:K50)</f>
        <v>0</v>
      </c>
      <c r="L51" s="1090">
        <f>SUM('17_Bicskei Egy Műv. Közp, '!R51+'18_Kapcsolat Központ'!O51)</f>
        <v>0</v>
      </c>
      <c r="M51" s="1090">
        <f>SUM('17_Bicskei Egy Műv. Közp, '!S51+'18_Kapcsolat Központ'!S51+'18_Kapcsolat Központ'!P51)</f>
        <v>0</v>
      </c>
      <c r="N51" s="1265">
        <f>SUM(N48:N50)</f>
        <v>0</v>
      </c>
      <c r="O51" s="1090">
        <f t="shared" si="3"/>
        <v>253546</v>
      </c>
      <c r="P51" s="1265">
        <f>SUM(P48:P50)</f>
        <v>253546</v>
      </c>
      <c r="Q51" s="1265">
        <f>SUM(Q48:Q50)</f>
        <v>0</v>
      </c>
      <c r="R51" s="1013"/>
      <c r="S51" s="1091"/>
    </row>
    <row r="52" spans="1:19" s="1089" customFormat="1" ht="17.25" customHeight="1">
      <c r="A52" s="1092">
        <v>6</v>
      </c>
      <c r="B52" s="1665" t="s">
        <v>63</v>
      </c>
      <c r="C52" s="1265"/>
      <c r="D52" s="1265"/>
      <c r="E52" s="1265"/>
      <c r="F52" s="1673">
        <f>SUM('20_Bicske Város Önkor 1'!C52+'20_Bicske Város Önkor 1'!F52+'20_Bicske Város Önkor 1'!I52+'20_Bicske Város Önkor 1'!L52+'21_Bicske Város Önkor 2'!C52+'21_Bicske Város Önkor 2'!F52+'21_Bicske Város Önkor 2'!I52+'21_Bicske Város Önkor 2'!L52+'22_Bicske Város Önkor 3'!C52+'22_Bicske Város Önkor 3'!F52+'22_Bicske Város Önkor 3'!I52+'22_Bicske Város Önkor 3'!L52+'23_Bicske Város Önkor 4'!C52+'23_Bicske Város Önkor 4'!F52+'23_Bicske Város Önkor 4'!I52+'23_Bicske Város Önkor 4'!L52+'24_Bicske Város Önkor 5'!C52)</f>
        <v>0</v>
      </c>
      <c r="G52" s="1673">
        <f>SUM('20_Bicske Város Önkor 1'!D52+'20_Bicske Város Önkor 1'!G52+'20_Bicske Város Önkor 1'!J52+'20_Bicske Város Önkor 1'!M52+'21_Bicske Város Önkor 2'!D52+'21_Bicske Város Önkor 2'!G52+'21_Bicske Város Önkor 2'!J52+'21_Bicske Város Önkor 2'!M52+'22_Bicske Város Önkor 3'!D52+'22_Bicske Város Önkor 3'!G52+'22_Bicske Város Önkor 3'!J52+'22_Bicske Város Önkor 3'!M52+'23_Bicske Város Önkor 4'!D52+'23_Bicske Város Önkor 4'!G52+'23_Bicske Város Önkor 4'!J52+'23_Bicske Város Önkor 4'!M52+'24_Bicske Város Önkor 5'!D52)</f>
        <v>0</v>
      </c>
      <c r="H52" s="1265"/>
      <c r="I52" s="1090">
        <f>SUM('19_Polgármesteri H.l'!L52)</f>
        <v>0</v>
      </c>
      <c r="J52" s="1090">
        <f>SUM('19_Polgármesteri H.l'!M52)</f>
        <v>0</v>
      </c>
      <c r="K52" s="1265"/>
      <c r="L52" s="1090">
        <f>SUM('17_Bicskei Egy Műv. Közp, '!R52+'18_Kapcsolat Központ'!O52)</f>
        <v>0</v>
      </c>
      <c r="M52" s="1090">
        <f>SUM('17_Bicskei Egy Műv. Közp, '!S52+'18_Kapcsolat Központ'!S52+'18_Kapcsolat Központ'!P52)</f>
        <v>400</v>
      </c>
      <c r="N52" s="1265"/>
      <c r="O52" s="1090">
        <f t="shared" si="3"/>
        <v>0</v>
      </c>
      <c r="P52" s="1090">
        <f t="shared" si="3"/>
        <v>400</v>
      </c>
      <c r="Q52" s="1265"/>
      <c r="R52" s="1013"/>
      <c r="S52" s="1091"/>
    </row>
    <row r="53" spans="1:19" s="1014" customFormat="1" ht="17.25" customHeight="1">
      <c r="A53" s="1058" t="s">
        <v>97</v>
      </c>
      <c r="B53" s="1664" t="s">
        <v>134</v>
      </c>
      <c r="C53" s="1672"/>
      <c r="D53" s="1672"/>
      <c r="E53" s="1672"/>
      <c r="F53" s="1673">
        <f>SUM('20_Bicske Város Önkor 1'!C53+'20_Bicske Város Önkor 1'!F53+'20_Bicske Város Önkor 1'!I53+'20_Bicske Város Önkor 1'!L53+'21_Bicske Város Önkor 2'!C53+'21_Bicske Város Önkor 2'!F53+'21_Bicske Város Önkor 2'!I53+'21_Bicske Város Önkor 2'!L53+'22_Bicske Város Önkor 3'!C53+'22_Bicske Város Önkor 3'!F53+'22_Bicske Város Önkor 3'!I53+'22_Bicske Város Önkor 3'!L53+'23_Bicske Város Önkor 4'!C53+'23_Bicske Város Önkor 4'!F53+'23_Bicske Város Önkor 4'!I53+'23_Bicske Város Önkor 4'!L53+'24_Bicske Város Önkor 5'!C53)</f>
        <v>420</v>
      </c>
      <c r="G53" s="1673">
        <f>SUM('20_Bicske Város Önkor 1'!D53+'20_Bicske Város Önkor 1'!G53+'20_Bicske Város Önkor 1'!J53+'20_Bicske Város Önkor 1'!M53+'21_Bicske Város Önkor 2'!D53+'21_Bicske Város Önkor 2'!G53+'21_Bicske Város Önkor 2'!J53+'21_Bicske Város Önkor 2'!M53+'22_Bicske Város Önkor 3'!D53+'22_Bicske Város Önkor 3'!G53+'22_Bicske Város Önkor 3'!J53+'22_Bicske Város Önkor 3'!M53+'23_Bicske Város Önkor 4'!D53+'23_Bicske Város Önkor 4'!G53+'23_Bicske Város Önkor 4'!J53+'23_Bicske Város Önkor 4'!M53+'24_Bicske Város Önkor 5'!D53)</f>
        <v>420</v>
      </c>
      <c r="H53" s="1672"/>
      <c r="I53" s="1090">
        <f>SUM('19_Polgármesteri H.l'!L53)</f>
        <v>0</v>
      </c>
      <c r="J53" s="1090">
        <f>SUM('19_Polgármesteri H.l'!M53)</f>
        <v>0</v>
      </c>
      <c r="K53" s="1672"/>
      <c r="L53" s="1090">
        <f>SUM('17_Bicskei Egy Műv. Közp, '!R53+'18_Kapcsolat Központ'!O53)</f>
        <v>0</v>
      </c>
      <c r="M53" s="1090">
        <f>SUM('17_Bicskei Egy Műv. Közp, '!S53+'18_Kapcsolat Központ'!S53+'18_Kapcsolat Központ'!P53)</f>
        <v>0</v>
      </c>
      <c r="N53" s="1672"/>
      <c r="O53" s="1090">
        <f t="shared" si="3"/>
        <v>420</v>
      </c>
      <c r="P53" s="1090">
        <f t="shared" si="3"/>
        <v>420</v>
      </c>
      <c r="Q53" s="1672"/>
      <c r="R53" s="1013"/>
      <c r="S53" s="1091"/>
    </row>
    <row r="54" spans="1:19" s="1014" customFormat="1" ht="17.25" customHeight="1">
      <c r="A54" s="1058" t="s">
        <v>99</v>
      </c>
      <c r="B54" s="1664" t="s">
        <v>135</v>
      </c>
      <c r="C54" s="1672"/>
      <c r="D54" s="1672"/>
      <c r="E54" s="1672"/>
      <c r="F54" s="1673">
        <f>SUM('20_Bicske Város Önkor 1'!C54+'20_Bicske Város Önkor 1'!F54+'20_Bicske Város Önkor 1'!I54+'20_Bicske Város Önkor 1'!L54+'21_Bicske Város Önkor 2'!C54+'21_Bicske Város Önkor 2'!F54+'21_Bicske Város Önkor 2'!I54+'21_Bicske Város Önkor 2'!L54+'22_Bicske Város Önkor 3'!C54+'22_Bicske Város Önkor 3'!F54+'22_Bicske Város Önkor 3'!I54+'22_Bicske Város Önkor 3'!L54+'23_Bicske Város Önkor 4'!C54+'23_Bicske Város Önkor 4'!F54+'23_Bicske Város Önkor 4'!I54+'23_Bicske Város Önkor 4'!L54+'24_Bicske Város Önkor 5'!C54)</f>
        <v>0</v>
      </c>
      <c r="G54" s="1673">
        <f>SUM('20_Bicske Város Önkor 1'!D54+'20_Bicske Város Önkor 1'!G54+'20_Bicske Város Önkor 1'!J54+'20_Bicske Város Önkor 1'!M54+'21_Bicske Város Önkor 2'!D54+'21_Bicske Város Önkor 2'!G54+'21_Bicske Város Önkor 2'!J54+'21_Bicske Város Önkor 2'!M54+'22_Bicske Város Önkor 3'!D54+'22_Bicske Város Önkor 3'!G54+'22_Bicske Város Önkor 3'!J54+'22_Bicske Város Önkor 3'!M54+'23_Bicske Város Önkor 4'!D54+'23_Bicske Város Önkor 4'!G54+'23_Bicske Város Önkor 4'!J54+'23_Bicske Város Önkor 4'!M54+'24_Bicske Város Önkor 5'!D54)</f>
        <v>0</v>
      </c>
      <c r="H54" s="1672"/>
      <c r="I54" s="1090">
        <f>SUM('19_Polgármesteri H.l'!L54)</f>
        <v>0</v>
      </c>
      <c r="J54" s="1090">
        <f>SUM('19_Polgármesteri H.l'!M54)</f>
        <v>0</v>
      </c>
      <c r="K54" s="1672"/>
      <c r="L54" s="1090">
        <f>SUM('17_Bicskei Egy Műv. Közp, '!R54+'18_Kapcsolat Központ'!O54)</f>
        <v>0</v>
      </c>
      <c r="M54" s="1090">
        <f>SUM('17_Bicskei Egy Műv. Közp, '!S54+'18_Kapcsolat Központ'!S54+'18_Kapcsolat Központ'!P54)</f>
        <v>0</v>
      </c>
      <c r="N54" s="1672"/>
      <c r="O54" s="1090">
        <f t="shared" si="3"/>
        <v>0</v>
      </c>
      <c r="P54" s="1090">
        <f t="shared" si="3"/>
        <v>0</v>
      </c>
      <c r="Q54" s="1672"/>
      <c r="R54" s="1013"/>
      <c r="S54" s="1091"/>
    </row>
    <row r="55" spans="1:19" s="1089" customFormat="1" ht="17.25" customHeight="1">
      <c r="A55" s="1092">
        <v>7</v>
      </c>
      <c r="B55" s="1665" t="s">
        <v>136</v>
      </c>
      <c r="C55" s="1265">
        <f>SUM(C53:C54)</f>
        <v>0</v>
      </c>
      <c r="D55" s="1265">
        <f>SUM(D53:D54)</f>
        <v>0</v>
      </c>
      <c r="E55" s="1265">
        <f>SUM(E53:E54)</f>
        <v>0</v>
      </c>
      <c r="F55" s="1673">
        <f>SUM('20_Bicske Város Önkor 1'!C55+'20_Bicske Város Önkor 1'!F55+'20_Bicske Város Önkor 1'!I55+'20_Bicske Város Önkor 1'!L55+'21_Bicske Város Önkor 2'!C55+'21_Bicske Város Önkor 2'!F55+'21_Bicske Város Önkor 2'!I55+'21_Bicske Város Önkor 2'!L55+'22_Bicske Város Önkor 3'!C55+'22_Bicske Város Önkor 3'!F55+'22_Bicske Város Önkor 3'!I55+'22_Bicske Város Önkor 3'!L55+'23_Bicske Város Önkor 4'!C55+'23_Bicske Város Önkor 4'!F55+'23_Bicske Város Önkor 4'!I55+'23_Bicske Város Önkor 4'!L55+'24_Bicske Város Önkor 5'!C55)</f>
        <v>420</v>
      </c>
      <c r="G55" s="1673">
        <f>SUM('20_Bicske Város Önkor 1'!D55+'20_Bicske Város Önkor 1'!G55+'20_Bicske Város Önkor 1'!J55+'20_Bicske Város Önkor 1'!M55+'21_Bicske Város Önkor 2'!D55+'21_Bicske Város Önkor 2'!G55+'21_Bicske Város Önkor 2'!J55+'21_Bicske Város Önkor 2'!M55+'22_Bicske Város Önkor 3'!D55+'22_Bicske Város Önkor 3'!G55+'22_Bicske Város Önkor 3'!J55+'22_Bicske Város Önkor 3'!M55+'23_Bicske Város Önkor 4'!D55+'23_Bicske Város Önkor 4'!G55+'23_Bicske Város Önkor 4'!J55+'23_Bicske Város Önkor 4'!M55+'24_Bicske Város Önkor 5'!D55)</f>
        <v>420</v>
      </c>
      <c r="H55" s="1265"/>
      <c r="I55" s="1090">
        <f>SUM('19_Polgármesteri H.l'!L55)</f>
        <v>0</v>
      </c>
      <c r="J55" s="1265">
        <f>SUM(J53:J54)</f>
        <v>0</v>
      </c>
      <c r="K55" s="1265">
        <f>SUM(K53:K54)</f>
        <v>0</v>
      </c>
      <c r="L55" s="1090">
        <f>SUM('17_Bicskei Egy Műv. Közp, '!R55+'18_Kapcsolat Központ'!O55)</f>
        <v>0</v>
      </c>
      <c r="M55" s="1090">
        <f>SUM('17_Bicskei Egy Műv. Közp, '!S55+'18_Kapcsolat Központ'!S55+'18_Kapcsolat Központ'!P55)</f>
        <v>0</v>
      </c>
      <c r="N55" s="1265">
        <f>SUM(N53:N54)</f>
        <v>0</v>
      </c>
      <c r="O55" s="1090">
        <f t="shared" si="3"/>
        <v>420</v>
      </c>
      <c r="P55" s="1265">
        <f>SUM(P53:P54)</f>
        <v>420</v>
      </c>
      <c r="Q55" s="1265">
        <f>SUM(Q53:Q54)</f>
        <v>0</v>
      </c>
      <c r="R55" s="1013"/>
      <c r="S55" s="1091"/>
    </row>
    <row r="56" spans="1:19" s="1014" customFormat="1" ht="17.25" customHeight="1">
      <c r="A56" s="1058">
        <v>8</v>
      </c>
      <c r="B56" s="1664" t="s">
        <v>137</v>
      </c>
      <c r="C56" s="1672">
        <f>SUM(C34-C40-C45-C46-C47-C51-C52-C55-C57-C58)</f>
        <v>6600</v>
      </c>
      <c r="D56" s="1672">
        <f>SUM(D34-D40-D45-D46-D47-D51-D52-D55-D57-D58)</f>
        <v>6600</v>
      </c>
      <c r="E56" s="1672">
        <f>SUM(E34-E40-E45-E46-E47-E51-E52-E55-E57-E58)</f>
        <v>0</v>
      </c>
      <c r="F56" s="1673">
        <f>SUM('20_Bicske Város Önkor 1'!C56+'20_Bicske Város Önkor 1'!F56+'20_Bicske Város Önkor 1'!I56+'20_Bicske Város Önkor 1'!L56+'21_Bicske Város Önkor 2'!C56+'21_Bicske Város Önkor 2'!F56+'21_Bicske Város Önkor 2'!I56+'21_Bicske Város Önkor 2'!L56+'22_Bicske Város Önkor 3'!C56+'22_Bicske Város Önkor 3'!F56+'22_Bicske Város Önkor 3'!I56+'22_Bicske Város Önkor 3'!L56+'23_Bicske Város Önkor 4'!C56+'23_Bicske Város Önkor 4'!F56+'23_Bicske Város Önkor 4'!I56+'23_Bicske Város Önkor 4'!L56+'24_Bicske Város Önkor 5'!C56)</f>
        <v>-1469682</v>
      </c>
      <c r="G56" s="1673">
        <f>SUM('20_Bicske Város Önkor 1'!D56+'20_Bicske Város Önkor 1'!G56+'20_Bicske Város Önkor 1'!J56+'20_Bicske Város Önkor 1'!M56+'21_Bicske Város Önkor 2'!D56+'21_Bicske Város Önkor 2'!G56+'21_Bicske Város Önkor 2'!J56+'21_Bicske Város Önkor 2'!M56+'22_Bicske Város Önkor 3'!D56+'22_Bicske Város Önkor 3'!G56+'22_Bicske Város Önkor 3'!J56+'22_Bicske Város Önkor 3'!M56+'23_Bicske Város Önkor 4'!D56+'23_Bicske Város Önkor 4'!G56+'23_Bicske Város Önkor 4'!J56+'23_Bicske Város Önkor 4'!M56+'24_Bicske Város Önkor 5'!D56)</f>
        <v>-1479759</v>
      </c>
      <c r="H56" s="1672"/>
      <c r="I56" s="1090">
        <f>SUM('19_Polgármesteri H.l'!L56)</f>
        <v>422064</v>
      </c>
      <c r="J56" s="1090">
        <f>SUM('19_Polgármesteri H.l'!M56)</f>
        <v>422209</v>
      </c>
      <c r="K56" s="1672">
        <f>SUM(K34-K40-K45-K46-K47-K51-K52-K55-K57-K58)</f>
        <v>0</v>
      </c>
      <c r="L56" s="1090">
        <f>SUM('17_Bicskei Egy Műv. Közp, '!R56+'18_Kapcsolat Központ'!O56+'18_Kapcsolat Központ'!R56)</f>
        <v>1047618</v>
      </c>
      <c r="M56" s="1090">
        <f>SUM('17_Bicskei Egy Műv. Közp, '!S56+'18_Kapcsolat Központ'!P56+'18_Kapcsolat Központ'!S56)</f>
        <v>1057550</v>
      </c>
      <c r="N56" s="1672">
        <f>SUM(N34-N40-N45-N46-N47-N51-N52-N55-N57-N58)</f>
        <v>0</v>
      </c>
      <c r="O56" s="1090">
        <f>SUM(F56+I56+L56)</f>
        <v>0</v>
      </c>
      <c r="P56" s="1672">
        <f>SUM(P34-P40-P45-P46-P47-P51-P52-P55-P57-P58)</f>
        <v>0</v>
      </c>
      <c r="Q56" s="1672"/>
      <c r="R56" s="1013"/>
      <c r="S56" s="1091"/>
    </row>
    <row r="57" spans="1:21" s="1089" customFormat="1" ht="17.25" customHeight="1">
      <c r="A57" s="1092" t="s">
        <v>138</v>
      </c>
      <c r="B57" s="1665" t="s">
        <v>139</v>
      </c>
      <c r="C57" s="1265"/>
      <c r="D57" s="1265"/>
      <c r="E57" s="1265"/>
      <c r="F57" s="1673">
        <f>SUM('20_Bicske Város Önkor 1'!C57+'20_Bicske Város Önkor 1'!F57+'20_Bicske Város Önkor 1'!I57+'20_Bicske Város Önkor 1'!L57+'21_Bicske Város Önkor 2'!C57+'21_Bicske Város Önkor 2'!F57+'21_Bicske Város Önkor 2'!I57+'21_Bicske Város Önkor 2'!L57+'22_Bicske Város Önkor 3'!C57+'22_Bicske Város Önkor 3'!F57+'22_Bicske Város Önkor 3'!I57+'22_Bicske Város Önkor 3'!L57+'23_Bicske Város Önkor 4'!C57+'23_Bicske Város Önkor 4'!F57+'23_Bicske Város Önkor 4'!I57+'23_Bicske Város Önkor 4'!L57+'24_Bicske Város Önkor 5'!C57)</f>
        <v>2299128</v>
      </c>
      <c r="G57" s="1673">
        <f>SUM('20_Bicske Város Önkor 1'!D57+'20_Bicske Város Önkor 1'!G57+'20_Bicske Város Önkor 1'!J57+'20_Bicske Város Önkor 1'!M57+'21_Bicske Város Önkor 2'!D57+'21_Bicske Város Önkor 2'!G57+'21_Bicske Város Önkor 2'!J57+'21_Bicske Város Önkor 2'!M57+'22_Bicske Város Önkor 3'!D57+'22_Bicske Város Önkor 3'!G57+'22_Bicske Város Önkor 3'!J57+'22_Bicske Város Önkor 3'!M57+'23_Bicske Város Önkor 4'!D57+'23_Bicske Város Önkor 4'!G57+'23_Bicske Város Önkor 4'!J57+'23_Bicske Város Önkor 4'!M57+'24_Bicske Város Önkor 5'!D57)</f>
        <v>2938965</v>
      </c>
      <c r="H57" s="1265"/>
      <c r="I57" s="1090">
        <f>SUM('19_Polgármesteri H.l'!C57)</f>
        <v>8053</v>
      </c>
      <c r="J57" s="1090">
        <f>SUM('19_Polgármesteri H.l'!D57)</f>
        <v>8053</v>
      </c>
      <c r="K57" s="1265"/>
      <c r="L57" s="1090">
        <f>SUM('17_Bicskei Egy Műv. Közp, '!R57+'18_Kapcsolat Központ'!O57+'18_Kapcsolat Központ'!R57)</f>
        <v>66361</v>
      </c>
      <c r="M57" s="1090">
        <f>SUM('17_Bicskei Egy Műv. Közp, '!S57+'18_Kapcsolat Központ'!P57+'18_Kapcsolat Központ'!S57)</f>
        <v>66361</v>
      </c>
      <c r="N57" s="1265"/>
      <c r="O57" s="1090">
        <f>SUM(F57+I57+L57)</f>
        <v>2373542</v>
      </c>
      <c r="P57" s="1090">
        <f t="shared" si="3"/>
        <v>3013379</v>
      </c>
      <c r="Q57" s="1265">
        <f>SUM(Q55:Q56)</f>
        <v>0</v>
      </c>
      <c r="R57" s="1013"/>
      <c r="S57" s="1091"/>
      <c r="U57" s="1093"/>
    </row>
    <row r="58" spans="1:19" s="1089" customFormat="1" ht="17.25" customHeight="1" thickBot="1">
      <c r="A58" s="1094" t="s">
        <v>140</v>
      </c>
      <c r="B58" s="1666" t="s">
        <v>141</v>
      </c>
      <c r="C58" s="1675"/>
      <c r="D58" s="1675"/>
      <c r="E58" s="1675"/>
      <c r="F58" s="1673">
        <f>SUM('20_Bicske Város Önkor 1'!C58+'20_Bicske Város Önkor 1'!F58+'20_Bicske Város Önkor 1'!I58+'20_Bicske Város Önkor 1'!L58+'21_Bicske Város Önkor 2'!C58+'21_Bicske Város Önkor 2'!F58+'21_Bicske Város Önkor 2'!I58+'21_Bicske Város Önkor 2'!L58+'22_Bicske Város Önkor 3'!C58+'22_Bicske Város Önkor 3'!F58+'22_Bicske Város Önkor 3'!I58+'22_Bicske Város Önkor 3'!L58+'23_Bicske Város Önkor 4'!C58+'23_Bicske Város Önkor 4'!F58+'23_Bicske Város Önkor 4'!I58+'23_Bicske Város Önkor 4'!L58+'24_Bicske Város Önkor 5'!C58)</f>
        <v>0</v>
      </c>
      <c r="G58" s="1675"/>
      <c r="H58" s="1675"/>
      <c r="I58" s="1090">
        <f>SUM('19_Polgármesteri H.l'!L58)</f>
        <v>0</v>
      </c>
      <c r="J58" s="1675"/>
      <c r="K58" s="1675"/>
      <c r="L58" s="1090">
        <f>SUM('17_Bicskei Egy Műv. Közp, '!R58+'18_Kapcsolat Központ'!O58)</f>
        <v>0</v>
      </c>
      <c r="M58" s="1675"/>
      <c r="N58" s="1675"/>
      <c r="O58" s="1090">
        <f t="shared" si="3"/>
        <v>0</v>
      </c>
      <c r="P58" s="1090">
        <f t="shared" si="3"/>
        <v>0</v>
      </c>
      <c r="Q58" s="1675"/>
      <c r="R58" s="1013"/>
      <c r="S58" s="1091"/>
    </row>
    <row r="59" spans="1:19" s="1096" customFormat="1" ht="17.25" customHeight="1" thickBot="1" thickTop="1">
      <c r="A59" s="1095" t="s">
        <v>142</v>
      </c>
      <c r="B59" s="1667" t="s">
        <v>148</v>
      </c>
      <c r="C59" s="1263">
        <f>SUM(C40+C45+C46+C47+C51+C52+C55+C56+C57+C58)</f>
        <v>6600</v>
      </c>
      <c r="D59" s="1263">
        <f>SUM(D40+D45+D46+D47+D51+D52+D55+D56+D57+D58)</f>
        <v>6600</v>
      </c>
      <c r="E59" s="1263"/>
      <c r="F59" s="1673">
        <f>SUM(F40+F45+F46+F47+F51+F57+F58+F55+F52)</f>
        <v>4295375</v>
      </c>
      <c r="G59" s="1673">
        <f>SUM(G40+G45+G46+G47+G51+G57+G58+G55+G52)</f>
        <v>4974113</v>
      </c>
      <c r="H59" s="1263"/>
      <c r="I59" s="1090">
        <f>SUM('19_Polgármesteri H.l'!L59)</f>
        <v>430803</v>
      </c>
      <c r="J59" s="1090">
        <f>SUM('19_Polgármesteri H.l'!M59)</f>
        <v>434931</v>
      </c>
      <c r="K59" s="1090">
        <f>SUM('19_Polgármesteri H.l'!N59)</f>
        <v>0</v>
      </c>
      <c r="L59" s="1090">
        <f>SUM('17_Bicskei Egy Műv. Közp, '!R59+'18_Kapcsolat Központ'!O59+'18_Kapcsolat Központ'!R59)</f>
        <v>1285835</v>
      </c>
      <c r="M59" s="1090">
        <f>SUM('17_Bicskei Egy Műv. Közp, '!S59+'18_Kapcsolat Központ'!P59+'18_Kapcsolat Központ'!S59)</f>
        <v>1331608</v>
      </c>
      <c r="N59" s="1263"/>
      <c r="O59" s="1090">
        <f>SUM(F59+I59+L59)-1469682</f>
        <v>4542331</v>
      </c>
      <c r="P59" s="1090">
        <f>SUM(G59+J59+M59)-1469682-777-4432-771-470-3077-550</f>
        <v>5260893</v>
      </c>
      <c r="Q59" s="1263"/>
      <c r="R59" s="1013"/>
      <c r="S59" s="1091"/>
    </row>
    <row r="60" spans="1:19" s="1014" customFormat="1" ht="17.25" customHeight="1" thickBot="1" thickTop="1">
      <c r="A60" s="1266"/>
      <c r="B60" s="1097"/>
      <c r="C60" s="1676"/>
      <c r="D60" s="1676"/>
      <c r="E60" s="1677"/>
      <c r="F60" s="1677"/>
      <c r="G60" s="1677"/>
      <c r="H60" s="1677"/>
      <c r="I60" s="1676"/>
      <c r="J60" s="1676"/>
      <c r="K60" s="1677"/>
      <c r="L60" s="1676"/>
      <c r="M60" s="1676"/>
      <c r="N60" s="1677"/>
      <c r="O60" s="1090">
        <f>SUM(F60+I60+L60)</f>
        <v>0</v>
      </c>
      <c r="P60" s="1676"/>
      <c r="Q60" s="1677"/>
      <c r="R60" s="1013"/>
      <c r="S60" s="1091"/>
    </row>
    <row r="61" spans="1:19" s="1014" customFormat="1" ht="17.25" customHeight="1" thickBot="1" thickTop="1">
      <c r="A61" s="1098"/>
      <c r="B61" s="1668" t="s">
        <v>427</v>
      </c>
      <c r="C61" s="1678"/>
      <c r="D61" s="1678"/>
      <c r="E61" s="1678"/>
      <c r="F61" s="1678">
        <v>2</v>
      </c>
      <c r="G61" s="1678"/>
      <c r="H61" s="1678"/>
      <c r="I61" s="1678">
        <v>59</v>
      </c>
      <c r="J61" s="1678"/>
      <c r="K61" s="1678"/>
      <c r="L61" s="1678">
        <f>SUM('16_Bicske Városi Óvoda'!L61+'17_Bicskei Egy Műv. Közp, '!C61+'17_Bicskei Egy Műv. Közp, '!F61+'17_Bicskei Egy Műv. Közp, '!I61+'17_Bicskei Egy Műv. Közp, '!L61+'17_Bicskei Egy Műv. Közp, '!O61+'18_Kapcsolat Központ'!O61+'18_Kapcsolat Központ'!R61)</f>
        <v>220</v>
      </c>
      <c r="M61" s="1678"/>
      <c r="N61" s="1678"/>
      <c r="O61" s="1090">
        <f>SUM(F61+I61+L61)</f>
        <v>281</v>
      </c>
      <c r="P61" s="1678"/>
      <c r="Q61" s="1678"/>
      <c r="R61" s="1013"/>
      <c r="S61" s="1091"/>
    </row>
    <row r="62" spans="1:19" s="1014" customFormat="1" ht="17.25" customHeight="1" thickBot="1" thickTop="1">
      <c r="A62" s="1081"/>
      <c r="B62" s="1669" t="s">
        <v>144</v>
      </c>
      <c r="C62" s="1679"/>
      <c r="D62" s="1679"/>
      <c r="E62" s="1679"/>
      <c r="F62" s="1679">
        <v>2</v>
      </c>
      <c r="G62" s="1679"/>
      <c r="H62" s="1679"/>
      <c r="I62" s="1679"/>
      <c r="J62" s="1679"/>
      <c r="K62" s="1679"/>
      <c r="L62" s="1678">
        <f>SUM('16_Bicske Városi Óvoda'!L62+'17_Bicskei Egy Műv. Közp, '!C62+'17_Bicskei Egy Műv. Közp, '!F62+'17_Bicskei Egy Műv. Közp, '!I62+'17_Bicskei Egy Műv. Közp, '!L62+'17_Bicskei Egy Műv. Közp, '!O62+'18_Kapcsolat Központ'!O62+'18_Kapcsolat Központ'!R62)</f>
        <v>14</v>
      </c>
      <c r="M62" s="1679"/>
      <c r="N62" s="1679"/>
      <c r="O62" s="1680">
        <f>SUM(F62+I62+L62)</f>
        <v>16</v>
      </c>
      <c r="P62" s="1679"/>
      <c r="Q62" s="1681"/>
      <c r="R62" s="1013"/>
      <c r="S62" s="1091"/>
    </row>
    <row r="63" spans="1:19" s="1100" customFormat="1" ht="18.75">
      <c r="A63" s="1099"/>
      <c r="F63" s="1101"/>
      <c r="G63" s="1101"/>
      <c r="O63" s="1101"/>
      <c r="R63" s="1013"/>
      <c r="S63" s="1091"/>
    </row>
    <row r="64" spans="1:19" s="1100" customFormat="1" ht="18.75">
      <c r="A64" s="1099"/>
      <c r="F64" s="1101"/>
      <c r="G64" s="1101"/>
      <c r="H64" s="1101"/>
      <c r="J64" s="1101"/>
      <c r="K64" s="1102"/>
      <c r="L64" s="1101"/>
      <c r="M64" s="1101"/>
      <c r="N64" s="1101"/>
      <c r="O64" s="1101"/>
      <c r="P64" s="1101"/>
      <c r="R64" s="1013"/>
      <c r="S64" s="1091"/>
    </row>
    <row r="65" spans="1:19" s="1100" customFormat="1" ht="18.75">
      <c r="A65" s="1099"/>
      <c r="C65" s="1101"/>
      <c r="F65" s="1101"/>
      <c r="G65" s="1101"/>
      <c r="L65" s="1101"/>
      <c r="N65" s="1101"/>
      <c r="O65" s="1101"/>
      <c r="P65" s="1101"/>
      <c r="R65" s="1013"/>
      <c r="S65" s="1091"/>
    </row>
    <row r="66" spans="1:19" s="1100" customFormat="1" ht="18.75">
      <c r="A66" s="1099"/>
      <c r="C66" s="1101"/>
      <c r="D66" s="1101"/>
      <c r="E66" s="1101"/>
      <c r="F66" s="1101"/>
      <c r="G66" s="1101"/>
      <c r="H66" s="1101"/>
      <c r="I66" s="1101"/>
      <c r="L66" s="1101"/>
      <c r="R66" s="1013"/>
      <c r="S66" s="1091"/>
    </row>
    <row r="67" spans="1:19" s="1100" customFormat="1" ht="18.75">
      <c r="A67" s="1099"/>
      <c r="F67" s="1101"/>
      <c r="G67" s="1101"/>
      <c r="H67" s="1101"/>
      <c r="L67" s="1101"/>
      <c r="M67" s="1101"/>
      <c r="N67" s="1101"/>
      <c r="P67" s="1101"/>
      <c r="R67" s="1013"/>
      <c r="S67" s="1091"/>
    </row>
    <row r="68" spans="1:19" s="1100" customFormat="1" ht="18.75">
      <c r="A68" s="1099"/>
      <c r="F68" s="1101"/>
      <c r="L68" s="1101"/>
      <c r="M68" s="1101"/>
      <c r="N68" s="1101"/>
      <c r="P68" s="1101"/>
      <c r="R68" s="1013"/>
      <c r="S68" s="1091"/>
    </row>
    <row r="69" spans="1:19" s="1100" customFormat="1" ht="18.75">
      <c r="A69" s="1099"/>
      <c r="M69" s="1101"/>
      <c r="N69" s="1101"/>
      <c r="P69" s="1101"/>
      <c r="R69" s="1013"/>
      <c r="S69" s="1091"/>
    </row>
    <row r="70" spans="1:19" s="1100" customFormat="1" ht="18.75">
      <c r="A70" s="1099"/>
      <c r="N70" s="1101"/>
      <c r="O70" s="1101"/>
      <c r="P70" s="1101"/>
      <c r="R70" s="1013"/>
      <c r="S70" s="1091"/>
    </row>
    <row r="71" spans="1:18" s="1100" customFormat="1" ht="18.75">
      <c r="A71" s="1099"/>
      <c r="P71" s="1101"/>
      <c r="R71" s="1013"/>
    </row>
    <row r="72" spans="1:18" s="1100" customFormat="1" ht="18.75">
      <c r="A72" s="1099"/>
      <c r="P72" s="1101"/>
      <c r="R72" s="1013"/>
    </row>
    <row r="73" spans="7:18" ht="18.75">
      <c r="G73" s="1610"/>
      <c r="H73" s="1611"/>
      <c r="R73" s="1013"/>
    </row>
    <row r="74" spans="8:16" ht="18.75">
      <c r="H74" s="1611"/>
      <c r="P74" s="1104"/>
    </row>
    <row r="75" ht="18.75">
      <c r="H75" s="1611"/>
    </row>
    <row r="76" ht="18.75">
      <c r="H76" s="1611"/>
    </row>
    <row r="77" ht="18.75">
      <c r="H77" s="1610"/>
    </row>
  </sheetData>
  <sheetProtection selectLockedCells="1" selectUnlockedCells="1"/>
  <mergeCells count="12">
    <mergeCell ref="F7:H7"/>
    <mergeCell ref="I7:K7"/>
    <mergeCell ref="L7:N7"/>
    <mergeCell ref="O7:Q7"/>
    <mergeCell ref="A4:Q4"/>
    <mergeCell ref="A5:Q5"/>
    <mergeCell ref="C8:E8"/>
    <mergeCell ref="F8:H8"/>
    <mergeCell ref="I8:K8"/>
    <mergeCell ref="L8:N8"/>
    <mergeCell ref="O8:Q8"/>
    <mergeCell ref="C7:E7"/>
  </mergeCells>
  <printOptions/>
  <pageMargins left="0.31496062992125984" right="0.2362204724409449" top="0.4724409448818898" bottom="0.2362204724409449" header="0.1968503937007874" footer="0.1968503937007874"/>
  <pageSetup horizontalDpi="600" verticalDpi="600" orientation="landscape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2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10.625" defaultRowHeight="12.75"/>
  <cols>
    <col min="1" max="1" width="4.125" style="457" customWidth="1"/>
    <col min="2" max="2" width="27.625" style="484" customWidth="1"/>
    <col min="3" max="3" width="9.00390625" style="457" customWidth="1"/>
    <col min="4" max="4" width="15.875" style="457" customWidth="1"/>
    <col min="5" max="5" width="12.50390625" style="457" customWidth="1"/>
    <col min="6" max="6" width="14.125" style="457" customWidth="1"/>
    <col min="7" max="7" width="13.875" style="457" customWidth="1"/>
    <col min="8" max="8" width="13.125" style="457" customWidth="1"/>
    <col min="9" max="9" width="12.00390625" style="457" customWidth="1"/>
    <col min="10" max="10" width="11.875" style="457" customWidth="1"/>
    <col min="11" max="11" width="15.125" style="457" customWidth="1"/>
    <col min="12" max="12" width="15.50390625" style="457" customWidth="1"/>
    <col min="13" max="16384" width="10.625" style="457" customWidth="1"/>
  </cols>
  <sheetData>
    <row r="1" spans="2:12" ht="12.75">
      <c r="B1" s="1864" t="s">
        <v>728</v>
      </c>
      <c r="C1" s="1863"/>
      <c r="D1" s="1863"/>
      <c r="E1" s="459"/>
      <c r="F1" s="459"/>
      <c r="G1" s="459"/>
      <c r="H1" s="459"/>
      <c r="I1" s="459"/>
      <c r="J1" s="459"/>
      <c r="K1" s="1861"/>
      <c r="L1" s="1861"/>
    </row>
    <row r="2" spans="2:12" ht="12.75">
      <c r="B2" s="458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2" ht="14.25">
      <c r="A3" s="1862" t="s">
        <v>579</v>
      </c>
      <c r="B3" s="1863"/>
      <c r="C3" s="1863"/>
      <c r="D3" s="1863"/>
      <c r="E3" s="1863"/>
      <c r="F3" s="1863"/>
      <c r="G3" s="1863"/>
      <c r="H3" s="1863"/>
      <c r="I3" s="1863"/>
      <c r="J3" s="1863"/>
      <c r="K3" s="1863"/>
      <c r="L3" s="1863"/>
    </row>
    <row r="4" spans="2:12" ht="15" thickBot="1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 t="s">
        <v>1</v>
      </c>
    </row>
    <row r="5" spans="1:12" ht="13.5" thickBot="1">
      <c r="A5" s="730"/>
      <c r="B5" s="1267" t="s">
        <v>118</v>
      </c>
      <c r="C5" s="1268" t="s">
        <v>142</v>
      </c>
      <c r="D5" s="1268" t="s">
        <v>363</v>
      </c>
      <c r="E5" s="1268" t="s">
        <v>364</v>
      </c>
      <c r="F5" s="1269" t="s">
        <v>365</v>
      </c>
      <c r="G5" s="1270" t="s">
        <v>366</v>
      </c>
      <c r="H5" s="1269" t="s">
        <v>367</v>
      </c>
      <c r="I5" s="1270" t="s">
        <v>368</v>
      </c>
      <c r="J5" s="1269" t="s">
        <v>230</v>
      </c>
      <c r="K5" s="1268" t="s">
        <v>369</v>
      </c>
      <c r="L5" s="1271" t="s">
        <v>372</v>
      </c>
    </row>
    <row r="6" spans="1:12" ht="67.5" customHeight="1" thickBot="1">
      <c r="A6" s="462">
        <v>1</v>
      </c>
      <c r="B6" s="463" t="s">
        <v>171</v>
      </c>
      <c r="C6" s="464" t="s">
        <v>613</v>
      </c>
      <c r="D6" s="465" t="s">
        <v>614</v>
      </c>
      <c r="E6" s="465" t="s">
        <v>615</v>
      </c>
      <c r="F6" s="466" t="s">
        <v>616</v>
      </c>
      <c r="G6" s="465" t="s">
        <v>617</v>
      </c>
      <c r="H6" s="466" t="s">
        <v>608</v>
      </c>
      <c r="I6" s="465" t="s">
        <v>618</v>
      </c>
      <c r="J6" s="466" t="s">
        <v>619</v>
      </c>
      <c r="K6" s="467" t="s">
        <v>620</v>
      </c>
      <c r="L6" s="1272" t="s">
        <v>612</v>
      </c>
    </row>
    <row r="7" spans="1:12" s="476" customFormat="1" ht="12.75">
      <c r="A7" s="468">
        <v>2</v>
      </c>
      <c r="B7" s="469" t="s">
        <v>317</v>
      </c>
      <c r="C7" s="470"/>
      <c r="D7" s="471">
        <v>11000</v>
      </c>
      <c r="E7" s="471"/>
      <c r="F7" s="472">
        <f aca="true" t="shared" si="0" ref="F7:F26">SUM(E7/D7)*100</f>
        <v>0</v>
      </c>
      <c r="G7" s="473"/>
      <c r="H7" s="474">
        <f aca="true" t="shared" si="1" ref="H7:H31">SUM(G7/D7)*100</f>
        <v>0</v>
      </c>
      <c r="I7" s="473"/>
      <c r="J7" s="474">
        <f aca="true" t="shared" si="2" ref="J7:J31">SUM(I7/D7*100)</f>
        <v>0</v>
      </c>
      <c r="K7" s="475">
        <f aca="true" t="shared" si="3" ref="K7:K31">SUM(D7-E7-G7-I7)</f>
        <v>11000</v>
      </c>
      <c r="L7" s="1273">
        <f>SUM(K7/D7)*100</f>
        <v>100</v>
      </c>
    </row>
    <row r="8" spans="1:12" s="476" customFormat="1" ht="126.75" customHeight="1">
      <c r="A8" s="468">
        <v>3</v>
      </c>
      <c r="B8" s="569" t="s">
        <v>359</v>
      </c>
      <c r="C8" s="575"/>
      <c r="D8" s="576">
        <v>1550</v>
      </c>
      <c r="E8" s="576"/>
      <c r="F8" s="577">
        <f t="shared" si="0"/>
        <v>0</v>
      </c>
      <c r="G8" s="578"/>
      <c r="H8" s="579">
        <f t="shared" si="1"/>
        <v>0</v>
      </c>
      <c r="I8" s="578"/>
      <c r="J8" s="579">
        <f t="shared" si="2"/>
        <v>0</v>
      </c>
      <c r="K8" s="580">
        <f t="shared" si="3"/>
        <v>1550</v>
      </c>
      <c r="L8" s="1274">
        <f>SUM(K8/D8)*100</f>
        <v>100</v>
      </c>
    </row>
    <row r="9" spans="1:12" s="476" customFormat="1" ht="51" customHeight="1">
      <c r="A9" s="729">
        <v>4</v>
      </c>
      <c r="B9" s="570" t="s">
        <v>360</v>
      </c>
      <c r="C9" s="575"/>
      <c r="D9" s="576">
        <v>180</v>
      </c>
      <c r="E9" s="576"/>
      <c r="F9" s="577">
        <f t="shared" si="0"/>
        <v>0</v>
      </c>
      <c r="G9" s="578"/>
      <c r="H9" s="579">
        <f t="shared" si="1"/>
        <v>0</v>
      </c>
      <c r="I9" s="578"/>
      <c r="J9" s="579">
        <f t="shared" si="2"/>
        <v>0</v>
      </c>
      <c r="K9" s="580">
        <f t="shared" si="3"/>
        <v>180</v>
      </c>
      <c r="L9" s="1274">
        <f>SUM(K9/D9)*100</f>
        <v>100</v>
      </c>
    </row>
    <row r="10" spans="1:12" s="476" customFormat="1" ht="52.5" customHeight="1" thickBot="1">
      <c r="A10" s="468">
        <v>5</v>
      </c>
      <c r="B10" s="570" t="s">
        <v>592</v>
      </c>
      <c r="C10" s="581"/>
      <c r="D10" s="582">
        <v>200</v>
      </c>
      <c r="E10" s="582"/>
      <c r="F10" s="583">
        <f t="shared" si="0"/>
        <v>0</v>
      </c>
      <c r="G10" s="580"/>
      <c r="H10" s="584">
        <f t="shared" si="1"/>
        <v>0</v>
      </c>
      <c r="I10" s="580"/>
      <c r="J10" s="584">
        <f t="shared" si="2"/>
        <v>0</v>
      </c>
      <c r="K10" s="580">
        <f t="shared" si="3"/>
        <v>200</v>
      </c>
      <c r="L10" s="1275">
        <f aca="true" t="shared" si="4" ref="L10:L31">SUM(K10/D10)*100</f>
        <v>100</v>
      </c>
    </row>
    <row r="11" spans="1:12" s="476" customFormat="1" ht="24">
      <c r="A11" s="462">
        <v>6</v>
      </c>
      <c r="B11" s="571" t="s">
        <v>306</v>
      </c>
      <c r="C11" s="581"/>
      <c r="D11" s="582">
        <v>251</v>
      </c>
      <c r="E11" s="582"/>
      <c r="F11" s="583">
        <f t="shared" si="0"/>
        <v>0</v>
      </c>
      <c r="G11" s="580"/>
      <c r="H11" s="584">
        <f t="shared" si="1"/>
        <v>0</v>
      </c>
      <c r="I11" s="580"/>
      <c r="J11" s="584">
        <f t="shared" si="2"/>
        <v>0</v>
      </c>
      <c r="K11" s="580">
        <f t="shared" si="3"/>
        <v>251</v>
      </c>
      <c r="L11" s="1275">
        <f t="shared" si="4"/>
        <v>100</v>
      </c>
    </row>
    <row r="12" spans="1:12" s="476" customFormat="1" ht="12.75">
      <c r="A12" s="468">
        <v>7</v>
      </c>
      <c r="B12" s="569" t="s">
        <v>172</v>
      </c>
      <c r="C12" s="581"/>
      <c r="D12" s="582">
        <v>1200</v>
      </c>
      <c r="E12" s="582"/>
      <c r="F12" s="583">
        <f t="shared" si="0"/>
        <v>0</v>
      </c>
      <c r="G12" s="580"/>
      <c r="H12" s="584">
        <f t="shared" si="1"/>
        <v>0</v>
      </c>
      <c r="I12" s="580"/>
      <c r="J12" s="584">
        <f t="shared" si="2"/>
        <v>0</v>
      </c>
      <c r="K12" s="580">
        <f t="shared" si="3"/>
        <v>1200</v>
      </c>
      <c r="L12" s="1275">
        <f t="shared" si="4"/>
        <v>100</v>
      </c>
    </row>
    <row r="13" spans="1:12" s="476" customFormat="1" ht="13.5" thickBot="1">
      <c r="A13" s="729">
        <v>8</v>
      </c>
      <c r="B13" s="572" t="s">
        <v>319</v>
      </c>
      <c r="C13" s="581"/>
      <c r="D13" s="582">
        <v>5400</v>
      </c>
      <c r="E13" s="582"/>
      <c r="F13" s="583">
        <f t="shared" si="0"/>
        <v>0</v>
      </c>
      <c r="G13" s="580"/>
      <c r="H13" s="584">
        <f t="shared" si="1"/>
        <v>0</v>
      </c>
      <c r="I13" s="580"/>
      <c r="J13" s="584">
        <f t="shared" si="2"/>
        <v>0</v>
      </c>
      <c r="K13" s="580">
        <f t="shared" si="3"/>
        <v>5400</v>
      </c>
      <c r="L13" s="1275">
        <f t="shared" si="4"/>
        <v>100</v>
      </c>
    </row>
    <row r="14" spans="1:12" s="476" customFormat="1" ht="13.5" thickBot="1">
      <c r="A14" s="468">
        <v>9</v>
      </c>
      <c r="B14" s="569" t="s">
        <v>173</v>
      </c>
      <c r="C14" s="581"/>
      <c r="D14" s="582">
        <v>10000</v>
      </c>
      <c r="E14" s="582"/>
      <c r="F14" s="583">
        <f t="shared" si="0"/>
        <v>0</v>
      </c>
      <c r="G14" s="580"/>
      <c r="H14" s="584">
        <f t="shared" si="1"/>
        <v>0</v>
      </c>
      <c r="I14" s="580"/>
      <c r="J14" s="584">
        <f t="shared" si="2"/>
        <v>0</v>
      </c>
      <c r="K14" s="580">
        <f t="shared" si="3"/>
        <v>10000</v>
      </c>
      <c r="L14" s="1275">
        <f t="shared" si="4"/>
        <v>100</v>
      </c>
    </row>
    <row r="15" spans="1:12" s="476" customFormat="1" ht="46.5" customHeight="1">
      <c r="A15" s="462">
        <v>10</v>
      </c>
      <c r="B15" s="571" t="s">
        <v>316</v>
      </c>
      <c r="C15" s="581"/>
      <c r="D15" s="582">
        <v>100</v>
      </c>
      <c r="E15" s="582"/>
      <c r="F15" s="583">
        <f t="shared" si="0"/>
        <v>0</v>
      </c>
      <c r="G15" s="580"/>
      <c r="H15" s="584">
        <f t="shared" si="1"/>
        <v>0</v>
      </c>
      <c r="I15" s="580"/>
      <c r="J15" s="584">
        <f t="shared" si="2"/>
        <v>0</v>
      </c>
      <c r="K15" s="580">
        <f t="shared" si="3"/>
        <v>100</v>
      </c>
      <c r="L15" s="1275">
        <f t="shared" si="4"/>
        <v>100</v>
      </c>
    </row>
    <row r="16" spans="1:12" s="476" customFormat="1" ht="37.5" customHeight="1">
      <c r="A16" s="468">
        <v>11</v>
      </c>
      <c r="B16" s="571" t="s">
        <v>302</v>
      </c>
      <c r="C16" s="581"/>
      <c r="D16" s="582">
        <v>1500</v>
      </c>
      <c r="E16" s="582"/>
      <c r="F16" s="583">
        <f t="shared" si="0"/>
        <v>0</v>
      </c>
      <c r="G16" s="580"/>
      <c r="H16" s="584">
        <f t="shared" si="1"/>
        <v>0</v>
      </c>
      <c r="I16" s="580"/>
      <c r="J16" s="584">
        <f t="shared" si="2"/>
        <v>0</v>
      </c>
      <c r="K16" s="580">
        <f t="shared" si="3"/>
        <v>1500</v>
      </c>
      <c r="L16" s="1275">
        <f t="shared" si="4"/>
        <v>100</v>
      </c>
    </row>
    <row r="17" spans="1:14" s="476" customFormat="1" ht="12.75">
      <c r="A17" s="468">
        <v>12</v>
      </c>
      <c r="B17" s="569" t="s">
        <v>174</v>
      </c>
      <c r="C17" s="581"/>
      <c r="D17" s="582">
        <v>300</v>
      </c>
      <c r="E17" s="582"/>
      <c r="F17" s="583">
        <f t="shared" si="0"/>
        <v>0</v>
      </c>
      <c r="G17" s="580"/>
      <c r="H17" s="584">
        <f t="shared" si="1"/>
        <v>0</v>
      </c>
      <c r="I17" s="580"/>
      <c r="J17" s="584">
        <f t="shared" si="2"/>
        <v>0</v>
      </c>
      <c r="K17" s="580">
        <f t="shared" si="3"/>
        <v>300</v>
      </c>
      <c r="L17" s="1275">
        <f t="shared" si="4"/>
        <v>100</v>
      </c>
      <c r="N17" s="480"/>
    </row>
    <row r="18" spans="1:12" s="476" customFormat="1" ht="24">
      <c r="A18" s="729">
        <v>13</v>
      </c>
      <c r="B18" s="569" t="s">
        <v>303</v>
      </c>
      <c r="C18" s="581"/>
      <c r="D18" s="582">
        <f>6000+2000</f>
        <v>8000</v>
      </c>
      <c r="E18" s="582"/>
      <c r="F18" s="583">
        <f t="shared" si="0"/>
        <v>0</v>
      </c>
      <c r="G18" s="580"/>
      <c r="H18" s="584">
        <f t="shared" si="1"/>
        <v>0</v>
      </c>
      <c r="I18" s="580"/>
      <c r="J18" s="584">
        <f t="shared" si="2"/>
        <v>0</v>
      </c>
      <c r="K18" s="580">
        <f t="shared" si="3"/>
        <v>8000</v>
      </c>
      <c r="L18" s="1275">
        <f t="shared" si="4"/>
        <v>100</v>
      </c>
    </row>
    <row r="19" spans="1:14" s="476" customFormat="1" ht="58.5" customHeight="1" thickBot="1">
      <c r="A19" s="468">
        <v>14</v>
      </c>
      <c r="B19" s="569" t="s">
        <v>621</v>
      </c>
      <c r="C19" s="581"/>
      <c r="D19" s="582">
        <v>4400</v>
      </c>
      <c r="E19" s="582"/>
      <c r="F19" s="583">
        <f t="shared" si="0"/>
        <v>0</v>
      </c>
      <c r="G19" s="580"/>
      <c r="H19" s="584">
        <f t="shared" si="1"/>
        <v>0</v>
      </c>
      <c r="I19" s="580"/>
      <c r="J19" s="584">
        <f t="shared" si="2"/>
        <v>0</v>
      </c>
      <c r="K19" s="580">
        <f t="shared" si="3"/>
        <v>4400</v>
      </c>
      <c r="L19" s="1275">
        <f t="shared" si="4"/>
        <v>100</v>
      </c>
      <c r="N19" s="480"/>
    </row>
    <row r="20" spans="1:12" s="476" customFormat="1" ht="12.75">
      <c r="A20" s="462">
        <v>15</v>
      </c>
      <c r="B20" s="569" t="s">
        <v>304</v>
      </c>
      <c r="C20" s="581"/>
      <c r="D20" s="582">
        <v>3000</v>
      </c>
      <c r="E20" s="582"/>
      <c r="F20" s="583">
        <f t="shared" si="0"/>
        <v>0</v>
      </c>
      <c r="G20" s="580"/>
      <c r="H20" s="584">
        <f t="shared" si="1"/>
        <v>0</v>
      </c>
      <c r="I20" s="580"/>
      <c r="J20" s="584">
        <f t="shared" si="2"/>
        <v>0</v>
      </c>
      <c r="K20" s="580">
        <f t="shared" si="3"/>
        <v>3000</v>
      </c>
      <c r="L20" s="1275">
        <f t="shared" si="4"/>
        <v>100</v>
      </c>
    </row>
    <row r="21" spans="1:14" s="476" customFormat="1" ht="12.75">
      <c r="A21" s="468">
        <v>16</v>
      </c>
      <c r="B21" s="573" t="s">
        <v>305</v>
      </c>
      <c r="C21" s="585"/>
      <c r="D21" s="586">
        <v>500</v>
      </c>
      <c r="E21" s="586"/>
      <c r="F21" s="583">
        <f t="shared" si="0"/>
        <v>0</v>
      </c>
      <c r="G21" s="587"/>
      <c r="H21" s="584">
        <f t="shared" si="1"/>
        <v>0</v>
      </c>
      <c r="I21" s="587"/>
      <c r="J21" s="584">
        <f t="shared" si="2"/>
        <v>0</v>
      </c>
      <c r="K21" s="580">
        <f t="shared" si="3"/>
        <v>500</v>
      </c>
      <c r="L21" s="1275">
        <f t="shared" si="4"/>
        <v>100</v>
      </c>
      <c r="M21" s="480"/>
      <c r="N21" s="480"/>
    </row>
    <row r="22" spans="1:14" s="476" customFormat="1" ht="24">
      <c r="A22" s="468">
        <v>17</v>
      </c>
      <c r="B22" s="573" t="s">
        <v>307</v>
      </c>
      <c r="C22" s="585"/>
      <c r="D22" s="586">
        <v>2000</v>
      </c>
      <c r="E22" s="586"/>
      <c r="F22" s="583">
        <f t="shared" si="0"/>
        <v>0</v>
      </c>
      <c r="G22" s="587"/>
      <c r="H22" s="584">
        <f t="shared" si="1"/>
        <v>0</v>
      </c>
      <c r="I22" s="587"/>
      <c r="J22" s="584">
        <f t="shared" si="2"/>
        <v>0</v>
      </c>
      <c r="K22" s="580">
        <f t="shared" si="3"/>
        <v>2000</v>
      </c>
      <c r="L22" s="1275">
        <f t="shared" si="4"/>
        <v>100</v>
      </c>
      <c r="M22" s="480"/>
      <c r="N22" s="480"/>
    </row>
    <row r="23" spans="1:14" s="476" customFormat="1" ht="36">
      <c r="A23" s="729">
        <v>18</v>
      </c>
      <c r="B23" s="569" t="s">
        <v>308</v>
      </c>
      <c r="C23" s="581"/>
      <c r="D23" s="582">
        <v>6000</v>
      </c>
      <c r="E23" s="582"/>
      <c r="F23" s="588">
        <f t="shared" si="0"/>
        <v>0</v>
      </c>
      <c r="G23" s="587"/>
      <c r="H23" s="589">
        <f t="shared" si="1"/>
        <v>0</v>
      </c>
      <c r="I23" s="587"/>
      <c r="J23" s="589">
        <f t="shared" si="2"/>
        <v>0</v>
      </c>
      <c r="K23" s="587">
        <f t="shared" si="3"/>
        <v>6000</v>
      </c>
      <c r="L23" s="1276">
        <f t="shared" si="4"/>
        <v>100</v>
      </c>
      <c r="M23" s="480"/>
      <c r="N23" s="480"/>
    </row>
    <row r="24" spans="1:14" s="476" customFormat="1" ht="24" customHeight="1" thickBot="1">
      <c r="A24" s="468">
        <v>19</v>
      </c>
      <c r="B24" s="574" t="s">
        <v>182</v>
      </c>
      <c r="C24" s="590">
        <v>12440</v>
      </c>
      <c r="D24" s="590">
        <f>103958+24561+771</f>
        <v>129290</v>
      </c>
      <c r="E24" s="591">
        <v>11720</v>
      </c>
      <c r="F24" s="583">
        <f t="shared" si="0"/>
        <v>9.064892876479233</v>
      </c>
      <c r="G24" s="580">
        <f>15166</f>
        <v>15166</v>
      </c>
      <c r="H24" s="584">
        <f t="shared" si="1"/>
        <v>11.730218887771676</v>
      </c>
      <c r="I24" s="580"/>
      <c r="J24" s="584">
        <f t="shared" si="2"/>
        <v>0</v>
      </c>
      <c r="K24" s="580">
        <f t="shared" si="3"/>
        <v>102404</v>
      </c>
      <c r="L24" s="1276">
        <f t="shared" si="4"/>
        <v>79.2048882357491</v>
      </c>
      <c r="M24" s="480"/>
      <c r="N24" s="480"/>
    </row>
    <row r="25" spans="1:14" s="476" customFormat="1" ht="12.75">
      <c r="A25" s="462">
        <v>20</v>
      </c>
      <c r="B25" s="725" t="s">
        <v>318</v>
      </c>
      <c r="C25" s="597"/>
      <c r="D25" s="592">
        <v>1300</v>
      </c>
      <c r="E25" s="592"/>
      <c r="F25" s="594">
        <f t="shared" si="0"/>
        <v>0</v>
      </c>
      <c r="G25" s="593"/>
      <c r="H25" s="595">
        <f t="shared" si="1"/>
        <v>0</v>
      </c>
      <c r="I25" s="593"/>
      <c r="J25" s="595">
        <f t="shared" si="2"/>
        <v>0</v>
      </c>
      <c r="K25" s="593">
        <f t="shared" si="3"/>
        <v>1300</v>
      </c>
      <c r="L25" s="596">
        <f t="shared" si="4"/>
        <v>100</v>
      </c>
      <c r="M25" s="480"/>
      <c r="N25" s="480"/>
    </row>
    <row r="26" spans="1:14" s="476" customFormat="1" ht="31.5" customHeight="1">
      <c r="A26" s="468">
        <v>21</v>
      </c>
      <c r="B26" s="726" t="s">
        <v>622</v>
      </c>
      <c r="C26" s="598"/>
      <c r="D26" s="599">
        <v>300</v>
      </c>
      <c r="E26" s="599"/>
      <c r="F26" s="600">
        <f t="shared" si="0"/>
        <v>0</v>
      </c>
      <c r="G26" s="601"/>
      <c r="H26" s="602">
        <f t="shared" si="1"/>
        <v>0</v>
      </c>
      <c r="I26" s="601"/>
      <c r="J26" s="602">
        <f t="shared" si="2"/>
        <v>0</v>
      </c>
      <c r="K26" s="601">
        <f t="shared" si="3"/>
        <v>300</v>
      </c>
      <c r="L26" s="603">
        <f t="shared" si="4"/>
        <v>100</v>
      </c>
      <c r="M26" s="480"/>
      <c r="N26" s="480"/>
    </row>
    <row r="27" spans="1:14" s="476" customFormat="1" ht="51.75" thickBot="1">
      <c r="A27" s="729">
        <v>22</v>
      </c>
      <c r="B27" s="727" t="s">
        <v>623</v>
      </c>
      <c r="C27" s="598"/>
      <c r="D27" s="599">
        <v>532</v>
      </c>
      <c r="E27" s="599">
        <f>288+250</f>
        <v>538</v>
      </c>
      <c r="F27" s="627">
        <f>SUM(E27/D27)*100</f>
        <v>101.12781954887218</v>
      </c>
      <c r="G27" s="601"/>
      <c r="H27" s="602">
        <f t="shared" si="1"/>
        <v>0</v>
      </c>
      <c r="I27" s="601"/>
      <c r="J27" s="602">
        <f t="shared" si="2"/>
        <v>0</v>
      </c>
      <c r="K27" s="601">
        <f t="shared" si="3"/>
        <v>-6</v>
      </c>
      <c r="L27" s="603">
        <f t="shared" si="4"/>
        <v>-1.1278195488721803</v>
      </c>
      <c r="M27" s="480"/>
      <c r="N27" s="480"/>
    </row>
    <row r="28" spans="1:14" s="476" customFormat="1" ht="41.25" customHeight="1">
      <c r="A28" s="462">
        <v>23</v>
      </c>
      <c r="B28" s="727" t="s">
        <v>455</v>
      </c>
      <c r="C28" s="598"/>
      <c r="D28" s="599">
        <v>200</v>
      </c>
      <c r="E28" s="599"/>
      <c r="F28" s="627">
        <f>SUM(E28/D28)*100</f>
        <v>0</v>
      </c>
      <c r="G28" s="601"/>
      <c r="H28" s="602">
        <f t="shared" si="1"/>
        <v>0</v>
      </c>
      <c r="I28" s="601"/>
      <c r="J28" s="602">
        <f t="shared" si="2"/>
        <v>0</v>
      </c>
      <c r="K28" s="601">
        <f t="shared" si="3"/>
        <v>200</v>
      </c>
      <c r="L28" s="603">
        <f t="shared" si="4"/>
        <v>100</v>
      </c>
      <c r="M28" s="480"/>
      <c r="N28" s="480"/>
    </row>
    <row r="29" spans="1:14" s="476" customFormat="1" ht="41.25" customHeight="1">
      <c r="A29" s="729">
        <v>24</v>
      </c>
      <c r="B29" s="727" t="s">
        <v>691</v>
      </c>
      <c r="C29" s="598"/>
      <c r="D29" s="599">
        <v>300</v>
      </c>
      <c r="E29" s="599"/>
      <c r="F29" s="627"/>
      <c r="G29" s="601"/>
      <c r="H29" s="602">
        <f t="shared" si="1"/>
        <v>0</v>
      </c>
      <c r="I29" s="601"/>
      <c r="J29" s="602">
        <f t="shared" si="2"/>
        <v>0</v>
      </c>
      <c r="K29" s="601">
        <f t="shared" si="3"/>
        <v>300</v>
      </c>
      <c r="L29" s="603">
        <f t="shared" si="4"/>
        <v>100</v>
      </c>
      <c r="M29" s="480"/>
      <c r="N29" s="480"/>
    </row>
    <row r="30" spans="1:14" s="476" customFormat="1" ht="41.25" customHeight="1">
      <c r="A30" s="729">
        <v>25</v>
      </c>
      <c r="B30" s="727" t="s">
        <v>698</v>
      </c>
      <c r="C30" s="598"/>
      <c r="D30" s="599">
        <v>300</v>
      </c>
      <c r="E30" s="599"/>
      <c r="F30" s="627"/>
      <c r="G30" s="601"/>
      <c r="H30" s="602">
        <f t="shared" si="1"/>
        <v>0</v>
      </c>
      <c r="I30" s="601"/>
      <c r="J30" s="602">
        <f t="shared" si="2"/>
        <v>0</v>
      </c>
      <c r="K30" s="601">
        <f t="shared" si="3"/>
        <v>300</v>
      </c>
      <c r="L30" s="603">
        <f t="shared" si="4"/>
        <v>100</v>
      </c>
      <c r="M30" s="480"/>
      <c r="N30" s="480"/>
    </row>
    <row r="31" spans="1:14" s="476" customFormat="1" ht="41.25" customHeight="1">
      <c r="A31" s="729">
        <v>26</v>
      </c>
      <c r="B31" s="727" t="s">
        <v>699</v>
      </c>
      <c r="C31" s="598">
        <v>60</v>
      </c>
      <c r="D31" s="599">
        <v>1000</v>
      </c>
      <c r="E31" s="599"/>
      <c r="F31" s="627"/>
      <c r="G31" s="601"/>
      <c r="H31" s="602">
        <f t="shared" si="1"/>
        <v>0</v>
      </c>
      <c r="I31" s="601"/>
      <c r="J31" s="602">
        <f t="shared" si="2"/>
        <v>0</v>
      </c>
      <c r="K31" s="601">
        <f t="shared" si="3"/>
        <v>1000</v>
      </c>
      <c r="L31" s="603">
        <f t="shared" si="4"/>
        <v>100</v>
      </c>
      <c r="M31" s="480"/>
      <c r="N31" s="480"/>
    </row>
    <row r="32" spans="1:12" s="476" customFormat="1" ht="13.5" thickBot="1">
      <c r="A32" s="1277">
        <v>27</v>
      </c>
      <c r="B32" s="728" t="s">
        <v>175</v>
      </c>
      <c r="C32" s="604"/>
      <c r="D32" s="605">
        <f>SUM(D7:D31)</f>
        <v>188803</v>
      </c>
      <c r="E32" s="605">
        <f>SUM(E7:E25)</f>
        <v>11720</v>
      </c>
      <c r="F32" s="606">
        <f>SUM(E32/D32)*100</f>
        <v>6.207528482068611</v>
      </c>
      <c r="G32" s="607">
        <f>SUM(G7:G28)</f>
        <v>15166</v>
      </c>
      <c r="H32" s="608">
        <f>SUM(G32/D32)*100</f>
        <v>8.032711344629059</v>
      </c>
      <c r="I32" s="607">
        <f>SUM(I7:I20)</f>
        <v>0</v>
      </c>
      <c r="J32" s="608">
        <f>SUM(I32/D32*100)</f>
        <v>0</v>
      </c>
      <c r="K32" s="607">
        <f>SUM(K7:K31)</f>
        <v>161379</v>
      </c>
      <c r="L32" s="609">
        <f>SUM(K32/D32)*100</f>
        <v>85.47480707404014</v>
      </c>
    </row>
    <row r="33" spans="2:12" s="476" customFormat="1" ht="12.75">
      <c r="B33" s="481"/>
      <c r="C33" s="610"/>
      <c r="D33" s="613"/>
      <c r="E33" s="611"/>
      <c r="F33" s="612"/>
      <c r="G33" s="613"/>
      <c r="H33" s="612"/>
      <c r="I33" s="613"/>
      <c r="J33" s="612"/>
      <c r="K33" s="611"/>
      <c r="L33" s="610"/>
    </row>
    <row r="34" spans="3:12" ht="12.75">
      <c r="C34" s="614"/>
      <c r="D34" s="615"/>
      <c r="E34" s="614"/>
      <c r="F34" s="614"/>
      <c r="G34" s="614"/>
      <c r="H34" s="614"/>
      <c r="I34" s="614"/>
      <c r="J34" s="614"/>
      <c r="K34" s="614"/>
      <c r="L34" s="614"/>
    </row>
    <row r="35" spans="4:8" ht="12.75">
      <c r="D35" s="485"/>
      <c r="G35" s="485"/>
      <c r="H35" s="485"/>
    </row>
    <row r="36" spans="4:6" ht="12.75">
      <c r="D36" s="485"/>
      <c r="F36" s="485"/>
    </row>
    <row r="37" spans="4:6" ht="12.75">
      <c r="D37" s="485"/>
      <c r="F37" s="485"/>
    </row>
    <row r="38" ht="12.75">
      <c r="D38" s="485"/>
    </row>
    <row r="39" ht="12.75">
      <c r="D39" s="485"/>
    </row>
    <row r="40" ht="12.75">
      <c r="D40" s="485"/>
    </row>
    <row r="41" ht="12.75">
      <c r="D41" s="485"/>
    </row>
    <row r="42" ht="12.75">
      <c r="D42" s="485"/>
    </row>
  </sheetData>
  <sheetProtection selectLockedCells="1" selectUnlockedCells="1"/>
  <mergeCells count="3">
    <mergeCell ref="K1:L1"/>
    <mergeCell ref="A3:L3"/>
    <mergeCell ref="B1:D1"/>
  </mergeCells>
  <printOptions/>
  <pageMargins left="0.4330708661417323" right="0.3937007874015748" top="1.062992125984252" bottom="1.062992125984252" header="0.4330708661417323" footer="0.7874015748031497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59"/>
  <sheetViews>
    <sheetView view="pageBreakPreview" zoomScale="80" zoomScaleNormal="90" zoomScaleSheetLayoutView="80" zoomScalePageLayoutView="0" workbookViewId="0" topLeftCell="A1">
      <selection activeCell="B1" sqref="B1:D1"/>
    </sheetView>
  </sheetViews>
  <sheetFormatPr defaultColWidth="10.625" defaultRowHeight="12.75"/>
  <cols>
    <col min="1" max="1" width="9.125" style="457" customWidth="1"/>
    <col min="2" max="2" width="38.50390625" style="484" customWidth="1"/>
    <col min="3" max="3" width="9.875" style="457" customWidth="1"/>
    <col min="4" max="4" width="12.625" style="457" customWidth="1"/>
    <col min="5" max="5" width="11.625" style="485" customWidth="1"/>
    <col min="6" max="6" width="14.875" style="486" customWidth="1"/>
    <col min="7" max="7" width="11.875" style="485" customWidth="1"/>
    <col min="8" max="8" width="12.875" style="487" customWidth="1"/>
    <col min="9" max="10" width="12.00390625" style="488" customWidth="1"/>
    <col min="11" max="11" width="16.375" style="523" customWidth="1"/>
    <col min="12" max="12" width="16.875" style="457" customWidth="1"/>
    <col min="13" max="13" width="10.625" style="457" customWidth="1"/>
    <col min="14" max="14" width="16.875" style="616" bestFit="1" customWidth="1"/>
    <col min="15" max="16384" width="10.625" style="457" customWidth="1"/>
  </cols>
  <sheetData>
    <row r="1" spans="2:12" ht="36.75" customHeight="1">
      <c r="B1" s="1867" t="s">
        <v>729</v>
      </c>
      <c r="C1" s="1868"/>
      <c r="D1" s="1868"/>
      <c r="K1" s="1865"/>
      <c r="L1" s="1865"/>
    </row>
    <row r="2" spans="2:12" ht="35.25" customHeight="1">
      <c r="B2" s="1866" t="s">
        <v>580</v>
      </c>
      <c r="C2" s="1866"/>
      <c r="D2" s="1866"/>
      <c r="E2" s="1866"/>
      <c r="F2" s="1866"/>
      <c r="G2" s="1866"/>
      <c r="H2" s="1866"/>
      <c r="I2" s="1866"/>
      <c r="J2" s="1866"/>
      <c r="K2" s="1866"/>
      <c r="L2" s="1866"/>
    </row>
    <row r="3" spans="2:12" ht="35.25" customHeight="1" thickBot="1"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1" t="s">
        <v>1</v>
      </c>
    </row>
    <row r="4" spans="1:14" s="498" customFormat="1" ht="33" customHeight="1" thickBot="1">
      <c r="A4" s="490"/>
      <c r="B4" s="491" t="s">
        <v>118</v>
      </c>
      <c r="C4" s="492" t="s">
        <v>142</v>
      </c>
      <c r="D4" s="492" t="s">
        <v>363</v>
      </c>
      <c r="E4" s="493" t="s">
        <v>364</v>
      </c>
      <c r="F4" s="494" t="s">
        <v>365</v>
      </c>
      <c r="G4" s="493" t="s">
        <v>366</v>
      </c>
      <c r="H4" s="495" t="s">
        <v>367</v>
      </c>
      <c r="I4" s="492" t="s">
        <v>368</v>
      </c>
      <c r="J4" s="492" t="s">
        <v>230</v>
      </c>
      <c r="K4" s="496" t="s">
        <v>369</v>
      </c>
      <c r="L4" s="497" t="s">
        <v>372</v>
      </c>
      <c r="N4" s="617"/>
    </row>
    <row r="5" spans="1:14" s="506" customFormat="1" ht="71.25" customHeight="1" thickBot="1">
      <c r="A5" s="499">
        <v>1</v>
      </c>
      <c r="B5" s="500" t="s">
        <v>171</v>
      </c>
      <c r="C5" s="501" t="s">
        <v>176</v>
      </c>
      <c r="D5" s="502" t="s">
        <v>604</v>
      </c>
      <c r="E5" s="502" t="s">
        <v>605</v>
      </c>
      <c r="F5" s="503" t="s">
        <v>606</v>
      </c>
      <c r="G5" s="502" t="s">
        <v>607</v>
      </c>
      <c r="H5" s="504" t="s">
        <v>608</v>
      </c>
      <c r="I5" s="505" t="s">
        <v>609</v>
      </c>
      <c r="J5" s="503" t="s">
        <v>610</v>
      </c>
      <c r="K5" s="505" t="s">
        <v>611</v>
      </c>
      <c r="L5" s="1278" t="s">
        <v>612</v>
      </c>
      <c r="N5" s="618"/>
    </row>
    <row r="6" spans="1:14" s="476" customFormat="1" ht="15" customHeight="1">
      <c r="A6" s="507">
        <v>2</v>
      </c>
      <c r="B6" s="469" t="s">
        <v>177</v>
      </c>
      <c r="C6" s="471">
        <v>12440</v>
      </c>
      <c r="D6" s="471">
        <f>1113627+25000+476+2</f>
        <v>1139105</v>
      </c>
      <c r="E6" s="473">
        <f>149696/2-11720</f>
        <v>63128</v>
      </c>
      <c r="F6" s="474">
        <f aca="true" t="shared" si="0" ref="F6:F30">SUM(E6/D6)*100</f>
        <v>5.541894733145759</v>
      </c>
      <c r="G6" s="473">
        <f>16100+20000</f>
        <v>36100</v>
      </c>
      <c r="H6" s="508">
        <f>SUM(G6/D6)*100</f>
        <v>3.1691547311266297</v>
      </c>
      <c r="I6" s="509">
        <f>2795+476</f>
        <v>3271</v>
      </c>
      <c r="J6" s="509">
        <f>(I6/D6)*100</f>
        <v>0.2871552666347703</v>
      </c>
      <c r="K6" s="473">
        <f>SUM(D6-E6-G6-I6)+31400+250+2373-943-2628-89</f>
        <v>1066969</v>
      </c>
      <c r="L6" s="1273">
        <f aca="true" t="shared" si="1" ref="L6:L30">SUM(K6/D6)*100</f>
        <v>93.66730898380746</v>
      </c>
      <c r="N6" s="619"/>
    </row>
    <row r="7" spans="1:14" s="476" customFormat="1" ht="22.5" customHeight="1">
      <c r="A7" s="507">
        <v>3</v>
      </c>
      <c r="B7" s="469" t="s">
        <v>178</v>
      </c>
      <c r="C7" s="471"/>
      <c r="D7" s="471">
        <f>1077911+4394+20888+476</f>
        <v>1103669</v>
      </c>
      <c r="E7" s="473">
        <f>74848-18692+8619</f>
        <v>64775</v>
      </c>
      <c r="F7" s="474">
        <f t="shared" si="0"/>
        <v>5.86906037951596</v>
      </c>
      <c r="G7" s="473">
        <v>89637</v>
      </c>
      <c r="H7" s="508">
        <f aca="true" t="shared" si="2" ref="H7:H29">SUM(G7/D7)*100</f>
        <v>8.121728525490886</v>
      </c>
      <c r="I7" s="509"/>
      <c r="J7" s="509">
        <f aca="true" t="shared" si="3" ref="J7:J31">(I7/D7)*100</f>
        <v>0</v>
      </c>
      <c r="K7" s="473">
        <f aca="true" t="shared" si="4" ref="K7:K30">SUM(D7-E7-G7-I7)</f>
        <v>949257</v>
      </c>
      <c r="L7" s="1273">
        <f t="shared" si="1"/>
        <v>86.00921109499315</v>
      </c>
      <c r="N7" s="619"/>
    </row>
    <row r="8" spans="1:14" s="476" customFormat="1" ht="15" customHeight="1">
      <c r="A8" s="499">
        <v>4</v>
      </c>
      <c r="B8" s="469" t="s">
        <v>179</v>
      </c>
      <c r="C8" s="471"/>
      <c r="D8" s="471">
        <v>8483</v>
      </c>
      <c r="E8" s="473"/>
      <c r="F8" s="474">
        <f t="shared" si="0"/>
        <v>0</v>
      </c>
      <c r="G8" s="473"/>
      <c r="H8" s="508">
        <f t="shared" si="2"/>
        <v>0</v>
      </c>
      <c r="I8" s="509"/>
      <c r="J8" s="509">
        <f t="shared" si="3"/>
        <v>0</v>
      </c>
      <c r="K8" s="473">
        <f t="shared" si="4"/>
        <v>8483</v>
      </c>
      <c r="L8" s="1273">
        <f t="shared" si="1"/>
        <v>100</v>
      </c>
      <c r="N8" s="619"/>
    </row>
    <row r="9" spans="1:14" s="476" customFormat="1" ht="15" customHeight="1">
      <c r="A9" s="507">
        <v>5</v>
      </c>
      <c r="B9" s="469" t="s">
        <v>180</v>
      </c>
      <c r="C9" s="471"/>
      <c r="D9" s="471">
        <v>1150</v>
      </c>
      <c r="E9" s="473"/>
      <c r="F9" s="474">
        <f t="shared" si="0"/>
        <v>0</v>
      </c>
      <c r="G9" s="473"/>
      <c r="H9" s="508">
        <f t="shared" si="2"/>
        <v>0</v>
      </c>
      <c r="I9" s="509"/>
      <c r="J9" s="509">
        <f t="shared" si="3"/>
        <v>0</v>
      </c>
      <c r="K9" s="473">
        <f t="shared" si="4"/>
        <v>1150</v>
      </c>
      <c r="L9" s="1273">
        <f t="shared" si="1"/>
        <v>100</v>
      </c>
      <c r="N9" s="619"/>
    </row>
    <row r="10" spans="1:14" s="476" customFormat="1" ht="25.5" customHeight="1">
      <c r="A10" s="507">
        <v>6</v>
      </c>
      <c r="B10" s="477" t="s">
        <v>181</v>
      </c>
      <c r="C10" s="478">
        <v>13684</v>
      </c>
      <c r="D10" s="478">
        <v>43455</v>
      </c>
      <c r="E10" s="475"/>
      <c r="F10" s="479">
        <f t="shared" si="0"/>
        <v>0</v>
      </c>
      <c r="G10" s="475"/>
      <c r="H10" s="508">
        <f t="shared" si="2"/>
        <v>0</v>
      </c>
      <c r="I10" s="510"/>
      <c r="J10" s="509">
        <f t="shared" si="3"/>
        <v>0</v>
      </c>
      <c r="K10" s="473">
        <f t="shared" si="4"/>
        <v>43455</v>
      </c>
      <c r="L10" s="1279">
        <f t="shared" si="1"/>
        <v>100</v>
      </c>
      <c r="N10" s="619"/>
    </row>
    <row r="11" spans="1:15" s="476" customFormat="1" ht="15" customHeight="1">
      <c r="A11" s="499">
        <v>7</v>
      </c>
      <c r="B11" s="477" t="s">
        <v>183</v>
      </c>
      <c r="C11" s="478">
        <v>24</v>
      </c>
      <c r="D11" s="478">
        <v>32005</v>
      </c>
      <c r="E11" s="475">
        <v>1988</v>
      </c>
      <c r="F11" s="479">
        <f t="shared" si="0"/>
        <v>6.211529448523668</v>
      </c>
      <c r="G11" s="475">
        <v>14894</v>
      </c>
      <c r="H11" s="508">
        <f t="shared" si="2"/>
        <v>46.536478675207</v>
      </c>
      <c r="I11" s="510"/>
      <c r="J11" s="509">
        <f t="shared" si="3"/>
        <v>0</v>
      </c>
      <c r="K11" s="473">
        <f t="shared" si="4"/>
        <v>15123</v>
      </c>
      <c r="L11" s="1279">
        <f t="shared" si="1"/>
        <v>47.25199187626934</v>
      </c>
      <c r="N11" s="619"/>
      <c r="O11" s="621"/>
    </row>
    <row r="12" spans="1:15" s="476" customFormat="1" ht="15" customHeight="1">
      <c r="A12" s="507">
        <v>8</v>
      </c>
      <c r="B12" s="477" t="s">
        <v>184</v>
      </c>
      <c r="C12" s="478">
        <v>7</v>
      </c>
      <c r="D12" s="478">
        <v>9238</v>
      </c>
      <c r="E12" s="475">
        <v>5286</v>
      </c>
      <c r="F12" s="479">
        <f t="shared" si="0"/>
        <v>57.220177527603376</v>
      </c>
      <c r="G12" s="475">
        <v>763</v>
      </c>
      <c r="H12" s="508">
        <f t="shared" si="2"/>
        <v>8.25936349859277</v>
      </c>
      <c r="I12" s="510"/>
      <c r="J12" s="509">
        <f t="shared" si="3"/>
        <v>0</v>
      </c>
      <c r="K12" s="473">
        <f t="shared" si="4"/>
        <v>3189</v>
      </c>
      <c r="L12" s="1279">
        <f t="shared" si="1"/>
        <v>34.520458973803855</v>
      </c>
      <c r="N12" s="619"/>
      <c r="O12" s="621"/>
    </row>
    <row r="13" spans="1:15" s="476" customFormat="1" ht="15" customHeight="1">
      <c r="A13" s="507">
        <v>9</v>
      </c>
      <c r="B13" s="477" t="s">
        <v>185</v>
      </c>
      <c r="C13" s="478">
        <v>11</v>
      </c>
      <c r="D13" s="478">
        <v>23094</v>
      </c>
      <c r="E13" s="475"/>
      <c r="F13" s="479">
        <f t="shared" si="0"/>
        <v>0</v>
      </c>
      <c r="G13" s="475">
        <v>3350</v>
      </c>
      <c r="H13" s="508">
        <f t="shared" si="2"/>
        <v>14.505932276781849</v>
      </c>
      <c r="I13" s="510"/>
      <c r="J13" s="509">
        <f t="shared" si="3"/>
        <v>0</v>
      </c>
      <c r="K13" s="473">
        <f>SUM(D13-E13-G13-I13)</f>
        <v>19744</v>
      </c>
      <c r="L13" s="1279">
        <f t="shared" si="1"/>
        <v>85.49406772321815</v>
      </c>
      <c r="N13" s="619"/>
      <c r="O13" s="621"/>
    </row>
    <row r="14" spans="1:14" s="476" customFormat="1" ht="15" customHeight="1">
      <c r="A14" s="499">
        <v>10</v>
      </c>
      <c r="B14" s="477" t="s">
        <v>186</v>
      </c>
      <c r="C14" s="478">
        <v>47</v>
      </c>
      <c r="D14" s="478">
        <f>33652+7656</f>
        <v>41308</v>
      </c>
      <c r="E14" s="475"/>
      <c r="F14" s="479">
        <f t="shared" si="0"/>
        <v>0</v>
      </c>
      <c r="G14" s="475">
        <v>3100</v>
      </c>
      <c r="H14" s="508">
        <f t="shared" si="2"/>
        <v>7.504599593299119</v>
      </c>
      <c r="I14" s="510"/>
      <c r="J14" s="509">
        <f t="shared" si="3"/>
        <v>0</v>
      </c>
      <c r="K14" s="473">
        <f t="shared" si="4"/>
        <v>38208</v>
      </c>
      <c r="L14" s="1279">
        <f t="shared" si="1"/>
        <v>92.49540040670088</v>
      </c>
      <c r="N14" s="619"/>
    </row>
    <row r="15" spans="1:14" s="476" customFormat="1" ht="15" customHeight="1">
      <c r="A15" s="507">
        <v>11</v>
      </c>
      <c r="B15" s="477" t="s">
        <v>187</v>
      </c>
      <c r="C15" s="478">
        <v>48</v>
      </c>
      <c r="D15" s="478">
        <f>15000+5660</f>
        <v>20660</v>
      </c>
      <c r="E15" s="475"/>
      <c r="F15" s="479">
        <f t="shared" si="0"/>
        <v>0</v>
      </c>
      <c r="G15" s="475"/>
      <c r="H15" s="508">
        <f t="shared" si="2"/>
        <v>0</v>
      </c>
      <c r="I15" s="510"/>
      <c r="J15" s="509">
        <f t="shared" si="3"/>
        <v>0</v>
      </c>
      <c r="K15" s="473">
        <f t="shared" si="4"/>
        <v>20660</v>
      </c>
      <c r="L15" s="1279">
        <f t="shared" si="1"/>
        <v>100</v>
      </c>
      <c r="N15" s="619"/>
    </row>
    <row r="16" spans="1:14" s="476" customFormat="1" ht="15" customHeight="1">
      <c r="A16" s="507">
        <v>12</v>
      </c>
      <c r="B16" s="477" t="s">
        <v>188</v>
      </c>
      <c r="C16" s="478">
        <v>13684</v>
      </c>
      <c r="D16" s="478">
        <v>87543</v>
      </c>
      <c r="E16" s="475">
        <v>40</v>
      </c>
      <c r="F16" s="479">
        <f t="shared" si="0"/>
        <v>0.04569183144283381</v>
      </c>
      <c r="G16" s="475">
        <f>5100+15840+3350</f>
        <v>24290</v>
      </c>
      <c r="H16" s="508">
        <f t="shared" si="2"/>
        <v>27.746364643660833</v>
      </c>
      <c r="I16" s="510"/>
      <c r="J16" s="509">
        <f t="shared" si="3"/>
        <v>0</v>
      </c>
      <c r="K16" s="473">
        <f t="shared" si="4"/>
        <v>63213</v>
      </c>
      <c r="L16" s="1279">
        <f t="shared" si="1"/>
        <v>72.20794352489634</v>
      </c>
      <c r="N16" s="619"/>
    </row>
    <row r="17" spans="1:14" s="476" customFormat="1" ht="15" customHeight="1">
      <c r="A17" s="499">
        <v>13</v>
      </c>
      <c r="B17" s="477" t="s">
        <v>450</v>
      </c>
      <c r="C17" s="478"/>
      <c r="D17" s="478">
        <v>48892</v>
      </c>
      <c r="E17" s="475">
        <v>3</v>
      </c>
      <c r="F17" s="479"/>
      <c r="G17" s="475">
        <v>33477</v>
      </c>
      <c r="H17" s="508">
        <f t="shared" si="2"/>
        <v>68.47132455207397</v>
      </c>
      <c r="I17" s="510"/>
      <c r="J17" s="509">
        <f t="shared" si="3"/>
        <v>0</v>
      </c>
      <c r="K17" s="473"/>
      <c r="L17" s="1279"/>
      <c r="N17" s="619"/>
    </row>
    <row r="18" spans="1:14" s="476" customFormat="1" ht="15" customHeight="1">
      <c r="A18" s="507">
        <v>14</v>
      </c>
      <c r="B18" s="477" t="s">
        <v>189</v>
      </c>
      <c r="C18" s="478">
        <v>420</v>
      </c>
      <c r="D18" s="478">
        <v>378294</v>
      </c>
      <c r="E18" s="475">
        <v>6750</v>
      </c>
      <c r="F18" s="479">
        <f t="shared" si="0"/>
        <v>1.7843264762327713</v>
      </c>
      <c r="G18" s="475">
        <v>262577</v>
      </c>
      <c r="H18" s="508">
        <f t="shared" si="2"/>
        <v>69.4108286147811</v>
      </c>
      <c r="I18" s="510"/>
      <c r="J18" s="509">
        <f t="shared" si="3"/>
        <v>0</v>
      </c>
      <c r="K18" s="473">
        <f t="shared" si="4"/>
        <v>108967</v>
      </c>
      <c r="L18" s="1279">
        <f t="shared" si="1"/>
        <v>28.804844908986134</v>
      </c>
      <c r="N18" s="619"/>
    </row>
    <row r="19" spans="1:14" s="476" customFormat="1" ht="15" customHeight="1">
      <c r="A19" s="507">
        <v>15</v>
      </c>
      <c r="B19" s="477" t="s">
        <v>190</v>
      </c>
      <c r="C19" s="478">
        <v>679</v>
      </c>
      <c r="D19" s="478">
        <v>208495</v>
      </c>
      <c r="E19" s="475">
        <v>54483</v>
      </c>
      <c r="F19" s="479">
        <f t="shared" si="0"/>
        <v>26.131561907959423</v>
      </c>
      <c r="G19" s="475">
        <v>91527</v>
      </c>
      <c r="H19" s="508">
        <f t="shared" si="2"/>
        <v>43.89889445790067</v>
      </c>
      <c r="I19" s="510"/>
      <c r="J19" s="509">
        <f t="shared" si="3"/>
        <v>0</v>
      </c>
      <c r="K19" s="473">
        <f t="shared" si="4"/>
        <v>62485</v>
      </c>
      <c r="L19" s="1279">
        <f t="shared" si="1"/>
        <v>29.969543634139907</v>
      </c>
      <c r="N19" s="619"/>
    </row>
    <row r="20" spans="1:14" s="476" customFormat="1" ht="15" customHeight="1">
      <c r="A20" s="499">
        <v>16</v>
      </c>
      <c r="B20" s="477" t="s">
        <v>191</v>
      </c>
      <c r="C20" s="478"/>
      <c r="D20" s="478">
        <v>11304</v>
      </c>
      <c r="E20" s="475"/>
      <c r="F20" s="479">
        <f t="shared" si="0"/>
        <v>0</v>
      </c>
      <c r="G20" s="475"/>
      <c r="H20" s="508">
        <f t="shared" si="2"/>
        <v>0</v>
      </c>
      <c r="I20" s="510"/>
      <c r="J20" s="509">
        <f t="shared" si="3"/>
        <v>0</v>
      </c>
      <c r="K20" s="473">
        <f t="shared" si="4"/>
        <v>11304</v>
      </c>
      <c r="L20" s="1279">
        <f t="shared" si="1"/>
        <v>100</v>
      </c>
      <c r="N20" s="619"/>
    </row>
    <row r="21" spans="1:14" s="476" customFormat="1" ht="15" customHeight="1">
      <c r="A21" s="507">
        <v>17</v>
      </c>
      <c r="B21" s="477" t="s">
        <v>192</v>
      </c>
      <c r="C21" s="478"/>
      <c r="D21" s="478">
        <v>1186</v>
      </c>
      <c r="E21" s="475"/>
      <c r="F21" s="479">
        <f t="shared" si="0"/>
        <v>0</v>
      </c>
      <c r="G21" s="475"/>
      <c r="H21" s="508">
        <f t="shared" si="2"/>
        <v>0</v>
      </c>
      <c r="I21" s="510"/>
      <c r="J21" s="509">
        <f t="shared" si="3"/>
        <v>0</v>
      </c>
      <c r="K21" s="473">
        <f t="shared" si="4"/>
        <v>1186</v>
      </c>
      <c r="L21" s="1279">
        <f t="shared" si="1"/>
        <v>100</v>
      </c>
      <c r="N21" s="619"/>
    </row>
    <row r="22" spans="1:14" s="476" customFormat="1" ht="15" customHeight="1">
      <c r="A22" s="507">
        <v>18</v>
      </c>
      <c r="B22" s="477" t="s">
        <v>193</v>
      </c>
      <c r="C22" s="478"/>
      <c r="D22" s="478">
        <v>2400</v>
      </c>
      <c r="E22" s="475"/>
      <c r="F22" s="479">
        <f t="shared" si="0"/>
        <v>0</v>
      </c>
      <c r="G22" s="475"/>
      <c r="H22" s="508">
        <f t="shared" si="2"/>
        <v>0</v>
      </c>
      <c r="I22" s="510"/>
      <c r="J22" s="509">
        <f t="shared" si="3"/>
        <v>0</v>
      </c>
      <c r="K22" s="473">
        <f t="shared" si="4"/>
        <v>2400</v>
      </c>
      <c r="L22" s="1279">
        <f t="shared" si="1"/>
        <v>100</v>
      </c>
      <c r="N22" s="619"/>
    </row>
    <row r="23" spans="1:14" s="476" customFormat="1" ht="28.5" customHeight="1">
      <c r="A23" s="499">
        <v>19</v>
      </c>
      <c r="B23" s="477" t="s">
        <v>313</v>
      </c>
      <c r="C23" s="478"/>
      <c r="D23" s="478">
        <v>29774</v>
      </c>
      <c r="E23" s="475">
        <v>20199</v>
      </c>
      <c r="F23" s="479">
        <f t="shared" si="0"/>
        <v>67.84106938940015</v>
      </c>
      <c r="G23" s="475"/>
      <c r="H23" s="508">
        <f t="shared" si="2"/>
        <v>0</v>
      </c>
      <c r="I23" s="510"/>
      <c r="J23" s="509">
        <f t="shared" si="3"/>
        <v>0</v>
      </c>
      <c r="K23" s="473">
        <f t="shared" si="4"/>
        <v>9575</v>
      </c>
      <c r="L23" s="1279">
        <f t="shared" si="1"/>
        <v>32.15893061059985</v>
      </c>
      <c r="N23" s="619"/>
    </row>
    <row r="24" spans="1:14" s="476" customFormat="1" ht="15" customHeight="1">
      <c r="A24" s="507">
        <v>20</v>
      </c>
      <c r="B24" s="477" t="s">
        <v>194</v>
      </c>
      <c r="C24" s="478"/>
      <c r="D24" s="478">
        <v>4128</v>
      </c>
      <c r="E24" s="475">
        <v>1500</v>
      </c>
      <c r="F24" s="479">
        <f t="shared" si="0"/>
        <v>36.337209302325576</v>
      </c>
      <c r="G24" s="475"/>
      <c r="H24" s="508">
        <f t="shared" si="2"/>
        <v>0</v>
      </c>
      <c r="I24" s="510"/>
      <c r="J24" s="509">
        <f t="shared" si="3"/>
        <v>0</v>
      </c>
      <c r="K24" s="473">
        <f t="shared" si="4"/>
        <v>2628</v>
      </c>
      <c r="L24" s="1279">
        <f t="shared" si="1"/>
        <v>63.662790697674424</v>
      </c>
      <c r="N24" s="619"/>
    </row>
    <row r="25" spans="1:14" s="476" customFormat="1" ht="24.75" customHeight="1">
      <c r="A25" s="507">
        <v>21</v>
      </c>
      <c r="B25" s="477" t="s">
        <v>700</v>
      </c>
      <c r="C25" s="478"/>
      <c r="D25" s="478">
        <f>162120+400</f>
        <v>162520</v>
      </c>
      <c r="E25" s="475">
        <v>7725</v>
      </c>
      <c r="F25" s="479">
        <f t="shared" si="0"/>
        <v>4.75326113709082</v>
      </c>
      <c r="G25" s="475"/>
      <c r="H25" s="508">
        <f t="shared" si="2"/>
        <v>0</v>
      </c>
      <c r="I25" s="510"/>
      <c r="J25" s="509">
        <f t="shared" si="3"/>
        <v>0</v>
      </c>
      <c r="K25" s="473">
        <f t="shared" si="4"/>
        <v>154795</v>
      </c>
      <c r="L25" s="1279">
        <f t="shared" si="1"/>
        <v>95.24673886290917</v>
      </c>
      <c r="N25" s="619"/>
    </row>
    <row r="26" spans="1:14" s="476" customFormat="1" ht="15" customHeight="1">
      <c r="A26" s="499">
        <v>22</v>
      </c>
      <c r="B26" s="477" t="s">
        <v>195</v>
      </c>
      <c r="C26" s="478"/>
      <c r="D26" s="478">
        <f>202825-11044</f>
        <v>191781</v>
      </c>
      <c r="E26" s="475"/>
      <c r="F26" s="479">
        <f t="shared" si="0"/>
        <v>0</v>
      </c>
      <c r="G26" s="475">
        <v>22131</v>
      </c>
      <c r="H26" s="508">
        <f t="shared" si="2"/>
        <v>11.539724998826786</v>
      </c>
      <c r="I26" s="510"/>
      <c r="J26" s="509">
        <f t="shared" si="3"/>
        <v>0</v>
      </c>
      <c r="K26" s="473">
        <f t="shared" si="4"/>
        <v>169650</v>
      </c>
      <c r="L26" s="1279">
        <f t="shared" si="1"/>
        <v>88.46027500117322</v>
      </c>
      <c r="N26" s="619"/>
    </row>
    <row r="27" spans="1:15" s="476" customFormat="1" ht="15" customHeight="1">
      <c r="A27" s="507">
        <v>23</v>
      </c>
      <c r="B27" s="477" t="s">
        <v>162</v>
      </c>
      <c r="C27" s="478"/>
      <c r="D27" s="478">
        <v>22000</v>
      </c>
      <c r="E27" s="475"/>
      <c r="F27" s="479">
        <f t="shared" si="0"/>
        <v>0</v>
      </c>
      <c r="G27" s="475"/>
      <c r="H27" s="508"/>
      <c r="I27" s="510"/>
      <c r="J27" s="509">
        <f t="shared" si="3"/>
        <v>0</v>
      </c>
      <c r="K27" s="473">
        <f t="shared" si="4"/>
        <v>22000</v>
      </c>
      <c r="L27" s="1279">
        <f t="shared" si="1"/>
        <v>100</v>
      </c>
      <c r="N27" s="619"/>
      <c r="O27" s="480"/>
    </row>
    <row r="28" spans="1:16" s="476" customFormat="1" ht="15" customHeight="1">
      <c r="A28" s="507">
        <v>24</v>
      </c>
      <c r="B28" s="477" t="s">
        <v>85</v>
      </c>
      <c r="C28" s="478"/>
      <c r="D28" s="478">
        <v>1375865</v>
      </c>
      <c r="E28" s="475"/>
      <c r="F28" s="479">
        <f t="shared" si="0"/>
        <v>0</v>
      </c>
      <c r="G28" s="475"/>
      <c r="H28" s="508">
        <f t="shared" si="2"/>
        <v>0</v>
      </c>
      <c r="I28" s="510"/>
      <c r="J28" s="509">
        <f t="shared" si="3"/>
        <v>0</v>
      </c>
      <c r="K28" s="473">
        <f>SUM(D28-E28-G28-I28)-1</f>
        <v>1375864</v>
      </c>
      <c r="L28" s="1279">
        <f t="shared" si="1"/>
        <v>99.99992731845057</v>
      </c>
      <c r="N28" s="619"/>
      <c r="O28" s="480"/>
      <c r="P28" s="480"/>
    </row>
    <row r="29" spans="1:16" s="476" customFormat="1" ht="15" customHeight="1">
      <c r="A29" s="499">
        <v>25</v>
      </c>
      <c r="B29" s="477" t="s">
        <v>197</v>
      </c>
      <c r="C29" s="478"/>
      <c r="D29" s="478">
        <v>1479759</v>
      </c>
      <c r="E29" s="475"/>
      <c r="F29" s="479">
        <f t="shared" si="0"/>
        <v>0</v>
      </c>
      <c r="G29" s="475"/>
      <c r="H29" s="508">
        <f t="shared" si="2"/>
        <v>0</v>
      </c>
      <c r="I29" s="510"/>
      <c r="J29" s="509">
        <f t="shared" si="3"/>
        <v>0</v>
      </c>
      <c r="K29" s="473">
        <f t="shared" si="4"/>
        <v>1479759</v>
      </c>
      <c r="L29" s="1279">
        <f t="shared" si="1"/>
        <v>100</v>
      </c>
      <c r="N29" s="619"/>
      <c r="O29" s="480"/>
      <c r="P29" s="480"/>
    </row>
    <row r="30" spans="1:16" s="476" customFormat="1" ht="15" customHeight="1" thickBot="1">
      <c r="A30" s="507">
        <v>26</v>
      </c>
      <c r="B30" s="477" t="s">
        <v>166</v>
      </c>
      <c r="C30" s="478">
        <v>12440</v>
      </c>
      <c r="D30" s="478">
        <v>111329</v>
      </c>
      <c r="E30" s="475">
        <v>43259</v>
      </c>
      <c r="F30" s="479">
        <f t="shared" si="0"/>
        <v>38.856901615931164</v>
      </c>
      <c r="G30" s="475"/>
      <c r="H30" s="508">
        <f>SUM(G30/D30)*100</f>
        <v>0</v>
      </c>
      <c r="I30" s="510"/>
      <c r="J30" s="509">
        <f t="shared" si="3"/>
        <v>0</v>
      </c>
      <c r="K30" s="473">
        <f t="shared" si="4"/>
        <v>68070</v>
      </c>
      <c r="L30" s="1279">
        <f t="shared" si="1"/>
        <v>61.143098384068836</v>
      </c>
      <c r="N30" s="619"/>
      <c r="P30" s="480"/>
    </row>
    <row r="31" spans="1:16" s="511" customFormat="1" ht="15" customHeight="1" thickBot="1">
      <c r="A31" s="1280">
        <v>27</v>
      </c>
      <c r="B31" s="1281" t="s">
        <v>175</v>
      </c>
      <c r="C31" s="1282"/>
      <c r="D31" s="1282">
        <f>SUM(D6:D30)-D29</f>
        <v>5057678</v>
      </c>
      <c r="E31" s="1282">
        <f>SUM(E6:E30)</f>
        <v>269136</v>
      </c>
      <c r="F31" s="1283">
        <f>SUM(E31/D31)*100</f>
        <v>5.321335205602255</v>
      </c>
      <c r="G31" s="1282">
        <f>SUM(G6:G30)</f>
        <v>581846</v>
      </c>
      <c r="H31" s="1284">
        <f>SUM(G31/D31)*100</f>
        <v>11.50421201191535</v>
      </c>
      <c r="I31" s="1282">
        <f>SUM(I6:I30)</f>
        <v>3271</v>
      </c>
      <c r="J31" s="1285">
        <f t="shared" si="3"/>
        <v>0.06467394721451226</v>
      </c>
      <c r="K31" s="1286">
        <f>SUM(K6:K30)-K29</f>
        <v>4218375</v>
      </c>
      <c r="L31" s="1287">
        <f>SUM(K31/D31)*100</f>
        <v>83.40536902507435</v>
      </c>
      <c r="N31" s="620"/>
      <c r="P31" s="512"/>
    </row>
    <row r="32" spans="2:14" s="476" customFormat="1" ht="12.75">
      <c r="B32" s="513"/>
      <c r="C32" s="514"/>
      <c r="D32" s="515"/>
      <c r="E32" s="515"/>
      <c r="F32" s="516"/>
      <c r="G32" s="515"/>
      <c r="H32" s="517"/>
      <c r="I32" s="518"/>
      <c r="J32" s="518"/>
      <c r="K32" s="519"/>
      <c r="L32" s="514"/>
      <c r="N32" s="619"/>
    </row>
    <row r="33" spans="2:15" s="476" customFormat="1" ht="12.75">
      <c r="B33" s="513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N33" s="619"/>
      <c r="O33" s="480"/>
    </row>
    <row r="34" spans="2:14" s="476" customFormat="1" ht="12.75">
      <c r="B34" s="513"/>
      <c r="C34" s="514"/>
      <c r="D34" s="515"/>
      <c r="E34" s="515"/>
      <c r="F34" s="516"/>
      <c r="G34" s="515"/>
      <c r="H34" s="517"/>
      <c r="I34" s="520"/>
      <c r="J34" s="520"/>
      <c r="K34" s="519"/>
      <c r="L34" s="515"/>
      <c r="N34" s="619"/>
    </row>
    <row r="35" spans="2:14" s="476" customFormat="1" ht="12.75">
      <c r="B35" s="513"/>
      <c r="C35" s="514"/>
      <c r="D35" s="515"/>
      <c r="E35" s="515"/>
      <c r="F35" s="516"/>
      <c r="G35" s="515"/>
      <c r="H35" s="517"/>
      <c r="I35" s="520"/>
      <c r="J35" s="520"/>
      <c r="K35" s="519"/>
      <c r="L35" s="514"/>
      <c r="N35" s="619"/>
    </row>
    <row r="36" spans="2:14" s="476" customFormat="1" ht="12.75">
      <c r="B36" s="513"/>
      <c r="C36" s="514"/>
      <c r="D36" s="515"/>
      <c r="E36" s="515"/>
      <c r="F36" s="516"/>
      <c r="G36" s="515"/>
      <c r="H36" s="517"/>
      <c r="I36" s="520"/>
      <c r="J36" s="520"/>
      <c r="K36" s="519"/>
      <c r="L36" s="519"/>
      <c r="N36" s="619"/>
    </row>
    <row r="37" spans="2:14" s="476" customFormat="1" ht="12.75">
      <c r="B37" s="513"/>
      <c r="C37" s="514"/>
      <c r="D37" s="515"/>
      <c r="E37" s="515"/>
      <c r="F37" s="516"/>
      <c r="G37" s="515"/>
      <c r="H37" s="517"/>
      <c r="I37" s="520"/>
      <c r="J37" s="520"/>
      <c r="K37" s="519"/>
      <c r="L37" s="514"/>
      <c r="N37" s="619"/>
    </row>
    <row r="38" spans="2:14" s="476" customFormat="1" ht="12.75">
      <c r="B38" s="513"/>
      <c r="C38" s="514"/>
      <c r="D38" s="515"/>
      <c r="E38" s="515"/>
      <c r="F38" s="516"/>
      <c r="G38" s="515"/>
      <c r="H38" s="517"/>
      <c r="I38" s="520"/>
      <c r="J38" s="520"/>
      <c r="K38" s="519"/>
      <c r="L38" s="514"/>
      <c r="N38" s="619"/>
    </row>
    <row r="39" spans="2:14" s="476" customFormat="1" ht="12.75">
      <c r="B39" s="513"/>
      <c r="C39" s="514"/>
      <c r="D39" s="515"/>
      <c r="E39" s="515"/>
      <c r="F39" s="516"/>
      <c r="G39" s="515"/>
      <c r="H39" s="517"/>
      <c r="I39" s="520"/>
      <c r="J39" s="520"/>
      <c r="K39" s="519"/>
      <c r="L39" s="514"/>
      <c r="N39" s="619"/>
    </row>
    <row r="40" spans="2:14" s="476" customFormat="1" ht="12.75">
      <c r="B40" s="513"/>
      <c r="C40" s="514"/>
      <c r="D40" s="515"/>
      <c r="E40" s="457"/>
      <c r="F40" s="516"/>
      <c r="G40" s="515"/>
      <c r="H40" s="517"/>
      <c r="I40" s="520"/>
      <c r="J40" s="520"/>
      <c r="K40" s="519"/>
      <c r="L40" s="514"/>
      <c r="N40" s="619"/>
    </row>
    <row r="41" spans="2:14" s="476" customFormat="1" ht="12.75">
      <c r="B41" s="513"/>
      <c r="C41" s="514"/>
      <c r="D41" s="515"/>
      <c r="E41" s="515"/>
      <c r="F41" s="516"/>
      <c r="G41" s="515"/>
      <c r="H41" s="517"/>
      <c r="I41" s="520"/>
      <c r="J41" s="520"/>
      <c r="K41" s="519"/>
      <c r="L41" s="514"/>
      <c r="N41" s="619"/>
    </row>
    <row r="42" spans="2:14" s="476" customFormat="1" ht="12.75">
      <c r="B42" s="513"/>
      <c r="C42" s="514"/>
      <c r="D42" s="515"/>
      <c r="E42" s="515"/>
      <c r="F42" s="516"/>
      <c r="G42" s="515"/>
      <c r="H42" s="517"/>
      <c r="I42" s="520"/>
      <c r="J42" s="520"/>
      <c r="K42" s="519"/>
      <c r="L42" s="514"/>
      <c r="N42" s="619"/>
    </row>
    <row r="43" spans="2:14" s="476" customFormat="1" ht="12.75">
      <c r="B43" s="513"/>
      <c r="C43" s="514"/>
      <c r="D43" s="515"/>
      <c r="E43" s="515"/>
      <c r="F43" s="516"/>
      <c r="G43" s="515"/>
      <c r="H43" s="517"/>
      <c r="I43" s="520"/>
      <c r="J43" s="520"/>
      <c r="K43" s="519"/>
      <c r="L43" s="514"/>
      <c r="N43" s="619"/>
    </row>
    <row r="44" spans="2:14" s="476" customFormat="1" ht="12.75">
      <c r="B44" s="513"/>
      <c r="C44" s="514"/>
      <c r="D44" s="515"/>
      <c r="E44" s="515"/>
      <c r="F44" s="516"/>
      <c r="G44" s="515"/>
      <c r="H44" s="517"/>
      <c r="I44" s="520"/>
      <c r="J44" s="520"/>
      <c r="K44" s="519"/>
      <c r="L44" s="514"/>
      <c r="N44" s="619"/>
    </row>
    <row r="45" spans="2:14" s="476" customFormat="1" ht="12.75">
      <c r="B45" s="513"/>
      <c r="C45" s="514"/>
      <c r="D45" s="515"/>
      <c r="E45" s="515"/>
      <c r="F45" s="516"/>
      <c r="G45" s="515"/>
      <c r="H45" s="517"/>
      <c r="I45" s="520"/>
      <c r="J45" s="520"/>
      <c r="K45" s="519"/>
      <c r="L45" s="514"/>
      <c r="N45" s="619"/>
    </row>
    <row r="46" spans="2:14" s="476" customFormat="1" ht="12.75">
      <c r="B46" s="513"/>
      <c r="C46" s="514"/>
      <c r="D46" s="515"/>
      <c r="E46" s="515"/>
      <c r="F46" s="516"/>
      <c r="G46" s="515"/>
      <c r="H46" s="517"/>
      <c r="I46" s="520"/>
      <c r="J46" s="520"/>
      <c r="K46" s="519"/>
      <c r="L46" s="514"/>
      <c r="N46" s="619"/>
    </row>
    <row r="47" spans="2:14" s="476" customFormat="1" ht="12.75">
      <c r="B47" s="513"/>
      <c r="C47" s="514"/>
      <c r="D47" s="515"/>
      <c r="E47" s="515"/>
      <c r="F47" s="516"/>
      <c r="G47" s="515"/>
      <c r="H47" s="517"/>
      <c r="I47" s="520"/>
      <c r="J47" s="520"/>
      <c r="K47" s="519"/>
      <c r="L47" s="514"/>
      <c r="N47" s="619"/>
    </row>
    <row r="48" spans="2:14" s="476" customFormat="1" ht="12.75">
      <c r="B48" s="513"/>
      <c r="C48" s="514"/>
      <c r="D48" s="515"/>
      <c r="E48" s="515"/>
      <c r="F48" s="516"/>
      <c r="G48" s="515"/>
      <c r="H48" s="517"/>
      <c r="I48" s="520"/>
      <c r="J48" s="520"/>
      <c r="K48" s="519"/>
      <c r="L48" s="514"/>
      <c r="N48" s="619"/>
    </row>
    <row r="49" spans="2:14" s="476" customFormat="1" ht="12.75">
      <c r="B49" s="513"/>
      <c r="C49" s="514"/>
      <c r="D49" s="515"/>
      <c r="E49" s="515"/>
      <c r="F49" s="516"/>
      <c r="G49" s="515"/>
      <c r="H49" s="517"/>
      <c r="I49" s="520"/>
      <c r="J49" s="520"/>
      <c r="K49" s="519"/>
      <c r="L49" s="514"/>
      <c r="N49" s="619"/>
    </row>
    <row r="50" spans="2:14" s="476" customFormat="1" ht="12.75">
      <c r="B50" s="513"/>
      <c r="C50" s="514"/>
      <c r="D50" s="515"/>
      <c r="E50" s="515"/>
      <c r="F50" s="516"/>
      <c r="G50" s="515"/>
      <c r="H50" s="517"/>
      <c r="I50" s="520"/>
      <c r="J50" s="520"/>
      <c r="K50" s="519"/>
      <c r="L50" s="514"/>
      <c r="N50" s="619"/>
    </row>
    <row r="51" spans="2:14" s="476" customFormat="1" ht="12.75">
      <c r="B51" s="513"/>
      <c r="C51" s="514"/>
      <c r="D51" s="515"/>
      <c r="E51" s="515"/>
      <c r="F51" s="516"/>
      <c r="G51" s="515"/>
      <c r="H51" s="517"/>
      <c r="I51" s="520"/>
      <c r="J51" s="520"/>
      <c r="K51" s="519"/>
      <c r="L51" s="514"/>
      <c r="N51" s="619"/>
    </row>
    <row r="52" spans="2:14" s="476" customFormat="1" ht="12.75">
      <c r="B52" s="484"/>
      <c r="C52" s="514"/>
      <c r="D52" s="515"/>
      <c r="E52" s="515"/>
      <c r="F52" s="516"/>
      <c r="G52" s="515"/>
      <c r="H52" s="517"/>
      <c r="I52" s="520"/>
      <c r="J52" s="520"/>
      <c r="K52" s="519"/>
      <c r="L52" s="514"/>
      <c r="N52" s="619"/>
    </row>
    <row r="53" spans="2:14" s="476" customFormat="1" ht="12.75">
      <c r="B53" s="484"/>
      <c r="C53" s="514"/>
      <c r="D53" s="515"/>
      <c r="E53" s="515"/>
      <c r="F53" s="516"/>
      <c r="G53" s="515"/>
      <c r="H53" s="517"/>
      <c r="I53" s="520"/>
      <c r="J53" s="520"/>
      <c r="K53" s="519"/>
      <c r="L53" s="514"/>
      <c r="N53" s="619"/>
    </row>
    <row r="54" spans="2:14" s="476" customFormat="1" ht="12.75">
      <c r="B54" s="484"/>
      <c r="C54" s="514"/>
      <c r="D54" s="515"/>
      <c r="E54" s="515"/>
      <c r="F54" s="515"/>
      <c r="G54" s="515"/>
      <c r="H54" s="515"/>
      <c r="I54" s="515"/>
      <c r="J54" s="515"/>
      <c r="K54" s="515"/>
      <c r="L54" s="515"/>
      <c r="N54" s="619"/>
    </row>
    <row r="55" spans="2:14" s="476" customFormat="1" ht="12.75">
      <c r="B55" s="484"/>
      <c r="C55" s="514"/>
      <c r="D55" s="515"/>
      <c r="E55" s="515"/>
      <c r="F55" s="516"/>
      <c r="G55" s="515"/>
      <c r="H55" s="517"/>
      <c r="I55" s="518"/>
      <c r="J55" s="518"/>
      <c r="K55" s="519"/>
      <c r="L55" s="514"/>
      <c r="N55" s="619"/>
    </row>
    <row r="56" spans="2:14" s="476" customFormat="1" ht="12.75">
      <c r="B56" s="484"/>
      <c r="C56" s="514"/>
      <c r="D56" s="515"/>
      <c r="E56" s="515"/>
      <c r="F56" s="516"/>
      <c r="G56" s="515"/>
      <c r="H56" s="517"/>
      <c r="I56" s="518"/>
      <c r="J56" s="518"/>
      <c r="K56" s="519"/>
      <c r="L56" s="514"/>
      <c r="N56" s="619"/>
    </row>
    <row r="57" spans="2:14" s="476" customFormat="1" ht="12.75">
      <c r="B57" s="513"/>
      <c r="C57" s="514"/>
      <c r="D57" s="515"/>
      <c r="E57" s="515"/>
      <c r="F57" s="516"/>
      <c r="G57" s="515"/>
      <c r="H57" s="517"/>
      <c r="I57" s="518"/>
      <c r="J57" s="518"/>
      <c r="K57" s="519"/>
      <c r="L57" s="514"/>
      <c r="N57" s="619"/>
    </row>
    <row r="58" spans="2:14" s="476" customFormat="1" ht="12.75">
      <c r="B58" s="513"/>
      <c r="C58" s="514"/>
      <c r="D58" s="514"/>
      <c r="E58" s="515"/>
      <c r="F58" s="516"/>
      <c r="G58" s="515"/>
      <c r="H58" s="517"/>
      <c r="I58" s="518"/>
      <c r="J58" s="518"/>
      <c r="K58" s="519"/>
      <c r="L58" s="514"/>
      <c r="N58" s="619"/>
    </row>
    <row r="59" spans="2:14" s="476" customFormat="1" ht="12.75">
      <c r="B59" s="513"/>
      <c r="C59" s="514"/>
      <c r="D59" s="514"/>
      <c r="E59" s="515"/>
      <c r="F59" s="516"/>
      <c r="G59" s="515"/>
      <c r="H59" s="517"/>
      <c r="I59" s="518"/>
      <c r="J59" s="518"/>
      <c r="K59" s="519"/>
      <c r="L59" s="514"/>
      <c r="N59" s="619"/>
    </row>
    <row r="60" spans="2:14" s="476" customFormat="1" ht="12.75">
      <c r="B60" s="513"/>
      <c r="C60" s="514"/>
      <c r="D60" s="514"/>
      <c r="E60" s="515"/>
      <c r="F60" s="516"/>
      <c r="G60" s="515"/>
      <c r="H60" s="517"/>
      <c r="I60" s="518"/>
      <c r="J60" s="518"/>
      <c r="K60" s="519"/>
      <c r="L60" s="514"/>
      <c r="N60" s="619"/>
    </row>
    <row r="61" spans="2:14" s="476" customFormat="1" ht="12.75">
      <c r="B61" s="513"/>
      <c r="C61" s="514"/>
      <c r="D61" s="514"/>
      <c r="E61" s="515"/>
      <c r="F61" s="516"/>
      <c r="G61" s="515"/>
      <c r="H61" s="517"/>
      <c r="I61" s="518"/>
      <c r="J61" s="518"/>
      <c r="K61" s="519"/>
      <c r="L61" s="514"/>
      <c r="N61" s="619"/>
    </row>
    <row r="62" spans="2:14" s="476" customFormat="1" ht="12.75">
      <c r="B62" s="513"/>
      <c r="C62" s="514"/>
      <c r="D62" s="514"/>
      <c r="E62" s="515"/>
      <c r="F62" s="516"/>
      <c r="G62" s="515"/>
      <c r="H62" s="517"/>
      <c r="I62" s="518"/>
      <c r="J62" s="518"/>
      <c r="K62" s="519"/>
      <c r="L62" s="514"/>
      <c r="N62" s="619"/>
    </row>
    <row r="63" spans="2:14" s="476" customFormat="1" ht="12.75">
      <c r="B63" s="513"/>
      <c r="C63" s="514"/>
      <c r="D63" s="514"/>
      <c r="E63" s="515"/>
      <c r="F63" s="516"/>
      <c r="G63" s="515"/>
      <c r="H63" s="517"/>
      <c r="I63" s="518"/>
      <c r="J63" s="518"/>
      <c r="K63" s="519"/>
      <c r="L63" s="514"/>
      <c r="N63" s="619"/>
    </row>
    <row r="64" spans="2:14" s="476" customFormat="1" ht="12.75">
      <c r="B64" s="513"/>
      <c r="C64" s="514"/>
      <c r="D64" s="514"/>
      <c r="E64" s="515"/>
      <c r="F64" s="516"/>
      <c r="G64" s="515"/>
      <c r="H64" s="517"/>
      <c r="I64" s="518"/>
      <c r="J64" s="518"/>
      <c r="K64" s="519"/>
      <c r="L64" s="514"/>
      <c r="N64" s="619"/>
    </row>
    <row r="65" spans="2:14" s="476" customFormat="1" ht="12.75">
      <c r="B65" s="513"/>
      <c r="C65" s="514"/>
      <c r="D65" s="514"/>
      <c r="E65" s="515"/>
      <c r="F65" s="516"/>
      <c r="G65" s="515"/>
      <c r="H65" s="517"/>
      <c r="I65" s="518"/>
      <c r="J65" s="518"/>
      <c r="K65" s="519"/>
      <c r="L65" s="514"/>
      <c r="N65" s="619"/>
    </row>
    <row r="66" spans="2:14" s="476" customFormat="1" ht="12.75">
      <c r="B66" s="513"/>
      <c r="C66" s="514"/>
      <c r="D66" s="514"/>
      <c r="E66" s="515"/>
      <c r="F66" s="516"/>
      <c r="G66" s="515"/>
      <c r="H66" s="517"/>
      <c r="I66" s="518"/>
      <c r="J66" s="518"/>
      <c r="K66" s="519"/>
      <c r="L66" s="514"/>
      <c r="N66" s="619"/>
    </row>
    <row r="67" spans="2:14" s="476" customFormat="1" ht="12.75">
      <c r="B67" s="513"/>
      <c r="C67" s="514"/>
      <c r="D67" s="514"/>
      <c r="E67" s="515"/>
      <c r="F67" s="516"/>
      <c r="G67" s="515"/>
      <c r="H67" s="517"/>
      <c r="I67" s="518"/>
      <c r="J67" s="518"/>
      <c r="K67" s="519"/>
      <c r="L67" s="514"/>
      <c r="N67" s="619"/>
    </row>
    <row r="68" spans="2:14" s="476" customFormat="1" ht="12.75">
      <c r="B68" s="513"/>
      <c r="C68" s="514"/>
      <c r="D68" s="514"/>
      <c r="E68" s="515"/>
      <c r="F68" s="516"/>
      <c r="G68" s="515"/>
      <c r="H68" s="517"/>
      <c r="I68" s="518"/>
      <c r="J68" s="518"/>
      <c r="K68" s="519"/>
      <c r="L68" s="514"/>
      <c r="N68" s="619"/>
    </row>
    <row r="69" spans="2:14" s="476" customFormat="1" ht="12.75">
      <c r="B69" s="513"/>
      <c r="C69" s="514"/>
      <c r="D69" s="514"/>
      <c r="E69" s="515"/>
      <c r="F69" s="516"/>
      <c r="G69" s="515"/>
      <c r="H69" s="517"/>
      <c r="I69" s="518"/>
      <c r="J69" s="518"/>
      <c r="K69" s="519"/>
      <c r="L69" s="514"/>
      <c r="N69" s="619"/>
    </row>
    <row r="70" spans="2:14" s="476" customFormat="1" ht="12.75">
      <c r="B70" s="513"/>
      <c r="C70" s="514"/>
      <c r="D70" s="514"/>
      <c r="E70" s="515"/>
      <c r="F70" s="516"/>
      <c r="G70" s="515"/>
      <c r="H70" s="517"/>
      <c r="I70" s="518"/>
      <c r="J70" s="518"/>
      <c r="K70" s="519"/>
      <c r="L70" s="514"/>
      <c r="N70" s="619"/>
    </row>
    <row r="71" spans="2:14" s="476" customFormat="1" ht="12.75">
      <c r="B71" s="513"/>
      <c r="C71" s="514"/>
      <c r="D71" s="514"/>
      <c r="E71" s="515"/>
      <c r="F71" s="516"/>
      <c r="G71" s="515"/>
      <c r="H71" s="517"/>
      <c r="I71" s="518"/>
      <c r="J71" s="518"/>
      <c r="K71" s="519"/>
      <c r="L71" s="514"/>
      <c r="N71" s="619"/>
    </row>
    <row r="72" spans="2:14" s="476" customFormat="1" ht="12.75">
      <c r="B72" s="513"/>
      <c r="C72" s="514"/>
      <c r="D72" s="514"/>
      <c r="E72" s="515"/>
      <c r="F72" s="516"/>
      <c r="G72" s="515"/>
      <c r="H72" s="517"/>
      <c r="I72" s="518"/>
      <c r="J72" s="518"/>
      <c r="K72" s="519"/>
      <c r="L72" s="514"/>
      <c r="N72" s="619"/>
    </row>
    <row r="73" spans="2:14" s="476" customFormat="1" ht="12.75">
      <c r="B73" s="513"/>
      <c r="C73" s="514"/>
      <c r="D73" s="514"/>
      <c r="E73" s="515"/>
      <c r="F73" s="516"/>
      <c r="G73" s="515"/>
      <c r="H73" s="517"/>
      <c r="I73" s="518"/>
      <c r="J73" s="518"/>
      <c r="K73" s="519"/>
      <c r="L73" s="514"/>
      <c r="N73" s="619"/>
    </row>
    <row r="74" spans="2:14" s="476" customFormat="1" ht="12.75">
      <c r="B74" s="513"/>
      <c r="C74" s="514"/>
      <c r="D74" s="514"/>
      <c r="E74" s="515"/>
      <c r="F74" s="516"/>
      <c r="G74" s="515"/>
      <c r="H74" s="517"/>
      <c r="I74" s="518"/>
      <c r="J74" s="518"/>
      <c r="K74" s="519"/>
      <c r="L74" s="514"/>
      <c r="N74" s="619"/>
    </row>
    <row r="75" spans="2:14" s="476" customFormat="1" ht="12.75">
      <c r="B75" s="513"/>
      <c r="C75" s="514"/>
      <c r="D75" s="514"/>
      <c r="E75" s="515"/>
      <c r="F75" s="516"/>
      <c r="G75" s="515"/>
      <c r="H75" s="517"/>
      <c r="I75" s="518"/>
      <c r="J75" s="518"/>
      <c r="K75" s="519"/>
      <c r="L75" s="514"/>
      <c r="N75" s="619"/>
    </row>
    <row r="76" spans="2:14" s="476" customFormat="1" ht="12.75">
      <c r="B76" s="513"/>
      <c r="C76" s="514"/>
      <c r="D76" s="514"/>
      <c r="E76" s="515"/>
      <c r="F76" s="516"/>
      <c r="G76" s="515"/>
      <c r="H76" s="517"/>
      <c r="I76" s="518"/>
      <c r="J76" s="518"/>
      <c r="K76" s="519"/>
      <c r="L76" s="514"/>
      <c r="N76" s="619"/>
    </row>
    <row r="77" spans="2:14" s="476" customFormat="1" ht="12.75">
      <c r="B77" s="513"/>
      <c r="C77" s="514"/>
      <c r="D77" s="514"/>
      <c r="E77" s="515"/>
      <c r="F77" s="516"/>
      <c r="G77" s="515"/>
      <c r="H77" s="517"/>
      <c r="I77" s="518"/>
      <c r="J77" s="518"/>
      <c r="K77" s="519"/>
      <c r="L77" s="514"/>
      <c r="N77" s="619"/>
    </row>
    <row r="78" spans="2:14" s="476" customFormat="1" ht="12.75">
      <c r="B78" s="513"/>
      <c r="C78" s="514"/>
      <c r="D78" s="514"/>
      <c r="E78" s="515"/>
      <c r="F78" s="516"/>
      <c r="G78" s="515"/>
      <c r="H78" s="517"/>
      <c r="I78" s="518"/>
      <c r="J78" s="518"/>
      <c r="K78" s="519"/>
      <c r="L78" s="514"/>
      <c r="N78" s="619"/>
    </row>
    <row r="79" spans="2:14" s="476" customFormat="1" ht="12.75">
      <c r="B79" s="513"/>
      <c r="C79" s="514"/>
      <c r="D79" s="514"/>
      <c r="E79" s="515"/>
      <c r="F79" s="516"/>
      <c r="G79" s="515"/>
      <c r="H79" s="517"/>
      <c r="I79" s="518"/>
      <c r="J79" s="518"/>
      <c r="K79" s="519"/>
      <c r="L79" s="514"/>
      <c r="N79" s="619"/>
    </row>
    <row r="80" spans="2:14" s="476" customFormat="1" ht="12.75">
      <c r="B80" s="513"/>
      <c r="C80" s="514"/>
      <c r="D80" s="514"/>
      <c r="E80" s="515"/>
      <c r="F80" s="516"/>
      <c r="G80" s="515"/>
      <c r="H80" s="517"/>
      <c r="I80" s="518"/>
      <c r="J80" s="518"/>
      <c r="K80" s="519"/>
      <c r="L80" s="514"/>
      <c r="N80" s="619"/>
    </row>
    <row r="81" spans="2:14" s="476" customFormat="1" ht="12.75">
      <c r="B81" s="513"/>
      <c r="C81" s="514"/>
      <c r="D81" s="514"/>
      <c r="E81" s="515"/>
      <c r="F81" s="516"/>
      <c r="G81" s="515"/>
      <c r="H81" s="517"/>
      <c r="I81" s="518"/>
      <c r="J81" s="518"/>
      <c r="K81" s="519"/>
      <c r="L81" s="514"/>
      <c r="N81" s="619"/>
    </row>
    <row r="82" spans="2:14" s="476" customFormat="1" ht="12.75">
      <c r="B82" s="513"/>
      <c r="C82" s="514"/>
      <c r="D82" s="514"/>
      <c r="E82" s="515"/>
      <c r="F82" s="516"/>
      <c r="G82" s="515"/>
      <c r="H82" s="517"/>
      <c r="I82" s="518"/>
      <c r="J82" s="518"/>
      <c r="K82" s="519"/>
      <c r="L82" s="514"/>
      <c r="N82" s="619"/>
    </row>
    <row r="83" spans="2:14" s="476" customFormat="1" ht="12.75">
      <c r="B83" s="513"/>
      <c r="C83" s="514"/>
      <c r="D83" s="514"/>
      <c r="E83" s="515"/>
      <c r="F83" s="516"/>
      <c r="G83" s="515"/>
      <c r="H83" s="517"/>
      <c r="I83" s="518"/>
      <c r="J83" s="518"/>
      <c r="K83" s="519"/>
      <c r="L83" s="514"/>
      <c r="N83" s="619"/>
    </row>
    <row r="84" spans="2:14" s="476" customFormat="1" ht="12.75">
      <c r="B84" s="513"/>
      <c r="C84" s="514"/>
      <c r="D84" s="514"/>
      <c r="E84" s="515"/>
      <c r="F84" s="516"/>
      <c r="G84" s="515"/>
      <c r="H84" s="517"/>
      <c r="I84" s="518"/>
      <c r="J84" s="518"/>
      <c r="K84" s="519"/>
      <c r="L84" s="514"/>
      <c r="N84" s="619"/>
    </row>
    <row r="85" spans="2:14" s="476" customFormat="1" ht="12.75">
      <c r="B85" s="513"/>
      <c r="C85" s="514"/>
      <c r="D85" s="514"/>
      <c r="E85" s="515"/>
      <c r="F85" s="516"/>
      <c r="G85" s="515"/>
      <c r="H85" s="517"/>
      <c r="I85" s="518"/>
      <c r="J85" s="518"/>
      <c r="K85" s="519"/>
      <c r="L85" s="514"/>
      <c r="N85" s="619"/>
    </row>
    <row r="86" spans="2:14" s="476" customFormat="1" ht="12.75">
      <c r="B86" s="513"/>
      <c r="C86" s="514"/>
      <c r="D86" s="514"/>
      <c r="E86" s="515"/>
      <c r="F86" s="516"/>
      <c r="G86" s="515"/>
      <c r="H86" s="517"/>
      <c r="I86" s="518"/>
      <c r="J86" s="518"/>
      <c r="K86" s="519"/>
      <c r="L86" s="514"/>
      <c r="N86" s="619"/>
    </row>
    <row r="87" spans="2:14" s="476" customFormat="1" ht="12.75">
      <c r="B87" s="513"/>
      <c r="C87" s="514"/>
      <c r="D87" s="514"/>
      <c r="E87" s="515"/>
      <c r="F87" s="516"/>
      <c r="G87" s="515"/>
      <c r="H87" s="517"/>
      <c r="I87" s="518"/>
      <c r="J87" s="518"/>
      <c r="K87" s="519"/>
      <c r="L87" s="514"/>
      <c r="N87" s="619"/>
    </row>
    <row r="88" spans="2:14" s="476" customFormat="1" ht="12.75">
      <c r="B88" s="513"/>
      <c r="C88" s="514"/>
      <c r="D88" s="514"/>
      <c r="E88" s="515"/>
      <c r="F88" s="516"/>
      <c r="G88" s="515"/>
      <c r="H88" s="517"/>
      <c r="I88" s="518"/>
      <c r="J88" s="518"/>
      <c r="K88" s="519"/>
      <c r="L88" s="514"/>
      <c r="N88" s="619"/>
    </row>
    <row r="89" spans="2:14" s="476" customFormat="1" ht="12.75">
      <c r="B89" s="513"/>
      <c r="C89" s="514"/>
      <c r="D89" s="514"/>
      <c r="E89" s="515"/>
      <c r="F89" s="516"/>
      <c r="G89" s="515"/>
      <c r="H89" s="517"/>
      <c r="I89" s="518"/>
      <c r="J89" s="518"/>
      <c r="K89" s="519"/>
      <c r="L89" s="514"/>
      <c r="N89" s="619"/>
    </row>
    <row r="90" spans="2:14" s="476" customFormat="1" ht="12.75">
      <c r="B90" s="513"/>
      <c r="C90" s="514"/>
      <c r="D90" s="514"/>
      <c r="E90" s="515"/>
      <c r="F90" s="516"/>
      <c r="G90" s="515"/>
      <c r="H90" s="517"/>
      <c r="I90" s="518"/>
      <c r="J90" s="518"/>
      <c r="K90" s="519"/>
      <c r="L90" s="514"/>
      <c r="N90" s="619"/>
    </row>
    <row r="91" spans="2:14" s="476" customFormat="1" ht="12.75">
      <c r="B91" s="513"/>
      <c r="C91" s="514"/>
      <c r="D91" s="514"/>
      <c r="E91" s="515"/>
      <c r="F91" s="516"/>
      <c r="G91" s="515"/>
      <c r="H91" s="517"/>
      <c r="I91" s="518"/>
      <c r="J91" s="518"/>
      <c r="K91" s="519"/>
      <c r="L91" s="514"/>
      <c r="N91" s="619"/>
    </row>
    <row r="92" spans="2:14" s="476" customFormat="1" ht="12.75">
      <c r="B92" s="513"/>
      <c r="C92" s="514"/>
      <c r="D92" s="514"/>
      <c r="E92" s="515"/>
      <c r="F92" s="516"/>
      <c r="G92" s="515"/>
      <c r="H92" s="517"/>
      <c r="I92" s="518"/>
      <c r="J92" s="518"/>
      <c r="K92" s="519"/>
      <c r="L92" s="514"/>
      <c r="N92" s="619"/>
    </row>
    <row r="93" spans="2:14" s="476" customFormat="1" ht="12.75">
      <c r="B93" s="513"/>
      <c r="C93" s="514"/>
      <c r="D93" s="514"/>
      <c r="E93" s="515"/>
      <c r="F93" s="516"/>
      <c r="G93" s="515"/>
      <c r="H93" s="517"/>
      <c r="I93" s="518"/>
      <c r="J93" s="518"/>
      <c r="K93" s="519"/>
      <c r="L93" s="514"/>
      <c r="N93" s="619"/>
    </row>
    <row r="94" spans="2:14" s="476" customFormat="1" ht="12.75">
      <c r="B94" s="513"/>
      <c r="C94" s="514"/>
      <c r="D94" s="514"/>
      <c r="E94" s="515"/>
      <c r="F94" s="516"/>
      <c r="G94" s="515"/>
      <c r="H94" s="517"/>
      <c r="I94" s="518"/>
      <c r="J94" s="518"/>
      <c r="K94" s="519"/>
      <c r="L94" s="514"/>
      <c r="N94" s="619"/>
    </row>
    <row r="95" spans="2:14" s="476" customFormat="1" ht="12.75">
      <c r="B95" s="513"/>
      <c r="C95" s="514"/>
      <c r="D95" s="514"/>
      <c r="E95" s="515"/>
      <c r="F95" s="516"/>
      <c r="G95" s="515"/>
      <c r="H95" s="517"/>
      <c r="I95" s="518"/>
      <c r="J95" s="518"/>
      <c r="K95" s="519"/>
      <c r="L95" s="514"/>
      <c r="N95" s="619"/>
    </row>
    <row r="96" spans="2:14" s="476" customFormat="1" ht="12.75">
      <c r="B96" s="513"/>
      <c r="C96" s="514"/>
      <c r="D96" s="514"/>
      <c r="E96" s="515"/>
      <c r="F96" s="516"/>
      <c r="G96" s="515"/>
      <c r="H96" s="517"/>
      <c r="I96" s="518"/>
      <c r="J96" s="518"/>
      <c r="K96" s="519"/>
      <c r="L96" s="514"/>
      <c r="N96" s="619"/>
    </row>
    <row r="97" spans="2:14" s="476" customFormat="1" ht="12.75">
      <c r="B97" s="513"/>
      <c r="C97" s="514"/>
      <c r="D97" s="514"/>
      <c r="E97" s="515"/>
      <c r="F97" s="516"/>
      <c r="G97" s="515"/>
      <c r="H97" s="517"/>
      <c r="I97" s="518"/>
      <c r="J97" s="518"/>
      <c r="K97" s="519"/>
      <c r="L97" s="514"/>
      <c r="N97" s="619"/>
    </row>
    <row r="98" spans="2:14" s="476" customFormat="1" ht="12.75">
      <c r="B98" s="513"/>
      <c r="C98" s="514"/>
      <c r="D98" s="514"/>
      <c r="E98" s="515"/>
      <c r="F98" s="516"/>
      <c r="G98" s="515"/>
      <c r="H98" s="517"/>
      <c r="I98" s="518"/>
      <c r="J98" s="518"/>
      <c r="K98" s="519"/>
      <c r="L98" s="514"/>
      <c r="N98" s="619"/>
    </row>
    <row r="99" spans="2:14" s="476" customFormat="1" ht="12.75">
      <c r="B99" s="513"/>
      <c r="C99" s="514"/>
      <c r="D99" s="514"/>
      <c r="E99" s="515"/>
      <c r="F99" s="516"/>
      <c r="G99" s="515"/>
      <c r="H99" s="517"/>
      <c r="I99" s="518"/>
      <c r="J99" s="518"/>
      <c r="K99" s="519"/>
      <c r="L99" s="514"/>
      <c r="N99" s="619"/>
    </row>
    <row r="100" spans="2:14" s="476" customFormat="1" ht="12.75">
      <c r="B100" s="513"/>
      <c r="C100" s="514"/>
      <c r="D100" s="514"/>
      <c r="E100" s="515"/>
      <c r="F100" s="516"/>
      <c r="G100" s="515"/>
      <c r="H100" s="517"/>
      <c r="I100" s="518"/>
      <c r="J100" s="518"/>
      <c r="K100" s="519"/>
      <c r="L100" s="514"/>
      <c r="N100" s="619"/>
    </row>
    <row r="101" spans="2:14" s="476" customFormat="1" ht="12.75">
      <c r="B101" s="513"/>
      <c r="C101" s="514"/>
      <c r="D101" s="514"/>
      <c r="E101" s="515"/>
      <c r="F101" s="516"/>
      <c r="G101" s="515"/>
      <c r="H101" s="517"/>
      <c r="I101" s="518"/>
      <c r="J101" s="518"/>
      <c r="K101" s="519"/>
      <c r="L101" s="514"/>
      <c r="N101" s="619"/>
    </row>
    <row r="102" spans="2:14" s="476" customFormat="1" ht="12.75">
      <c r="B102" s="513"/>
      <c r="C102" s="514"/>
      <c r="D102" s="514"/>
      <c r="E102" s="515"/>
      <c r="F102" s="516"/>
      <c r="G102" s="515"/>
      <c r="H102" s="517"/>
      <c r="I102" s="518"/>
      <c r="J102" s="518"/>
      <c r="K102" s="519"/>
      <c r="L102" s="514"/>
      <c r="N102" s="619"/>
    </row>
    <row r="103" spans="2:14" s="476" customFormat="1" ht="12.75">
      <c r="B103" s="513"/>
      <c r="C103" s="514"/>
      <c r="D103" s="514"/>
      <c r="E103" s="515"/>
      <c r="F103" s="516"/>
      <c r="G103" s="515"/>
      <c r="H103" s="517"/>
      <c r="I103" s="518"/>
      <c r="J103" s="518"/>
      <c r="K103" s="519"/>
      <c r="L103" s="514"/>
      <c r="N103" s="619"/>
    </row>
    <row r="104" spans="2:14" s="476" customFormat="1" ht="12.75">
      <c r="B104" s="513"/>
      <c r="C104" s="514"/>
      <c r="D104" s="514"/>
      <c r="E104" s="515"/>
      <c r="F104" s="516"/>
      <c r="G104" s="515"/>
      <c r="H104" s="517"/>
      <c r="I104" s="518"/>
      <c r="J104" s="518"/>
      <c r="K104" s="519"/>
      <c r="L104" s="514"/>
      <c r="N104" s="619"/>
    </row>
    <row r="105" spans="2:14" s="476" customFormat="1" ht="12.75">
      <c r="B105" s="513"/>
      <c r="C105" s="514"/>
      <c r="D105" s="514"/>
      <c r="E105" s="515"/>
      <c r="F105" s="516"/>
      <c r="G105" s="515"/>
      <c r="H105" s="517"/>
      <c r="I105" s="518"/>
      <c r="J105" s="518"/>
      <c r="K105" s="519"/>
      <c r="L105" s="514"/>
      <c r="N105" s="619"/>
    </row>
    <row r="106" spans="2:14" s="476" customFormat="1" ht="12.75">
      <c r="B106" s="513"/>
      <c r="C106" s="514"/>
      <c r="D106" s="514"/>
      <c r="E106" s="515"/>
      <c r="F106" s="516"/>
      <c r="G106" s="515"/>
      <c r="H106" s="517"/>
      <c r="I106" s="518"/>
      <c r="J106" s="518"/>
      <c r="K106" s="519"/>
      <c r="L106" s="514"/>
      <c r="N106" s="619"/>
    </row>
    <row r="107" spans="2:14" s="476" customFormat="1" ht="12.75">
      <c r="B107" s="513"/>
      <c r="C107" s="514"/>
      <c r="D107" s="514"/>
      <c r="E107" s="515"/>
      <c r="F107" s="516"/>
      <c r="G107" s="515"/>
      <c r="H107" s="517"/>
      <c r="I107" s="518"/>
      <c r="J107" s="518"/>
      <c r="K107" s="519"/>
      <c r="L107" s="514"/>
      <c r="N107" s="619"/>
    </row>
    <row r="108" spans="2:14" s="476" customFormat="1" ht="12.75">
      <c r="B108" s="513"/>
      <c r="C108" s="514"/>
      <c r="D108" s="514"/>
      <c r="E108" s="515"/>
      <c r="F108" s="516"/>
      <c r="G108" s="515"/>
      <c r="H108" s="517"/>
      <c r="I108" s="518"/>
      <c r="J108" s="518"/>
      <c r="K108" s="519"/>
      <c r="L108" s="514"/>
      <c r="N108" s="619"/>
    </row>
    <row r="109" spans="2:14" s="476" customFormat="1" ht="12.75">
      <c r="B109" s="513"/>
      <c r="C109" s="514"/>
      <c r="D109" s="514"/>
      <c r="E109" s="515"/>
      <c r="F109" s="516"/>
      <c r="G109" s="515"/>
      <c r="H109" s="517"/>
      <c r="I109" s="518"/>
      <c r="J109" s="518"/>
      <c r="K109" s="519"/>
      <c r="L109" s="514"/>
      <c r="N109" s="619"/>
    </row>
    <row r="110" spans="2:14" s="476" customFormat="1" ht="12.75">
      <c r="B110" s="513"/>
      <c r="C110" s="514"/>
      <c r="D110" s="514"/>
      <c r="E110" s="515"/>
      <c r="F110" s="516"/>
      <c r="G110" s="515"/>
      <c r="H110" s="517"/>
      <c r="I110" s="518"/>
      <c r="J110" s="518"/>
      <c r="K110" s="519"/>
      <c r="L110" s="514"/>
      <c r="N110" s="619"/>
    </row>
    <row r="111" spans="2:14" s="476" customFormat="1" ht="12.75">
      <c r="B111" s="513"/>
      <c r="C111" s="514"/>
      <c r="D111" s="514"/>
      <c r="E111" s="515"/>
      <c r="F111" s="516"/>
      <c r="G111" s="515"/>
      <c r="H111" s="517"/>
      <c r="I111" s="518"/>
      <c r="J111" s="518"/>
      <c r="K111" s="519"/>
      <c r="L111" s="514"/>
      <c r="N111" s="619"/>
    </row>
    <row r="112" spans="2:14" s="476" customFormat="1" ht="12.75">
      <c r="B112" s="513"/>
      <c r="C112" s="514"/>
      <c r="D112" s="514"/>
      <c r="E112" s="515"/>
      <c r="F112" s="516"/>
      <c r="G112" s="515"/>
      <c r="H112" s="517"/>
      <c r="I112" s="518"/>
      <c r="J112" s="518"/>
      <c r="K112" s="519"/>
      <c r="L112" s="514"/>
      <c r="N112" s="619"/>
    </row>
    <row r="113" spans="2:14" s="476" customFormat="1" ht="12.75">
      <c r="B113" s="513"/>
      <c r="C113" s="514"/>
      <c r="D113" s="514"/>
      <c r="E113" s="515"/>
      <c r="F113" s="516"/>
      <c r="G113" s="515"/>
      <c r="H113" s="517"/>
      <c r="I113" s="518"/>
      <c r="J113" s="518"/>
      <c r="K113" s="519"/>
      <c r="L113" s="514"/>
      <c r="N113" s="619"/>
    </row>
    <row r="114" spans="2:14" s="476" customFormat="1" ht="12.75">
      <c r="B114" s="513"/>
      <c r="C114" s="514"/>
      <c r="D114" s="514"/>
      <c r="E114" s="515"/>
      <c r="F114" s="516"/>
      <c r="G114" s="515"/>
      <c r="H114" s="517"/>
      <c r="I114" s="518"/>
      <c r="J114" s="518"/>
      <c r="K114" s="519"/>
      <c r="L114" s="514"/>
      <c r="N114" s="619"/>
    </row>
    <row r="115" spans="2:14" s="476" customFormat="1" ht="12.75">
      <c r="B115" s="513"/>
      <c r="C115" s="514"/>
      <c r="D115" s="514"/>
      <c r="E115" s="515"/>
      <c r="F115" s="516"/>
      <c r="G115" s="515"/>
      <c r="H115" s="517"/>
      <c r="I115" s="518"/>
      <c r="J115" s="518"/>
      <c r="K115" s="519"/>
      <c r="L115" s="514"/>
      <c r="N115" s="619"/>
    </row>
    <row r="116" spans="2:14" s="476" customFormat="1" ht="12.75">
      <c r="B116" s="513"/>
      <c r="C116" s="514"/>
      <c r="D116" s="514"/>
      <c r="E116" s="515"/>
      <c r="F116" s="516"/>
      <c r="G116" s="515"/>
      <c r="H116" s="517"/>
      <c r="I116" s="518"/>
      <c r="J116" s="518"/>
      <c r="K116" s="519"/>
      <c r="L116" s="514"/>
      <c r="N116" s="619"/>
    </row>
    <row r="117" spans="2:14" s="476" customFormat="1" ht="12.75">
      <c r="B117" s="513"/>
      <c r="C117" s="514"/>
      <c r="D117" s="514"/>
      <c r="E117" s="515"/>
      <c r="F117" s="516"/>
      <c r="G117" s="515"/>
      <c r="H117" s="517"/>
      <c r="I117" s="518"/>
      <c r="J117" s="518"/>
      <c r="K117" s="519"/>
      <c r="L117" s="514"/>
      <c r="N117" s="619"/>
    </row>
    <row r="118" spans="2:14" s="476" customFormat="1" ht="12.75">
      <c r="B118" s="513"/>
      <c r="C118" s="514"/>
      <c r="D118" s="514"/>
      <c r="E118" s="515"/>
      <c r="F118" s="516"/>
      <c r="G118" s="515"/>
      <c r="H118" s="517"/>
      <c r="I118" s="518"/>
      <c r="J118" s="518"/>
      <c r="K118" s="519"/>
      <c r="L118" s="514"/>
      <c r="N118" s="619"/>
    </row>
    <row r="119" spans="2:14" s="476" customFormat="1" ht="12.75">
      <c r="B119" s="513"/>
      <c r="C119" s="514"/>
      <c r="D119" s="514"/>
      <c r="E119" s="515"/>
      <c r="F119" s="516"/>
      <c r="G119" s="515"/>
      <c r="H119" s="517"/>
      <c r="I119" s="518"/>
      <c r="J119" s="518"/>
      <c r="K119" s="519"/>
      <c r="L119" s="514"/>
      <c r="N119" s="619"/>
    </row>
    <row r="120" spans="2:14" s="476" customFormat="1" ht="12.75">
      <c r="B120" s="513"/>
      <c r="C120" s="514"/>
      <c r="D120" s="514"/>
      <c r="E120" s="515"/>
      <c r="F120" s="516"/>
      <c r="G120" s="515"/>
      <c r="H120" s="517"/>
      <c r="I120" s="518"/>
      <c r="J120" s="518"/>
      <c r="K120" s="519"/>
      <c r="L120" s="514"/>
      <c r="N120" s="619"/>
    </row>
    <row r="121" spans="2:14" s="476" customFormat="1" ht="12.75">
      <c r="B121" s="513"/>
      <c r="C121" s="514"/>
      <c r="D121" s="514"/>
      <c r="E121" s="515"/>
      <c r="F121" s="516"/>
      <c r="G121" s="515"/>
      <c r="H121" s="517"/>
      <c r="I121" s="518"/>
      <c r="J121" s="518"/>
      <c r="K121" s="519"/>
      <c r="L121" s="514"/>
      <c r="N121" s="619"/>
    </row>
    <row r="122" spans="2:14" s="476" customFormat="1" ht="12.75">
      <c r="B122" s="513"/>
      <c r="C122" s="514"/>
      <c r="D122" s="514"/>
      <c r="E122" s="515"/>
      <c r="F122" s="516"/>
      <c r="G122" s="515"/>
      <c r="H122" s="517"/>
      <c r="I122" s="518"/>
      <c r="J122" s="518"/>
      <c r="K122" s="519"/>
      <c r="L122" s="514"/>
      <c r="N122" s="619"/>
    </row>
    <row r="123" spans="2:14" s="476" customFormat="1" ht="12.75">
      <c r="B123" s="513"/>
      <c r="C123" s="514"/>
      <c r="D123" s="514"/>
      <c r="E123" s="515"/>
      <c r="F123" s="516"/>
      <c r="G123" s="515"/>
      <c r="H123" s="517"/>
      <c r="I123" s="518"/>
      <c r="J123" s="518"/>
      <c r="K123" s="519"/>
      <c r="L123" s="514"/>
      <c r="N123" s="619"/>
    </row>
    <row r="124" spans="2:14" s="476" customFormat="1" ht="12.75">
      <c r="B124" s="513"/>
      <c r="C124" s="514"/>
      <c r="D124" s="514"/>
      <c r="E124" s="515"/>
      <c r="F124" s="516"/>
      <c r="G124" s="515"/>
      <c r="H124" s="517"/>
      <c r="I124" s="518"/>
      <c r="J124" s="518"/>
      <c r="K124" s="519"/>
      <c r="L124" s="514"/>
      <c r="N124" s="619"/>
    </row>
    <row r="125" spans="2:14" s="476" customFormat="1" ht="12.75">
      <c r="B125" s="513"/>
      <c r="C125" s="514"/>
      <c r="D125" s="514"/>
      <c r="E125" s="515"/>
      <c r="F125" s="516"/>
      <c r="G125" s="515"/>
      <c r="H125" s="517"/>
      <c r="I125" s="518"/>
      <c r="J125" s="518"/>
      <c r="K125" s="519"/>
      <c r="L125" s="514"/>
      <c r="N125" s="619"/>
    </row>
    <row r="126" spans="2:14" s="476" customFormat="1" ht="12.75">
      <c r="B126" s="513"/>
      <c r="C126" s="514"/>
      <c r="D126" s="514"/>
      <c r="E126" s="515"/>
      <c r="F126" s="516"/>
      <c r="G126" s="515"/>
      <c r="H126" s="517"/>
      <c r="I126" s="518"/>
      <c r="J126" s="518"/>
      <c r="K126" s="519"/>
      <c r="L126" s="514"/>
      <c r="N126" s="619"/>
    </row>
    <row r="127" spans="2:14" s="476" customFormat="1" ht="12.75">
      <c r="B127" s="513"/>
      <c r="C127" s="514"/>
      <c r="D127" s="514"/>
      <c r="E127" s="515"/>
      <c r="F127" s="516"/>
      <c r="G127" s="515"/>
      <c r="H127" s="517"/>
      <c r="I127" s="518"/>
      <c r="J127" s="518"/>
      <c r="K127" s="519"/>
      <c r="L127" s="514"/>
      <c r="N127" s="619"/>
    </row>
    <row r="128" spans="2:14" s="476" customFormat="1" ht="12.75">
      <c r="B128" s="513"/>
      <c r="C128" s="514"/>
      <c r="D128" s="514"/>
      <c r="E128" s="515"/>
      <c r="F128" s="516"/>
      <c r="G128" s="515"/>
      <c r="H128" s="517"/>
      <c r="I128" s="518"/>
      <c r="J128" s="518"/>
      <c r="K128" s="519"/>
      <c r="L128" s="514"/>
      <c r="N128" s="619"/>
    </row>
    <row r="129" spans="2:14" s="476" customFormat="1" ht="12.75">
      <c r="B129" s="513"/>
      <c r="C129" s="514"/>
      <c r="D129" s="514"/>
      <c r="E129" s="515"/>
      <c r="F129" s="516"/>
      <c r="G129" s="515"/>
      <c r="H129" s="517"/>
      <c r="I129" s="518"/>
      <c r="J129" s="518"/>
      <c r="K129" s="519"/>
      <c r="L129" s="514"/>
      <c r="N129" s="619"/>
    </row>
    <row r="130" spans="2:14" s="476" customFormat="1" ht="12.75">
      <c r="B130" s="513"/>
      <c r="C130" s="514"/>
      <c r="D130" s="514"/>
      <c r="E130" s="515"/>
      <c r="F130" s="516"/>
      <c r="G130" s="515"/>
      <c r="H130" s="517"/>
      <c r="I130" s="518"/>
      <c r="J130" s="518"/>
      <c r="K130" s="519"/>
      <c r="L130" s="514"/>
      <c r="N130" s="619"/>
    </row>
    <row r="131" spans="2:14" s="476" customFormat="1" ht="12.75">
      <c r="B131" s="513"/>
      <c r="C131" s="514"/>
      <c r="D131" s="514"/>
      <c r="E131" s="515"/>
      <c r="F131" s="516"/>
      <c r="G131" s="515"/>
      <c r="H131" s="517"/>
      <c r="I131" s="518"/>
      <c r="J131" s="518"/>
      <c r="K131" s="519"/>
      <c r="L131" s="514"/>
      <c r="N131" s="619"/>
    </row>
    <row r="132" spans="2:14" s="476" customFormat="1" ht="12.75">
      <c r="B132" s="513"/>
      <c r="C132" s="514"/>
      <c r="D132" s="514"/>
      <c r="E132" s="515"/>
      <c r="F132" s="516"/>
      <c r="G132" s="515"/>
      <c r="H132" s="517"/>
      <c r="I132" s="518"/>
      <c r="J132" s="518"/>
      <c r="K132" s="519"/>
      <c r="L132" s="514"/>
      <c r="N132" s="619"/>
    </row>
    <row r="133" spans="2:14" s="476" customFormat="1" ht="12.75">
      <c r="B133" s="513"/>
      <c r="C133" s="514"/>
      <c r="D133" s="514"/>
      <c r="E133" s="515"/>
      <c r="F133" s="516"/>
      <c r="G133" s="515"/>
      <c r="H133" s="517"/>
      <c r="I133" s="518"/>
      <c r="J133" s="518"/>
      <c r="K133" s="519"/>
      <c r="L133" s="514"/>
      <c r="N133" s="619"/>
    </row>
    <row r="134" spans="2:14" s="476" customFormat="1" ht="12.75">
      <c r="B134" s="513"/>
      <c r="C134" s="514"/>
      <c r="D134" s="514"/>
      <c r="E134" s="515"/>
      <c r="F134" s="516"/>
      <c r="G134" s="515"/>
      <c r="H134" s="517"/>
      <c r="I134" s="518"/>
      <c r="J134" s="518"/>
      <c r="K134" s="519"/>
      <c r="L134" s="514"/>
      <c r="N134" s="619"/>
    </row>
    <row r="135" spans="2:14" s="476" customFormat="1" ht="12.75">
      <c r="B135" s="513"/>
      <c r="C135" s="514"/>
      <c r="D135" s="514"/>
      <c r="E135" s="515"/>
      <c r="F135" s="516"/>
      <c r="G135" s="515"/>
      <c r="H135" s="517"/>
      <c r="I135" s="518"/>
      <c r="J135" s="518"/>
      <c r="K135" s="519"/>
      <c r="L135" s="514"/>
      <c r="N135" s="619"/>
    </row>
    <row r="136" spans="2:14" s="476" customFormat="1" ht="12.75">
      <c r="B136" s="513"/>
      <c r="C136" s="514"/>
      <c r="D136" s="514"/>
      <c r="E136" s="515"/>
      <c r="F136" s="516"/>
      <c r="G136" s="515"/>
      <c r="H136" s="517"/>
      <c r="I136" s="518"/>
      <c r="J136" s="518"/>
      <c r="K136" s="519"/>
      <c r="L136" s="514"/>
      <c r="N136" s="619"/>
    </row>
    <row r="137" spans="2:14" s="476" customFormat="1" ht="12.75">
      <c r="B137" s="513"/>
      <c r="C137" s="514"/>
      <c r="D137" s="514"/>
      <c r="E137" s="515"/>
      <c r="F137" s="516"/>
      <c r="G137" s="515"/>
      <c r="H137" s="517"/>
      <c r="I137" s="518"/>
      <c r="J137" s="518"/>
      <c r="K137" s="519"/>
      <c r="L137" s="514"/>
      <c r="N137" s="619"/>
    </row>
    <row r="138" spans="2:14" s="476" customFormat="1" ht="12.75">
      <c r="B138" s="513"/>
      <c r="C138" s="514"/>
      <c r="D138" s="514"/>
      <c r="E138" s="515"/>
      <c r="F138" s="516"/>
      <c r="G138" s="515"/>
      <c r="H138" s="517"/>
      <c r="I138" s="518"/>
      <c r="J138" s="518"/>
      <c r="K138" s="519"/>
      <c r="L138" s="514"/>
      <c r="N138" s="619"/>
    </row>
    <row r="139" spans="2:14" s="476" customFormat="1" ht="12.75">
      <c r="B139" s="513"/>
      <c r="C139" s="514"/>
      <c r="D139" s="514"/>
      <c r="E139" s="515"/>
      <c r="F139" s="516"/>
      <c r="G139" s="515"/>
      <c r="H139" s="517"/>
      <c r="I139" s="518"/>
      <c r="J139" s="518"/>
      <c r="K139" s="519"/>
      <c r="L139" s="514"/>
      <c r="N139" s="619"/>
    </row>
    <row r="140" spans="2:14" s="476" customFormat="1" ht="12.75">
      <c r="B140" s="513"/>
      <c r="C140" s="514"/>
      <c r="D140" s="514"/>
      <c r="E140" s="515"/>
      <c r="F140" s="516"/>
      <c r="G140" s="515"/>
      <c r="H140" s="517"/>
      <c r="I140" s="518"/>
      <c r="J140" s="518"/>
      <c r="K140" s="519"/>
      <c r="L140" s="514"/>
      <c r="N140" s="619"/>
    </row>
    <row r="141" spans="2:14" s="476" customFormat="1" ht="12.75">
      <c r="B141" s="513"/>
      <c r="C141" s="514"/>
      <c r="D141" s="514"/>
      <c r="E141" s="515"/>
      <c r="F141" s="516"/>
      <c r="G141" s="515"/>
      <c r="H141" s="517"/>
      <c r="I141" s="518"/>
      <c r="J141" s="518"/>
      <c r="K141" s="519"/>
      <c r="L141" s="514"/>
      <c r="N141" s="619"/>
    </row>
    <row r="142" spans="2:14" s="476" customFormat="1" ht="12.75">
      <c r="B142" s="513"/>
      <c r="C142" s="514"/>
      <c r="D142" s="514"/>
      <c r="E142" s="515"/>
      <c r="F142" s="516"/>
      <c r="G142" s="515"/>
      <c r="H142" s="517"/>
      <c r="I142" s="518"/>
      <c r="J142" s="518"/>
      <c r="K142" s="519"/>
      <c r="L142" s="514"/>
      <c r="N142" s="619"/>
    </row>
    <row r="143" spans="2:14" s="476" customFormat="1" ht="12.75">
      <c r="B143" s="513"/>
      <c r="C143" s="514"/>
      <c r="D143" s="514"/>
      <c r="E143" s="515"/>
      <c r="F143" s="516"/>
      <c r="G143" s="515"/>
      <c r="H143" s="517"/>
      <c r="I143" s="518"/>
      <c r="J143" s="518"/>
      <c r="K143" s="519"/>
      <c r="L143" s="514"/>
      <c r="N143" s="619"/>
    </row>
    <row r="144" spans="2:14" s="476" customFormat="1" ht="12.75">
      <c r="B144" s="513"/>
      <c r="C144" s="514"/>
      <c r="D144" s="514"/>
      <c r="E144" s="515"/>
      <c r="F144" s="516"/>
      <c r="G144" s="515"/>
      <c r="H144" s="517"/>
      <c r="I144" s="518"/>
      <c r="J144" s="518"/>
      <c r="K144" s="519"/>
      <c r="L144" s="514"/>
      <c r="N144" s="619"/>
    </row>
    <row r="145" spans="2:14" s="476" customFormat="1" ht="12.75">
      <c r="B145" s="513"/>
      <c r="C145" s="514"/>
      <c r="D145" s="514"/>
      <c r="E145" s="515"/>
      <c r="F145" s="516"/>
      <c r="G145" s="515"/>
      <c r="H145" s="517"/>
      <c r="I145" s="518"/>
      <c r="J145" s="518"/>
      <c r="K145" s="519"/>
      <c r="L145" s="514"/>
      <c r="N145" s="619"/>
    </row>
    <row r="146" spans="2:14" s="476" customFormat="1" ht="12.75">
      <c r="B146" s="513"/>
      <c r="C146" s="514"/>
      <c r="D146" s="514"/>
      <c r="E146" s="515"/>
      <c r="F146" s="516"/>
      <c r="G146" s="515"/>
      <c r="H146" s="517"/>
      <c r="I146" s="518"/>
      <c r="J146" s="518"/>
      <c r="K146" s="519"/>
      <c r="L146" s="514"/>
      <c r="N146" s="619"/>
    </row>
    <row r="147" spans="2:14" s="476" customFormat="1" ht="12.75">
      <c r="B147" s="513"/>
      <c r="C147" s="514"/>
      <c r="D147" s="514"/>
      <c r="E147" s="515"/>
      <c r="F147" s="516"/>
      <c r="G147" s="515"/>
      <c r="H147" s="517"/>
      <c r="I147" s="518"/>
      <c r="J147" s="518"/>
      <c r="K147" s="519"/>
      <c r="L147" s="514"/>
      <c r="N147" s="619"/>
    </row>
    <row r="148" spans="2:14" s="476" customFormat="1" ht="12.75">
      <c r="B148" s="513"/>
      <c r="C148" s="514"/>
      <c r="D148" s="514"/>
      <c r="E148" s="515"/>
      <c r="F148" s="516"/>
      <c r="G148" s="515"/>
      <c r="H148" s="517"/>
      <c r="I148" s="518"/>
      <c r="J148" s="518"/>
      <c r="K148" s="519"/>
      <c r="L148" s="514"/>
      <c r="N148" s="619"/>
    </row>
    <row r="149" spans="2:14" s="476" customFormat="1" ht="12.75">
      <c r="B149" s="513"/>
      <c r="C149" s="514"/>
      <c r="D149" s="514"/>
      <c r="E149" s="515"/>
      <c r="F149" s="516"/>
      <c r="G149" s="515"/>
      <c r="H149" s="517"/>
      <c r="I149" s="518"/>
      <c r="J149" s="518"/>
      <c r="K149" s="519"/>
      <c r="L149" s="514"/>
      <c r="N149" s="619"/>
    </row>
    <row r="150" spans="2:14" s="476" customFormat="1" ht="12.75">
      <c r="B150" s="513"/>
      <c r="C150" s="514"/>
      <c r="D150" s="514"/>
      <c r="E150" s="515"/>
      <c r="F150" s="516"/>
      <c r="G150" s="515"/>
      <c r="H150" s="517"/>
      <c r="I150" s="518"/>
      <c r="J150" s="518"/>
      <c r="K150" s="519"/>
      <c r="L150" s="514"/>
      <c r="N150" s="619"/>
    </row>
    <row r="151" spans="2:14" s="476" customFormat="1" ht="12.75">
      <c r="B151" s="513"/>
      <c r="C151" s="514"/>
      <c r="D151" s="514"/>
      <c r="E151" s="515"/>
      <c r="F151" s="516"/>
      <c r="G151" s="515"/>
      <c r="H151" s="517"/>
      <c r="I151" s="518"/>
      <c r="J151" s="518"/>
      <c r="K151" s="519"/>
      <c r="L151" s="514"/>
      <c r="N151" s="619"/>
    </row>
    <row r="152" spans="2:14" s="476" customFormat="1" ht="12.75">
      <c r="B152" s="513"/>
      <c r="C152" s="514"/>
      <c r="D152" s="514"/>
      <c r="E152" s="515"/>
      <c r="F152" s="516"/>
      <c r="G152" s="515"/>
      <c r="H152" s="517"/>
      <c r="I152" s="518"/>
      <c r="J152" s="518"/>
      <c r="K152" s="519"/>
      <c r="L152" s="514"/>
      <c r="N152" s="619"/>
    </row>
    <row r="153" spans="2:14" s="476" customFormat="1" ht="12.75">
      <c r="B153" s="513"/>
      <c r="C153" s="514"/>
      <c r="D153" s="514"/>
      <c r="E153" s="515"/>
      <c r="F153" s="516"/>
      <c r="G153" s="515"/>
      <c r="H153" s="517"/>
      <c r="I153" s="518"/>
      <c r="J153" s="518"/>
      <c r="K153" s="519"/>
      <c r="L153" s="514"/>
      <c r="N153" s="619"/>
    </row>
    <row r="154" spans="2:14" s="476" customFormat="1" ht="12.75">
      <c r="B154" s="513"/>
      <c r="C154" s="514"/>
      <c r="D154" s="514"/>
      <c r="E154" s="515"/>
      <c r="F154" s="516"/>
      <c r="G154" s="515"/>
      <c r="H154" s="517"/>
      <c r="I154" s="518"/>
      <c r="J154" s="518"/>
      <c r="K154" s="519"/>
      <c r="L154" s="514"/>
      <c r="N154" s="619"/>
    </row>
    <row r="155" spans="2:14" s="476" customFormat="1" ht="12.75">
      <c r="B155" s="513"/>
      <c r="C155" s="514"/>
      <c r="D155" s="514"/>
      <c r="E155" s="515"/>
      <c r="F155" s="516"/>
      <c r="G155" s="515"/>
      <c r="H155" s="517"/>
      <c r="I155" s="518"/>
      <c r="J155" s="518"/>
      <c r="K155" s="519"/>
      <c r="L155" s="514"/>
      <c r="N155" s="619"/>
    </row>
    <row r="156" spans="2:14" s="476" customFormat="1" ht="12.75">
      <c r="B156" s="513"/>
      <c r="C156" s="514"/>
      <c r="D156" s="514"/>
      <c r="E156" s="515"/>
      <c r="F156" s="516"/>
      <c r="G156" s="515"/>
      <c r="H156" s="517"/>
      <c r="I156" s="518"/>
      <c r="J156" s="518"/>
      <c r="K156" s="519"/>
      <c r="L156" s="514"/>
      <c r="N156" s="619"/>
    </row>
    <row r="157" spans="2:14" s="476" customFormat="1" ht="12.75">
      <c r="B157" s="513"/>
      <c r="C157" s="514"/>
      <c r="D157" s="514"/>
      <c r="E157" s="515"/>
      <c r="F157" s="516"/>
      <c r="G157" s="515"/>
      <c r="H157" s="517"/>
      <c r="I157" s="518"/>
      <c r="J157" s="518"/>
      <c r="K157" s="519"/>
      <c r="L157" s="514"/>
      <c r="N157" s="619"/>
    </row>
    <row r="158" spans="2:14" s="476" customFormat="1" ht="12.75">
      <c r="B158" s="481"/>
      <c r="E158" s="480"/>
      <c r="F158" s="483"/>
      <c r="G158" s="480"/>
      <c r="H158" s="521"/>
      <c r="I158" s="522"/>
      <c r="J158" s="522"/>
      <c r="K158" s="482"/>
      <c r="N158" s="619"/>
    </row>
    <row r="159" spans="2:14" s="476" customFormat="1" ht="12.75">
      <c r="B159" s="481"/>
      <c r="E159" s="480"/>
      <c r="F159" s="483"/>
      <c r="G159" s="480"/>
      <c r="H159" s="521"/>
      <c r="I159" s="522"/>
      <c r="J159" s="522"/>
      <c r="K159" s="482"/>
      <c r="N159" s="619"/>
    </row>
  </sheetData>
  <sheetProtection selectLockedCells="1" selectUnlockedCells="1"/>
  <mergeCells count="3">
    <mergeCell ref="K1:L1"/>
    <mergeCell ref="B2:L2"/>
    <mergeCell ref="B1:D1"/>
  </mergeCells>
  <printOptions/>
  <pageMargins left="0.3937007874015748" right="0.2362204724409449" top="0.4724409448818898" bottom="0.35433070866141736" header="0.275590551181102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43"/>
  <sheetViews>
    <sheetView view="pageBreakPreview" zoomScale="60" zoomScalePageLayoutView="0" workbookViewId="0" topLeftCell="A1">
      <selection activeCell="A6" sqref="A6"/>
    </sheetView>
  </sheetViews>
  <sheetFormatPr defaultColWidth="10.375" defaultRowHeight="12.75"/>
  <cols>
    <col min="1" max="1" width="10.375" style="73" customWidth="1"/>
    <col min="2" max="2" width="65.00390625" style="73" customWidth="1"/>
    <col min="3" max="6" width="36.875" style="73" customWidth="1"/>
    <col min="7" max="7" width="13.375" style="73" customWidth="1"/>
    <col min="8" max="8" width="14.125" style="73" customWidth="1"/>
    <col min="9" max="9" width="13.00390625" style="622" customWidth="1"/>
    <col min="10" max="10" width="15.00390625" style="73" customWidth="1"/>
    <col min="11" max="11" width="19.375" style="73" customWidth="1"/>
    <col min="12" max="16384" width="10.375" style="73" customWidth="1"/>
  </cols>
  <sheetData>
    <row r="1" ht="33" customHeight="1">
      <c r="B1" s="26" t="s">
        <v>730</v>
      </c>
    </row>
    <row r="2" ht="24" customHeight="1">
      <c r="B2" s="26"/>
    </row>
    <row r="3" spans="2:11" ht="21" customHeight="1">
      <c r="B3" s="1869" t="s">
        <v>198</v>
      </c>
      <c r="C3" s="1869"/>
      <c r="D3" s="1869"/>
      <c r="E3" s="1869"/>
      <c r="F3" s="1869"/>
      <c r="G3" s="74"/>
      <c r="H3" s="74"/>
      <c r="I3" s="623"/>
      <c r="J3" s="74"/>
      <c r="K3" s="74"/>
    </row>
    <row r="4" spans="2:11" ht="21" customHeight="1">
      <c r="B4" s="1869" t="s">
        <v>581</v>
      </c>
      <c r="C4" s="1869"/>
      <c r="D4" s="1869"/>
      <c r="E4" s="1869"/>
      <c r="F4" s="1869"/>
      <c r="G4" s="74"/>
      <c r="H4" s="74"/>
      <c r="I4" s="623"/>
      <c r="J4" s="74"/>
      <c r="K4" s="74"/>
    </row>
    <row r="5" spans="2:11" ht="21" customHeight="1">
      <c r="B5" s="127"/>
      <c r="C5" s="127"/>
      <c r="D5" s="127"/>
      <c r="E5" s="127"/>
      <c r="F5" s="75" t="s">
        <v>1</v>
      </c>
      <c r="G5" s="74"/>
      <c r="H5" s="74"/>
      <c r="I5" s="623"/>
      <c r="J5" s="74"/>
      <c r="K5" s="74"/>
    </row>
    <row r="6" spans="1:9" s="139" customFormat="1" ht="31.5" customHeight="1">
      <c r="A6" s="137"/>
      <c r="B6" s="137" t="s">
        <v>118</v>
      </c>
      <c r="C6" s="137" t="s">
        <v>142</v>
      </c>
      <c r="D6" s="137" t="s">
        <v>363</v>
      </c>
      <c r="E6" s="137" t="s">
        <v>364</v>
      </c>
      <c r="F6" s="138" t="s">
        <v>365</v>
      </c>
      <c r="I6" s="624"/>
    </row>
    <row r="7" spans="1:11" ht="73.5" customHeight="1">
      <c r="A7" s="134">
        <v>1</v>
      </c>
      <c r="B7" s="135" t="s">
        <v>199</v>
      </c>
      <c r="C7" s="136" t="s">
        <v>200</v>
      </c>
      <c r="D7" s="136" t="s">
        <v>201</v>
      </c>
      <c r="E7" s="136" t="s">
        <v>202</v>
      </c>
      <c r="F7" s="136" t="s">
        <v>203</v>
      </c>
      <c r="G7" s="76"/>
      <c r="H7" s="76"/>
      <c r="I7" s="625"/>
      <c r="J7" s="76"/>
      <c r="K7" s="76"/>
    </row>
    <row r="8" spans="1:6" ht="21" customHeight="1">
      <c r="A8" s="134">
        <v>2</v>
      </c>
      <c r="B8" s="131" t="s">
        <v>204</v>
      </c>
      <c r="C8" s="78">
        <v>11463</v>
      </c>
      <c r="D8" s="78"/>
      <c r="E8" s="78"/>
      <c r="F8" s="77"/>
    </row>
    <row r="9" spans="1:6" ht="21" customHeight="1">
      <c r="A9" s="134">
        <v>3</v>
      </c>
      <c r="B9" s="131" t="s">
        <v>205</v>
      </c>
      <c r="C9" s="78">
        <f>2449+500</f>
        <v>2949</v>
      </c>
      <c r="D9" s="78"/>
      <c r="E9" s="78"/>
      <c r="F9" s="77"/>
    </row>
    <row r="10" spans="1:6" ht="27.75" customHeight="1">
      <c r="A10" s="134">
        <v>4</v>
      </c>
      <c r="B10" s="132"/>
      <c r="C10" s="78"/>
      <c r="D10" s="78"/>
      <c r="E10" s="78"/>
      <c r="F10" s="77"/>
    </row>
    <row r="11" spans="1:6" ht="21" customHeight="1">
      <c r="A11" s="134">
        <v>5</v>
      </c>
      <c r="B11" s="131"/>
      <c r="C11" s="78"/>
      <c r="D11" s="78"/>
      <c r="E11" s="78"/>
      <c r="F11" s="77"/>
    </row>
    <row r="12" spans="1:6" ht="21" customHeight="1">
      <c r="A12" s="134">
        <v>6</v>
      </c>
      <c r="B12" s="131"/>
      <c r="C12" s="77"/>
      <c r="D12" s="77"/>
      <c r="E12" s="77"/>
      <c r="F12" s="77"/>
    </row>
    <row r="13" spans="1:6" ht="21" customHeight="1">
      <c r="A13" s="134">
        <v>7</v>
      </c>
      <c r="B13" s="131"/>
      <c r="C13" s="77"/>
      <c r="D13" s="77"/>
      <c r="E13" s="77"/>
      <c r="F13" s="77"/>
    </row>
    <row r="14" spans="1:6" ht="21" customHeight="1">
      <c r="A14" s="134">
        <v>8</v>
      </c>
      <c r="B14" s="131"/>
      <c r="C14" s="77"/>
      <c r="D14" s="77"/>
      <c r="E14" s="77"/>
      <c r="F14" s="77"/>
    </row>
    <row r="15" spans="1:6" ht="21" customHeight="1">
      <c r="A15" s="134">
        <v>9</v>
      </c>
      <c r="B15" s="131"/>
      <c r="C15" s="77"/>
      <c r="D15" s="77"/>
      <c r="E15" s="77"/>
      <c r="F15" s="77"/>
    </row>
    <row r="16" spans="1:6" ht="21" customHeight="1">
      <c r="A16" s="134">
        <v>10</v>
      </c>
      <c r="B16" s="131" t="s">
        <v>206</v>
      </c>
      <c r="C16" s="77"/>
      <c r="D16" s="77"/>
      <c r="E16" s="77"/>
      <c r="F16" s="77"/>
    </row>
    <row r="17" spans="1:6" ht="21" customHeight="1">
      <c r="A17" s="134">
        <v>11</v>
      </c>
      <c r="B17" s="131"/>
      <c r="C17" s="77"/>
      <c r="D17" s="77"/>
      <c r="E17" s="77"/>
      <c r="F17" s="77"/>
    </row>
    <row r="18" spans="1:6" ht="21" customHeight="1">
      <c r="A18" s="134">
        <v>12</v>
      </c>
      <c r="B18" s="131"/>
      <c r="C18" s="77"/>
      <c r="D18" s="77"/>
      <c r="E18" s="77"/>
      <c r="F18" s="77"/>
    </row>
    <row r="19" spans="1:6" ht="21" customHeight="1">
      <c r="A19" s="134">
        <v>13</v>
      </c>
      <c r="B19" s="131"/>
      <c r="C19" s="77"/>
      <c r="D19" s="77"/>
      <c r="E19" s="77"/>
      <c r="F19" s="77"/>
    </row>
    <row r="20" spans="1:6" ht="21" customHeight="1">
      <c r="A20" s="134">
        <v>14</v>
      </c>
      <c r="B20" s="131"/>
      <c r="C20" s="77"/>
      <c r="D20" s="77"/>
      <c r="E20" s="77"/>
      <c r="F20" s="77"/>
    </row>
    <row r="21" spans="1:6" ht="21" customHeight="1">
      <c r="A21" s="134">
        <v>15</v>
      </c>
      <c r="B21" s="131"/>
      <c r="C21" s="77"/>
      <c r="D21" s="77"/>
      <c r="E21" s="77"/>
      <c r="F21" s="77"/>
    </row>
    <row r="22" spans="1:6" ht="21" customHeight="1">
      <c r="A22" s="134">
        <v>16</v>
      </c>
      <c r="B22" s="131"/>
      <c r="C22" s="77"/>
      <c r="D22" s="77"/>
      <c r="E22" s="77"/>
      <c r="F22" s="77"/>
    </row>
    <row r="23" spans="1:6" ht="21" customHeight="1">
      <c r="A23" s="134">
        <v>17</v>
      </c>
      <c r="B23" s="131"/>
      <c r="C23" s="77"/>
      <c r="D23" s="77"/>
      <c r="E23" s="77"/>
      <c r="F23" s="77"/>
    </row>
    <row r="24" spans="1:9" s="81" customFormat="1" ht="15.75">
      <c r="A24" s="134">
        <v>18</v>
      </c>
      <c r="B24" s="133" t="s">
        <v>152</v>
      </c>
      <c r="C24" s="80">
        <f>SUM(C8:C23)</f>
        <v>14412</v>
      </c>
      <c r="D24" s="80">
        <f>SUM(D8:D16)</f>
        <v>0</v>
      </c>
      <c r="E24" s="79"/>
      <c r="F24" s="79"/>
      <c r="I24" s="626"/>
    </row>
    <row r="26" spans="2:6" ht="15" customHeight="1">
      <c r="B26" s="1870" t="s">
        <v>207</v>
      </c>
      <c r="C26" s="1870"/>
      <c r="D26" s="1870"/>
      <c r="E26" s="1870"/>
      <c r="F26" s="1870"/>
    </row>
    <row r="27" spans="2:6" ht="15" customHeight="1">
      <c r="B27" s="1870"/>
      <c r="C27" s="1870"/>
      <c r="D27" s="1870"/>
      <c r="E27" s="1870"/>
      <c r="F27" s="1870"/>
    </row>
    <row r="28" spans="2:6" ht="15" customHeight="1">
      <c r="B28" s="1870"/>
      <c r="C28" s="1870"/>
      <c r="D28" s="1870"/>
      <c r="E28" s="1870"/>
      <c r="F28" s="1870"/>
    </row>
    <row r="29" spans="2:6" ht="15" customHeight="1">
      <c r="B29" s="1870"/>
      <c r="C29" s="1870"/>
      <c r="D29" s="1870"/>
      <c r="E29" s="1870"/>
      <c r="F29" s="1870"/>
    </row>
    <row r="30" spans="2:6" ht="15" customHeight="1">
      <c r="B30" s="1870"/>
      <c r="C30" s="1870"/>
      <c r="D30" s="1870"/>
      <c r="E30" s="1870"/>
      <c r="F30" s="1870"/>
    </row>
    <row r="31" spans="2:6" ht="15" customHeight="1">
      <c r="B31" s="1870"/>
      <c r="C31" s="1870"/>
      <c r="D31" s="1870"/>
      <c r="E31" s="1870"/>
      <c r="F31" s="1870"/>
    </row>
    <row r="32" spans="2:6" ht="15" customHeight="1">
      <c r="B32" s="1870"/>
      <c r="C32" s="1870"/>
      <c r="D32" s="1870"/>
      <c r="E32" s="1870"/>
      <c r="F32" s="1870"/>
    </row>
    <row r="33" spans="2:6" ht="15" customHeight="1">
      <c r="B33" s="1870"/>
      <c r="C33" s="1870"/>
      <c r="D33" s="1870"/>
      <c r="E33" s="1870"/>
      <c r="F33" s="1870"/>
    </row>
    <row r="34" spans="2:6" ht="15" customHeight="1">
      <c r="B34" s="1870"/>
      <c r="C34" s="1870"/>
      <c r="D34" s="1870"/>
      <c r="E34" s="1870"/>
      <c r="F34" s="1870"/>
    </row>
    <row r="35" spans="2:6" ht="15" customHeight="1">
      <c r="B35" s="1870"/>
      <c r="C35" s="1870"/>
      <c r="D35" s="1870"/>
      <c r="E35" s="1870"/>
      <c r="F35" s="1870"/>
    </row>
    <row r="36" spans="2:6" ht="15" customHeight="1">
      <c r="B36" s="1870"/>
      <c r="C36" s="1870"/>
      <c r="D36" s="1870"/>
      <c r="E36" s="1870"/>
      <c r="F36" s="1870"/>
    </row>
    <row r="37" spans="2:6" ht="15" customHeight="1">
      <c r="B37" s="1870"/>
      <c r="C37" s="1870"/>
      <c r="D37" s="1870"/>
      <c r="E37" s="1870"/>
      <c r="F37" s="1870"/>
    </row>
    <row r="38" spans="2:6" ht="15" customHeight="1">
      <c r="B38" s="1870"/>
      <c r="C38" s="1870"/>
      <c r="D38" s="1870"/>
      <c r="E38" s="1870"/>
      <c r="F38" s="1870"/>
    </row>
    <row r="39" spans="2:6" ht="15" customHeight="1">
      <c r="B39" s="1870"/>
      <c r="C39" s="1870"/>
      <c r="D39" s="1870"/>
      <c r="E39" s="1870"/>
      <c r="F39" s="1870"/>
    </row>
    <row r="40" spans="2:6" ht="12.75">
      <c r="B40" s="1870"/>
      <c r="C40" s="1870"/>
      <c r="D40" s="1870"/>
      <c r="E40" s="1870"/>
      <c r="F40" s="1870"/>
    </row>
    <row r="41" spans="2:6" ht="12.75">
      <c r="B41" s="1870"/>
      <c r="C41" s="1870"/>
      <c r="D41" s="1870"/>
      <c r="E41" s="1870"/>
      <c r="F41" s="1870"/>
    </row>
    <row r="42" spans="2:6" ht="12.75">
      <c r="B42" s="1870"/>
      <c r="C42" s="1870"/>
      <c r="D42" s="1870"/>
      <c r="E42" s="1870"/>
      <c r="F42" s="1870"/>
    </row>
    <row r="43" spans="2:6" ht="12.75">
      <c r="B43" s="1870"/>
      <c r="C43" s="1870"/>
      <c r="D43" s="1870"/>
      <c r="E43" s="1870"/>
      <c r="F43" s="1870"/>
    </row>
  </sheetData>
  <sheetProtection selectLockedCells="1" selectUnlockedCells="1"/>
  <mergeCells count="3">
    <mergeCell ref="B3:F3"/>
    <mergeCell ref="B4:F4"/>
    <mergeCell ref="B26:F43"/>
  </mergeCells>
  <printOptions/>
  <pageMargins left="0.7874015748031497" right="0.7874015748031497" top="0.6299212598425197" bottom="0.4724409448818898" header="0.3937007874015748" footer="0.3937007874015748"/>
  <pageSetup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2"/>
  <sheetViews>
    <sheetView showGridLines="0" view="pageBreakPreview" zoomScale="90" zoomScaleSheetLayoutView="90" zoomScalePageLayoutView="0" workbookViewId="0" topLeftCell="A1">
      <selection activeCell="B5" sqref="B5:D5"/>
    </sheetView>
  </sheetViews>
  <sheetFormatPr defaultColWidth="9.00390625" defaultRowHeight="12.75"/>
  <cols>
    <col min="1" max="1" width="5.00390625" style="734" customWidth="1"/>
    <col min="2" max="2" width="3.50390625" style="734" customWidth="1"/>
    <col min="3" max="3" width="66.00390625" style="734" customWidth="1"/>
    <col min="4" max="4" width="16.375" style="734" bestFit="1" customWidth="1"/>
    <col min="5" max="10" width="14.625" style="734" customWidth="1"/>
    <col min="11" max="11" width="9.375" style="734" customWidth="1"/>
    <col min="12" max="12" width="11.50390625" style="734" bestFit="1" customWidth="1"/>
    <col min="13" max="13" width="11.875" style="734" bestFit="1" customWidth="1"/>
    <col min="14" max="16384" width="9.375" style="734" customWidth="1"/>
  </cols>
  <sheetData>
    <row r="1" ht="10.5" customHeight="1">
      <c r="B1" s="735"/>
    </row>
    <row r="2" spans="2:3" ht="18" customHeight="1">
      <c r="B2" s="735"/>
      <c r="C2" s="737" t="s">
        <v>731</v>
      </c>
    </row>
    <row r="3" spans="2:3" ht="23.25" customHeight="1">
      <c r="B3" s="735"/>
      <c r="C3" s="737"/>
    </row>
    <row r="4" spans="1:10" s="737" customFormat="1" ht="15.75">
      <c r="A4" s="738"/>
      <c r="B4" s="1871" t="s">
        <v>208</v>
      </c>
      <c r="C4" s="1871"/>
      <c r="D4" s="1871"/>
      <c r="E4" s="1513"/>
      <c r="F4" s="1513"/>
      <c r="G4" s="1513"/>
      <c r="H4" s="1513"/>
      <c r="I4" s="1513"/>
      <c r="J4" s="1513"/>
    </row>
    <row r="5" spans="1:10" ht="15.75">
      <c r="A5" s="740"/>
      <c r="B5" s="1872" t="s">
        <v>582</v>
      </c>
      <c r="C5" s="1872"/>
      <c r="D5" s="1872"/>
      <c r="E5" s="741"/>
      <c r="F5" s="741"/>
      <c r="G5" s="741"/>
      <c r="H5" s="741"/>
      <c r="I5" s="741"/>
      <c r="J5" s="741"/>
    </row>
    <row r="6" spans="1:10" ht="26.25" customHeight="1" thickBot="1">
      <c r="A6" s="740"/>
      <c r="B6" s="741"/>
      <c r="C6" s="741"/>
      <c r="D6" s="741" t="s">
        <v>370</v>
      </c>
      <c r="E6" s="741"/>
      <c r="F6" s="741"/>
      <c r="G6" s="741"/>
      <c r="H6" s="741"/>
      <c r="I6" s="741"/>
      <c r="J6" s="741"/>
    </row>
    <row r="7" spans="1:10" ht="22.5" customHeight="1" thickBot="1">
      <c r="A7" s="742"/>
      <c r="B7" s="1877" t="s">
        <v>118</v>
      </c>
      <c r="C7" s="1878"/>
      <c r="D7" s="771" t="s">
        <v>142</v>
      </c>
      <c r="E7" s="1565" t="s">
        <v>363</v>
      </c>
      <c r="F7" s="1565" t="s">
        <v>364</v>
      </c>
      <c r="G7" s="1565" t="s">
        <v>365</v>
      </c>
      <c r="H7" s="1565" t="s">
        <v>366</v>
      </c>
      <c r="I7" s="1744" t="s">
        <v>367</v>
      </c>
      <c r="J7" s="1744" t="s">
        <v>368</v>
      </c>
    </row>
    <row r="8" spans="1:10" ht="48" thickBot="1">
      <c r="A8" s="743">
        <v>1</v>
      </c>
      <c r="B8" s="1873" t="s">
        <v>209</v>
      </c>
      <c r="C8" s="1874"/>
      <c r="D8" s="772" t="s">
        <v>92</v>
      </c>
      <c r="E8" s="1545" t="s">
        <v>679</v>
      </c>
      <c r="F8" s="1566" t="s">
        <v>680</v>
      </c>
      <c r="G8" s="1545" t="s">
        <v>687</v>
      </c>
      <c r="H8" s="1566" t="s">
        <v>680</v>
      </c>
      <c r="I8" s="1545" t="s">
        <v>703</v>
      </c>
      <c r="J8" s="1566" t="s">
        <v>680</v>
      </c>
    </row>
    <row r="9" spans="1:10" ht="15.75">
      <c r="A9" s="744">
        <v>2</v>
      </c>
      <c r="B9" s="745"/>
      <c r="C9" s="763">
        <v>1</v>
      </c>
      <c r="D9" s="1658">
        <v>2</v>
      </c>
      <c r="E9" s="1564">
        <v>3</v>
      </c>
      <c r="F9" s="1564">
        <v>4</v>
      </c>
      <c r="G9" s="1564">
        <v>5</v>
      </c>
      <c r="H9" s="1564">
        <v>6</v>
      </c>
      <c r="I9" s="1745">
        <v>7</v>
      </c>
      <c r="J9" s="1745">
        <v>8</v>
      </c>
    </row>
    <row r="10" spans="1:10" ht="27.75" customHeight="1" thickBot="1">
      <c r="A10" s="744">
        <v>3</v>
      </c>
      <c r="B10" s="746"/>
      <c r="C10" s="764" t="s">
        <v>341</v>
      </c>
      <c r="D10" s="1657">
        <v>11000</v>
      </c>
      <c r="E10" s="1561"/>
      <c r="F10" s="1561">
        <f>SUM(D10:E10)</f>
        <v>11000</v>
      </c>
      <c r="G10" s="1561"/>
      <c r="H10" s="1561">
        <f>SUM(F10:G10)</f>
        <v>11000</v>
      </c>
      <c r="I10" s="1561"/>
      <c r="J10" s="1561">
        <f>SUM(H10:I10)</f>
        <v>11000</v>
      </c>
    </row>
    <row r="11" spans="1:10" ht="36" customHeight="1">
      <c r="A11" s="743">
        <v>4</v>
      </c>
      <c r="B11" s="746"/>
      <c r="C11" s="747" t="s">
        <v>592</v>
      </c>
      <c r="D11" s="773">
        <v>200</v>
      </c>
      <c r="E11" s="1561">
        <v>-200</v>
      </c>
      <c r="F11" s="1561">
        <f aca="true" t="shared" si="0" ref="F11:F36">SUM(D11:E11)</f>
        <v>0</v>
      </c>
      <c r="G11" s="1561"/>
      <c r="H11" s="1561">
        <f>SUM(F11:G11)</f>
        <v>0</v>
      </c>
      <c r="I11" s="1561"/>
      <c r="J11" s="1561">
        <f aca="true" t="shared" si="1" ref="J11:J41">SUM(H11:I11)</f>
        <v>0</v>
      </c>
    </row>
    <row r="12" spans="1:10" ht="24" customHeight="1">
      <c r="A12" s="744">
        <v>5</v>
      </c>
      <c r="B12" s="746"/>
      <c r="C12" s="765" t="s">
        <v>210</v>
      </c>
      <c r="D12" s="773">
        <v>6000</v>
      </c>
      <c r="E12" s="1561"/>
      <c r="F12" s="1561">
        <f t="shared" si="0"/>
        <v>6000</v>
      </c>
      <c r="G12" s="1561"/>
      <c r="H12" s="1561">
        <f aca="true" t="shared" si="2" ref="H12:H38">SUM(F12:G12)</f>
        <v>6000</v>
      </c>
      <c r="I12" s="1561"/>
      <c r="J12" s="1561">
        <f t="shared" si="1"/>
        <v>6000</v>
      </c>
    </row>
    <row r="13" spans="1:10" ht="24" customHeight="1" thickBot="1">
      <c r="A13" s="744">
        <v>6</v>
      </c>
      <c r="B13" s="746"/>
      <c r="C13" s="765" t="s">
        <v>211</v>
      </c>
      <c r="D13" s="773">
        <v>2000</v>
      </c>
      <c r="E13" s="1561"/>
      <c r="F13" s="1561">
        <f t="shared" si="0"/>
        <v>2000</v>
      </c>
      <c r="G13" s="1561"/>
      <c r="H13" s="1561">
        <f t="shared" si="2"/>
        <v>2000</v>
      </c>
      <c r="I13" s="1561"/>
      <c r="J13" s="1561">
        <f t="shared" si="1"/>
        <v>2000</v>
      </c>
    </row>
    <row r="14" spans="1:10" ht="24" customHeight="1">
      <c r="A14" s="743">
        <v>7</v>
      </c>
      <c r="B14" s="746"/>
      <c r="C14" s="748" t="s">
        <v>309</v>
      </c>
      <c r="D14" s="773">
        <v>1500</v>
      </c>
      <c r="E14" s="1561"/>
      <c r="F14" s="1561">
        <f t="shared" si="0"/>
        <v>1500</v>
      </c>
      <c r="G14" s="1561"/>
      <c r="H14" s="1561">
        <f t="shared" si="2"/>
        <v>1500</v>
      </c>
      <c r="I14" s="1561"/>
      <c r="J14" s="1561">
        <f t="shared" si="1"/>
        <v>1500</v>
      </c>
    </row>
    <row r="15" spans="1:10" ht="24" customHeight="1">
      <c r="A15" s="744">
        <v>8</v>
      </c>
      <c r="B15" s="746"/>
      <c r="C15" s="751" t="s">
        <v>318</v>
      </c>
      <c r="D15" s="774">
        <v>1300</v>
      </c>
      <c r="E15" s="1562"/>
      <c r="F15" s="1561">
        <f t="shared" si="0"/>
        <v>1300</v>
      </c>
      <c r="G15" s="1561"/>
      <c r="H15" s="1561">
        <f t="shared" si="2"/>
        <v>1300</v>
      </c>
      <c r="I15" s="1561"/>
      <c r="J15" s="1561">
        <f t="shared" si="1"/>
        <v>1300</v>
      </c>
    </row>
    <row r="16" spans="1:10" ht="31.5" customHeight="1">
      <c r="A16" s="749">
        <v>9</v>
      </c>
      <c r="B16" s="746"/>
      <c r="C16" s="751" t="s">
        <v>688</v>
      </c>
      <c r="D16" s="774">
        <v>5000</v>
      </c>
      <c r="E16" s="1562"/>
      <c r="F16" s="1561">
        <f t="shared" si="0"/>
        <v>5000</v>
      </c>
      <c r="G16" s="1561">
        <v>-1400</v>
      </c>
      <c r="H16" s="1561">
        <f t="shared" si="2"/>
        <v>3600</v>
      </c>
      <c r="I16" s="1561"/>
      <c r="J16" s="1561">
        <f t="shared" si="1"/>
        <v>3600</v>
      </c>
    </row>
    <row r="17" spans="1:10" ht="39.75" customHeight="1">
      <c r="A17" s="749">
        <v>10</v>
      </c>
      <c r="B17" s="746"/>
      <c r="C17" s="751" t="s">
        <v>702</v>
      </c>
      <c r="D17" s="774"/>
      <c r="E17" s="1562"/>
      <c r="F17" s="1561"/>
      <c r="G17" s="1561"/>
      <c r="H17" s="1561">
        <f t="shared" si="2"/>
        <v>0</v>
      </c>
      <c r="I17" s="1561">
        <v>84</v>
      </c>
      <c r="J17" s="1561">
        <f t="shared" si="1"/>
        <v>84</v>
      </c>
    </row>
    <row r="18" spans="1:10" ht="24" customHeight="1">
      <c r="A18" s="749">
        <v>11</v>
      </c>
      <c r="B18" s="746"/>
      <c r="C18" s="751"/>
      <c r="D18" s="774"/>
      <c r="E18" s="1655"/>
      <c r="F18" s="1656"/>
      <c r="G18" s="1561"/>
      <c r="H18" s="1561">
        <f t="shared" si="2"/>
        <v>0</v>
      </c>
      <c r="I18" s="1561"/>
      <c r="J18" s="1561">
        <f t="shared" si="1"/>
        <v>0</v>
      </c>
    </row>
    <row r="19" spans="1:10" ht="24" customHeight="1">
      <c r="A19" s="744">
        <v>12</v>
      </c>
      <c r="B19" s="1875" t="s">
        <v>212</v>
      </c>
      <c r="C19" s="1876"/>
      <c r="D19" s="775">
        <f>SUM(D10:D16)</f>
        <v>27000</v>
      </c>
      <c r="E19" s="775">
        <f>SUM(E10:E16)</f>
        <v>-200</v>
      </c>
      <c r="F19" s="775">
        <f>SUM(F10:F16)</f>
        <v>26800</v>
      </c>
      <c r="G19" s="775">
        <f>SUM(G10:G16)</f>
        <v>-1400</v>
      </c>
      <c r="H19" s="775">
        <f>SUM(H10:H18)</f>
        <v>25400</v>
      </c>
      <c r="I19" s="775">
        <f>SUM(I10:I18)</f>
        <v>84</v>
      </c>
      <c r="J19" s="775">
        <f>SUM(J10:J18)</f>
        <v>25484</v>
      </c>
    </row>
    <row r="20" spans="1:10" ht="24" customHeight="1" thickBot="1">
      <c r="A20" s="744">
        <v>13</v>
      </c>
      <c r="B20" s="745"/>
      <c r="C20" s="766" t="s">
        <v>593</v>
      </c>
      <c r="D20" s="755">
        <v>10000</v>
      </c>
      <c r="E20" s="1563"/>
      <c r="F20" s="1561">
        <f t="shared" si="0"/>
        <v>10000</v>
      </c>
      <c r="G20" s="1561"/>
      <c r="H20" s="1561">
        <f t="shared" si="2"/>
        <v>10000</v>
      </c>
      <c r="I20" s="1561"/>
      <c r="J20" s="1561">
        <f t="shared" si="1"/>
        <v>10000</v>
      </c>
    </row>
    <row r="21" spans="1:10" ht="24" customHeight="1">
      <c r="A21" s="743">
        <v>14</v>
      </c>
      <c r="B21" s="745"/>
      <c r="C21" s="764" t="s">
        <v>213</v>
      </c>
      <c r="D21" s="776">
        <v>8483</v>
      </c>
      <c r="E21" s="1563"/>
      <c r="F21" s="1561">
        <f t="shared" si="0"/>
        <v>8483</v>
      </c>
      <c r="G21" s="1561"/>
      <c r="H21" s="1561">
        <f t="shared" si="2"/>
        <v>8483</v>
      </c>
      <c r="I21" s="1561"/>
      <c r="J21" s="1561">
        <f t="shared" si="1"/>
        <v>8483</v>
      </c>
    </row>
    <row r="22" spans="1:10" ht="24" customHeight="1">
      <c r="A22" s="744">
        <v>15</v>
      </c>
      <c r="B22" s="745"/>
      <c r="C22" s="764" t="s">
        <v>342</v>
      </c>
      <c r="D22" s="776">
        <v>3000</v>
      </c>
      <c r="E22" s="1563"/>
      <c r="F22" s="1561">
        <f t="shared" si="0"/>
        <v>3000</v>
      </c>
      <c r="G22" s="1561"/>
      <c r="H22" s="1561">
        <f t="shared" si="2"/>
        <v>3000</v>
      </c>
      <c r="I22" s="1561"/>
      <c r="J22" s="1561">
        <f t="shared" si="1"/>
        <v>3000</v>
      </c>
    </row>
    <row r="23" spans="1:10" ht="24" customHeight="1" thickBot="1">
      <c r="A23" s="744">
        <v>16</v>
      </c>
      <c r="B23" s="745"/>
      <c r="C23" s="764" t="s">
        <v>214</v>
      </c>
      <c r="D23" s="776">
        <v>5400</v>
      </c>
      <c r="E23" s="1563"/>
      <c r="F23" s="1561">
        <f t="shared" si="0"/>
        <v>5400</v>
      </c>
      <c r="G23" s="1561"/>
      <c r="H23" s="1561">
        <f t="shared" si="2"/>
        <v>5400</v>
      </c>
      <c r="I23" s="1561"/>
      <c r="J23" s="1561">
        <f t="shared" si="1"/>
        <v>5400</v>
      </c>
    </row>
    <row r="24" spans="1:10" ht="24" customHeight="1">
      <c r="A24" s="743">
        <v>17</v>
      </c>
      <c r="B24" s="745"/>
      <c r="C24" s="764" t="s">
        <v>215</v>
      </c>
      <c r="D24" s="776">
        <v>1200</v>
      </c>
      <c r="E24" s="1563"/>
      <c r="F24" s="1561">
        <f t="shared" si="0"/>
        <v>1200</v>
      </c>
      <c r="G24" s="1561"/>
      <c r="H24" s="1561">
        <f t="shared" si="2"/>
        <v>1200</v>
      </c>
      <c r="I24" s="1561"/>
      <c r="J24" s="1561">
        <f t="shared" si="1"/>
        <v>1200</v>
      </c>
    </row>
    <row r="25" spans="1:10" ht="24" customHeight="1">
      <c r="A25" s="744">
        <v>18</v>
      </c>
      <c r="B25" s="745"/>
      <c r="C25" s="747" t="s">
        <v>216</v>
      </c>
      <c r="D25" s="776">
        <v>300</v>
      </c>
      <c r="E25" s="1563"/>
      <c r="F25" s="1561">
        <f t="shared" si="0"/>
        <v>300</v>
      </c>
      <c r="G25" s="1561"/>
      <c r="H25" s="1561">
        <f t="shared" si="2"/>
        <v>300</v>
      </c>
      <c r="I25" s="1561"/>
      <c r="J25" s="1561">
        <f t="shared" si="1"/>
        <v>300</v>
      </c>
    </row>
    <row r="26" spans="1:10" ht="24" customHeight="1" thickBot="1">
      <c r="A26" s="744">
        <v>19</v>
      </c>
      <c r="B26" s="745"/>
      <c r="C26" s="764" t="s">
        <v>316</v>
      </c>
      <c r="D26" s="776">
        <v>100</v>
      </c>
      <c r="E26" s="1563"/>
      <c r="F26" s="1561">
        <f t="shared" si="0"/>
        <v>100</v>
      </c>
      <c r="G26" s="1561"/>
      <c r="H26" s="1561">
        <f t="shared" si="2"/>
        <v>100</v>
      </c>
      <c r="I26" s="1561"/>
      <c r="J26" s="1561">
        <f t="shared" si="1"/>
        <v>100</v>
      </c>
    </row>
    <row r="27" spans="1:10" ht="24" customHeight="1">
      <c r="A27" s="743">
        <v>20</v>
      </c>
      <c r="B27" s="745"/>
      <c r="C27" s="767" t="s">
        <v>305</v>
      </c>
      <c r="D27" s="776">
        <v>500</v>
      </c>
      <c r="E27" s="1563"/>
      <c r="F27" s="1561">
        <f t="shared" si="0"/>
        <v>500</v>
      </c>
      <c r="G27" s="1561"/>
      <c r="H27" s="1561">
        <f t="shared" si="2"/>
        <v>500</v>
      </c>
      <c r="I27" s="1561"/>
      <c r="J27" s="1561">
        <f t="shared" si="1"/>
        <v>500</v>
      </c>
    </row>
    <row r="28" spans="1:10" ht="24" customHeight="1">
      <c r="A28" s="744">
        <v>21</v>
      </c>
      <c r="B28" s="745"/>
      <c r="C28" s="768" t="s">
        <v>596</v>
      </c>
      <c r="D28" s="776">
        <v>8000</v>
      </c>
      <c r="E28" s="1563"/>
      <c r="F28" s="1561">
        <f t="shared" si="0"/>
        <v>8000</v>
      </c>
      <c r="G28" s="1561"/>
      <c r="H28" s="1561">
        <f t="shared" si="2"/>
        <v>8000</v>
      </c>
      <c r="I28" s="1561"/>
      <c r="J28" s="1561">
        <f t="shared" si="1"/>
        <v>8000</v>
      </c>
    </row>
    <row r="29" spans="1:14" ht="24" customHeight="1">
      <c r="A29" s="744">
        <v>22</v>
      </c>
      <c r="B29" s="745"/>
      <c r="C29" s="769" t="s">
        <v>426</v>
      </c>
      <c r="D29" s="776">
        <v>5000</v>
      </c>
      <c r="E29" s="1563"/>
      <c r="F29" s="1561">
        <f t="shared" si="0"/>
        <v>5000</v>
      </c>
      <c r="G29" s="1561">
        <f>-300-300</f>
        <v>-600</v>
      </c>
      <c r="H29" s="1561">
        <f t="shared" si="2"/>
        <v>4400</v>
      </c>
      <c r="I29" s="1561"/>
      <c r="J29" s="1561">
        <f t="shared" si="1"/>
        <v>4400</v>
      </c>
      <c r="N29" s="778"/>
    </row>
    <row r="30" spans="1:14" ht="24" customHeight="1">
      <c r="A30" s="749">
        <v>23</v>
      </c>
      <c r="B30" s="745"/>
      <c r="C30" s="767" t="s">
        <v>691</v>
      </c>
      <c r="D30" s="776"/>
      <c r="E30" s="1563"/>
      <c r="F30" s="1561"/>
      <c r="G30" s="1561">
        <v>300</v>
      </c>
      <c r="H30" s="1561">
        <v>300</v>
      </c>
      <c r="I30" s="1561"/>
      <c r="J30" s="1561">
        <f t="shared" si="1"/>
        <v>300</v>
      </c>
      <c r="N30" s="778"/>
    </row>
    <row r="31" spans="1:14" ht="24" customHeight="1">
      <c r="A31" s="749">
        <v>24</v>
      </c>
      <c r="B31" s="745"/>
      <c r="C31" s="767" t="s">
        <v>692</v>
      </c>
      <c r="D31" s="776"/>
      <c r="E31" s="1563"/>
      <c r="F31" s="1561"/>
      <c r="G31" s="1561">
        <v>300</v>
      </c>
      <c r="H31" s="1561">
        <v>300</v>
      </c>
      <c r="I31" s="1561"/>
      <c r="J31" s="1561">
        <f t="shared" si="1"/>
        <v>300</v>
      </c>
      <c r="N31" s="778"/>
    </row>
    <row r="32" spans="1:10" ht="24" customHeight="1" thickBot="1">
      <c r="A32" s="749">
        <v>25</v>
      </c>
      <c r="B32" s="745"/>
      <c r="C32" s="767" t="s">
        <v>454</v>
      </c>
      <c r="D32" s="776">
        <v>200</v>
      </c>
      <c r="E32" s="1563"/>
      <c r="F32" s="1561">
        <f t="shared" si="0"/>
        <v>200</v>
      </c>
      <c r="G32" s="1561"/>
      <c r="H32" s="1561">
        <f t="shared" si="2"/>
        <v>200</v>
      </c>
      <c r="I32" s="1561"/>
      <c r="J32" s="1561">
        <f t="shared" si="1"/>
        <v>200</v>
      </c>
    </row>
    <row r="33" spans="1:10" ht="30.75" customHeight="1">
      <c r="A33" s="743">
        <v>26</v>
      </c>
      <c r="B33" s="745"/>
      <c r="C33" s="767" t="s">
        <v>594</v>
      </c>
      <c r="D33" s="776">
        <v>532</v>
      </c>
      <c r="E33" s="1563"/>
      <c r="F33" s="1561">
        <f t="shared" si="0"/>
        <v>532</v>
      </c>
      <c r="G33" s="1561"/>
      <c r="H33" s="1561">
        <f t="shared" si="2"/>
        <v>532</v>
      </c>
      <c r="I33" s="1561"/>
      <c r="J33" s="1561">
        <f t="shared" si="1"/>
        <v>532</v>
      </c>
    </row>
    <row r="34" spans="1:10" ht="33" customHeight="1">
      <c r="A34" s="744">
        <v>27</v>
      </c>
      <c r="B34" s="750"/>
      <c r="C34" s="751" t="s">
        <v>595</v>
      </c>
      <c r="D34" s="774">
        <v>10000</v>
      </c>
      <c r="E34" s="1562"/>
      <c r="F34" s="1561">
        <f t="shared" si="0"/>
        <v>10000</v>
      </c>
      <c r="G34" s="1561">
        <v>-420</v>
      </c>
      <c r="H34" s="1561">
        <f t="shared" si="2"/>
        <v>9580</v>
      </c>
      <c r="I34" s="1561"/>
      <c r="J34" s="1561">
        <f t="shared" si="1"/>
        <v>9580</v>
      </c>
    </row>
    <row r="35" spans="1:10" ht="33" customHeight="1">
      <c r="A35" s="744">
        <v>28</v>
      </c>
      <c r="B35" s="750"/>
      <c r="C35" s="751" t="s">
        <v>597</v>
      </c>
      <c r="D35" s="774">
        <v>300</v>
      </c>
      <c r="E35" s="1562"/>
      <c r="F35" s="1561">
        <f t="shared" si="0"/>
        <v>300</v>
      </c>
      <c r="G35" s="1561"/>
      <c r="H35" s="1561">
        <f t="shared" si="2"/>
        <v>300</v>
      </c>
      <c r="I35" s="1561"/>
      <c r="J35" s="1561">
        <f t="shared" si="1"/>
        <v>300</v>
      </c>
    </row>
    <row r="36" spans="1:10" ht="33" customHeight="1">
      <c r="A36" s="744">
        <v>29</v>
      </c>
      <c r="B36" s="750"/>
      <c r="C36" s="747" t="s">
        <v>681</v>
      </c>
      <c r="D36" s="774"/>
      <c r="E36" s="1562">
        <v>200</v>
      </c>
      <c r="F36" s="1561">
        <f t="shared" si="0"/>
        <v>200</v>
      </c>
      <c r="G36" s="1561"/>
      <c r="H36" s="1561">
        <f t="shared" si="2"/>
        <v>200</v>
      </c>
      <c r="I36" s="1561"/>
      <c r="J36" s="1561">
        <f t="shared" si="1"/>
        <v>200</v>
      </c>
    </row>
    <row r="37" spans="1:10" ht="33" customHeight="1">
      <c r="A37" s="744">
        <v>30</v>
      </c>
      <c r="B37" s="750"/>
      <c r="C37" s="751" t="s">
        <v>689</v>
      </c>
      <c r="D37" s="774"/>
      <c r="E37" s="1655"/>
      <c r="F37" s="1561"/>
      <c r="G37" s="1561">
        <v>1000</v>
      </c>
      <c r="H37" s="1561">
        <f t="shared" si="2"/>
        <v>1000</v>
      </c>
      <c r="I37" s="1561"/>
      <c r="J37" s="1561">
        <f t="shared" si="1"/>
        <v>1000</v>
      </c>
    </row>
    <row r="38" spans="1:10" ht="33" customHeight="1">
      <c r="A38" s="744">
        <v>31</v>
      </c>
      <c r="B38" s="750"/>
      <c r="C38" s="751" t="s">
        <v>690</v>
      </c>
      <c r="D38" s="774"/>
      <c r="E38" s="1659"/>
      <c r="F38" s="1656"/>
      <c r="G38" s="1561">
        <v>400</v>
      </c>
      <c r="H38" s="1561">
        <f t="shared" si="2"/>
        <v>400</v>
      </c>
      <c r="I38" s="1561"/>
      <c r="J38" s="1561">
        <f t="shared" si="1"/>
        <v>400</v>
      </c>
    </row>
    <row r="39" spans="1:10" ht="33" customHeight="1">
      <c r="A39" s="744">
        <v>32</v>
      </c>
      <c r="B39" s="750"/>
      <c r="C39" s="751" t="s">
        <v>696</v>
      </c>
      <c r="D39" s="774"/>
      <c r="E39" s="1659"/>
      <c r="F39" s="1657"/>
      <c r="G39" s="1656">
        <v>500</v>
      </c>
      <c r="H39" s="1561">
        <v>500</v>
      </c>
      <c r="I39" s="1561"/>
      <c r="J39" s="1561">
        <f t="shared" si="1"/>
        <v>500</v>
      </c>
    </row>
    <row r="40" spans="1:10" ht="53.25" customHeight="1">
      <c r="A40" s="744">
        <v>33</v>
      </c>
      <c r="B40" s="750"/>
      <c r="C40" s="751" t="s">
        <v>697</v>
      </c>
      <c r="D40" s="774"/>
      <c r="E40" s="1659"/>
      <c r="F40" s="1657"/>
      <c r="G40" s="1657">
        <v>420</v>
      </c>
      <c r="H40" s="1656">
        <v>420</v>
      </c>
      <c r="I40" s="1561"/>
      <c r="J40" s="1561">
        <f t="shared" si="1"/>
        <v>420</v>
      </c>
    </row>
    <row r="41" spans="1:10" ht="53.25" customHeight="1">
      <c r="A41" s="744">
        <v>34</v>
      </c>
      <c r="B41" s="750"/>
      <c r="C41" s="751" t="s">
        <v>702</v>
      </c>
      <c r="D41" s="774"/>
      <c r="E41" s="1659"/>
      <c r="F41" s="1657"/>
      <c r="G41" s="1657">
        <v>110</v>
      </c>
      <c r="H41" s="1657">
        <v>110</v>
      </c>
      <c r="I41" s="1561">
        <v>-84</v>
      </c>
      <c r="J41" s="1561">
        <f t="shared" si="1"/>
        <v>26</v>
      </c>
    </row>
    <row r="42" spans="1:12" ht="24" customHeight="1">
      <c r="A42" s="744">
        <v>35</v>
      </c>
      <c r="B42" s="1879" t="s">
        <v>217</v>
      </c>
      <c r="C42" s="1880"/>
      <c r="D42" s="775">
        <f>SUM(D20:D35)</f>
        <v>53015</v>
      </c>
      <c r="E42" s="775">
        <f>SUM(E20:E36)</f>
        <v>200</v>
      </c>
      <c r="F42" s="775">
        <f>SUM(F20:F38)</f>
        <v>53215</v>
      </c>
      <c r="G42" s="775">
        <f>SUM(G20:G41)</f>
        <v>2010</v>
      </c>
      <c r="H42" s="775">
        <f>SUM(H20:H41)</f>
        <v>55225</v>
      </c>
      <c r="I42" s="775">
        <f>SUM(I20:I41)</f>
        <v>-84</v>
      </c>
      <c r="J42" s="775">
        <f>SUM(J20:J41)</f>
        <v>55141</v>
      </c>
      <c r="L42" s="736"/>
    </row>
    <row r="43" spans="1:11" s="737" customFormat="1" ht="23.25" customHeight="1" thickBot="1">
      <c r="A43" s="752">
        <v>36</v>
      </c>
      <c r="B43" s="753" t="s">
        <v>218</v>
      </c>
      <c r="C43" s="770"/>
      <c r="D43" s="777">
        <f>+D19+D42</f>
        <v>80015</v>
      </c>
      <c r="E43" s="777">
        <f>+E19+E42</f>
        <v>0</v>
      </c>
      <c r="F43" s="777">
        <f>+F19+F42</f>
        <v>80015</v>
      </c>
      <c r="G43" s="777">
        <f>+G19+G42</f>
        <v>610</v>
      </c>
      <c r="H43" s="777">
        <f>+H19+H42</f>
        <v>80625</v>
      </c>
      <c r="I43" s="1746"/>
      <c r="J43" s="1561">
        <f>SUM(H43:I43)</f>
        <v>80625</v>
      </c>
      <c r="K43" s="1107"/>
    </row>
    <row r="44" spans="2:3" s="737" customFormat="1" ht="23.25" customHeight="1">
      <c r="B44" s="739"/>
      <c r="C44" s="739"/>
    </row>
    <row r="45" spans="2:10" ht="24" customHeight="1">
      <c r="B45" s="736"/>
      <c r="C45" s="736"/>
      <c r="H45" s="754"/>
      <c r="I45" s="754"/>
      <c r="J45" s="754"/>
    </row>
    <row r="46" spans="2:6" ht="15.75">
      <c r="B46" s="736"/>
      <c r="C46" s="736"/>
      <c r="D46" s="736"/>
      <c r="E46" s="736"/>
      <c r="F46" s="736"/>
    </row>
    <row r="47" spans="2:6" ht="13.5" customHeight="1">
      <c r="B47" s="736"/>
      <c r="C47" s="736"/>
      <c r="D47" s="736"/>
      <c r="E47" s="736"/>
      <c r="F47" s="736"/>
    </row>
    <row r="51" ht="12" customHeight="1"/>
    <row r="52" spans="4:10" ht="15.75">
      <c r="D52" s="754"/>
      <c r="E52" s="754"/>
      <c r="F52" s="754"/>
      <c r="G52" s="754"/>
      <c r="H52" s="754"/>
      <c r="I52" s="754"/>
      <c r="J52" s="754"/>
    </row>
  </sheetData>
  <sheetProtection selectLockedCells="1" selectUnlockedCells="1"/>
  <mergeCells count="6">
    <mergeCell ref="B4:D4"/>
    <mergeCell ref="B5:D5"/>
    <mergeCell ref="B8:C8"/>
    <mergeCell ref="B19:C19"/>
    <mergeCell ref="B7:C7"/>
    <mergeCell ref="B42:C42"/>
  </mergeCells>
  <printOptions/>
  <pageMargins left="0.3937007874015748" right="0.31496062992125984" top="0.31496062992125984" bottom="0.4724409448818898" header="0.5118110236220472" footer="0.31496062992125984"/>
  <pageSetup fitToHeight="1" fitToWidth="1"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0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4.125" style="25" customWidth="1"/>
    <col min="2" max="2" width="3.50390625" style="25" customWidth="1"/>
    <col min="3" max="3" width="76.00390625" style="108" customWidth="1"/>
    <col min="4" max="5" width="14.625" style="25" customWidth="1"/>
    <col min="6" max="16384" width="9.375" style="25" customWidth="1"/>
  </cols>
  <sheetData>
    <row r="1" spans="2:3" ht="21" customHeight="1">
      <c r="B1" s="326"/>
      <c r="C1" s="109" t="s">
        <v>732</v>
      </c>
    </row>
    <row r="2" spans="2:3" ht="12.75" customHeight="1">
      <c r="B2" s="326"/>
      <c r="C2" s="109"/>
    </row>
    <row r="3" ht="13.5" customHeight="1">
      <c r="B3" s="326"/>
    </row>
    <row r="4" spans="2:5" ht="12.75" customHeight="1">
      <c r="B4" s="1881" t="s">
        <v>219</v>
      </c>
      <c r="C4" s="1881"/>
      <c r="D4" s="1881"/>
      <c r="E4" s="1514"/>
    </row>
    <row r="5" spans="2:5" ht="12.75" customHeight="1">
      <c r="B5" s="327"/>
      <c r="C5" s="1882" t="s">
        <v>583</v>
      </c>
      <c r="D5" s="1882"/>
      <c r="E5" s="328"/>
    </row>
    <row r="6" spans="2:5" ht="12.75" customHeight="1">
      <c r="B6" s="327"/>
      <c r="C6" s="329"/>
      <c r="D6" s="328"/>
      <c r="E6" s="328"/>
    </row>
    <row r="7" spans="2:5" ht="12.75" customHeight="1" thickBot="1">
      <c r="B7" s="327"/>
      <c r="C7" s="329"/>
      <c r="D7" s="328" t="s">
        <v>370</v>
      </c>
      <c r="E7" s="328"/>
    </row>
    <row r="8" spans="1:5" s="308" customFormat="1" ht="17.25" customHeight="1" thickBot="1">
      <c r="A8" s="330"/>
      <c r="B8" s="1885" t="s">
        <v>118</v>
      </c>
      <c r="C8" s="1886"/>
      <c r="D8" s="1406" t="s">
        <v>142</v>
      </c>
      <c r="E8" s="1406"/>
    </row>
    <row r="9" spans="1:5" ht="62.25" customHeight="1" thickBot="1">
      <c r="A9" s="331"/>
      <c r="B9" s="1883" t="s">
        <v>209</v>
      </c>
      <c r="C9" s="1884"/>
      <c r="D9" s="1407" t="s">
        <v>682</v>
      </c>
      <c r="E9" s="1568" t="s">
        <v>680</v>
      </c>
    </row>
    <row r="10" spans="1:5" ht="14.25" thickBot="1" thickTop="1">
      <c r="A10" s="130">
        <v>1</v>
      </c>
      <c r="B10" s="1772"/>
      <c r="C10" s="1773"/>
      <c r="D10" s="1774"/>
      <c r="E10" s="1775"/>
    </row>
    <row r="11" spans="1:5" ht="32.25" customHeight="1" thickTop="1">
      <c r="A11" s="533">
        <v>2</v>
      </c>
      <c r="B11" s="332"/>
      <c r="C11" s="534" t="s">
        <v>598</v>
      </c>
      <c r="D11" s="1408">
        <v>28609</v>
      </c>
      <c r="E11" s="1569">
        <v>28609</v>
      </c>
    </row>
    <row r="12" spans="1:5" ht="33.75" customHeight="1">
      <c r="A12" s="533">
        <v>3</v>
      </c>
      <c r="B12" s="332"/>
      <c r="C12" s="525" t="s">
        <v>599</v>
      </c>
      <c r="D12" s="1409">
        <v>28609</v>
      </c>
      <c r="E12" s="1409">
        <v>28609</v>
      </c>
    </row>
    <row r="13" spans="1:7" ht="15.75">
      <c r="A13" s="533">
        <v>4</v>
      </c>
      <c r="B13" s="332"/>
      <c r="C13" s="525" t="s">
        <v>600</v>
      </c>
      <c r="D13" s="1409">
        <v>72707</v>
      </c>
      <c r="E13" s="1409">
        <v>72707</v>
      </c>
      <c r="G13" s="72"/>
    </row>
    <row r="14" spans="1:11" ht="29.25" customHeight="1">
      <c r="A14" s="130">
        <v>5</v>
      </c>
      <c r="B14" s="332"/>
      <c r="C14" s="525" t="s">
        <v>601</v>
      </c>
      <c r="D14" s="1409">
        <v>838</v>
      </c>
      <c r="E14" s="1409">
        <v>838</v>
      </c>
      <c r="F14" s="72"/>
      <c r="K14" s="72"/>
    </row>
    <row r="15" spans="1:5" ht="15.75">
      <c r="A15" s="533">
        <v>6</v>
      </c>
      <c r="B15" s="332"/>
      <c r="C15" s="525" t="s">
        <v>602</v>
      </c>
      <c r="D15" s="1410">
        <v>304</v>
      </c>
      <c r="E15" s="1410">
        <v>304</v>
      </c>
    </row>
    <row r="16" spans="1:5" ht="15.75">
      <c r="A16" s="533"/>
      <c r="B16" s="332"/>
      <c r="C16" s="525" t="s">
        <v>603</v>
      </c>
      <c r="D16" s="1410">
        <v>2000</v>
      </c>
      <c r="E16" s="1410">
        <v>2000</v>
      </c>
    </row>
    <row r="17" spans="1:5" s="83" customFormat="1" ht="15.75">
      <c r="A17" s="533">
        <v>14</v>
      </c>
      <c r="B17" s="332"/>
      <c r="C17" s="535" t="s">
        <v>168</v>
      </c>
      <c r="D17" s="1412">
        <f>SUM(D11:D16)</f>
        <v>133067</v>
      </c>
      <c r="E17" s="1412">
        <f>SUM(E11:E16)</f>
        <v>133067</v>
      </c>
    </row>
    <row r="18" spans="1:5" s="83" customFormat="1" ht="15.75">
      <c r="A18" s="533">
        <v>15</v>
      </c>
      <c r="B18" s="332"/>
      <c r="C18" s="535"/>
      <c r="D18" s="1412"/>
      <c r="E18" s="1571"/>
    </row>
    <row r="19" spans="1:5" s="82" customFormat="1" ht="15.75">
      <c r="A19" s="130">
        <v>16</v>
      </c>
      <c r="B19" s="333"/>
      <c r="C19" s="525"/>
      <c r="D19" s="1411"/>
      <c r="E19" s="1570"/>
    </row>
    <row r="20" spans="1:5" ht="16.5" thickBot="1">
      <c r="A20" s="533">
        <v>17</v>
      </c>
      <c r="B20" s="332"/>
      <c r="C20" s="525"/>
      <c r="D20" s="1411"/>
      <c r="E20" s="1567"/>
    </row>
    <row r="21" spans="1:5" ht="16.5" thickBot="1">
      <c r="A21" s="1288">
        <v>18</v>
      </c>
      <c r="B21" s="334"/>
      <c r="C21" s="1289" t="s">
        <v>220</v>
      </c>
      <c r="D21" s="1413">
        <f>SUM(D17+D19)</f>
        <v>133067</v>
      </c>
      <c r="E21" s="1413">
        <f>SUM(E17+E19)</f>
        <v>133067</v>
      </c>
    </row>
    <row r="22" spans="1:5" ht="12.75">
      <c r="A22" s="82"/>
      <c r="B22" s="82"/>
      <c r="C22" s="110"/>
      <c r="D22" s="119"/>
      <c r="E22" s="119"/>
    </row>
    <row r="23" spans="4:5" ht="12.75">
      <c r="D23" s="72"/>
      <c r="E23" s="72"/>
    </row>
    <row r="30" ht="12.75">
      <c r="C30" s="335"/>
    </row>
  </sheetData>
  <sheetProtection selectLockedCells="1" selectUnlockedCells="1"/>
  <mergeCells count="4">
    <mergeCell ref="B4:D4"/>
    <mergeCell ref="C5:D5"/>
    <mergeCell ref="B9:C9"/>
    <mergeCell ref="B8:C8"/>
  </mergeCells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80" zoomScaleSheetLayoutView="80" zoomScalePageLayoutView="0" workbookViewId="0" topLeftCell="A1">
      <selection activeCell="L77" sqref="L77"/>
    </sheetView>
  </sheetViews>
  <sheetFormatPr defaultColWidth="9.00390625" defaultRowHeight="12.75"/>
  <cols>
    <col min="1" max="1" width="5.00390625" style="0" customWidth="1"/>
    <col min="2" max="2" width="63.875" style="628" customWidth="1"/>
    <col min="3" max="3" width="16.875" style="0" customWidth="1"/>
    <col min="4" max="4" width="16.50390625" style="0" customWidth="1"/>
    <col min="5" max="5" width="15.50390625" style="0" customWidth="1"/>
    <col min="7" max="7" width="49.00390625" style="628" customWidth="1"/>
    <col min="8" max="10" width="16.125" style="0" customWidth="1"/>
  </cols>
  <sheetData>
    <row r="1" spans="1:10" ht="15.75">
      <c r="A1" s="1"/>
      <c r="B1" s="1630" t="s">
        <v>709</v>
      </c>
      <c r="C1" s="346"/>
      <c r="D1" s="346"/>
      <c r="E1" s="346"/>
      <c r="F1" s="1"/>
      <c r="G1" s="1"/>
      <c r="H1" s="3"/>
      <c r="I1" s="3"/>
      <c r="J1" s="3"/>
    </row>
    <row r="2" spans="1:10" ht="15.75">
      <c r="A2" s="1"/>
      <c r="B2" s="1631"/>
      <c r="C2" s="346"/>
      <c r="D2" s="346"/>
      <c r="E2" s="346"/>
      <c r="F2" s="1"/>
      <c r="G2" s="1"/>
      <c r="H2" s="3"/>
      <c r="I2" s="3"/>
      <c r="J2" s="3"/>
    </row>
    <row r="3" spans="1:10" ht="15.75">
      <c r="A3" s="1"/>
      <c r="B3" s="1631"/>
      <c r="C3" s="346"/>
      <c r="D3" s="346"/>
      <c r="E3" s="346"/>
      <c r="F3" s="1"/>
      <c r="G3" s="1"/>
      <c r="H3" s="3"/>
      <c r="I3" s="3"/>
      <c r="J3" s="3"/>
    </row>
    <row r="4" spans="1:10" ht="15.75">
      <c r="A4" s="1794" t="s">
        <v>564</v>
      </c>
      <c r="B4" s="1794"/>
      <c r="C4" s="1794"/>
      <c r="D4" s="1794"/>
      <c r="E4" s="1794"/>
      <c r="F4" s="1794"/>
      <c r="G4" s="1794"/>
      <c r="H4" s="1794"/>
      <c r="I4" s="347"/>
      <c r="J4" s="347"/>
    </row>
    <row r="5" spans="1:10" ht="16.5" thickBot="1">
      <c r="A5" s="347"/>
      <c r="B5" s="1455"/>
      <c r="C5" s="347"/>
      <c r="D5" s="347"/>
      <c r="E5" s="347"/>
      <c r="F5" s="347"/>
      <c r="G5" s="1455"/>
      <c r="H5" s="347"/>
      <c r="I5" s="347"/>
      <c r="J5" s="347"/>
    </row>
    <row r="6" spans="1:10" ht="16.5" thickBot="1">
      <c r="A6" s="348" t="s">
        <v>118</v>
      </c>
      <c r="B6" s="1632" t="s">
        <v>142</v>
      </c>
      <c r="C6" s="348" t="s">
        <v>363</v>
      </c>
      <c r="D6" s="348" t="s">
        <v>364</v>
      </c>
      <c r="E6" s="348" t="s">
        <v>365</v>
      </c>
      <c r="F6" s="348" t="s">
        <v>366</v>
      </c>
      <c r="G6" s="1636" t="s">
        <v>367</v>
      </c>
      <c r="H6" s="388" t="s">
        <v>368</v>
      </c>
      <c r="I6" s="348" t="s">
        <v>230</v>
      </c>
      <c r="J6" s="348" t="s">
        <v>369</v>
      </c>
    </row>
    <row r="7" spans="1:10" ht="48" thickBot="1">
      <c r="A7" s="1229"/>
      <c r="B7" s="1633" t="s">
        <v>2</v>
      </c>
      <c r="C7" s="1355" t="s">
        <v>563</v>
      </c>
      <c r="D7" s="1355" t="s">
        <v>677</v>
      </c>
      <c r="E7" s="1355" t="s">
        <v>678</v>
      </c>
      <c r="F7" s="418"/>
      <c r="G7" s="1637" t="s">
        <v>3</v>
      </c>
      <c r="H7" s="1490" t="s">
        <v>563</v>
      </c>
      <c r="I7" s="1494" t="s">
        <v>677</v>
      </c>
      <c r="J7" s="1494" t="s">
        <v>678</v>
      </c>
    </row>
    <row r="8" spans="1:10" ht="29.25" thickBot="1">
      <c r="A8" s="685"/>
      <c r="B8" s="1236" t="s">
        <v>4</v>
      </c>
      <c r="C8" s="92">
        <f>SUM(C9+C22+C28+C40)</f>
        <v>560</v>
      </c>
      <c r="D8" s="92">
        <f>SUM(D9+D22+D28+D40)</f>
        <v>560</v>
      </c>
      <c r="E8" s="92">
        <f>SUM(E9+E22+E28+E40)</f>
        <v>0</v>
      </c>
      <c r="F8" s="153"/>
      <c r="G8" s="1237" t="s">
        <v>5</v>
      </c>
      <c r="H8" s="1491">
        <f>SUM(H9:H13)</f>
        <v>87281</v>
      </c>
      <c r="I8" s="1491">
        <f>SUM(I9:I13)</f>
        <v>87370</v>
      </c>
      <c r="J8" s="339"/>
    </row>
    <row r="9" spans="1:10" ht="24.75" customHeight="1">
      <c r="A9" s="686" t="s">
        <v>6</v>
      </c>
      <c r="B9" s="154" t="s">
        <v>7</v>
      </c>
      <c r="C9" s="6">
        <f>SUM(C10+C17+C18+C19+C20+C21)</f>
        <v>0</v>
      </c>
      <c r="D9" s="6"/>
      <c r="E9" s="6"/>
      <c r="F9" s="4" t="s">
        <v>6</v>
      </c>
      <c r="G9" s="390" t="s">
        <v>8</v>
      </c>
      <c r="H9" s="1492">
        <v>59319</v>
      </c>
      <c r="I9" s="1495">
        <v>59393</v>
      </c>
      <c r="J9" s="1495"/>
    </row>
    <row r="10" spans="1:10" ht="31.5" customHeight="1">
      <c r="A10" s="687" t="s">
        <v>9</v>
      </c>
      <c r="B10" s="19" t="s">
        <v>10</v>
      </c>
      <c r="C10" s="9">
        <f>SUM(C11:C16)</f>
        <v>0</v>
      </c>
      <c r="D10" s="9"/>
      <c r="E10" s="9"/>
      <c r="F10" s="7" t="s">
        <v>11</v>
      </c>
      <c r="G10" s="391" t="s">
        <v>12</v>
      </c>
      <c r="H10" s="1466">
        <v>11896</v>
      </c>
      <c r="I10" s="358">
        <v>11911</v>
      </c>
      <c r="J10" s="358"/>
    </row>
    <row r="11" spans="1:10" ht="36.75" customHeight="1">
      <c r="A11" s="687"/>
      <c r="B11" s="10" t="s">
        <v>13</v>
      </c>
      <c r="C11" s="12"/>
      <c r="D11" s="12"/>
      <c r="E11" s="12"/>
      <c r="F11" s="7" t="s">
        <v>14</v>
      </c>
      <c r="G11" s="391" t="s">
        <v>15</v>
      </c>
      <c r="H11" s="1466">
        <v>16066</v>
      </c>
      <c r="I11" s="358">
        <v>16066</v>
      </c>
      <c r="J11" s="358"/>
    </row>
    <row r="12" spans="1:10" ht="31.5" customHeight="1">
      <c r="A12" s="687"/>
      <c r="B12" s="10" t="s">
        <v>16</v>
      </c>
      <c r="C12" s="12"/>
      <c r="D12" s="12"/>
      <c r="E12" s="12"/>
      <c r="F12" s="7" t="s">
        <v>17</v>
      </c>
      <c r="G12" s="391" t="s">
        <v>18</v>
      </c>
      <c r="H12" s="1466"/>
      <c r="I12" s="358"/>
      <c r="J12" s="358"/>
    </row>
    <row r="13" spans="1:10" ht="30" customHeight="1">
      <c r="A13" s="687"/>
      <c r="B13" s="10" t="s">
        <v>19</v>
      </c>
      <c r="C13" s="12"/>
      <c r="D13" s="12"/>
      <c r="E13" s="12"/>
      <c r="F13" s="7" t="s">
        <v>20</v>
      </c>
      <c r="G13" s="391" t="s">
        <v>21</v>
      </c>
      <c r="H13" s="1466"/>
      <c r="I13" s="358"/>
      <c r="J13" s="358"/>
    </row>
    <row r="14" spans="1:10" ht="37.5" customHeight="1">
      <c r="A14" s="687"/>
      <c r="B14" s="10" t="s">
        <v>22</v>
      </c>
      <c r="C14" s="12"/>
      <c r="D14" s="180"/>
      <c r="E14" s="180"/>
      <c r="F14" s="1793"/>
      <c r="G14" s="156"/>
      <c r="H14" s="1467"/>
      <c r="I14" s="403"/>
      <c r="J14" s="403"/>
    </row>
    <row r="15" spans="1:10" ht="40.5" customHeight="1">
      <c r="A15" s="687"/>
      <c r="B15" s="10" t="s">
        <v>238</v>
      </c>
      <c r="C15" s="12"/>
      <c r="D15" s="180"/>
      <c r="E15" s="180"/>
      <c r="F15" s="1793"/>
      <c r="G15" s="1"/>
      <c r="H15" s="1467"/>
      <c r="I15" s="403"/>
      <c r="J15" s="403"/>
    </row>
    <row r="16" spans="1:10" ht="25.5" customHeight="1">
      <c r="A16" s="687"/>
      <c r="B16" s="10" t="s">
        <v>239</v>
      </c>
      <c r="C16" s="12"/>
      <c r="D16" s="180"/>
      <c r="E16" s="180"/>
      <c r="F16" s="1793"/>
      <c r="G16" s="1"/>
      <c r="H16" s="1467"/>
      <c r="I16" s="403"/>
      <c r="J16" s="403"/>
    </row>
    <row r="17" spans="1:10" ht="24" customHeight="1">
      <c r="A17" s="687">
        <v>2</v>
      </c>
      <c r="B17" s="13" t="s">
        <v>24</v>
      </c>
      <c r="C17" s="12"/>
      <c r="D17" s="180"/>
      <c r="E17" s="180"/>
      <c r="F17" s="1793"/>
      <c r="G17" s="1"/>
      <c r="H17" s="1467"/>
      <c r="I17" s="403"/>
      <c r="J17" s="403"/>
    </row>
    <row r="18" spans="1:10" ht="44.25" customHeight="1">
      <c r="A18" s="687">
        <v>3</v>
      </c>
      <c r="B18" s="13" t="s">
        <v>26</v>
      </c>
      <c r="C18" s="12"/>
      <c r="D18" s="180"/>
      <c r="E18" s="180"/>
      <c r="F18" s="1793"/>
      <c r="G18" s="1"/>
      <c r="H18" s="1467"/>
      <c r="I18" s="403"/>
      <c r="J18" s="403"/>
    </row>
    <row r="19" spans="1:10" ht="32.25" customHeight="1">
      <c r="A19" s="687">
        <v>4</v>
      </c>
      <c r="B19" s="13" t="s">
        <v>28</v>
      </c>
      <c r="C19" s="12"/>
      <c r="D19" s="180"/>
      <c r="E19" s="180"/>
      <c r="F19" s="1793"/>
      <c r="G19" s="1"/>
      <c r="H19" s="1467"/>
      <c r="I19" s="403"/>
      <c r="J19" s="403"/>
    </row>
    <row r="20" spans="1:10" ht="27.75" customHeight="1">
      <c r="A20" s="687">
        <v>5</v>
      </c>
      <c r="B20" s="13" t="s">
        <v>30</v>
      </c>
      <c r="C20" s="12"/>
      <c r="D20" s="180"/>
      <c r="E20" s="180"/>
      <c r="F20" s="1793"/>
      <c r="G20" s="1"/>
      <c r="H20" s="1467"/>
      <c r="I20" s="403"/>
      <c r="J20" s="403"/>
    </row>
    <row r="21" spans="1:10" ht="30" customHeight="1">
      <c r="A21" s="687">
        <v>6</v>
      </c>
      <c r="B21" s="13" t="s">
        <v>32</v>
      </c>
      <c r="C21" s="12"/>
      <c r="D21" s="180"/>
      <c r="E21" s="180"/>
      <c r="F21" s="1793"/>
      <c r="G21" s="1"/>
      <c r="H21" s="1467"/>
      <c r="I21" s="403"/>
      <c r="J21" s="403"/>
    </row>
    <row r="22" spans="1:10" ht="15">
      <c r="A22" s="688" t="s">
        <v>11</v>
      </c>
      <c r="B22" s="13" t="s">
        <v>243</v>
      </c>
      <c r="C22" s="9">
        <f>SUM(C23:C27)</f>
        <v>0</v>
      </c>
      <c r="D22" s="1464"/>
      <c r="E22" s="1464"/>
      <c r="F22" s="160"/>
      <c r="G22" s="1"/>
      <c r="H22" s="1467"/>
      <c r="I22" s="403"/>
      <c r="J22" s="403"/>
    </row>
    <row r="23" spans="1:10" ht="15">
      <c r="A23" s="688">
        <v>1</v>
      </c>
      <c r="B23" s="10" t="s">
        <v>240</v>
      </c>
      <c r="C23" s="162"/>
      <c r="D23" s="105"/>
      <c r="E23" s="105"/>
      <c r="F23" s="160"/>
      <c r="G23" s="1"/>
      <c r="H23" s="1467"/>
      <c r="I23" s="403"/>
      <c r="J23" s="403"/>
    </row>
    <row r="24" spans="1:10" ht="15">
      <c r="A24" s="688">
        <v>2</v>
      </c>
      <c r="B24" s="10" t="s">
        <v>241</v>
      </c>
      <c r="C24" s="162"/>
      <c r="D24" s="105"/>
      <c r="E24" s="105"/>
      <c r="F24" s="160"/>
      <c r="G24" s="1"/>
      <c r="H24" s="1467"/>
      <c r="I24" s="403"/>
      <c r="J24" s="403"/>
    </row>
    <row r="25" spans="1:10" ht="15">
      <c r="A25" s="688">
        <v>3</v>
      </c>
      <c r="B25" s="10" t="s">
        <v>242</v>
      </c>
      <c r="C25" s="162"/>
      <c r="D25" s="105"/>
      <c r="E25" s="105"/>
      <c r="F25" s="160"/>
      <c r="G25" s="1"/>
      <c r="H25" s="1467"/>
      <c r="I25" s="403"/>
      <c r="J25" s="403"/>
    </row>
    <row r="26" spans="1:10" ht="15">
      <c r="A26" s="688">
        <v>4</v>
      </c>
      <c r="B26" s="10" t="s">
        <v>81</v>
      </c>
      <c r="C26" s="162"/>
      <c r="D26" s="105"/>
      <c r="E26" s="105"/>
      <c r="F26" s="160"/>
      <c r="G26" s="1"/>
      <c r="H26" s="1467"/>
      <c r="I26" s="403"/>
      <c r="J26" s="403"/>
    </row>
    <row r="27" spans="1:10" ht="15">
      <c r="A27" s="688">
        <v>5</v>
      </c>
      <c r="B27" s="10" t="s">
        <v>82</v>
      </c>
      <c r="C27" s="162"/>
      <c r="D27" s="105"/>
      <c r="E27" s="105"/>
      <c r="F27" s="160"/>
      <c r="G27" s="1"/>
      <c r="H27" s="1467"/>
      <c r="I27" s="403"/>
      <c r="J27" s="403"/>
    </row>
    <row r="28" spans="1:10" ht="15">
      <c r="A28" s="688" t="s">
        <v>14</v>
      </c>
      <c r="B28" s="13" t="s">
        <v>34</v>
      </c>
      <c r="C28" s="9">
        <f>SUM(C29:C39)</f>
        <v>560</v>
      </c>
      <c r="D28" s="9">
        <f>SUM(D29:D39)</f>
        <v>560</v>
      </c>
      <c r="E28" s="9">
        <f>SUM(E29:E39)</f>
        <v>0</v>
      </c>
      <c r="F28" s="160"/>
      <c r="G28" s="1"/>
      <c r="H28" s="1467"/>
      <c r="I28" s="403"/>
      <c r="J28" s="403"/>
    </row>
    <row r="29" spans="1:10" ht="27.75" customHeight="1">
      <c r="A29" s="688">
        <v>1</v>
      </c>
      <c r="B29" s="15" t="s">
        <v>35</v>
      </c>
      <c r="C29" s="97"/>
      <c r="D29" s="9"/>
      <c r="E29" s="9"/>
      <c r="F29" s="160"/>
      <c r="G29" s="1"/>
      <c r="H29" s="1467"/>
      <c r="I29" s="403"/>
      <c r="J29" s="403"/>
    </row>
    <row r="30" spans="1:10" ht="20.25" customHeight="1">
      <c r="A30" s="688">
        <v>2</v>
      </c>
      <c r="B30" s="15" t="s">
        <v>36</v>
      </c>
      <c r="C30" s="112">
        <v>60</v>
      </c>
      <c r="D30" s="12">
        <v>60</v>
      </c>
      <c r="E30" s="12"/>
      <c r="F30" s="160"/>
      <c r="G30" s="1"/>
      <c r="H30" s="1467"/>
      <c r="I30" s="403"/>
      <c r="J30" s="403"/>
    </row>
    <row r="31" spans="1:10" ht="24" customHeight="1">
      <c r="A31" s="688">
        <v>3</v>
      </c>
      <c r="B31" s="15" t="s">
        <v>37</v>
      </c>
      <c r="C31" s="112">
        <v>500</v>
      </c>
      <c r="D31" s="12">
        <v>500</v>
      </c>
      <c r="E31" s="12"/>
      <c r="F31" s="160"/>
      <c r="G31" s="1"/>
      <c r="H31" s="1467"/>
      <c r="I31" s="403"/>
      <c r="J31" s="403"/>
    </row>
    <row r="32" spans="1:10" ht="24.75" customHeight="1">
      <c r="A32" s="688">
        <v>4</v>
      </c>
      <c r="B32" s="15" t="s">
        <v>38</v>
      </c>
      <c r="C32" s="112"/>
      <c r="D32" s="12"/>
      <c r="E32" s="12"/>
      <c r="F32" s="160"/>
      <c r="G32" s="1"/>
      <c r="H32" s="1467"/>
      <c r="I32" s="403"/>
      <c r="J32" s="403"/>
    </row>
    <row r="33" spans="1:10" ht="23.25" customHeight="1">
      <c r="A33" s="688">
        <v>5</v>
      </c>
      <c r="B33" s="15" t="s">
        <v>39</v>
      </c>
      <c r="C33" s="112"/>
      <c r="D33" s="12"/>
      <c r="E33" s="12"/>
      <c r="F33" s="160"/>
      <c r="G33" s="1"/>
      <c r="H33" s="1467"/>
      <c r="I33" s="403"/>
      <c r="J33" s="403"/>
    </row>
    <row r="34" spans="1:10" ht="33" customHeight="1">
      <c r="A34" s="688">
        <v>6</v>
      </c>
      <c r="B34" s="15" t="s">
        <v>40</v>
      </c>
      <c r="C34" s="112"/>
      <c r="D34" s="12"/>
      <c r="E34" s="12"/>
      <c r="F34" s="160"/>
      <c r="G34" s="1"/>
      <c r="H34" s="1467"/>
      <c r="I34" s="403"/>
      <c r="J34" s="403"/>
    </row>
    <row r="35" spans="1:10" ht="27.75" customHeight="1">
      <c r="A35" s="688">
        <v>7</v>
      </c>
      <c r="B35" s="15" t="s">
        <v>41</v>
      </c>
      <c r="C35" s="112"/>
      <c r="D35" s="12"/>
      <c r="E35" s="12"/>
      <c r="F35" s="160"/>
      <c r="G35" s="1"/>
      <c r="H35" s="1467"/>
      <c r="I35" s="403"/>
      <c r="J35" s="403"/>
    </row>
    <row r="36" spans="1:10" ht="20.25" customHeight="1">
      <c r="A36" s="688">
        <v>8</v>
      </c>
      <c r="B36" s="15" t="s">
        <v>42</v>
      </c>
      <c r="C36" s="112"/>
      <c r="D36" s="12"/>
      <c r="E36" s="12"/>
      <c r="F36" s="160"/>
      <c r="G36" s="1"/>
      <c r="H36" s="1467"/>
      <c r="I36" s="403"/>
      <c r="J36" s="403"/>
    </row>
    <row r="37" spans="1:10" ht="30" customHeight="1">
      <c r="A37" s="688">
        <v>9</v>
      </c>
      <c r="B37" s="15" t="s">
        <v>43</v>
      </c>
      <c r="C37" s="112"/>
      <c r="D37" s="12"/>
      <c r="E37" s="12"/>
      <c r="F37" s="160"/>
      <c r="G37" s="1"/>
      <c r="H37" s="1467"/>
      <c r="I37" s="403"/>
      <c r="J37" s="403"/>
    </row>
    <row r="38" spans="1:10" ht="14.25" customHeight="1">
      <c r="A38" s="688">
        <v>10</v>
      </c>
      <c r="B38" s="15" t="s">
        <v>244</v>
      </c>
      <c r="C38" s="112"/>
      <c r="D38" s="12"/>
      <c r="E38" s="12"/>
      <c r="F38" s="160"/>
      <c r="G38" s="1"/>
      <c r="H38" s="1467"/>
      <c r="I38" s="403"/>
      <c r="J38" s="403"/>
    </row>
    <row r="39" spans="1:10" ht="17.25" customHeight="1">
      <c r="A39" s="688">
        <v>11</v>
      </c>
      <c r="B39" s="15" t="s">
        <v>44</v>
      </c>
      <c r="C39" s="112"/>
      <c r="D39" s="12"/>
      <c r="E39" s="12"/>
      <c r="F39" s="160"/>
      <c r="G39" s="1"/>
      <c r="H39" s="1467"/>
      <c r="I39" s="403"/>
      <c r="J39" s="403"/>
    </row>
    <row r="40" spans="1:10" ht="15">
      <c r="A40" s="692" t="s">
        <v>17</v>
      </c>
      <c r="B40" s="13" t="s">
        <v>45</v>
      </c>
      <c r="C40" s="96">
        <f>SUM(C41:C45)</f>
        <v>0</v>
      </c>
      <c r="D40" s="96"/>
      <c r="E40" s="96"/>
      <c r="F40" s="160"/>
      <c r="G40" s="1"/>
      <c r="H40" s="1467"/>
      <c r="I40" s="403"/>
      <c r="J40" s="403"/>
    </row>
    <row r="41" spans="1:10" ht="30">
      <c r="A41" s="692">
        <v>1</v>
      </c>
      <c r="B41" s="15" t="s">
        <v>46</v>
      </c>
      <c r="C41" s="97"/>
      <c r="D41" s="9"/>
      <c r="E41" s="9"/>
      <c r="F41" s="160"/>
      <c r="G41" s="1"/>
      <c r="H41" s="1467"/>
      <c r="I41" s="403"/>
      <c r="J41" s="403"/>
    </row>
    <row r="42" spans="1:10" ht="33" customHeight="1">
      <c r="A42" s="692">
        <v>2</v>
      </c>
      <c r="B42" s="10" t="s">
        <v>245</v>
      </c>
      <c r="C42" s="112"/>
      <c r="D42" s="12"/>
      <c r="E42" s="12"/>
      <c r="F42" s="160"/>
      <c r="G42" s="1"/>
      <c r="H42" s="1467"/>
      <c r="I42" s="403"/>
      <c r="J42" s="403"/>
    </row>
    <row r="43" spans="1:10" ht="45">
      <c r="A43" s="692">
        <v>3</v>
      </c>
      <c r="B43" s="10" t="s">
        <v>246</v>
      </c>
      <c r="C43" s="112"/>
      <c r="D43" s="12"/>
      <c r="E43" s="12"/>
      <c r="F43" s="160"/>
      <c r="G43" s="1"/>
      <c r="H43" s="1467"/>
      <c r="I43" s="403"/>
      <c r="J43" s="403"/>
    </row>
    <row r="44" spans="1:10" ht="30.75" thickBot="1">
      <c r="A44" s="692">
        <v>4</v>
      </c>
      <c r="B44" s="10" t="s">
        <v>47</v>
      </c>
      <c r="C44" s="164"/>
      <c r="D44" s="12"/>
      <c r="E44" s="12"/>
      <c r="F44" s="160"/>
      <c r="G44" s="1"/>
      <c r="H44" s="1467"/>
      <c r="I44" s="403"/>
      <c r="J44" s="403"/>
    </row>
    <row r="45" spans="1:10" ht="28.5" customHeight="1" thickBot="1">
      <c r="A45" s="695">
        <v>5</v>
      </c>
      <c r="B45" s="17" t="s">
        <v>48</v>
      </c>
      <c r="C45" s="93"/>
      <c r="D45" s="98"/>
      <c r="E45" s="98"/>
      <c r="F45" s="165"/>
      <c r="G45" s="166"/>
      <c r="H45" s="1468"/>
      <c r="I45" s="757"/>
      <c r="J45" s="757"/>
    </row>
    <row r="46" spans="1:10" ht="29.25" thickBot="1">
      <c r="A46" s="690"/>
      <c r="B46" s="1236" t="s">
        <v>49</v>
      </c>
      <c r="C46" s="6">
        <f>SUM(C47+C53+C59)</f>
        <v>0</v>
      </c>
      <c r="D46" s="1461"/>
      <c r="E46" s="1461"/>
      <c r="F46" s="168"/>
      <c r="G46" s="1237" t="s">
        <v>50</v>
      </c>
      <c r="H46" s="1472">
        <f>SUM(H47:H49)</f>
        <v>698</v>
      </c>
      <c r="I46" s="1472">
        <f>SUM(I47:I49)</f>
        <v>698</v>
      </c>
      <c r="J46" s="1496"/>
    </row>
    <row r="47" spans="1:10" ht="15">
      <c r="A47" s="688" t="s">
        <v>261</v>
      </c>
      <c r="B47" s="154" t="s">
        <v>51</v>
      </c>
      <c r="C47" s="14">
        <f>SUM(C48:C52)</f>
        <v>0</v>
      </c>
      <c r="D47" s="178"/>
      <c r="E47" s="178"/>
      <c r="F47" s="170" t="s">
        <v>52</v>
      </c>
      <c r="G47" s="1638" t="s">
        <v>53</v>
      </c>
      <c r="H47" s="1466">
        <v>698</v>
      </c>
      <c r="I47" s="358">
        <v>698</v>
      </c>
      <c r="J47" s="358"/>
    </row>
    <row r="48" spans="1:10" ht="31.5" customHeight="1">
      <c r="A48" s="688">
        <v>13</v>
      </c>
      <c r="B48" s="10" t="s">
        <v>54</v>
      </c>
      <c r="C48" s="112"/>
      <c r="D48" s="564"/>
      <c r="E48" s="564"/>
      <c r="F48" s="170" t="s">
        <v>55</v>
      </c>
      <c r="G48" s="701" t="s">
        <v>56</v>
      </c>
      <c r="H48" s="1466"/>
      <c r="I48" s="358"/>
      <c r="J48" s="358"/>
    </row>
    <row r="49" spans="1:10" ht="29.25" customHeight="1" thickBot="1">
      <c r="A49" s="688">
        <v>2</v>
      </c>
      <c r="B49" s="10" t="s">
        <v>57</v>
      </c>
      <c r="C49" s="112"/>
      <c r="D49" s="564"/>
      <c r="E49" s="564"/>
      <c r="F49" s="170" t="s">
        <v>58</v>
      </c>
      <c r="G49" s="1639" t="s">
        <v>59</v>
      </c>
      <c r="H49" s="1470"/>
      <c r="I49" s="1497"/>
      <c r="J49" s="1497"/>
    </row>
    <row r="50" spans="1:10" ht="27" customHeight="1">
      <c r="A50" s="688">
        <v>3</v>
      </c>
      <c r="B50" s="10" t="s">
        <v>60</v>
      </c>
      <c r="C50" s="112"/>
      <c r="D50" s="180"/>
      <c r="E50" s="180"/>
      <c r="F50" s="174"/>
      <c r="G50" s="1640"/>
      <c r="H50" s="1471"/>
      <c r="I50" s="407"/>
      <c r="J50" s="407"/>
    </row>
    <row r="51" spans="1:10" ht="29.25" customHeight="1">
      <c r="A51" s="688">
        <v>4</v>
      </c>
      <c r="B51" s="10" t="s">
        <v>61</v>
      </c>
      <c r="C51" s="112"/>
      <c r="D51" s="1506"/>
      <c r="E51" s="1506"/>
      <c r="F51" s="160"/>
      <c r="G51" s="1640"/>
      <c r="H51" s="1471"/>
      <c r="I51" s="407"/>
      <c r="J51" s="407"/>
    </row>
    <row r="52" spans="1:10" ht="30.75" customHeight="1">
      <c r="A52" s="688">
        <v>5</v>
      </c>
      <c r="B52" s="10" t="s">
        <v>62</v>
      </c>
      <c r="C52" s="97"/>
      <c r="D52" s="1464"/>
      <c r="E52" s="1464"/>
      <c r="F52" s="160"/>
      <c r="G52" s="1640"/>
      <c r="H52" s="1471"/>
      <c r="I52" s="407"/>
      <c r="J52" s="407"/>
    </row>
    <row r="53" spans="1:10" ht="25.5" customHeight="1">
      <c r="A53" s="688" t="s">
        <v>52</v>
      </c>
      <c r="B53" s="19" t="s">
        <v>63</v>
      </c>
      <c r="C53" s="96">
        <f>SUM(C54:C58)</f>
        <v>0</v>
      </c>
      <c r="D53" s="1505"/>
      <c r="E53" s="1505"/>
      <c r="F53" s="160"/>
      <c r="G53" s="1640"/>
      <c r="H53" s="1471"/>
      <c r="I53" s="407"/>
      <c r="J53" s="407"/>
    </row>
    <row r="54" spans="1:10" ht="25.5" customHeight="1">
      <c r="A54" s="688">
        <v>1</v>
      </c>
      <c r="B54" s="15" t="s">
        <v>64</v>
      </c>
      <c r="C54" s="112"/>
      <c r="D54" s="1506"/>
      <c r="E54" s="1506"/>
      <c r="F54" s="160"/>
      <c r="G54" s="1640"/>
      <c r="H54" s="1471"/>
      <c r="I54" s="407"/>
      <c r="J54" s="407"/>
    </row>
    <row r="55" spans="1:10" ht="28.5" customHeight="1">
      <c r="A55" s="688">
        <v>2</v>
      </c>
      <c r="B55" s="15" t="s">
        <v>65</v>
      </c>
      <c r="C55" s="112"/>
      <c r="D55" s="1506"/>
      <c r="E55" s="1506"/>
      <c r="F55" s="160"/>
      <c r="G55" s="1640"/>
      <c r="H55" s="1471"/>
      <c r="I55" s="407"/>
      <c r="J55" s="407"/>
    </row>
    <row r="56" spans="1:10" ht="21.75" customHeight="1">
      <c r="A56" s="688">
        <v>3</v>
      </c>
      <c r="B56" s="15" t="s">
        <v>66</v>
      </c>
      <c r="C56" s="112"/>
      <c r="D56" s="1506"/>
      <c r="E56" s="1506"/>
      <c r="F56" s="160"/>
      <c r="G56" s="1640"/>
      <c r="H56" s="1471"/>
      <c r="I56" s="407"/>
      <c r="J56" s="407"/>
    </row>
    <row r="57" spans="1:10" ht="23.25" customHeight="1">
      <c r="A57" s="688">
        <v>4</v>
      </c>
      <c r="B57" s="15" t="s">
        <v>409</v>
      </c>
      <c r="C57" s="112"/>
      <c r="D57" s="1506"/>
      <c r="E57" s="1506"/>
      <c r="F57" s="160"/>
      <c r="G57" s="1640"/>
      <c r="H57" s="1471"/>
      <c r="I57" s="407"/>
      <c r="J57" s="407"/>
    </row>
    <row r="58" spans="1:10" ht="22.5" customHeight="1">
      <c r="A58" s="688">
        <v>5</v>
      </c>
      <c r="B58" s="15" t="s">
        <v>68</v>
      </c>
      <c r="C58" s="97"/>
      <c r="D58" s="1464"/>
      <c r="E58" s="1464"/>
      <c r="F58" s="160"/>
      <c r="G58" s="1640"/>
      <c r="H58" s="1471"/>
      <c r="I58" s="407"/>
      <c r="J58" s="407"/>
    </row>
    <row r="59" spans="1:10" ht="15">
      <c r="A59" s="692" t="s">
        <v>55</v>
      </c>
      <c r="B59" s="13" t="s">
        <v>69</v>
      </c>
      <c r="C59" s="96">
        <f>SUM(C60:C63)</f>
        <v>0</v>
      </c>
      <c r="D59" s="1505"/>
      <c r="E59" s="1505"/>
      <c r="F59" s="160"/>
      <c r="G59" s="1640"/>
      <c r="H59" s="1471"/>
      <c r="I59" s="407"/>
      <c r="J59" s="407"/>
    </row>
    <row r="60" spans="1:10" ht="31.5" customHeight="1">
      <c r="A60" s="692">
        <v>1</v>
      </c>
      <c r="B60" s="15" t="s">
        <v>70</v>
      </c>
      <c r="C60" s="112"/>
      <c r="D60" s="1506"/>
      <c r="E60" s="1506"/>
      <c r="F60" s="160"/>
      <c r="G60" s="1640"/>
      <c r="H60" s="1471"/>
      <c r="I60" s="407"/>
      <c r="J60" s="407"/>
    </row>
    <row r="61" spans="1:10" ht="29.25" customHeight="1">
      <c r="A61" s="692">
        <v>2</v>
      </c>
      <c r="B61" s="10" t="s">
        <v>247</v>
      </c>
      <c r="C61" s="164"/>
      <c r="D61" s="1506"/>
      <c r="E61" s="1506"/>
      <c r="F61" s="160"/>
      <c r="G61" s="1640"/>
      <c r="H61" s="1471"/>
      <c r="I61" s="407"/>
      <c r="J61" s="407"/>
    </row>
    <row r="62" spans="1:10" ht="26.25" customHeight="1" thickBot="1">
      <c r="A62" s="692">
        <v>3</v>
      </c>
      <c r="B62" s="10" t="s">
        <v>248</v>
      </c>
      <c r="C62" s="176"/>
      <c r="D62" s="1506"/>
      <c r="E62" s="1506"/>
      <c r="F62" s="160"/>
      <c r="G62" s="1640"/>
      <c r="H62" s="1471"/>
      <c r="I62" s="407"/>
      <c r="J62" s="407"/>
    </row>
    <row r="63" spans="1:10" ht="24" customHeight="1" thickBot="1">
      <c r="A63" s="695">
        <v>4</v>
      </c>
      <c r="B63" s="10" t="s">
        <v>71</v>
      </c>
      <c r="C63" s="93"/>
      <c r="D63" s="357"/>
      <c r="E63" s="357"/>
      <c r="F63" s="160"/>
      <c r="G63" s="1640"/>
      <c r="H63" s="1471"/>
      <c r="I63" s="407"/>
      <c r="J63" s="407"/>
    </row>
    <row r="64" spans="1:10" ht="29.25" thickBot="1">
      <c r="A64" s="693">
        <v>5</v>
      </c>
      <c r="B64" s="1236" t="s">
        <v>72</v>
      </c>
      <c r="C64" s="178">
        <f>SUM(C65:C74)</f>
        <v>86721</v>
      </c>
      <c r="D64" s="178">
        <f>SUM(D65:D74)</f>
        <v>86810</v>
      </c>
      <c r="E64" s="568"/>
      <c r="F64" s="168"/>
      <c r="G64" s="1237" t="s">
        <v>73</v>
      </c>
      <c r="H64" s="1503">
        <f>SUM(H65:H74)</f>
        <v>0</v>
      </c>
      <c r="I64" s="1504"/>
      <c r="J64" s="1504"/>
    </row>
    <row r="65" spans="1:10" ht="30" customHeight="1">
      <c r="A65" s="687">
        <v>1</v>
      </c>
      <c r="B65" s="106" t="s">
        <v>410</v>
      </c>
      <c r="C65" s="112"/>
      <c r="D65" s="340"/>
      <c r="E65" s="340"/>
      <c r="F65" s="179" t="s">
        <v>9</v>
      </c>
      <c r="G65" s="394" t="s">
        <v>411</v>
      </c>
      <c r="H65" s="1501"/>
      <c r="I65" s="1502"/>
      <c r="J65" s="1502"/>
    </row>
    <row r="66" spans="1:10" ht="33.75" customHeight="1">
      <c r="A66" s="687">
        <v>2</v>
      </c>
      <c r="B66" s="20" t="s">
        <v>249</v>
      </c>
      <c r="C66" s="112"/>
      <c r="D66" s="112"/>
      <c r="E66" s="112"/>
      <c r="F66" s="7" t="s">
        <v>23</v>
      </c>
      <c r="G66" s="395" t="s">
        <v>257</v>
      </c>
      <c r="H66" s="1473"/>
      <c r="I66" s="1498"/>
      <c r="J66" s="1498"/>
    </row>
    <row r="67" spans="1:10" ht="30">
      <c r="A67" s="687">
        <v>3</v>
      </c>
      <c r="B67" s="20" t="s">
        <v>250</v>
      </c>
      <c r="C67" s="112"/>
      <c r="D67" s="112"/>
      <c r="E67" s="112"/>
      <c r="F67" s="7" t="s">
        <v>25</v>
      </c>
      <c r="G67" s="395" t="s">
        <v>258</v>
      </c>
      <c r="H67" s="1474"/>
      <c r="I67" s="1498"/>
      <c r="J67" s="1498"/>
    </row>
    <row r="68" spans="1:10" ht="28.5" customHeight="1">
      <c r="A68" s="687">
        <v>4</v>
      </c>
      <c r="B68" s="20" t="s">
        <v>251</v>
      </c>
      <c r="C68" s="112"/>
      <c r="D68" s="112"/>
      <c r="E68" s="112"/>
      <c r="F68" s="7" t="s">
        <v>27</v>
      </c>
      <c r="G68" s="395" t="s">
        <v>259</v>
      </c>
      <c r="H68" s="1475"/>
      <c r="I68" s="1499"/>
      <c r="J68" s="1499"/>
    </row>
    <row r="69" spans="1:10" ht="27.75" customHeight="1">
      <c r="A69" s="687">
        <v>5</v>
      </c>
      <c r="B69" s="20" t="s">
        <v>252</v>
      </c>
      <c r="C69" s="112"/>
      <c r="D69" s="112"/>
      <c r="E69" s="112"/>
      <c r="F69" s="7" t="s">
        <v>29</v>
      </c>
      <c r="G69" s="395" t="s">
        <v>412</v>
      </c>
      <c r="H69" s="1476"/>
      <c r="I69" s="731"/>
      <c r="J69" s="731"/>
    </row>
    <row r="70" spans="1:10" ht="45">
      <c r="A70" s="687">
        <v>6</v>
      </c>
      <c r="B70" s="21" t="s">
        <v>253</v>
      </c>
      <c r="C70" s="164"/>
      <c r="D70" s="164"/>
      <c r="E70" s="164"/>
      <c r="F70" s="7" t="s">
        <v>31</v>
      </c>
      <c r="G70" s="395" t="s">
        <v>413</v>
      </c>
      <c r="H70" s="1477"/>
      <c r="I70" s="731"/>
      <c r="J70" s="731"/>
    </row>
    <row r="71" spans="1:10" ht="33.75" customHeight="1" thickBot="1">
      <c r="A71" s="687">
        <v>7</v>
      </c>
      <c r="B71" s="20" t="s">
        <v>414</v>
      </c>
      <c r="C71" s="97"/>
      <c r="D71" s="9"/>
      <c r="E71" s="9"/>
      <c r="F71" s="183" t="s">
        <v>74</v>
      </c>
      <c r="G71" s="396" t="s">
        <v>415</v>
      </c>
      <c r="H71" s="1477"/>
      <c r="I71" s="731"/>
      <c r="J71" s="731"/>
    </row>
    <row r="72" spans="1:10" ht="24.75" customHeight="1" thickBot="1">
      <c r="A72" s="687">
        <v>8</v>
      </c>
      <c r="B72" s="20" t="s">
        <v>254</v>
      </c>
      <c r="C72" s="97">
        <f>87419-698</f>
        <v>86721</v>
      </c>
      <c r="D72" s="9">
        <f>87508-D84</f>
        <v>86810</v>
      </c>
      <c r="E72" s="9"/>
      <c r="F72" s="168"/>
      <c r="G72" s="1237"/>
      <c r="H72" s="1477"/>
      <c r="I72" s="731"/>
      <c r="J72" s="731"/>
    </row>
    <row r="73" spans="1:10" ht="26.25" customHeight="1">
      <c r="A73" s="687"/>
      <c r="B73" s="21"/>
      <c r="C73" s="355"/>
      <c r="D73" s="9"/>
      <c r="E73" s="9"/>
      <c r="F73" s="91"/>
      <c r="G73" s="1641"/>
      <c r="H73" s="1477"/>
      <c r="I73" s="731"/>
      <c r="J73" s="731"/>
    </row>
    <row r="74" spans="1:10" ht="15.75" thickBot="1">
      <c r="A74" s="687">
        <v>9</v>
      </c>
      <c r="B74" s="29" t="s">
        <v>255</v>
      </c>
      <c r="C74" s="99"/>
      <c r="D74" s="9"/>
      <c r="E74" s="9"/>
      <c r="F74" s="91"/>
      <c r="G74" s="1641"/>
      <c r="H74" s="1477"/>
      <c r="I74" s="731"/>
      <c r="J74" s="731"/>
    </row>
    <row r="75" spans="1:10" ht="27.75" customHeight="1" thickBot="1">
      <c r="A75" s="693" t="s">
        <v>9</v>
      </c>
      <c r="B75" s="1236" t="s">
        <v>75</v>
      </c>
      <c r="C75" s="182">
        <f>SUM(C76:C84)</f>
        <v>698</v>
      </c>
      <c r="D75" s="182">
        <f>SUM(D76:D84)</f>
        <v>698</v>
      </c>
      <c r="E75" s="11"/>
      <c r="F75" s="91"/>
      <c r="G75" s="1237" t="s">
        <v>76</v>
      </c>
      <c r="H75" s="1466">
        <f>SUM(H76:H85)</f>
        <v>0</v>
      </c>
      <c r="I75" s="358"/>
      <c r="J75" s="358"/>
    </row>
    <row r="76" spans="1:12" ht="28.5" customHeight="1" thickBot="1">
      <c r="A76" s="687" t="s">
        <v>23</v>
      </c>
      <c r="B76" s="351" t="s">
        <v>256</v>
      </c>
      <c r="C76" s="112"/>
      <c r="D76" s="12"/>
      <c r="E76" s="12"/>
      <c r="F76" s="179" t="s">
        <v>9</v>
      </c>
      <c r="G76" s="398" t="s">
        <v>260</v>
      </c>
      <c r="H76" s="1470"/>
      <c r="I76" s="731"/>
      <c r="J76" s="731"/>
      <c r="L76" s="561"/>
    </row>
    <row r="77" spans="1:12" ht="29.25" customHeight="1">
      <c r="A77" s="687" t="s">
        <v>25</v>
      </c>
      <c r="B77" s="20" t="s">
        <v>416</v>
      </c>
      <c r="C77" s="112"/>
      <c r="D77" s="112"/>
      <c r="E77" s="112"/>
      <c r="F77" s="7" t="s">
        <v>23</v>
      </c>
      <c r="G77" s="395" t="s">
        <v>417</v>
      </c>
      <c r="H77" s="1469"/>
      <c r="I77" s="1499"/>
      <c r="J77" s="1499"/>
      <c r="L77" s="561"/>
    </row>
    <row r="78" spans="1:10" ht="30">
      <c r="A78" s="687" t="s">
        <v>27</v>
      </c>
      <c r="B78" s="20" t="s">
        <v>249</v>
      </c>
      <c r="C78" s="112"/>
      <c r="D78" s="112"/>
      <c r="E78" s="112"/>
      <c r="F78" s="7" t="s">
        <v>25</v>
      </c>
      <c r="G78" s="395" t="s">
        <v>418</v>
      </c>
      <c r="H78" s="1475"/>
      <c r="I78" s="1499"/>
      <c r="J78" s="1499"/>
    </row>
    <row r="79" spans="1:10" ht="37.5" customHeight="1">
      <c r="A79" s="687" t="s">
        <v>29</v>
      </c>
      <c r="B79" s="20" t="s">
        <v>419</v>
      </c>
      <c r="C79" s="112"/>
      <c r="D79" s="112"/>
      <c r="E79" s="112"/>
      <c r="F79" s="7" t="s">
        <v>27</v>
      </c>
      <c r="G79" s="395" t="s">
        <v>420</v>
      </c>
      <c r="H79" s="1475"/>
      <c r="I79" s="1499"/>
      <c r="J79" s="1499"/>
    </row>
    <row r="80" spans="1:10" ht="27.75" customHeight="1">
      <c r="A80" s="687" t="s">
        <v>31</v>
      </c>
      <c r="B80" s="20" t="s">
        <v>421</v>
      </c>
      <c r="C80" s="112"/>
      <c r="D80" s="112"/>
      <c r="E80" s="112"/>
      <c r="F80" s="7" t="s">
        <v>29</v>
      </c>
      <c r="G80" s="395" t="s">
        <v>422</v>
      </c>
      <c r="H80" s="1477"/>
      <c r="I80" s="731"/>
      <c r="J80" s="731"/>
    </row>
    <row r="81" spans="1:10" ht="34.5" customHeight="1">
      <c r="A81" s="687">
        <v>7</v>
      </c>
      <c r="B81" s="20" t="s">
        <v>253</v>
      </c>
      <c r="C81" s="112"/>
      <c r="D81" s="112"/>
      <c r="E81" s="112"/>
      <c r="F81" s="7"/>
      <c r="G81" s="395"/>
      <c r="H81" s="1477"/>
      <c r="I81" s="731"/>
      <c r="J81" s="731"/>
    </row>
    <row r="82" spans="1:10" ht="15">
      <c r="A82" s="687">
        <v>8</v>
      </c>
      <c r="B82" s="20"/>
      <c r="C82" s="112"/>
      <c r="D82" s="112"/>
      <c r="E82" s="112"/>
      <c r="F82" s="7"/>
      <c r="G82" s="395"/>
      <c r="H82" s="1477"/>
      <c r="I82" s="731"/>
      <c r="J82" s="731"/>
    </row>
    <row r="83" spans="1:10" ht="30">
      <c r="A83" s="687">
        <v>9</v>
      </c>
      <c r="B83" s="20" t="s">
        <v>252</v>
      </c>
      <c r="C83" s="112"/>
      <c r="D83" s="112"/>
      <c r="E83" s="112"/>
      <c r="F83" s="7" t="s">
        <v>31</v>
      </c>
      <c r="G83" s="395" t="s">
        <v>252</v>
      </c>
      <c r="H83" s="1477"/>
      <c r="I83" s="731"/>
      <c r="J83" s="731"/>
    </row>
    <row r="84" spans="1:10" ht="30.75" thickBot="1">
      <c r="A84" s="1229">
        <v>10</v>
      </c>
      <c r="B84" s="20" t="s">
        <v>254</v>
      </c>
      <c r="C84" s="12">
        <v>698</v>
      </c>
      <c r="D84" s="180">
        <v>698</v>
      </c>
      <c r="E84" s="180"/>
      <c r="F84" s="183" t="s">
        <v>74</v>
      </c>
      <c r="G84" s="395" t="s">
        <v>253</v>
      </c>
      <c r="H84" s="1477"/>
      <c r="I84" s="731"/>
      <c r="J84" s="731"/>
    </row>
    <row r="85" spans="1:10" ht="15.75" thickBot="1">
      <c r="A85" s="1230"/>
      <c r="B85" s="20"/>
      <c r="C85" s="732"/>
      <c r="D85" s="732"/>
      <c r="E85" s="732"/>
      <c r="F85" s="184" t="s">
        <v>77</v>
      </c>
      <c r="G85" s="415"/>
      <c r="H85" s="1477"/>
      <c r="I85" s="731"/>
      <c r="J85" s="731"/>
    </row>
    <row r="86" spans="1:10" ht="15.75" thickBot="1">
      <c r="A86" s="1231"/>
      <c r="B86" s="1635" t="s">
        <v>78</v>
      </c>
      <c r="C86" s="1234">
        <f>(C8+C44+C64+C79+C75)</f>
        <v>87979</v>
      </c>
      <c r="D86" s="1234">
        <f>(D8+D44+D64+D79+D84)</f>
        <v>88068</v>
      </c>
      <c r="E86" s="1489"/>
      <c r="F86" s="1233"/>
      <c r="G86" s="1643" t="s">
        <v>79</v>
      </c>
      <c r="H86" s="1493">
        <f>SUM(H8+H46+H64+H75)</f>
        <v>87979</v>
      </c>
      <c r="I86" s="1493">
        <f>SUM(I8+I46+I64+I75)</f>
        <v>88068</v>
      </c>
      <c r="J86" s="1500"/>
    </row>
    <row r="88" ht="12.75">
      <c r="D88" s="561">
        <f>SUM(D72+D84)</f>
        <v>87508</v>
      </c>
    </row>
  </sheetData>
  <sheetProtection/>
  <mergeCells count="2">
    <mergeCell ref="A4:H4"/>
    <mergeCell ref="F14:F2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5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35"/>
  <sheetViews>
    <sheetView showGridLines="0" view="pageBreakPreview" zoomScale="60" zoomScalePageLayoutView="0" workbookViewId="0" topLeftCell="A55">
      <selection activeCell="B2" sqref="B2"/>
    </sheetView>
  </sheetViews>
  <sheetFormatPr defaultColWidth="9.00390625" defaultRowHeight="12.75"/>
  <cols>
    <col min="1" max="1" width="4.375" style="25" customWidth="1"/>
    <col min="2" max="2" width="4.625" style="82" customWidth="1"/>
    <col min="3" max="3" width="75.50390625" style="110" customWidth="1"/>
    <col min="4" max="4" width="14.875" style="82" customWidth="1"/>
    <col min="5" max="5" width="12.375" style="82" customWidth="1"/>
    <col min="6" max="6" width="13.625" style="195" bestFit="1" customWidth="1"/>
    <col min="7" max="16384" width="9.375" style="25" customWidth="1"/>
  </cols>
  <sheetData>
    <row r="1" ht="14.25">
      <c r="C1" s="109" t="s">
        <v>733</v>
      </c>
    </row>
    <row r="2" spans="2:5" ht="14.25">
      <c r="B2" s="84"/>
      <c r="C2" s="109"/>
      <c r="D2" s="85"/>
      <c r="E2" s="85"/>
    </row>
    <row r="3" spans="2:5" ht="29.25" customHeight="1">
      <c r="B3" s="1887" t="s">
        <v>221</v>
      </c>
      <c r="C3" s="1887"/>
      <c r="D3" s="1887"/>
      <c r="E3" s="1515"/>
    </row>
    <row r="4" spans="2:5" ht="15.75" customHeight="1">
      <c r="B4" s="1888" t="s">
        <v>584</v>
      </c>
      <c r="C4" s="1888"/>
      <c r="D4" s="1888"/>
      <c r="E4" s="128"/>
    </row>
    <row r="5" spans="2:5" ht="23.25" customHeight="1" thickBot="1">
      <c r="B5" s="128"/>
      <c r="C5" s="128"/>
      <c r="D5" s="128"/>
      <c r="E5" s="128"/>
    </row>
    <row r="6" spans="1:6" s="311" customFormat="1" ht="27" customHeight="1" thickBot="1">
      <c r="A6" s="143"/>
      <c r="B6" s="1894" t="s">
        <v>118</v>
      </c>
      <c r="C6" s="1895"/>
      <c r="D6" s="1516" t="s">
        <v>142</v>
      </c>
      <c r="E6" s="1588" t="s">
        <v>363</v>
      </c>
      <c r="F6" s="527"/>
    </row>
    <row r="7" spans="1:5" ht="58.5" customHeight="1" thickBot="1">
      <c r="A7" s="140"/>
      <c r="B7" s="1889" t="s">
        <v>209</v>
      </c>
      <c r="C7" s="1889"/>
      <c r="D7" s="1407" t="s">
        <v>682</v>
      </c>
      <c r="E7" s="1568" t="s">
        <v>680</v>
      </c>
    </row>
    <row r="8" spans="1:5" ht="19.5" customHeight="1" thickBot="1" thickTop="1">
      <c r="A8" s="141">
        <v>1</v>
      </c>
      <c r="B8" s="1776"/>
      <c r="C8" s="1777">
        <v>1</v>
      </c>
      <c r="D8" s="1778">
        <v>2</v>
      </c>
      <c r="E8" s="1589"/>
    </row>
    <row r="9" spans="1:5" ht="19.5" customHeight="1" thickBot="1" thickTop="1">
      <c r="A9" s="141">
        <v>2</v>
      </c>
      <c r="B9" s="114"/>
      <c r="C9" s="524" t="s">
        <v>292</v>
      </c>
      <c r="D9" s="1572"/>
      <c r="E9" s="1589"/>
    </row>
    <row r="10" spans="1:6" s="82" customFormat="1" ht="15.75" customHeight="1" thickTop="1">
      <c r="A10" s="142">
        <v>3</v>
      </c>
      <c r="B10" s="312"/>
      <c r="C10" s="313" t="s">
        <v>624</v>
      </c>
      <c r="D10" s="1573">
        <v>17000</v>
      </c>
      <c r="E10" s="1590">
        <v>17000</v>
      </c>
      <c r="F10" s="528"/>
    </row>
    <row r="11" spans="1:6" s="82" customFormat="1" ht="15.75" customHeight="1">
      <c r="A11" s="141">
        <v>4</v>
      </c>
      <c r="B11" s="86"/>
      <c r="C11" s="87" t="s">
        <v>639</v>
      </c>
      <c r="D11" s="1574">
        <v>20000</v>
      </c>
      <c r="E11" s="1591">
        <v>20000</v>
      </c>
      <c r="F11" s="528"/>
    </row>
    <row r="12" spans="1:7" s="82" customFormat="1" ht="15.75" customHeight="1">
      <c r="A12" s="141">
        <v>5</v>
      </c>
      <c r="B12" s="86"/>
      <c r="C12" s="87" t="s">
        <v>625</v>
      </c>
      <c r="D12" s="1574">
        <v>12000</v>
      </c>
      <c r="E12" s="1591">
        <v>12000</v>
      </c>
      <c r="F12" s="528"/>
      <c r="G12" s="119"/>
    </row>
    <row r="13" spans="1:6" s="82" customFormat="1" ht="15.75" customHeight="1">
      <c r="A13" s="141">
        <v>6</v>
      </c>
      <c r="B13" s="86"/>
      <c r="C13" s="87" t="s">
        <v>626</v>
      </c>
      <c r="D13" s="1574">
        <v>66122</v>
      </c>
      <c r="E13" s="1591">
        <v>66122</v>
      </c>
      <c r="F13" s="528"/>
    </row>
    <row r="14" spans="1:6" s="82" customFormat="1" ht="15.75" customHeight="1">
      <c r="A14" s="142">
        <v>7</v>
      </c>
      <c r="B14" s="86"/>
      <c r="C14" s="87" t="s">
        <v>554</v>
      </c>
      <c r="D14" s="1574">
        <v>388060</v>
      </c>
      <c r="E14" s="1591">
        <v>388060</v>
      </c>
      <c r="F14" s="528"/>
    </row>
    <row r="15" spans="1:6" s="82" customFormat="1" ht="37.5" customHeight="1">
      <c r="A15" s="141">
        <v>8</v>
      </c>
      <c r="B15" s="86"/>
      <c r="C15" s="87" t="s">
        <v>627</v>
      </c>
      <c r="D15" s="1574">
        <v>3240</v>
      </c>
      <c r="E15" s="1591">
        <v>3240</v>
      </c>
      <c r="F15" s="528"/>
    </row>
    <row r="16" spans="1:6" s="82" customFormat="1" ht="15.75" customHeight="1">
      <c r="A16" s="141">
        <v>9</v>
      </c>
      <c r="B16" s="86"/>
      <c r="C16" s="87" t="s">
        <v>628</v>
      </c>
      <c r="D16" s="1574">
        <v>18000</v>
      </c>
      <c r="E16" s="1591">
        <v>18000</v>
      </c>
      <c r="F16" s="528"/>
    </row>
    <row r="17" spans="1:7" s="82" customFormat="1" ht="15.75" customHeight="1">
      <c r="A17" s="141">
        <v>10</v>
      </c>
      <c r="B17" s="86"/>
      <c r="C17" s="111" t="s">
        <v>629</v>
      </c>
      <c r="D17" s="1574">
        <v>12500</v>
      </c>
      <c r="E17" s="1591">
        <v>12500</v>
      </c>
      <c r="F17" s="528"/>
      <c r="G17" s="119"/>
    </row>
    <row r="18" spans="1:6" s="82" customFormat="1" ht="15.75" customHeight="1">
      <c r="A18" s="142">
        <v>11</v>
      </c>
      <c r="B18" s="86"/>
      <c r="C18" s="111" t="s">
        <v>630</v>
      </c>
      <c r="D18" s="1574">
        <v>163291</v>
      </c>
      <c r="E18" s="1591">
        <v>163291</v>
      </c>
      <c r="F18" s="528"/>
    </row>
    <row r="19" spans="1:7" s="82" customFormat="1" ht="15.75" customHeight="1">
      <c r="A19" s="141">
        <v>12</v>
      </c>
      <c r="B19" s="86"/>
      <c r="C19" s="1779" t="s">
        <v>631</v>
      </c>
      <c r="D19" s="1574">
        <v>127074</v>
      </c>
      <c r="E19" s="1591">
        <v>127074</v>
      </c>
      <c r="F19" s="528"/>
      <c r="G19" s="119"/>
    </row>
    <row r="20" spans="1:7" s="82" customFormat="1" ht="15.75" customHeight="1">
      <c r="A20" s="141">
        <v>13</v>
      </c>
      <c r="B20" s="86"/>
      <c r="C20" s="1779" t="s">
        <v>558</v>
      </c>
      <c r="D20" s="1574">
        <v>215087</v>
      </c>
      <c r="E20" s="1591">
        <v>215087</v>
      </c>
      <c r="F20" s="528"/>
      <c r="G20" s="119"/>
    </row>
    <row r="21" spans="1:6" s="82" customFormat="1" ht="15.75" customHeight="1">
      <c r="A21" s="141">
        <v>14</v>
      </c>
      <c r="B21" s="86"/>
      <c r="C21" s="1779" t="s">
        <v>632</v>
      </c>
      <c r="D21" s="1574">
        <v>215395</v>
      </c>
      <c r="E21" s="1591">
        <v>215395</v>
      </c>
      <c r="F21" s="528"/>
    </row>
    <row r="22" spans="1:7" s="82" customFormat="1" ht="15.75" customHeight="1">
      <c r="A22" s="142">
        <v>15</v>
      </c>
      <c r="B22" s="86"/>
      <c r="C22" s="1779" t="s">
        <v>633</v>
      </c>
      <c r="D22" s="1574">
        <v>508</v>
      </c>
      <c r="E22" s="1591">
        <v>508</v>
      </c>
      <c r="F22" s="528"/>
      <c r="G22" s="119"/>
    </row>
    <row r="23" spans="1:6" s="82" customFormat="1" ht="15.75" customHeight="1">
      <c r="A23" s="141">
        <v>16</v>
      </c>
      <c r="B23" s="86"/>
      <c r="C23" s="525" t="s">
        <v>634</v>
      </c>
      <c r="D23" s="1574">
        <v>124937</v>
      </c>
      <c r="E23" s="1591">
        <v>124937</v>
      </c>
      <c r="F23" s="528"/>
    </row>
    <row r="24" spans="1:6" s="82" customFormat="1" ht="15.75" customHeight="1">
      <c r="A24" s="141">
        <v>17</v>
      </c>
      <c r="B24" s="86"/>
      <c r="C24" s="525" t="s">
        <v>635</v>
      </c>
      <c r="D24" s="1575">
        <v>6000</v>
      </c>
      <c r="E24" s="1592">
        <v>6000</v>
      </c>
      <c r="F24" s="528"/>
    </row>
    <row r="25" spans="1:6" s="82" customFormat="1" ht="15.75" customHeight="1">
      <c r="A25" s="141">
        <v>18</v>
      </c>
      <c r="B25" s="86"/>
      <c r="C25" s="525" t="s">
        <v>636</v>
      </c>
      <c r="D25" s="1576">
        <v>2110</v>
      </c>
      <c r="E25" s="1593">
        <v>2110</v>
      </c>
      <c r="F25" s="528"/>
    </row>
    <row r="26" spans="1:6" s="82" customFormat="1" ht="37.5" customHeight="1">
      <c r="A26" s="142">
        <v>19</v>
      </c>
      <c r="B26" s="86"/>
      <c r="C26" s="525" t="s">
        <v>637</v>
      </c>
      <c r="D26" s="1576">
        <v>100000</v>
      </c>
      <c r="E26" s="1593">
        <v>100000</v>
      </c>
      <c r="F26" s="528"/>
    </row>
    <row r="27" spans="1:6" s="82" customFormat="1" ht="12.75" customHeight="1">
      <c r="A27" s="141">
        <v>20</v>
      </c>
      <c r="B27" s="86"/>
      <c r="C27" s="526" t="s">
        <v>638</v>
      </c>
      <c r="D27" s="1576">
        <v>5608</v>
      </c>
      <c r="E27" s="1593">
        <v>5608</v>
      </c>
      <c r="F27" s="528"/>
    </row>
    <row r="28" spans="1:6" s="82" customFormat="1" ht="12.75" customHeight="1">
      <c r="A28" s="141"/>
      <c r="B28" s="86"/>
      <c r="C28" s="526" t="s">
        <v>701</v>
      </c>
      <c r="D28" s="1741"/>
      <c r="E28" s="1593">
        <v>22260</v>
      </c>
      <c r="F28" s="528"/>
    </row>
    <row r="29" spans="1:6" s="82" customFormat="1" ht="12.75" customHeight="1">
      <c r="A29" s="141">
        <v>21</v>
      </c>
      <c r="B29" s="86"/>
      <c r="C29" s="116" t="s">
        <v>292</v>
      </c>
      <c r="D29" s="1577">
        <f>SUM(D10:D27)</f>
        <v>1496932</v>
      </c>
      <c r="E29" s="1594">
        <f>SUM(E10:E28)</f>
        <v>1519192</v>
      </c>
      <c r="F29" s="528"/>
    </row>
    <row r="30" spans="1:6" s="82" customFormat="1" ht="12.75" customHeight="1">
      <c r="A30" s="141">
        <v>22</v>
      </c>
      <c r="B30" s="86"/>
      <c r="C30" s="116"/>
      <c r="D30" s="1577"/>
      <c r="E30" s="1594"/>
      <c r="F30" s="528"/>
    </row>
    <row r="31" spans="1:6" s="82" customFormat="1" ht="12.75" customHeight="1">
      <c r="A31" s="142">
        <v>23</v>
      </c>
      <c r="B31" s="86"/>
      <c r="C31" s="116" t="s">
        <v>223</v>
      </c>
      <c r="D31" s="1577"/>
      <c r="E31" s="1594"/>
      <c r="F31" s="528"/>
    </row>
    <row r="32" spans="1:6" s="82" customFormat="1" ht="15.75" customHeight="1">
      <c r="A32" s="141">
        <v>24</v>
      </c>
      <c r="B32" s="86"/>
      <c r="C32" s="118" t="s">
        <v>640</v>
      </c>
      <c r="D32" s="1574">
        <f>(6951*127%)</f>
        <v>8827.77</v>
      </c>
      <c r="E32" s="1591">
        <f>(6951*127%)</f>
        <v>8827.77</v>
      </c>
      <c r="F32" s="528"/>
    </row>
    <row r="33" spans="1:6" s="82" customFormat="1" ht="12.75" customHeight="1">
      <c r="A33" s="141">
        <v>25</v>
      </c>
      <c r="B33" s="86"/>
      <c r="C33" s="118" t="s">
        <v>343</v>
      </c>
      <c r="D33" s="1574">
        <f>(4000*127%)</f>
        <v>5080</v>
      </c>
      <c r="E33" s="1591">
        <f>(4000*127%)</f>
        <v>5080</v>
      </c>
      <c r="F33" s="528"/>
    </row>
    <row r="34" spans="1:6" s="82" customFormat="1" ht="12.75" customHeight="1">
      <c r="A34" s="141">
        <v>26</v>
      </c>
      <c r="B34" s="86"/>
      <c r="C34" s="118" t="s">
        <v>344</v>
      </c>
      <c r="D34" s="1574">
        <f>(2550*127%)</f>
        <v>3238.5</v>
      </c>
      <c r="E34" s="1591">
        <f>(2550*127%)</f>
        <v>3238.5</v>
      </c>
      <c r="F34" s="528"/>
    </row>
    <row r="35" spans="1:6" s="82" customFormat="1" ht="12.75" customHeight="1">
      <c r="A35" s="142">
        <v>27</v>
      </c>
      <c r="B35" s="86"/>
      <c r="C35" s="118"/>
      <c r="D35" s="1574"/>
      <c r="E35" s="1591"/>
      <c r="F35" s="528"/>
    </row>
    <row r="36" spans="1:6" s="83" customFormat="1" ht="12.75">
      <c r="A36" s="141">
        <v>28</v>
      </c>
      <c r="B36" s="314"/>
      <c r="C36" s="116" t="s">
        <v>351</v>
      </c>
      <c r="D36" s="1578">
        <f>SUM(D32:D34)</f>
        <v>17146.27</v>
      </c>
      <c r="E36" s="1595">
        <f>SUM(E32:E34)</f>
        <v>17146.27</v>
      </c>
      <c r="F36" s="529"/>
    </row>
    <row r="37" spans="1:6" s="83" customFormat="1" ht="12.75">
      <c r="A37" s="141">
        <v>29</v>
      </c>
      <c r="B37" s="314"/>
      <c r="C37" s="116"/>
      <c r="D37" s="1578"/>
      <c r="E37" s="1595"/>
      <c r="F37" s="529"/>
    </row>
    <row r="38" spans="1:6" s="83" customFormat="1" ht="12.75">
      <c r="A38" s="141">
        <v>30</v>
      </c>
      <c r="B38" s="314"/>
      <c r="C38" s="116" t="s">
        <v>310</v>
      </c>
      <c r="D38" s="1578"/>
      <c r="E38" s="1595"/>
      <c r="F38" s="529"/>
    </row>
    <row r="39" spans="1:6" s="83" customFormat="1" ht="12.75">
      <c r="A39" s="142">
        <v>31</v>
      </c>
      <c r="B39" s="115"/>
      <c r="C39" s="118" t="s">
        <v>428</v>
      </c>
      <c r="D39" s="1579">
        <f>(70*127%)</f>
        <v>88.9</v>
      </c>
      <c r="E39" s="1596">
        <f>(70*127%)</f>
        <v>88.9</v>
      </c>
      <c r="F39" s="530"/>
    </row>
    <row r="40" spans="1:6" s="83" customFormat="1" ht="12.75">
      <c r="A40" s="141">
        <v>32</v>
      </c>
      <c r="B40" s="115"/>
      <c r="C40" s="118" t="s">
        <v>429</v>
      </c>
      <c r="D40" s="1579">
        <v>127</v>
      </c>
      <c r="E40" s="1596">
        <v>127</v>
      </c>
      <c r="F40" s="530"/>
    </row>
    <row r="41" spans="1:6" s="83" customFormat="1" ht="12.75">
      <c r="A41" s="141">
        <v>33</v>
      </c>
      <c r="B41" s="115"/>
      <c r="C41" s="118" t="s">
        <v>642</v>
      </c>
      <c r="D41" s="1579">
        <v>634</v>
      </c>
      <c r="E41" s="1596">
        <v>634</v>
      </c>
      <c r="F41" s="530"/>
    </row>
    <row r="42" spans="1:6" s="83" customFormat="1" ht="12.75">
      <c r="A42" s="141">
        <v>34</v>
      </c>
      <c r="B42" s="115"/>
      <c r="C42" s="116" t="s">
        <v>352</v>
      </c>
      <c r="D42" s="1580">
        <f>SUM(D39:D41)</f>
        <v>849.9</v>
      </c>
      <c r="E42" s="1597">
        <f>SUM(E39:E41)</f>
        <v>849.9</v>
      </c>
      <c r="F42" s="530"/>
    </row>
    <row r="43" spans="1:6" s="83" customFormat="1" ht="12.75">
      <c r="A43" s="142">
        <v>35</v>
      </c>
      <c r="B43" s="115"/>
      <c r="C43" s="116"/>
      <c r="D43" s="1580"/>
      <c r="E43" s="1597"/>
      <c r="F43" s="530"/>
    </row>
    <row r="44" spans="1:6" s="83" customFormat="1" ht="12.75">
      <c r="A44" s="141">
        <v>36</v>
      </c>
      <c r="B44" s="115"/>
      <c r="C44" s="116" t="s">
        <v>224</v>
      </c>
      <c r="D44" s="1579"/>
      <c r="E44" s="1596"/>
      <c r="F44" s="530"/>
    </row>
    <row r="45" spans="1:6" s="83" customFormat="1" ht="12.75">
      <c r="A45" s="141">
        <v>37</v>
      </c>
      <c r="B45" s="115"/>
      <c r="C45" s="118" t="s">
        <v>643</v>
      </c>
      <c r="D45" s="1579">
        <v>127</v>
      </c>
      <c r="E45" s="1596">
        <v>127</v>
      </c>
      <c r="F45" s="530"/>
    </row>
    <row r="46" spans="1:6" s="83" customFormat="1" ht="12.75">
      <c r="A46" s="141">
        <v>38</v>
      </c>
      <c r="B46" s="115"/>
      <c r="C46" s="118" t="s">
        <v>430</v>
      </c>
      <c r="D46" s="1579">
        <f>(400*127%)</f>
        <v>508</v>
      </c>
      <c r="E46" s="1596">
        <f>(400*127%)</f>
        <v>508</v>
      </c>
      <c r="F46" s="530"/>
    </row>
    <row r="47" spans="1:6" s="83" customFormat="1" ht="12.75">
      <c r="A47" s="142">
        <v>39</v>
      </c>
      <c r="B47" s="115"/>
      <c r="C47" s="118" t="s">
        <v>345</v>
      </c>
      <c r="D47" s="1579">
        <v>64</v>
      </c>
      <c r="E47" s="1596">
        <v>64</v>
      </c>
      <c r="F47" s="530"/>
    </row>
    <row r="48" spans="1:6" s="83" customFormat="1" ht="12.75">
      <c r="A48" s="141">
        <v>40</v>
      </c>
      <c r="B48" s="115"/>
      <c r="C48" s="116" t="s">
        <v>353</v>
      </c>
      <c r="D48" s="1580">
        <f>SUM(D44:D47)</f>
        <v>699</v>
      </c>
      <c r="E48" s="1597">
        <f>SUM(E44:E47)</f>
        <v>699</v>
      </c>
      <c r="F48" s="530"/>
    </row>
    <row r="49" spans="1:7" s="83" customFormat="1" ht="12.75">
      <c r="A49" s="141">
        <v>41</v>
      </c>
      <c r="B49" s="115"/>
      <c r="C49" s="116"/>
      <c r="D49" s="1580"/>
      <c r="E49" s="1597"/>
      <c r="F49" s="530"/>
      <c r="G49" s="1435"/>
    </row>
    <row r="50" spans="1:6" s="83" customFormat="1" ht="12.75">
      <c r="A50" s="141">
        <v>42</v>
      </c>
      <c r="B50" s="115"/>
      <c r="C50" s="116" t="s">
        <v>311</v>
      </c>
      <c r="D50" s="1580"/>
      <c r="E50" s="1597"/>
      <c r="F50" s="530"/>
    </row>
    <row r="51" spans="1:6" s="82" customFormat="1" ht="12.75">
      <c r="A51" s="142">
        <v>43</v>
      </c>
      <c r="B51" s="117"/>
      <c r="C51" s="118" t="s">
        <v>345</v>
      </c>
      <c r="D51" s="1579">
        <v>61</v>
      </c>
      <c r="E51" s="1596">
        <v>61</v>
      </c>
      <c r="F51" s="337"/>
    </row>
    <row r="52" spans="1:6" s="83" customFormat="1" ht="12.75" customHeight="1">
      <c r="A52" s="141">
        <v>44</v>
      </c>
      <c r="B52" s="115"/>
      <c r="C52" s="118" t="s">
        <v>431</v>
      </c>
      <c r="D52" s="1579">
        <v>250</v>
      </c>
      <c r="E52" s="1596">
        <v>250</v>
      </c>
      <c r="F52" s="530"/>
    </row>
    <row r="53" spans="1:6" s="83" customFormat="1" ht="12.75" customHeight="1">
      <c r="A53" s="141">
        <v>45</v>
      </c>
      <c r="B53" s="115"/>
      <c r="C53" s="118" t="s">
        <v>435</v>
      </c>
      <c r="D53" s="1579">
        <v>200</v>
      </c>
      <c r="E53" s="1596">
        <v>200</v>
      </c>
      <c r="F53" s="530"/>
    </row>
    <row r="54" spans="1:6" s="83" customFormat="1" ht="12.75" customHeight="1">
      <c r="A54" s="141">
        <v>46</v>
      </c>
      <c r="B54" s="115"/>
      <c r="C54" s="118" t="s">
        <v>432</v>
      </c>
      <c r="D54" s="1579">
        <v>100</v>
      </c>
      <c r="E54" s="1596">
        <v>100</v>
      </c>
      <c r="F54" s="530"/>
    </row>
    <row r="55" spans="1:6" s="83" customFormat="1" ht="12.75" customHeight="1">
      <c r="A55" s="142">
        <v>47</v>
      </c>
      <c r="B55" s="115"/>
      <c r="C55" s="118" t="s">
        <v>433</v>
      </c>
      <c r="D55" s="1579">
        <v>260</v>
      </c>
      <c r="E55" s="1596">
        <v>260</v>
      </c>
      <c r="F55" s="530"/>
    </row>
    <row r="56" spans="1:6" s="83" customFormat="1" ht="12.75" customHeight="1">
      <c r="A56" s="141">
        <v>48</v>
      </c>
      <c r="B56" s="115"/>
      <c r="C56" s="118" t="s">
        <v>346</v>
      </c>
      <c r="D56" s="1579">
        <v>280</v>
      </c>
      <c r="E56" s="1596">
        <v>280</v>
      </c>
      <c r="F56" s="530"/>
    </row>
    <row r="57" spans="1:6" s="83" customFormat="1" ht="12.75" customHeight="1">
      <c r="A57" s="141">
        <v>49</v>
      </c>
      <c r="B57" s="115"/>
      <c r="C57" s="118" t="s">
        <v>434</v>
      </c>
      <c r="D57" s="1579">
        <f>(150)</f>
        <v>150</v>
      </c>
      <c r="E57" s="1596">
        <f>(150)</f>
        <v>150</v>
      </c>
      <c r="F57" s="530"/>
    </row>
    <row r="58" spans="1:6" s="83" customFormat="1" ht="12.75" customHeight="1">
      <c r="A58" s="141">
        <v>50</v>
      </c>
      <c r="B58" s="115"/>
      <c r="C58" s="118" t="s">
        <v>644</v>
      </c>
      <c r="D58" s="1579">
        <v>250</v>
      </c>
      <c r="E58" s="1596">
        <v>250</v>
      </c>
      <c r="F58" s="530"/>
    </row>
    <row r="59" spans="1:6" s="83" customFormat="1" ht="12.75" customHeight="1">
      <c r="A59" s="142">
        <v>51</v>
      </c>
      <c r="B59" s="115"/>
      <c r="C59" s="118" t="s">
        <v>645</v>
      </c>
      <c r="D59" s="1579">
        <v>100</v>
      </c>
      <c r="E59" s="1596">
        <v>100</v>
      </c>
      <c r="F59" s="530"/>
    </row>
    <row r="60" spans="1:6" s="83" customFormat="1" ht="12.75" customHeight="1">
      <c r="A60" s="141">
        <v>52</v>
      </c>
      <c r="B60" s="115"/>
      <c r="C60" s="116" t="s">
        <v>354</v>
      </c>
      <c r="D60" s="1580">
        <f>SUM(D51:D59)</f>
        <v>1651</v>
      </c>
      <c r="E60" s="1597">
        <f>SUM(E51:E59)</f>
        <v>1651</v>
      </c>
      <c r="F60" s="530"/>
    </row>
    <row r="61" spans="1:6" s="83" customFormat="1" ht="12.75">
      <c r="A61" s="141">
        <v>53</v>
      </c>
      <c r="B61" s="115"/>
      <c r="C61" s="116" t="s">
        <v>225</v>
      </c>
      <c r="D61" s="1580">
        <f>SUM(D42+D48+D60)</f>
        <v>3199.9</v>
      </c>
      <c r="E61" s="1597">
        <f>SUM(E42+E48+E60)</f>
        <v>3199.9</v>
      </c>
      <c r="F61" s="530"/>
    </row>
    <row r="62" spans="1:6" s="83" customFormat="1" ht="12.75">
      <c r="A62" s="141">
        <v>54</v>
      </c>
      <c r="B62" s="115"/>
      <c r="C62" s="116"/>
      <c r="D62" s="1580"/>
      <c r="E62" s="1597"/>
      <c r="F62" s="530"/>
    </row>
    <row r="63" spans="1:6" s="83" customFormat="1" ht="12.75">
      <c r="A63" s="142">
        <v>55</v>
      </c>
      <c r="B63" s="115"/>
      <c r="C63" s="116" t="s">
        <v>355</v>
      </c>
      <c r="D63" s="1580"/>
      <c r="E63" s="1597"/>
      <c r="F63" s="530"/>
    </row>
    <row r="64" spans="1:6" s="82" customFormat="1" ht="12.75" customHeight="1">
      <c r="A64" s="141">
        <v>56</v>
      </c>
      <c r="B64" s="86"/>
      <c r="C64" s="118" t="s">
        <v>347</v>
      </c>
      <c r="D64" s="1581">
        <f>(750*127%)</f>
        <v>952.5</v>
      </c>
      <c r="E64" s="1598">
        <f>(750*127%)</f>
        <v>952.5</v>
      </c>
      <c r="F64" s="528"/>
    </row>
    <row r="65" spans="1:6" s="82" customFormat="1" ht="12.75" customHeight="1">
      <c r="A65" s="141">
        <v>57</v>
      </c>
      <c r="B65" s="86"/>
      <c r="C65" s="118" t="s">
        <v>348</v>
      </c>
      <c r="D65" s="1581">
        <v>1270</v>
      </c>
      <c r="E65" s="1598">
        <f>1270+400-1</f>
        <v>1669</v>
      </c>
      <c r="F65" s="528"/>
    </row>
    <row r="66" spans="1:6" s="82" customFormat="1" ht="12.75" customHeight="1">
      <c r="A66" s="141">
        <v>58</v>
      </c>
      <c r="B66" s="86"/>
      <c r="C66" s="118" t="s">
        <v>641</v>
      </c>
      <c r="D66" s="1581">
        <f>(15000*127%)</f>
        <v>19050</v>
      </c>
      <c r="E66" s="1598">
        <f>(15000*127%)</f>
        <v>19050</v>
      </c>
      <c r="F66" s="528"/>
    </row>
    <row r="67" spans="1:6" s="82" customFormat="1" ht="12.75" customHeight="1">
      <c r="A67" s="142">
        <v>59</v>
      </c>
      <c r="B67" s="86"/>
      <c r="C67" s="118" t="s">
        <v>436</v>
      </c>
      <c r="D67" s="1581">
        <f>(2000*127%)</f>
        <v>2540</v>
      </c>
      <c r="E67" s="1598">
        <f>(2000*127%)</f>
        <v>2540</v>
      </c>
      <c r="F67" s="528"/>
    </row>
    <row r="68" spans="1:5" ht="24" customHeight="1">
      <c r="A68" s="141">
        <v>60</v>
      </c>
      <c r="B68" s="536"/>
      <c r="C68" s="1780" t="s">
        <v>226</v>
      </c>
      <c r="D68" s="1781">
        <f>SUM(D64:D67)</f>
        <v>23812.5</v>
      </c>
      <c r="E68" s="1782">
        <f>SUM(E64:E67)</f>
        <v>24211.5</v>
      </c>
    </row>
    <row r="69" spans="1:5" ht="24" customHeight="1">
      <c r="A69" s="141">
        <v>61</v>
      </c>
      <c r="B69" s="536"/>
      <c r="C69" s="1896" t="s">
        <v>349</v>
      </c>
      <c r="D69" s="1893"/>
      <c r="E69" s="1593"/>
    </row>
    <row r="70" spans="1:5" ht="24" customHeight="1">
      <c r="A70" s="141">
        <v>62</v>
      </c>
      <c r="B70" s="536"/>
      <c r="C70" s="1892" t="s">
        <v>683</v>
      </c>
      <c r="D70" s="1893"/>
      <c r="E70" s="1599">
        <v>100</v>
      </c>
    </row>
    <row r="71" spans="1:6" s="82" customFormat="1" ht="14.25" customHeight="1">
      <c r="A71" s="142">
        <v>63</v>
      </c>
      <c r="B71" s="537"/>
      <c r="C71" s="538" t="s">
        <v>675</v>
      </c>
      <c r="D71" s="1582">
        <v>100</v>
      </c>
      <c r="E71" s="1600">
        <v>100</v>
      </c>
      <c r="F71" s="337"/>
    </row>
    <row r="72" spans="1:5" ht="14.25" customHeight="1">
      <c r="A72" s="141">
        <v>64</v>
      </c>
      <c r="B72" s="536"/>
      <c r="C72" s="538" t="s">
        <v>440</v>
      </c>
      <c r="D72" s="1582">
        <v>521</v>
      </c>
      <c r="E72" s="1600">
        <v>521</v>
      </c>
    </row>
    <row r="73" spans="1:6" s="82" customFormat="1" ht="14.25" customHeight="1">
      <c r="A73" s="141">
        <v>65</v>
      </c>
      <c r="B73" s="536"/>
      <c r="C73" s="539" t="s">
        <v>439</v>
      </c>
      <c r="D73" s="1583">
        <v>150</v>
      </c>
      <c r="E73" s="1601">
        <v>150</v>
      </c>
      <c r="F73" s="528"/>
    </row>
    <row r="74" spans="1:5" ht="24.75" customHeight="1">
      <c r="A74" s="141">
        <v>66</v>
      </c>
      <c r="B74" s="1890" t="s">
        <v>356</v>
      </c>
      <c r="C74" s="1891"/>
      <c r="D74" s="1584">
        <f>SUM(D71:D73)</f>
        <v>771</v>
      </c>
      <c r="E74" s="1602">
        <f>SUM(E70:E73)</f>
        <v>871</v>
      </c>
    </row>
    <row r="75" spans="1:5" ht="24.75" customHeight="1">
      <c r="A75" s="142">
        <v>67</v>
      </c>
      <c r="B75" s="540"/>
      <c r="C75" s="541" t="s">
        <v>227</v>
      </c>
      <c r="D75" s="1584"/>
      <c r="E75" s="1602"/>
    </row>
    <row r="76" spans="1:6" s="82" customFormat="1" ht="14.25" customHeight="1">
      <c r="A76" s="141">
        <v>68</v>
      </c>
      <c r="B76" s="536"/>
      <c r="C76" s="539" t="s">
        <v>441</v>
      </c>
      <c r="D76" s="1583">
        <f>(380*127%)</f>
        <v>482.6</v>
      </c>
      <c r="E76" s="1601">
        <f>(380*127%)</f>
        <v>482.6</v>
      </c>
      <c r="F76" s="528"/>
    </row>
    <row r="77" spans="1:6" s="82" customFormat="1" ht="14.25" customHeight="1">
      <c r="A77" s="141">
        <v>69</v>
      </c>
      <c r="B77" s="536"/>
      <c r="C77" s="539" t="s">
        <v>646</v>
      </c>
      <c r="D77" s="1583">
        <f>(2712*127%)-434</f>
        <v>3010.2400000000002</v>
      </c>
      <c r="E77" s="1601">
        <f>(2712*127%)-434</f>
        <v>3010.2400000000002</v>
      </c>
      <c r="F77" s="528"/>
    </row>
    <row r="78" spans="1:6" s="82" customFormat="1" ht="24" customHeight="1">
      <c r="A78" s="141">
        <v>70</v>
      </c>
      <c r="B78" s="536"/>
      <c r="C78" s="541" t="s">
        <v>357</v>
      </c>
      <c r="D78" s="1584">
        <f>SUM(D76:D77)</f>
        <v>3492.84</v>
      </c>
      <c r="E78" s="1602">
        <f>SUM(E76:E77)</f>
        <v>3492.84</v>
      </c>
      <c r="F78" s="528"/>
    </row>
    <row r="79" spans="1:6" s="82" customFormat="1" ht="14.25" customHeight="1">
      <c r="A79" s="142">
        <v>71</v>
      </c>
      <c r="B79" s="536"/>
      <c r="C79" s="541"/>
      <c r="D79" s="1584"/>
      <c r="E79" s="1602"/>
      <c r="F79" s="528"/>
    </row>
    <row r="80" spans="1:6" s="82" customFormat="1" ht="24" customHeight="1">
      <c r="A80" s="141">
        <v>72</v>
      </c>
      <c r="B80" s="536"/>
      <c r="C80" s="541" t="s">
        <v>320</v>
      </c>
      <c r="D80" s="1584"/>
      <c r="E80" s="1602"/>
      <c r="F80" s="528"/>
    </row>
    <row r="81" spans="1:6" s="82" customFormat="1" ht="14.25" customHeight="1">
      <c r="A81" s="141">
        <v>73</v>
      </c>
      <c r="B81" s="537"/>
      <c r="C81" s="539" t="s">
        <v>647</v>
      </c>
      <c r="D81" s="1583">
        <f>(183*127%)+56</f>
        <v>288.40999999999997</v>
      </c>
      <c r="E81" s="1601">
        <f>(183*127%)+56</f>
        <v>288.40999999999997</v>
      </c>
      <c r="F81" s="528"/>
    </row>
    <row r="82" spans="1:6" s="82" customFormat="1" ht="14.25" customHeight="1">
      <c r="A82" s="141">
        <v>74</v>
      </c>
      <c r="B82" s="537"/>
      <c r="C82" s="539" t="s">
        <v>442</v>
      </c>
      <c r="D82" s="1583">
        <f>(113*127%)+33</f>
        <v>176.51</v>
      </c>
      <c r="E82" s="1601">
        <f>(113*127%)+33</f>
        <v>176.51</v>
      </c>
      <c r="F82" s="528"/>
    </row>
    <row r="83" spans="1:6" s="82" customFormat="1" ht="14.25" customHeight="1">
      <c r="A83" s="142">
        <v>75</v>
      </c>
      <c r="B83" s="537"/>
      <c r="C83" s="541" t="s">
        <v>443</v>
      </c>
      <c r="D83" s="1583">
        <f>SUM(D81:D82)</f>
        <v>464.91999999999996</v>
      </c>
      <c r="E83" s="1601">
        <f>SUM(E81:E82)</f>
        <v>464.91999999999996</v>
      </c>
      <c r="F83" s="528"/>
    </row>
    <row r="84" spans="1:6" s="82" customFormat="1" ht="14.25" customHeight="1">
      <c r="A84" s="141">
        <v>76</v>
      </c>
      <c r="B84" s="537"/>
      <c r="C84" s="539"/>
      <c r="D84" s="1583"/>
      <c r="E84" s="1601"/>
      <c r="F84" s="528"/>
    </row>
    <row r="85" spans="1:6" s="82" customFormat="1" ht="15.75" customHeight="1">
      <c r="A85" s="141">
        <v>77</v>
      </c>
      <c r="B85" s="542"/>
      <c r="C85" s="543" t="s">
        <v>290</v>
      </c>
      <c r="D85" s="1585"/>
      <c r="E85" s="1601"/>
      <c r="F85" s="528"/>
    </row>
    <row r="86" spans="1:6" s="82" customFormat="1" ht="15.75" customHeight="1">
      <c r="A86" s="141">
        <v>78</v>
      </c>
      <c r="B86" s="542"/>
      <c r="C86" s="544" t="s">
        <v>437</v>
      </c>
      <c r="D86" s="1585">
        <f>(1200*127%)+83</f>
        <v>1607</v>
      </c>
      <c r="E86" s="1601">
        <f>(1200*127%)+83</f>
        <v>1607</v>
      </c>
      <c r="F86" s="528"/>
    </row>
    <row r="87" spans="1:6" s="82" customFormat="1" ht="15.75" customHeight="1">
      <c r="A87" s="142">
        <v>79</v>
      </c>
      <c r="B87" s="542"/>
      <c r="C87" s="544" t="s">
        <v>648</v>
      </c>
      <c r="D87" s="1585">
        <f>(1600*127%)-210</f>
        <v>1822</v>
      </c>
      <c r="E87" s="1601">
        <f>(1600*127%)-210</f>
        <v>1822</v>
      </c>
      <c r="F87" s="528"/>
    </row>
    <row r="88" spans="1:6" s="82" customFormat="1" ht="15.75" customHeight="1">
      <c r="A88" s="141">
        <v>80</v>
      </c>
      <c r="B88" s="542"/>
      <c r="C88" s="544" t="s">
        <v>649</v>
      </c>
      <c r="D88" s="1585">
        <v>1270</v>
      </c>
      <c r="E88" s="1601">
        <v>1270</v>
      </c>
      <c r="F88" s="528"/>
    </row>
    <row r="89" spans="1:6" s="83" customFormat="1" ht="13.5" customHeight="1" thickBot="1">
      <c r="A89" s="141">
        <v>81</v>
      </c>
      <c r="B89" s="542"/>
      <c r="C89" s="544" t="s">
        <v>438</v>
      </c>
      <c r="D89" s="1585">
        <f>(800*127%)</f>
        <v>1016</v>
      </c>
      <c r="E89" s="1601">
        <f>(800*127%)</f>
        <v>1016</v>
      </c>
      <c r="F89" s="529"/>
    </row>
    <row r="90" spans="1:6" s="82" customFormat="1" ht="15.75" customHeight="1">
      <c r="A90" s="141">
        <v>82</v>
      </c>
      <c r="B90" s="1783"/>
      <c r="C90" s="1784" t="s">
        <v>358</v>
      </c>
      <c r="D90" s="1785">
        <f>SUM(D86:D89)</f>
        <v>5715</v>
      </c>
      <c r="E90" s="1602">
        <f>SUM(E86:E89)</f>
        <v>5715</v>
      </c>
      <c r="F90" s="528"/>
    </row>
    <row r="91" spans="1:6" s="82" customFormat="1" ht="15.75" customHeight="1">
      <c r="A91" s="142">
        <v>83</v>
      </c>
      <c r="B91" s="536"/>
      <c r="C91" s="541" t="s">
        <v>378</v>
      </c>
      <c r="D91" s="1584"/>
      <c r="E91" s="1602"/>
      <c r="F91" s="528"/>
    </row>
    <row r="92" spans="1:6" s="82" customFormat="1" ht="14.25" customHeight="1">
      <c r="A92" s="141">
        <v>84</v>
      </c>
      <c r="B92" s="536"/>
      <c r="C92" s="545" t="s">
        <v>650</v>
      </c>
      <c r="D92" s="1583">
        <v>500</v>
      </c>
      <c r="E92" s="1601">
        <v>500</v>
      </c>
      <c r="F92" s="528"/>
    </row>
    <row r="93" spans="1:6" s="82" customFormat="1" ht="14.25" customHeight="1">
      <c r="A93" s="141">
        <v>85</v>
      </c>
      <c r="B93" s="542"/>
      <c r="C93" s="545" t="s">
        <v>651</v>
      </c>
      <c r="D93" s="1585">
        <v>572</v>
      </c>
      <c r="E93" s="1601">
        <v>572</v>
      </c>
      <c r="F93" s="528"/>
    </row>
    <row r="94" spans="1:6" s="82" customFormat="1" ht="15.75" customHeight="1">
      <c r="A94" s="141">
        <v>86</v>
      </c>
      <c r="B94" s="542"/>
      <c r="C94" s="546" t="s">
        <v>652</v>
      </c>
      <c r="D94" s="1585">
        <v>254</v>
      </c>
      <c r="E94" s="1601">
        <v>254</v>
      </c>
      <c r="F94" s="528"/>
    </row>
    <row r="95" spans="1:6" s="82" customFormat="1" ht="15.75" customHeight="1">
      <c r="A95" s="142">
        <v>87</v>
      </c>
      <c r="B95" s="542"/>
      <c r="C95" s="559" t="s">
        <v>321</v>
      </c>
      <c r="D95" s="1585">
        <f>(650*127%)</f>
        <v>825.5</v>
      </c>
      <c r="E95" s="1601">
        <f>(650*127%)</f>
        <v>825.5</v>
      </c>
      <c r="F95" s="528"/>
    </row>
    <row r="96" spans="1:6" s="82" customFormat="1" ht="15.75" customHeight="1">
      <c r="A96" s="141">
        <v>88</v>
      </c>
      <c r="B96" s="542"/>
      <c r="C96" s="559" t="s">
        <v>653</v>
      </c>
      <c r="D96" s="1585">
        <f>(560*127%)</f>
        <v>711.2</v>
      </c>
      <c r="E96" s="1601">
        <f>(560*127%)</f>
        <v>711.2</v>
      </c>
      <c r="F96" s="528"/>
    </row>
    <row r="97" spans="1:6" s="82" customFormat="1" ht="15.75" customHeight="1" thickBot="1">
      <c r="A97" s="141">
        <v>89</v>
      </c>
      <c r="B97" s="1786"/>
      <c r="C97" s="1787" t="s">
        <v>377</v>
      </c>
      <c r="D97" s="1788">
        <f>SUM(D92:D96)</f>
        <v>2862.7</v>
      </c>
      <c r="E97" s="1602">
        <f>SUM(E92:E96)</f>
        <v>2862.7</v>
      </c>
      <c r="F97" s="528"/>
    </row>
    <row r="98" spans="1:6" s="82" customFormat="1" ht="15.75" customHeight="1" thickBot="1">
      <c r="A98" s="141">
        <v>90</v>
      </c>
      <c r="B98" s="1436"/>
      <c r="C98" s="1437" t="s">
        <v>456</v>
      </c>
      <c r="D98" s="1586"/>
      <c r="E98" s="1603"/>
      <c r="F98" s="528"/>
    </row>
    <row r="99" spans="1:6" s="82" customFormat="1" ht="15.75" customHeight="1" thickBot="1">
      <c r="A99" s="142">
        <v>91</v>
      </c>
      <c r="B99" s="1436"/>
      <c r="C99" s="1438" t="s">
        <v>654</v>
      </c>
      <c r="D99" s="1587">
        <f>(380*127%)</f>
        <v>482.6</v>
      </c>
      <c r="E99" s="1604">
        <f>(380*127%)</f>
        <v>482.6</v>
      </c>
      <c r="F99" s="528"/>
    </row>
    <row r="100" spans="1:6" s="82" customFormat="1" ht="15.75" customHeight="1" thickBot="1">
      <c r="A100" s="141">
        <v>92</v>
      </c>
      <c r="B100" s="1436"/>
      <c r="C100" s="1438" t="s">
        <v>655</v>
      </c>
      <c r="D100" s="1587">
        <f>(265*127%)</f>
        <v>336.55</v>
      </c>
      <c r="E100" s="1604">
        <f>(265*127%)</f>
        <v>336.55</v>
      </c>
      <c r="F100" s="528"/>
    </row>
    <row r="101" spans="1:6" s="82" customFormat="1" ht="15.75" customHeight="1" thickBot="1">
      <c r="A101" s="141">
        <v>93</v>
      </c>
      <c r="B101" s="1436"/>
      <c r="C101" s="1438" t="s">
        <v>656</v>
      </c>
      <c r="D101" s="1587">
        <v>127</v>
      </c>
      <c r="E101" s="1604">
        <v>127</v>
      </c>
      <c r="F101" s="528"/>
    </row>
    <row r="102" spans="1:6" s="82" customFormat="1" ht="15.75" customHeight="1" thickBot="1">
      <c r="A102" s="141"/>
      <c r="B102" s="1436"/>
      <c r="C102" s="1438" t="s">
        <v>704</v>
      </c>
      <c r="D102" s="1587"/>
      <c r="E102" s="1747">
        <v>1327</v>
      </c>
      <c r="F102" s="528"/>
    </row>
    <row r="103" spans="1:6" s="82" customFormat="1" ht="15.75" customHeight="1" thickBot="1">
      <c r="A103" s="141">
        <v>94</v>
      </c>
      <c r="B103" s="1436"/>
      <c r="C103" s="1437" t="s">
        <v>456</v>
      </c>
      <c r="D103" s="1586">
        <f>SUM(D99:D101)</f>
        <v>946.1500000000001</v>
      </c>
      <c r="E103" s="1789">
        <f>SUM(E99:E102)</f>
        <v>2273.15</v>
      </c>
      <c r="F103" s="528"/>
    </row>
    <row r="104" spans="1:6" s="315" customFormat="1" ht="18.75" customHeight="1" thickBot="1">
      <c r="A104" s="142">
        <v>95</v>
      </c>
      <c r="B104" s="547"/>
      <c r="C104" s="548" t="s">
        <v>228</v>
      </c>
      <c r="D104" s="1790">
        <f>SUM(D29+D36+D42+D48+D60+D68+D74+D78+D83+D90+D97+D103)+1</f>
        <v>1555344.2799999998</v>
      </c>
      <c r="E104" s="1603">
        <f>SUM(E29+E36+E42+E48+E60+E68+E74+E78+E83+E90+E97+E103)+1</f>
        <v>1579430.2799999998</v>
      </c>
      <c r="F104" s="531"/>
    </row>
    <row r="105" spans="1:6" s="82" customFormat="1" ht="15.75" customHeight="1">
      <c r="A105" s="88"/>
      <c r="B105" s="549"/>
      <c r="C105" s="550"/>
      <c r="D105" s="560"/>
      <c r="E105" s="560"/>
      <c r="F105" s="337"/>
    </row>
    <row r="106" spans="1:6" s="82" customFormat="1" ht="10.5" customHeight="1">
      <c r="A106" s="88"/>
      <c r="B106" s="549"/>
      <c r="C106" s="550"/>
      <c r="D106" s="560"/>
      <c r="E106" s="560"/>
      <c r="F106" s="337"/>
    </row>
    <row r="107" spans="1:6" s="82" customFormat="1" ht="10.5" customHeight="1">
      <c r="A107" s="88"/>
      <c r="B107" s="549"/>
      <c r="C107" s="551"/>
      <c r="D107" s="552"/>
      <c r="E107" s="552"/>
      <c r="F107" s="337"/>
    </row>
    <row r="108" spans="1:6" s="82" customFormat="1" ht="15.75">
      <c r="A108" s="88"/>
      <c r="B108" s="549"/>
      <c r="C108" s="551"/>
      <c r="D108" s="552"/>
      <c r="E108" s="552"/>
      <c r="F108" s="337"/>
    </row>
    <row r="109" spans="1:6" s="82" customFormat="1" ht="15.75">
      <c r="A109" s="88"/>
      <c r="B109" s="553"/>
      <c r="C109" s="553"/>
      <c r="D109" s="553"/>
      <c r="E109" s="553"/>
      <c r="F109" s="337"/>
    </row>
    <row r="110" spans="1:6" s="82" customFormat="1" ht="15.75">
      <c r="A110" s="88"/>
      <c r="B110" s="549"/>
      <c r="C110" s="554"/>
      <c r="D110" s="553"/>
      <c r="E110" s="553"/>
      <c r="F110" s="337"/>
    </row>
    <row r="111" spans="1:6" s="82" customFormat="1" ht="12" customHeight="1">
      <c r="A111" s="88"/>
      <c r="B111" s="555"/>
      <c r="C111" s="554"/>
      <c r="D111" s="556"/>
      <c r="E111" s="556"/>
      <c r="F111" s="337"/>
    </row>
    <row r="112" spans="1:6" s="82" customFormat="1" ht="12" customHeight="1">
      <c r="A112" s="88"/>
      <c r="B112" s="555"/>
      <c r="C112" s="554"/>
      <c r="D112" s="556"/>
      <c r="E112" s="556"/>
      <c r="F112" s="337"/>
    </row>
    <row r="113" spans="1:6" s="320" customFormat="1" ht="10.5" customHeight="1">
      <c r="A113" s="89"/>
      <c r="B113" s="555"/>
      <c r="C113" s="554"/>
      <c r="D113" s="556"/>
      <c r="E113" s="556"/>
      <c r="F113" s="532"/>
    </row>
    <row r="114" spans="1:5" ht="12" customHeight="1">
      <c r="A114" s="30"/>
      <c r="B114" s="549"/>
      <c r="C114" s="557"/>
      <c r="D114" s="558"/>
      <c r="E114" s="558"/>
    </row>
    <row r="115" spans="1:5" ht="12" customHeight="1">
      <c r="A115" s="30"/>
      <c r="B115" s="555"/>
      <c r="C115" s="554"/>
      <c r="D115" s="556"/>
      <c r="E115" s="556"/>
    </row>
    <row r="116" spans="1:5" ht="12" customHeight="1">
      <c r="A116" s="30"/>
      <c r="B116" s="555"/>
      <c r="C116" s="557"/>
      <c r="D116" s="556"/>
      <c r="E116" s="556"/>
    </row>
    <row r="117" spans="1:5" ht="12" customHeight="1">
      <c r="A117" s="30"/>
      <c r="B117" s="555"/>
      <c r="C117" s="554"/>
      <c r="D117" s="556"/>
      <c r="E117" s="556"/>
    </row>
    <row r="118" spans="1:5" ht="12" customHeight="1">
      <c r="A118" s="30"/>
      <c r="B118" s="555"/>
      <c r="C118" s="557"/>
      <c r="D118" s="556"/>
      <c r="E118" s="556"/>
    </row>
    <row r="119" spans="1:5" ht="12" customHeight="1">
      <c r="A119" s="30"/>
      <c r="B119" s="555"/>
      <c r="C119" s="557"/>
      <c r="D119" s="556"/>
      <c r="E119" s="556"/>
    </row>
    <row r="120" spans="1:5" ht="12" customHeight="1">
      <c r="A120" s="30"/>
      <c r="B120" s="555"/>
      <c r="C120" s="554"/>
      <c r="D120" s="556"/>
      <c r="E120" s="556"/>
    </row>
    <row r="121" spans="1:5" ht="12" customHeight="1">
      <c r="A121" s="30"/>
      <c r="B121" s="555"/>
      <c r="C121" s="554"/>
      <c r="D121" s="556"/>
      <c r="E121" s="556"/>
    </row>
    <row r="122" spans="1:5" ht="12" customHeight="1">
      <c r="A122" s="30"/>
      <c r="B122" s="316"/>
      <c r="C122" s="321"/>
      <c r="D122" s="322"/>
      <c r="E122" s="322"/>
    </row>
    <row r="123" spans="1:5" ht="12" customHeight="1">
      <c r="A123" s="30"/>
      <c r="B123" s="316"/>
      <c r="C123" s="321"/>
      <c r="D123" s="322"/>
      <c r="E123" s="322"/>
    </row>
    <row r="124" spans="1:5" ht="12" customHeight="1">
      <c r="A124" s="30"/>
      <c r="B124" s="316"/>
      <c r="C124" s="321"/>
      <c r="D124" s="322"/>
      <c r="E124" s="322"/>
    </row>
    <row r="125" spans="1:5" ht="12" customHeight="1">
      <c r="A125" s="30"/>
      <c r="B125" s="316"/>
      <c r="C125" s="321"/>
      <c r="D125" s="322"/>
      <c r="E125" s="322"/>
    </row>
    <row r="126" spans="1:5" ht="12" customHeight="1">
      <c r="A126" s="30"/>
      <c r="B126" s="316"/>
      <c r="C126" s="321"/>
      <c r="D126" s="322"/>
      <c r="E126" s="322"/>
    </row>
    <row r="127" spans="1:5" ht="12" customHeight="1">
      <c r="A127" s="30"/>
      <c r="B127" s="316"/>
      <c r="C127" s="321"/>
      <c r="D127" s="322"/>
      <c r="E127" s="322"/>
    </row>
    <row r="128" spans="1:5" ht="12" customHeight="1">
      <c r="A128" s="30"/>
      <c r="B128" s="316"/>
      <c r="C128" s="321"/>
      <c r="D128" s="322"/>
      <c r="E128" s="322"/>
    </row>
    <row r="129" spans="1:5" ht="12" customHeight="1">
      <c r="A129" s="30"/>
      <c r="B129" s="316"/>
      <c r="C129" s="321"/>
      <c r="D129" s="322"/>
      <c r="E129" s="322"/>
    </row>
    <row r="130" spans="1:5" ht="12" customHeight="1">
      <c r="A130" s="30"/>
      <c r="B130" s="316"/>
      <c r="C130" s="321"/>
      <c r="D130" s="322"/>
      <c r="E130" s="322"/>
    </row>
    <row r="131" spans="1:5" ht="12" customHeight="1">
      <c r="A131" s="30"/>
      <c r="B131" s="317"/>
      <c r="C131" s="318"/>
      <c r="D131" s="319"/>
      <c r="E131" s="319"/>
    </row>
    <row r="132" spans="1:5" ht="12" customHeight="1">
      <c r="A132" s="30"/>
      <c r="B132" s="316"/>
      <c r="C132" s="321"/>
      <c r="D132" s="323"/>
      <c r="E132" s="323"/>
    </row>
    <row r="133" spans="1:5" ht="12" customHeight="1">
      <c r="A133" s="30"/>
      <c r="B133" s="317"/>
      <c r="C133" s="324"/>
      <c r="D133" s="319"/>
      <c r="E133" s="319"/>
    </row>
    <row r="134" spans="1:5" ht="12.75">
      <c r="A134" s="30"/>
      <c r="B134" s="88"/>
      <c r="C134" s="325"/>
      <c r="D134" s="88"/>
      <c r="E134" s="88"/>
    </row>
    <row r="135" spans="1:5" ht="12.75">
      <c r="A135" s="30"/>
      <c r="B135" s="88"/>
      <c r="C135" s="325"/>
      <c r="D135" s="88"/>
      <c r="E135" s="88"/>
    </row>
  </sheetData>
  <sheetProtection selectLockedCells="1" selectUnlockedCells="1"/>
  <mergeCells count="7">
    <mergeCell ref="B3:D3"/>
    <mergeCell ref="B4:D4"/>
    <mergeCell ref="B7:C7"/>
    <mergeCell ref="B74:C74"/>
    <mergeCell ref="C70:D70"/>
    <mergeCell ref="B6:C6"/>
    <mergeCell ref="C69:D69"/>
  </mergeCells>
  <printOptions horizontalCentered="1"/>
  <pageMargins left="0.5905511811023623" right="0.7874015748031497" top="0.7086614173228347" bottom="0.5905511811023623" header="0.5118110236220472" footer="0.5118110236220472"/>
  <pageSetup horizontalDpi="600" verticalDpi="600" orientation="portrait" paperSize="9" scale="88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6"/>
  <sheetViews>
    <sheetView showGridLines="0"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50390625" style="930" customWidth="1"/>
    <col min="2" max="2" width="2.625" style="930" customWidth="1"/>
    <col min="3" max="3" width="64.625" style="930" customWidth="1"/>
    <col min="4" max="4" width="14.625" style="930" bestFit="1" customWidth="1"/>
    <col min="5" max="8" width="14.625" style="930" customWidth="1"/>
    <col min="9" max="16384" width="9.00390625" style="930" customWidth="1"/>
  </cols>
  <sheetData>
    <row r="1" spans="1:3" ht="30.75" customHeight="1">
      <c r="A1" s="929"/>
      <c r="C1" s="109" t="s">
        <v>734</v>
      </c>
    </row>
    <row r="2" spans="1:8" ht="45.75" customHeight="1">
      <c r="A2" s="1901" t="s">
        <v>585</v>
      </c>
      <c r="B2" s="1902"/>
      <c r="C2" s="1902"/>
      <c r="D2" s="1902"/>
      <c r="E2" s="1517"/>
      <c r="F2" s="1517"/>
      <c r="G2" s="1517"/>
      <c r="H2" s="1517"/>
    </row>
    <row r="3" spans="1:8" ht="12.75" customHeight="1" thickBot="1">
      <c r="A3" s="931"/>
      <c r="B3" s="931"/>
      <c r="C3" s="931"/>
      <c r="D3" s="932" t="s">
        <v>222</v>
      </c>
      <c r="E3" s="932"/>
      <c r="F3" s="932"/>
      <c r="G3" s="932"/>
      <c r="H3" s="932"/>
    </row>
    <row r="4" spans="1:8" ht="30" customHeight="1" thickBot="1">
      <c r="A4" s="1898" t="s">
        <v>118</v>
      </c>
      <c r="B4" s="1899"/>
      <c r="C4" s="1900"/>
      <c r="D4" s="933" t="s">
        <v>142</v>
      </c>
      <c r="E4" s="1607" t="s">
        <v>363</v>
      </c>
      <c r="F4" s="1682" t="s">
        <v>364</v>
      </c>
      <c r="G4" s="1694" t="s">
        <v>365</v>
      </c>
      <c r="H4" s="1694" t="s">
        <v>366</v>
      </c>
    </row>
    <row r="5" spans="1:8" s="937" customFormat="1" ht="68.25" customHeight="1" thickBot="1">
      <c r="A5" s="934" t="s">
        <v>0</v>
      </c>
      <c r="B5" s="935"/>
      <c r="C5" s="936" t="s">
        <v>229</v>
      </c>
      <c r="D5" s="1407" t="s">
        <v>682</v>
      </c>
      <c r="E5" s="1545" t="s">
        <v>679</v>
      </c>
      <c r="F5" s="1683" t="s">
        <v>680</v>
      </c>
      <c r="G5" s="1545" t="s">
        <v>687</v>
      </c>
      <c r="H5" s="1568" t="s">
        <v>680</v>
      </c>
    </row>
    <row r="6" spans="1:8" ht="18.75" customHeight="1" thickBot="1">
      <c r="A6" s="938">
        <v>1</v>
      </c>
      <c r="B6" s="1897">
        <v>2</v>
      </c>
      <c r="C6" s="1897"/>
      <c r="D6" s="939">
        <v>3</v>
      </c>
      <c r="E6" s="1605"/>
      <c r="F6" s="1684">
        <v>4</v>
      </c>
      <c r="G6" s="1695">
        <v>5</v>
      </c>
      <c r="H6" s="1695">
        <v>6</v>
      </c>
    </row>
    <row r="7" spans="1:8" ht="15.75" customHeight="1" thickBot="1">
      <c r="A7" s="940" t="s">
        <v>230</v>
      </c>
      <c r="B7" s="941" t="s">
        <v>231</v>
      </c>
      <c r="C7" s="942"/>
      <c r="D7" s="943">
        <f>SUM(D8:D9)</f>
        <v>19635</v>
      </c>
      <c r="E7" s="943">
        <f>SUM(E9)</f>
        <v>246</v>
      </c>
      <c r="F7" s="1685">
        <f>SUM(D7:E7)</f>
        <v>19881</v>
      </c>
      <c r="G7" s="1685">
        <f>SUM(G8:G9)</f>
        <v>-247</v>
      </c>
      <c r="H7" s="943">
        <f>SUM(F7:G7)</f>
        <v>19634</v>
      </c>
    </row>
    <row r="8" spans="1:9" ht="18" customHeight="1" thickBot="1">
      <c r="A8" s="946">
        <v>6</v>
      </c>
      <c r="B8" s="947"/>
      <c r="C8" s="1439" t="s">
        <v>231</v>
      </c>
      <c r="D8" s="1440">
        <v>19635</v>
      </c>
      <c r="E8" s="1606"/>
      <c r="F8" s="1686">
        <f>SUM(D8:E8)</f>
        <v>19635</v>
      </c>
      <c r="G8" s="1697">
        <v>-1</v>
      </c>
      <c r="H8" s="1701">
        <f>SUM(F8:G8)</f>
        <v>19634</v>
      </c>
      <c r="I8" s="944"/>
    </row>
    <row r="9" spans="1:9" ht="18" customHeight="1" thickBot="1">
      <c r="A9" s="948">
        <v>7</v>
      </c>
      <c r="B9" s="941"/>
      <c r="C9" s="1612" t="s">
        <v>684</v>
      </c>
      <c r="D9" s="943"/>
      <c r="E9" s="943">
        <v>246</v>
      </c>
      <c r="F9" s="1685">
        <f>SUM(D9:E9)</f>
        <v>246</v>
      </c>
      <c r="G9" s="1696">
        <v>-246</v>
      </c>
      <c r="H9" s="1702">
        <f>SUM(F9:G9)</f>
        <v>0</v>
      </c>
      <c r="I9" s="944"/>
    </row>
    <row r="10" spans="1:9" s="952" customFormat="1" ht="16.5" thickBot="1">
      <c r="A10" s="949" t="s">
        <v>232</v>
      </c>
      <c r="B10" s="950" t="s">
        <v>196</v>
      </c>
      <c r="C10" s="951"/>
      <c r="D10" s="943">
        <f>SUM(D11+D13)</f>
        <v>723792</v>
      </c>
      <c r="E10" s="943">
        <f>SUM(E11+E13)</f>
        <v>0</v>
      </c>
      <c r="F10" s="1685">
        <f>SUM(F11+F13)</f>
        <v>723792</v>
      </c>
      <c r="G10" s="1685">
        <f>SUM(G11+G13)</f>
        <v>632440</v>
      </c>
      <c r="H10" s="943">
        <f>SUM(H11+H13)</f>
        <v>1356232</v>
      </c>
      <c r="I10" s="953"/>
    </row>
    <row r="11" spans="1:8" ht="15.75">
      <c r="A11" s="945">
        <v>1</v>
      </c>
      <c r="B11" s="954"/>
      <c r="C11" s="955" t="s">
        <v>233</v>
      </c>
      <c r="D11" s="956">
        <f>SUM(D12:D12)</f>
        <v>89847</v>
      </c>
      <c r="E11" s="956">
        <f>SUM(E12:E12)</f>
        <v>0</v>
      </c>
      <c r="F11" s="1687">
        <f>SUM(F12:F12)</f>
        <v>89847</v>
      </c>
      <c r="G11" s="1698"/>
      <c r="H11" s="1703">
        <f>SUM(F11:G11)</f>
        <v>89847</v>
      </c>
    </row>
    <row r="12" spans="1:8" s="960" customFormat="1" ht="16.5" thickBot="1">
      <c r="A12" s="945">
        <v>2</v>
      </c>
      <c r="B12" s="957"/>
      <c r="C12" s="958" t="s">
        <v>657</v>
      </c>
      <c r="D12" s="959">
        <v>89847</v>
      </c>
      <c r="E12" s="1609"/>
      <c r="F12" s="1688">
        <f>SUM(D12:E12)</f>
        <v>89847</v>
      </c>
      <c r="G12" s="1699"/>
      <c r="H12" s="1704">
        <f>SUM(F12:G12)</f>
        <v>89847</v>
      </c>
    </row>
    <row r="13" spans="1:9" ht="18" customHeight="1" thickBot="1">
      <c r="A13" s="948">
        <v>3</v>
      </c>
      <c r="B13" s="1346"/>
      <c r="C13" s="1344" t="s">
        <v>234</v>
      </c>
      <c r="D13" s="1343">
        <f>SUM(D14:D30)</f>
        <v>633945</v>
      </c>
      <c r="E13" s="1343">
        <f>SUM(E14:E30)</f>
        <v>0</v>
      </c>
      <c r="F13" s="1689">
        <f>SUM(F14:F30)</f>
        <v>633945</v>
      </c>
      <c r="G13" s="1700">
        <f>SUM(G14:G31)</f>
        <v>632440</v>
      </c>
      <c r="H13" s="1705">
        <f>SUM(F13:G13)</f>
        <v>1266385</v>
      </c>
      <c r="I13" s="944"/>
    </row>
    <row r="14" spans="1:8" s="960" customFormat="1" ht="32.25" customHeight="1">
      <c r="A14" s="946">
        <v>4</v>
      </c>
      <c r="B14" s="1345"/>
      <c r="C14" s="1341" t="s">
        <v>658</v>
      </c>
      <c r="D14" s="1342">
        <v>2500</v>
      </c>
      <c r="E14" s="1608"/>
      <c r="F14" s="1690">
        <f>SUM(D14:E14)</f>
        <v>2500</v>
      </c>
      <c r="G14" s="1699"/>
      <c r="H14" s="1699">
        <f>SUM(F14:G14)</f>
        <v>2500</v>
      </c>
    </row>
    <row r="15" spans="1:8" ht="18.75" customHeight="1">
      <c r="A15" s="945">
        <v>5</v>
      </c>
      <c r="B15" s="957"/>
      <c r="C15" s="961" t="s">
        <v>659</v>
      </c>
      <c r="D15" s="959">
        <v>40000</v>
      </c>
      <c r="E15" s="959"/>
      <c r="F15" s="1691">
        <f>SUM(D15:E15)</f>
        <v>40000</v>
      </c>
      <c r="G15" s="1699"/>
      <c r="H15" s="1699">
        <f aca="true" t="shared" si="0" ref="H15:H31">SUM(F15:G15)</f>
        <v>40000</v>
      </c>
    </row>
    <row r="16" spans="1:8" ht="18.75" customHeight="1">
      <c r="A16" s="945">
        <v>6</v>
      </c>
      <c r="B16" s="957"/>
      <c r="C16" s="962" t="s">
        <v>660</v>
      </c>
      <c r="D16" s="959">
        <v>30000</v>
      </c>
      <c r="E16" s="959"/>
      <c r="F16" s="1691">
        <f aca="true" t="shared" si="1" ref="F16:F29">SUM(D16:E16)</f>
        <v>30000</v>
      </c>
      <c r="G16" s="1699"/>
      <c r="H16" s="1699">
        <f t="shared" si="0"/>
        <v>30000</v>
      </c>
    </row>
    <row r="17" spans="1:8" ht="15.75">
      <c r="A17" s="946">
        <v>7</v>
      </c>
      <c r="B17" s="957"/>
      <c r="C17" s="962" t="s">
        <v>661</v>
      </c>
      <c r="D17" s="959">
        <v>11500</v>
      </c>
      <c r="E17" s="959"/>
      <c r="F17" s="1691">
        <f t="shared" si="1"/>
        <v>11500</v>
      </c>
      <c r="G17" s="1699"/>
      <c r="H17" s="1699">
        <f t="shared" si="0"/>
        <v>11500</v>
      </c>
    </row>
    <row r="18" spans="1:8" ht="15.75">
      <c r="A18" s="945">
        <v>8</v>
      </c>
      <c r="B18" s="957"/>
      <c r="C18" s="962" t="s">
        <v>662</v>
      </c>
      <c r="D18" s="1443">
        <v>25000</v>
      </c>
      <c r="E18" s="1443"/>
      <c r="F18" s="1691">
        <f t="shared" si="1"/>
        <v>25000</v>
      </c>
      <c r="G18" s="1699"/>
      <c r="H18" s="1699">
        <f t="shared" si="0"/>
        <v>25000</v>
      </c>
    </row>
    <row r="19" spans="1:8" ht="15.75">
      <c r="A19" s="945">
        <v>9</v>
      </c>
      <c r="B19" s="957"/>
      <c r="C19" s="963" t="s">
        <v>663</v>
      </c>
      <c r="D19" s="1443">
        <v>25000</v>
      </c>
      <c r="E19" s="1443"/>
      <c r="F19" s="1691">
        <f t="shared" si="1"/>
        <v>25000</v>
      </c>
      <c r="G19" s="1699"/>
      <c r="H19" s="1699">
        <f t="shared" si="0"/>
        <v>25000</v>
      </c>
    </row>
    <row r="20" spans="1:8" ht="15.75">
      <c r="A20" s="946">
        <v>10</v>
      </c>
      <c r="B20" s="957"/>
      <c r="C20" s="963" t="s">
        <v>664</v>
      </c>
      <c r="D20" s="1443">
        <v>75000</v>
      </c>
      <c r="E20" s="1443"/>
      <c r="F20" s="1691">
        <f t="shared" si="1"/>
        <v>75000</v>
      </c>
      <c r="G20" s="1699"/>
      <c r="H20" s="1699">
        <f t="shared" si="0"/>
        <v>75000</v>
      </c>
    </row>
    <row r="21" spans="1:8" ht="15.75">
      <c r="A21" s="945">
        <v>11</v>
      </c>
      <c r="B21" s="957"/>
      <c r="C21" s="963" t="s">
        <v>665</v>
      </c>
      <c r="D21" s="1443">
        <v>45000</v>
      </c>
      <c r="E21" s="1443"/>
      <c r="F21" s="1691">
        <f t="shared" si="1"/>
        <v>45000</v>
      </c>
      <c r="G21" s="1699"/>
      <c r="H21" s="1699">
        <f t="shared" si="0"/>
        <v>45000</v>
      </c>
    </row>
    <row r="22" spans="1:8" ht="15.75">
      <c r="A22" s="945">
        <v>12</v>
      </c>
      <c r="B22" s="964"/>
      <c r="C22" s="965" t="s">
        <v>676</v>
      </c>
      <c r="D22" s="1443">
        <v>76200</v>
      </c>
      <c r="E22" s="1443"/>
      <c r="F22" s="1691">
        <f t="shared" si="1"/>
        <v>76200</v>
      </c>
      <c r="G22" s="1699"/>
      <c r="H22" s="1699">
        <f t="shared" si="0"/>
        <v>76200</v>
      </c>
    </row>
    <row r="23" spans="1:8" ht="15.75">
      <c r="A23" s="946">
        <v>13</v>
      </c>
      <c r="B23" s="957"/>
      <c r="C23" s="963" t="s">
        <v>666</v>
      </c>
      <c r="D23" s="1443">
        <v>25000</v>
      </c>
      <c r="E23" s="1443"/>
      <c r="F23" s="1691">
        <f t="shared" si="1"/>
        <v>25000</v>
      </c>
      <c r="G23" s="1699"/>
      <c r="H23" s="1699">
        <f t="shared" si="0"/>
        <v>25000</v>
      </c>
    </row>
    <row r="24" spans="1:8" ht="15.75">
      <c r="A24" s="945">
        <v>14</v>
      </c>
      <c r="B24" s="957"/>
      <c r="C24" s="1441" t="s">
        <v>669</v>
      </c>
      <c r="D24" s="1444">
        <v>24178</v>
      </c>
      <c r="E24" s="1444"/>
      <c r="F24" s="1691">
        <f t="shared" si="1"/>
        <v>24178</v>
      </c>
      <c r="G24" s="1699"/>
      <c r="H24" s="1699">
        <f t="shared" si="0"/>
        <v>24178</v>
      </c>
    </row>
    <row r="25" spans="1:8" ht="15.75">
      <c r="A25" s="945">
        <v>15</v>
      </c>
      <c r="B25" s="957"/>
      <c r="C25" s="1441" t="s">
        <v>670</v>
      </c>
      <c r="D25" s="1444">
        <v>5067</v>
      </c>
      <c r="E25" s="1444"/>
      <c r="F25" s="1691">
        <f t="shared" si="1"/>
        <v>5067</v>
      </c>
      <c r="G25" s="1699"/>
      <c r="H25" s="1699">
        <f t="shared" si="0"/>
        <v>5067</v>
      </c>
    </row>
    <row r="26" spans="1:8" ht="15.75">
      <c r="A26" s="946">
        <v>16</v>
      </c>
      <c r="B26" s="957"/>
      <c r="C26" s="1441" t="s">
        <v>671</v>
      </c>
      <c r="D26" s="1444">
        <v>87500</v>
      </c>
      <c r="E26" s="1444"/>
      <c r="F26" s="1691">
        <f t="shared" si="1"/>
        <v>87500</v>
      </c>
      <c r="G26" s="1699"/>
      <c r="H26" s="1699">
        <f t="shared" si="0"/>
        <v>87500</v>
      </c>
    </row>
    <row r="27" spans="1:8" ht="110.25">
      <c r="A27" s="945">
        <v>17</v>
      </c>
      <c r="B27" s="957"/>
      <c r="C27" s="1442" t="s">
        <v>694</v>
      </c>
      <c r="D27" s="1444">
        <v>50000</v>
      </c>
      <c r="E27" s="1443"/>
      <c r="F27" s="1691">
        <f t="shared" si="1"/>
        <v>50000</v>
      </c>
      <c r="G27" s="1699">
        <f>-30000-5000</f>
        <v>-35000</v>
      </c>
      <c r="H27" s="1699">
        <f t="shared" si="0"/>
        <v>15000</v>
      </c>
    </row>
    <row r="28" spans="1:8" ht="31.5" customHeight="1">
      <c r="A28" s="945">
        <v>18</v>
      </c>
      <c r="B28" s="957"/>
      <c r="C28" s="1442" t="s">
        <v>693</v>
      </c>
      <c r="D28" s="1444"/>
      <c r="E28" s="1443"/>
      <c r="F28" s="1691">
        <f t="shared" si="1"/>
        <v>0</v>
      </c>
      <c r="G28" s="1699">
        <v>30000</v>
      </c>
      <c r="H28" s="1699">
        <f t="shared" si="0"/>
        <v>30000</v>
      </c>
    </row>
    <row r="29" spans="1:8" ht="15.75">
      <c r="A29" s="945">
        <v>19</v>
      </c>
      <c r="B29" s="1710"/>
      <c r="C29" s="1441" t="s">
        <v>667</v>
      </c>
      <c r="D29" s="1444">
        <v>2000</v>
      </c>
      <c r="E29" s="1444"/>
      <c r="F29" s="1688">
        <f t="shared" si="1"/>
        <v>2000</v>
      </c>
      <c r="G29" s="1706"/>
      <c r="H29" s="1706">
        <f t="shared" si="0"/>
        <v>2000</v>
      </c>
    </row>
    <row r="30" spans="1:8" ht="15.75">
      <c r="A30" s="946">
        <v>20</v>
      </c>
      <c r="B30" s="957"/>
      <c r="C30" s="1714" t="s">
        <v>668</v>
      </c>
      <c r="D30" s="1443">
        <v>110000</v>
      </c>
      <c r="E30" s="1443"/>
      <c r="F30" s="1443">
        <f>SUM(D30:E30)</f>
        <v>110000</v>
      </c>
      <c r="G30" s="1443"/>
      <c r="H30" s="1713">
        <f t="shared" si="0"/>
        <v>110000</v>
      </c>
    </row>
    <row r="31" spans="1:8" ht="16.5" thickBot="1">
      <c r="A31" s="1709">
        <v>21</v>
      </c>
      <c r="B31" s="964"/>
      <c r="C31" s="1711" t="s">
        <v>695</v>
      </c>
      <c r="D31" s="1445"/>
      <c r="E31" s="1445"/>
      <c r="F31" s="1712"/>
      <c r="G31" s="1712">
        <f>637438+2</f>
        <v>637440</v>
      </c>
      <c r="H31" s="1713">
        <f t="shared" si="0"/>
        <v>637440</v>
      </c>
    </row>
    <row r="32" spans="1:8" ht="17.25" thickBot="1" thickTop="1">
      <c r="A32" s="966" t="s">
        <v>235</v>
      </c>
      <c r="B32" s="967"/>
      <c r="C32" s="968"/>
      <c r="D32" s="969">
        <f>SUM(D7+D10)</f>
        <v>743427</v>
      </c>
      <c r="E32" s="969">
        <f>SUM(E7+E10)</f>
        <v>246</v>
      </c>
      <c r="F32" s="1692">
        <f>SUM(D32:E32)</f>
        <v>743673</v>
      </c>
      <c r="G32" s="1692">
        <f>SUM(G13+G7)</f>
        <v>632193</v>
      </c>
      <c r="H32" s="1707">
        <f>SUM(F32:G32)</f>
        <v>1375866</v>
      </c>
    </row>
    <row r="33" spans="1:9" ht="17.25" thickBot="1" thickTop="1">
      <c r="A33" s="970" t="s">
        <v>236</v>
      </c>
      <c r="B33" s="971"/>
      <c r="C33" s="972"/>
      <c r="D33" s="973">
        <f>SUM(+D32)</f>
        <v>743427</v>
      </c>
      <c r="E33" s="973">
        <f>SUM(+E32)</f>
        <v>246</v>
      </c>
      <c r="F33" s="1693">
        <f>SUM(+F32)</f>
        <v>743673</v>
      </c>
      <c r="G33" s="1692">
        <f>SUM(G32)</f>
        <v>632193</v>
      </c>
      <c r="H33" s="1708">
        <f>SUM(F33:G33)</f>
        <v>1375866</v>
      </c>
      <c r="I33" s="944"/>
    </row>
    <row r="36" ht="15.75">
      <c r="H36" s="944"/>
    </row>
  </sheetData>
  <sheetProtection selectLockedCells="1" selectUnlockedCells="1"/>
  <mergeCells count="3">
    <mergeCell ref="B6:C6"/>
    <mergeCell ref="A4:C4"/>
    <mergeCell ref="A2:D2"/>
  </mergeCells>
  <printOptions horizontalCentered="1"/>
  <pageMargins left="0.5511811023622047" right="0.4330708661417323" top="0.5905511811023623" bottom="2.9921259842519685" header="0.5118110236220472" footer="0.5118110236220472"/>
  <pageSetup horizontalDpi="600" verticalDpi="600" orientation="portrait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4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10.625" defaultRowHeight="12.75"/>
  <cols>
    <col min="1" max="1" width="20.375" style="1175" customWidth="1"/>
    <col min="2" max="2" width="45.50390625" style="1175" customWidth="1"/>
    <col min="3" max="3" width="21.375" style="1175" customWidth="1"/>
    <col min="4" max="4" width="17.50390625" style="1175" customWidth="1"/>
    <col min="5" max="5" width="12.375" style="1175" customWidth="1"/>
    <col min="6" max="7" width="12.125" style="1175" customWidth="1"/>
    <col min="8" max="8" width="12.50390625" style="1175" customWidth="1"/>
    <col min="9" max="16384" width="10.625" style="1175" customWidth="1"/>
  </cols>
  <sheetData>
    <row r="1" spans="2:8" ht="15">
      <c r="B1" s="149" t="s">
        <v>735</v>
      </c>
      <c r="F1" s="1176"/>
      <c r="H1" s="1177"/>
    </row>
    <row r="3" spans="1:8" ht="21" customHeight="1">
      <c r="A3" s="1903" t="s">
        <v>458</v>
      </c>
      <c r="B3" s="1903"/>
      <c r="C3" s="1903"/>
      <c r="D3" s="1903"/>
      <c r="E3" s="1903"/>
      <c r="F3" s="1903"/>
      <c r="G3" s="1903"/>
      <c r="H3" s="1903"/>
    </row>
    <row r="6" ht="12.75">
      <c r="H6" s="1177" t="s">
        <v>222</v>
      </c>
    </row>
    <row r="7" spans="1:8" ht="38.25" customHeight="1">
      <c r="A7" s="1178" t="s">
        <v>459</v>
      </c>
      <c r="B7" s="1178" t="s">
        <v>171</v>
      </c>
      <c r="C7" s="1179" t="s">
        <v>460</v>
      </c>
      <c r="D7" s="1179">
        <v>2018</v>
      </c>
      <c r="E7" s="1178">
        <v>2019</v>
      </c>
      <c r="F7" s="1178">
        <v>2020</v>
      </c>
      <c r="G7" s="1178">
        <v>2021</v>
      </c>
      <c r="H7" s="1178">
        <v>2022</v>
      </c>
    </row>
    <row r="8" spans="1:8" ht="12.75">
      <c r="A8" s="1180"/>
      <c r="B8" s="1181"/>
      <c r="C8" s="1182"/>
      <c r="D8" s="1182">
        <v>0</v>
      </c>
      <c r="E8" s="1183">
        <v>0</v>
      </c>
      <c r="F8" s="1184">
        <v>0</v>
      </c>
      <c r="G8" s="1184">
        <v>0</v>
      </c>
      <c r="H8" s="1185">
        <v>0</v>
      </c>
    </row>
    <row r="9" spans="1:8" ht="12.75">
      <c r="A9" s="1186" t="s">
        <v>175</v>
      </c>
      <c r="B9" s="1187"/>
      <c r="C9" s="1188">
        <f aca="true" t="shared" si="0" ref="C9:H9">SUM(C8:C8)</f>
        <v>0</v>
      </c>
      <c r="D9" s="1188">
        <f t="shared" si="0"/>
        <v>0</v>
      </c>
      <c r="E9" s="1188">
        <f t="shared" si="0"/>
        <v>0</v>
      </c>
      <c r="F9" s="1188">
        <f t="shared" si="0"/>
        <v>0</v>
      </c>
      <c r="G9" s="1188">
        <f t="shared" si="0"/>
        <v>0</v>
      </c>
      <c r="H9" s="1188">
        <f t="shared" si="0"/>
        <v>0</v>
      </c>
    </row>
    <row r="13" ht="12.75">
      <c r="E13" s="1189"/>
    </row>
    <row r="14" ht="12.75">
      <c r="E14" s="1189"/>
    </row>
  </sheetData>
  <sheetProtection selectLockedCells="1" selectUnlockedCells="1"/>
  <mergeCells count="1">
    <mergeCell ref="A3:H3"/>
  </mergeCells>
  <printOptions/>
  <pageMargins left="0.75" right="0.75" top="0.8625" bottom="1" header="0.5118055555555555" footer="0.5118055555555555"/>
  <pageSetup horizontalDpi="300" verticalDpi="3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0.50390625" defaultRowHeight="12.75"/>
  <cols>
    <col min="1" max="1" width="10.50390625" style="1192" customWidth="1"/>
    <col min="2" max="2" width="62.00390625" style="1204" customWidth="1"/>
    <col min="3" max="3" width="12.50390625" style="1205" customWidth="1"/>
    <col min="4" max="4" width="14.00390625" style="1205" customWidth="1"/>
    <col min="5" max="6" width="12.125" style="1205" customWidth="1"/>
    <col min="7" max="16384" width="10.50390625" style="1192" customWidth="1"/>
  </cols>
  <sheetData>
    <row r="1" spans="1:6" ht="26.25" customHeight="1">
      <c r="A1" s="1190"/>
      <c r="B1" s="149" t="s">
        <v>736</v>
      </c>
      <c r="C1" s="1191"/>
      <c r="D1" s="1191"/>
      <c r="E1" s="1191"/>
      <c r="F1" s="1191"/>
    </row>
    <row r="2" spans="1:6" ht="49.5" customHeight="1">
      <c r="A2" s="1904" t="s">
        <v>586</v>
      </c>
      <c r="B2" s="1904"/>
      <c r="C2" s="1904"/>
      <c r="D2" s="1904"/>
      <c r="E2" s="1904"/>
      <c r="F2" s="1904"/>
    </row>
    <row r="3" spans="1:6" ht="16.5" customHeight="1">
      <c r="A3" s="1190"/>
      <c r="B3" s="1190"/>
      <c r="C3" s="1191"/>
      <c r="D3" s="1905" t="s">
        <v>461</v>
      </c>
      <c r="E3" s="1905"/>
      <c r="F3" s="1905"/>
    </row>
    <row r="4" spans="1:6" ht="34.5" customHeight="1">
      <c r="A4" s="1193" t="s">
        <v>462</v>
      </c>
      <c r="B4" s="1193" t="s">
        <v>171</v>
      </c>
      <c r="C4" s="1194" t="s">
        <v>463</v>
      </c>
      <c r="D4" s="1194" t="s">
        <v>464</v>
      </c>
      <c r="E4" s="1194" t="s">
        <v>465</v>
      </c>
      <c r="F4" s="1194" t="s">
        <v>587</v>
      </c>
    </row>
    <row r="5" spans="1:6" ht="15">
      <c r="A5" s="1195" t="s">
        <v>466</v>
      </c>
      <c r="B5" s="1196" t="s">
        <v>467</v>
      </c>
      <c r="C5" s="1197">
        <v>1078000</v>
      </c>
      <c r="D5" s="1197">
        <v>1078000</v>
      </c>
      <c r="E5" s="1197">
        <v>1078000</v>
      </c>
      <c r="F5" s="1197">
        <v>1078000</v>
      </c>
    </row>
    <row r="6" spans="1:6" ht="15">
      <c r="A6" s="1195" t="s">
        <v>468</v>
      </c>
      <c r="B6" s="1196" t="s">
        <v>469</v>
      </c>
      <c r="C6" s="1197"/>
      <c r="D6" s="1197"/>
      <c r="E6" s="1197"/>
      <c r="F6" s="1197"/>
    </row>
    <row r="7" spans="1:6" ht="15">
      <c r="A7" s="1195" t="s">
        <v>470</v>
      </c>
      <c r="B7" s="1196" t="s">
        <v>471</v>
      </c>
      <c r="C7" s="1197">
        <v>3000</v>
      </c>
      <c r="D7" s="1197">
        <v>3000</v>
      </c>
      <c r="E7" s="1197">
        <v>3000</v>
      </c>
      <c r="F7" s="1197">
        <v>3000</v>
      </c>
    </row>
    <row r="8" spans="1:6" ht="30">
      <c r="A8" s="1195" t="s">
        <v>472</v>
      </c>
      <c r="B8" s="1196" t="s">
        <v>473</v>
      </c>
      <c r="C8" s="1197"/>
      <c r="D8" s="1197"/>
      <c r="E8" s="1197"/>
      <c r="F8" s="1197"/>
    </row>
    <row r="9" spans="1:6" ht="15">
      <c r="A9" s="1195" t="s">
        <v>474</v>
      </c>
      <c r="B9" s="1196" t="s">
        <v>475</v>
      </c>
      <c r="C9" s="1197"/>
      <c r="D9" s="1197"/>
      <c r="E9" s="1197"/>
      <c r="F9" s="1197"/>
    </row>
    <row r="10" spans="1:6" ht="30">
      <c r="A10" s="1195" t="s">
        <v>476</v>
      </c>
      <c r="B10" s="1196" t="s">
        <v>477</v>
      </c>
      <c r="C10" s="1197"/>
      <c r="D10" s="1197"/>
      <c r="E10" s="1197"/>
      <c r="F10" s="1197"/>
    </row>
    <row r="11" spans="1:6" ht="15">
      <c r="A11" s="1195" t="s">
        <v>478</v>
      </c>
      <c r="B11" s="1196" t="s">
        <v>479</v>
      </c>
      <c r="C11" s="1197"/>
      <c r="D11" s="1197"/>
      <c r="E11" s="1197"/>
      <c r="F11" s="1197"/>
    </row>
    <row r="12" spans="1:6" ht="15">
      <c r="A12" s="1198" t="s">
        <v>480</v>
      </c>
      <c r="B12" s="1199" t="s">
        <v>481</v>
      </c>
      <c r="C12" s="1200">
        <f>SUM(C5:C11)</f>
        <v>1081000</v>
      </c>
      <c r="D12" s="1200">
        <f>SUM(D5:D11)</f>
        <v>1081000</v>
      </c>
      <c r="E12" s="1200">
        <f>SUM(E5:E11)</f>
        <v>1081000</v>
      </c>
      <c r="F12" s="1200">
        <f>SUM(F5:F11)</f>
        <v>1081000</v>
      </c>
    </row>
    <row r="13" spans="1:6" ht="15">
      <c r="A13" s="1198" t="s">
        <v>482</v>
      </c>
      <c r="B13" s="1199" t="s">
        <v>483</v>
      </c>
      <c r="C13" s="1200">
        <f>C12*0.5</f>
        <v>540500</v>
      </c>
      <c r="D13" s="1200">
        <f>D12*0.5</f>
        <v>540500</v>
      </c>
      <c r="E13" s="1200">
        <f>E12*0.5</f>
        <v>540500</v>
      </c>
      <c r="F13" s="1200">
        <f>F12*0.5</f>
        <v>540500</v>
      </c>
    </row>
    <row r="14" spans="1:6" ht="25.5">
      <c r="A14" s="1198" t="s">
        <v>484</v>
      </c>
      <c r="B14" s="1199" t="s">
        <v>485</v>
      </c>
      <c r="C14" s="1200">
        <f>SUM(C15:C21)</f>
        <v>0</v>
      </c>
      <c r="D14" s="1200">
        <f>SUM(D15:D21)</f>
        <v>0</v>
      </c>
      <c r="E14" s="1200">
        <f>SUM(E15:E21)</f>
        <v>0</v>
      </c>
      <c r="F14" s="1200">
        <f>SUM(F15:F21)</f>
        <v>0</v>
      </c>
    </row>
    <row r="15" spans="1:6" ht="15">
      <c r="A15" s="1195" t="s">
        <v>486</v>
      </c>
      <c r="B15" s="1196" t="s">
        <v>487</v>
      </c>
      <c r="C15" s="1197"/>
      <c r="D15" s="1197"/>
      <c r="E15" s="1197"/>
      <c r="F15" s="1197"/>
    </row>
    <row r="16" spans="1:6" ht="15">
      <c r="A16" s="1195" t="s">
        <v>488</v>
      </c>
      <c r="B16" s="1196" t="s">
        <v>489</v>
      </c>
      <c r="C16" s="1197"/>
      <c r="D16" s="1197"/>
      <c r="E16" s="1197"/>
      <c r="F16" s="1197"/>
    </row>
    <row r="17" spans="1:6" ht="15">
      <c r="A17" s="1195" t="s">
        <v>490</v>
      </c>
      <c r="B17" s="1196" t="s">
        <v>491</v>
      </c>
      <c r="C17" s="1197"/>
      <c r="D17" s="1197"/>
      <c r="E17" s="1197"/>
      <c r="F17" s="1197"/>
    </row>
    <row r="18" spans="1:6" ht="15">
      <c r="A18" s="1195" t="s">
        <v>492</v>
      </c>
      <c r="B18" s="1196" t="s">
        <v>493</v>
      </c>
      <c r="C18" s="1197"/>
      <c r="D18" s="1197"/>
      <c r="E18" s="1197"/>
      <c r="F18" s="1197"/>
    </row>
    <row r="19" spans="1:6" ht="15">
      <c r="A19" s="1195" t="s">
        <v>494</v>
      </c>
      <c r="B19" s="1196" t="s">
        <v>495</v>
      </c>
      <c r="C19" s="1197"/>
      <c r="D19" s="1197"/>
      <c r="E19" s="1197"/>
      <c r="F19" s="1197"/>
    </row>
    <row r="20" spans="1:6" ht="15">
      <c r="A20" s="1195" t="s">
        <v>496</v>
      </c>
      <c r="B20" s="1196" t="s">
        <v>497</v>
      </c>
      <c r="C20" s="1197"/>
      <c r="D20" s="1197"/>
      <c r="E20" s="1197"/>
      <c r="F20" s="1197"/>
    </row>
    <row r="21" spans="1:6" ht="15">
      <c r="A21" s="1195" t="s">
        <v>498</v>
      </c>
      <c r="B21" s="1196" t="s">
        <v>499</v>
      </c>
      <c r="C21" s="1197"/>
      <c r="D21" s="1197"/>
      <c r="E21" s="1197"/>
      <c r="F21" s="1197"/>
    </row>
    <row r="22" spans="1:6" ht="25.5">
      <c r="A22" s="1198" t="s">
        <v>500</v>
      </c>
      <c r="B22" s="1199" t="s">
        <v>501</v>
      </c>
      <c r="C22" s="1200">
        <f>SUM(C23:C29)</f>
        <v>0</v>
      </c>
      <c r="D22" s="1200">
        <f>SUM(D23:D29)</f>
        <v>0</v>
      </c>
      <c r="E22" s="1200">
        <f>SUM(E23:E29)</f>
        <v>0</v>
      </c>
      <c r="F22" s="1200">
        <f>SUM(F23:F29)</f>
        <v>0</v>
      </c>
    </row>
    <row r="23" spans="1:6" ht="15">
      <c r="A23" s="1195" t="s">
        <v>502</v>
      </c>
      <c r="B23" s="1196" t="s">
        <v>487</v>
      </c>
      <c r="C23" s="1197"/>
      <c r="D23" s="1197"/>
      <c r="E23" s="1197"/>
      <c r="F23" s="1197"/>
    </row>
    <row r="24" spans="1:6" ht="15">
      <c r="A24" s="1195" t="s">
        <v>503</v>
      </c>
      <c r="B24" s="1196" t="s">
        <v>504</v>
      </c>
      <c r="C24" s="1197"/>
      <c r="D24" s="1182"/>
      <c r="E24" s="1182"/>
      <c r="F24" s="1182"/>
    </row>
    <row r="25" spans="1:6" ht="15">
      <c r="A25" s="1195" t="s">
        <v>505</v>
      </c>
      <c r="B25" s="1196" t="s">
        <v>491</v>
      </c>
      <c r="C25" s="1197"/>
      <c r="D25" s="1197"/>
      <c r="E25" s="1197"/>
      <c r="F25" s="1197"/>
    </row>
    <row r="26" spans="1:6" ht="15">
      <c r="A26" s="1195" t="s">
        <v>506</v>
      </c>
      <c r="B26" s="1196" t="s">
        <v>493</v>
      </c>
      <c r="C26" s="1197"/>
      <c r="D26" s="1197"/>
      <c r="E26" s="1197"/>
      <c r="F26" s="1197"/>
    </row>
    <row r="27" spans="1:6" ht="15">
      <c r="A27" s="1195" t="s">
        <v>507</v>
      </c>
      <c r="B27" s="1196" t="s">
        <v>495</v>
      </c>
      <c r="C27" s="1197"/>
      <c r="D27" s="1197"/>
      <c r="E27" s="1197"/>
      <c r="F27" s="1197"/>
    </row>
    <row r="28" spans="1:6" ht="15">
      <c r="A28" s="1195" t="s">
        <v>508</v>
      </c>
      <c r="B28" s="1196" t="s">
        <v>497</v>
      </c>
      <c r="C28" s="1197"/>
      <c r="D28" s="1197"/>
      <c r="E28" s="1197"/>
      <c r="F28" s="1197"/>
    </row>
    <row r="29" spans="1:6" ht="15">
      <c r="A29" s="1195" t="s">
        <v>509</v>
      </c>
      <c r="B29" s="1196" t="s">
        <v>499</v>
      </c>
      <c r="C29" s="1197"/>
      <c r="D29" s="1197"/>
      <c r="E29" s="1197"/>
      <c r="F29" s="1197"/>
    </row>
    <row r="30" spans="1:6" ht="15">
      <c r="A30" s="1198" t="s">
        <v>510</v>
      </c>
      <c r="B30" s="1199" t="s">
        <v>511</v>
      </c>
      <c r="C30" s="1200">
        <f>C14+C22</f>
        <v>0</v>
      </c>
      <c r="D30" s="1200">
        <f>D14+D22</f>
        <v>0</v>
      </c>
      <c r="E30" s="1200">
        <f>E14+E22</f>
        <v>0</v>
      </c>
      <c r="F30" s="1200">
        <f>F14+F22</f>
        <v>0</v>
      </c>
    </row>
    <row r="31" spans="1:6" ht="15">
      <c r="A31" s="1201" t="s">
        <v>512</v>
      </c>
      <c r="B31" s="1202" t="s">
        <v>513</v>
      </c>
      <c r="C31" s="1203">
        <f>C13-C30</f>
        <v>540500</v>
      </c>
      <c r="D31" s="1203">
        <f>D13-D30</f>
        <v>540500</v>
      </c>
      <c r="E31" s="1203">
        <f>E13-E30</f>
        <v>540500</v>
      </c>
      <c r="F31" s="1203">
        <f>F13-F30</f>
        <v>540500</v>
      </c>
    </row>
  </sheetData>
  <sheetProtection selectLockedCells="1" selectUnlockedCells="1"/>
  <mergeCells count="2">
    <mergeCell ref="A2:F2"/>
    <mergeCell ref="D3:F3"/>
  </mergeCells>
  <printOptions/>
  <pageMargins left="0.7874015748031497" right="0.6299212598425197" top="1.062992125984252" bottom="1.062992125984252" header="0.7874015748031497" footer="0.7874015748031497"/>
  <pageSetup horizontalDpi="600" verticalDpi="6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10.625" defaultRowHeight="12.75"/>
  <cols>
    <col min="1" max="1" width="7.125" style="1222" customWidth="1"/>
    <col min="2" max="2" width="62.375" style="1209" customWidth="1"/>
    <col min="3" max="3" width="17.125" style="1208" customWidth="1"/>
    <col min="4" max="16384" width="10.625" style="1209" customWidth="1"/>
  </cols>
  <sheetData>
    <row r="1" spans="1:2" ht="13.5" customHeight="1">
      <c r="A1" s="1206"/>
      <c r="B1" s="1207" t="s">
        <v>737</v>
      </c>
    </row>
    <row r="2" spans="1:2" ht="30.75" customHeight="1">
      <c r="A2" s="1206"/>
      <c r="B2" s="1210" t="s">
        <v>514</v>
      </c>
    </row>
    <row r="3" spans="1:3" ht="30.75" customHeight="1">
      <c r="A3" s="1206"/>
      <c r="B3" s="1210"/>
      <c r="C3" s="1211" t="s">
        <v>515</v>
      </c>
    </row>
    <row r="4" spans="1:3" ht="32.25" customHeight="1">
      <c r="A4" s="1212" t="s">
        <v>516</v>
      </c>
      <c r="B4" s="1212" t="s">
        <v>171</v>
      </c>
      <c r="C4" s="1213" t="s">
        <v>517</v>
      </c>
    </row>
    <row r="5" spans="1:3" s="1215" customFormat="1" ht="27.75" customHeight="1">
      <c r="A5" s="1212" t="s">
        <v>9</v>
      </c>
      <c r="B5" s="1214" t="s">
        <v>518</v>
      </c>
      <c r="C5" s="1213">
        <f>SUM(C6:C7)</f>
        <v>0</v>
      </c>
    </row>
    <row r="6" spans="1:3" ht="12.75">
      <c r="A6" s="1216"/>
      <c r="B6" s="1217" t="s">
        <v>519</v>
      </c>
      <c r="C6" s="1218"/>
    </row>
    <row r="7" spans="1:3" ht="12.75">
      <c r="A7" s="1216"/>
      <c r="B7" s="1217" t="s">
        <v>520</v>
      </c>
      <c r="C7" s="1218"/>
    </row>
    <row r="8" spans="1:3" s="1215" customFormat="1" ht="27.75" customHeight="1">
      <c r="A8" s="1212" t="s">
        <v>23</v>
      </c>
      <c r="B8" s="1219" t="s">
        <v>521</v>
      </c>
      <c r="C8" s="1213" t="s">
        <v>522</v>
      </c>
    </row>
    <row r="9" spans="1:3" s="1220" customFormat="1" ht="27.75" customHeight="1">
      <c r="A9" s="1212" t="s">
        <v>25</v>
      </c>
      <c r="B9" s="1214" t="s">
        <v>523</v>
      </c>
      <c r="C9" s="1213"/>
    </row>
    <row r="10" spans="1:3" s="1220" customFormat="1" ht="21" customHeight="1">
      <c r="A10" s="1212"/>
      <c r="B10" s="1214" t="s">
        <v>524</v>
      </c>
      <c r="C10" s="1213">
        <f>SUM(C11:C12)</f>
        <v>5949</v>
      </c>
    </row>
    <row r="11" spans="1:3" ht="12.75">
      <c r="A11" s="1216"/>
      <c r="B11" s="1221" t="s">
        <v>525</v>
      </c>
      <c r="C11" s="1218"/>
    </row>
    <row r="12" spans="1:3" ht="12.75">
      <c r="A12" s="1216"/>
      <c r="B12" s="1217" t="s">
        <v>526</v>
      </c>
      <c r="C12" s="1446">
        <v>5949</v>
      </c>
    </row>
    <row r="13" spans="1:3" s="1222" customFormat="1" ht="21" customHeight="1">
      <c r="A13" s="1216"/>
      <c r="B13" s="1214" t="s">
        <v>527</v>
      </c>
      <c r="C13" s="1213">
        <f>SUM(C14:C15)</f>
        <v>31403</v>
      </c>
    </row>
    <row r="14" spans="1:3" s="1224" customFormat="1" ht="12.75">
      <c r="A14" s="1223"/>
      <c r="B14" s="1221" t="s">
        <v>525</v>
      </c>
      <c r="C14" s="1446">
        <v>24072</v>
      </c>
    </row>
    <row r="15" spans="1:3" s="1224" customFormat="1" ht="12.75">
      <c r="A15" s="1223"/>
      <c r="B15" s="1217" t="s">
        <v>526</v>
      </c>
      <c r="C15" s="1446">
        <v>7331</v>
      </c>
    </row>
    <row r="16" spans="1:3" ht="21" customHeight="1">
      <c r="A16" s="1216"/>
      <c r="B16" s="1214" t="s">
        <v>528</v>
      </c>
      <c r="C16" s="1213">
        <f>SUM(C17)</f>
        <v>1891</v>
      </c>
    </row>
    <row r="17" spans="1:3" ht="12.75">
      <c r="A17" s="1216"/>
      <c r="B17" s="1217" t="s">
        <v>525</v>
      </c>
      <c r="C17" s="1446">
        <v>1891</v>
      </c>
    </row>
    <row r="18" spans="1:3" ht="12.75">
      <c r="A18" s="1216"/>
      <c r="B18" s="1217" t="s">
        <v>526</v>
      </c>
      <c r="C18" s="1225"/>
    </row>
    <row r="19" spans="1:3" s="1227" customFormat="1" ht="27.75" customHeight="1">
      <c r="A19" s="1212" t="s">
        <v>27</v>
      </c>
      <c r="B19" s="1214" t="s">
        <v>529</v>
      </c>
      <c r="C19" s="1226">
        <f>-C20</f>
        <v>0</v>
      </c>
    </row>
    <row r="20" spans="1:3" ht="27.75" customHeight="1">
      <c r="A20" s="1212" t="s">
        <v>29</v>
      </c>
      <c r="B20" s="1219" t="s">
        <v>530</v>
      </c>
      <c r="C20" s="1225">
        <v>0</v>
      </c>
    </row>
    <row r="21" spans="1:3" ht="12.75" customHeight="1">
      <c r="A21" s="1906" t="s">
        <v>531</v>
      </c>
      <c r="B21" s="1906"/>
      <c r="C21" s="1213">
        <f>SUM(C10+C13+C16)</f>
        <v>39243</v>
      </c>
    </row>
  </sheetData>
  <sheetProtection selectLockedCells="1" selectUnlockedCells="1"/>
  <mergeCells count="1">
    <mergeCell ref="A21:B21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5.50390625" style="1334" customWidth="1"/>
    <col min="2" max="2" width="35.50390625" style="1335" customWidth="1"/>
    <col min="3" max="3" width="30.625" style="1336" customWidth="1"/>
    <col min="4" max="8" width="14.125" style="1336" customWidth="1"/>
    <col min="9" max="9" width="13.50390625" style="1336" customWidth="1"/>
    <col min="10" max="16384" width="9.375" style="1334" customWidth="1"/>
  </cols>
  <sheetData>
    <row r="1" spans="2:9" s="1290" customFormat="1" ht="21.75" customHeight="1">
      <c r="B1" s="1291"/>
      <c r="C1" s="1292"/>
      <c r="D1" s="1291"/>
      <c r="E1" s="1291"/>
      <c r="F1" s="1293"/>
      <c r="G1" s="1294"/>
      <c r="H1" s="1293"/>
      <c r="I1" s="1295"/>
    </row>
    <row r="2" spans="2:9" s="1290" customFormat="1" ht="21.75" customHeight="1">
      <c r="B2" s="1791" t="s">
        <v>738</v>
      </c>
      <c r="C2" s="1292"/>
      <c r="D2" s="1291"/>
      <c r="E2" s="1291"/>
      <c r="F2" s="1293"/>
      <c r="G2" s="1294"/>
      <c r="H2" s="1293"/>
      <c r="I2" s="1295"/>
    </row>
    <row r="3" spans="1:10" s="1297" customFormat="1" ht="23.25" customHeight="1">
      <c r="A3" s="1907" t="s">
        <v>532</v>
      </c>
      <c r="B3" s="1907"/>
      <c r="C3" s="1907"/>
      <c r="D3" s="1907"/>
      <c r="E3" s="1907"/>
      <c r="F3" s="1907"/>
      <c r="G3" s="1907"/>
      <c r="H3" s="1907"/>
      <c r="I3" s="1907"/>
      <c r="J3" s="1296"/>
    </row>
    <row r="4" spans="2:10" s="1297" customFormat="1" ht="25.5" customHeight="1" thickBot="1">
      <c r="B4" s="1298"/>
      <c r="C4" s="1908"/>
      <c r="D4" s="1908"/>
      <c r="E4" s="1908"/>
      <c r="F4" s="1908"/>
      <c r="G4" s="1299"/>
      <c r="H4" s="1300"/>
      <c r="I4" s="1301" t="s">
        <v>533</v>
      </c>
      <c r="J4" s="1296"/>
    </row>
    <row r="5" spans="1:9" s="1303" customFormat="1" ht="27" customHeight="1" thickBot="1">
      <c r="A5" s="1909" t="s">
        <v>534</v>
      </c>
      <c r="B5" s="1910" t="s">
        <v>535</v>
      </c>
      <c r="C5" s="1911" t="s">
        <v>536</v>
      </c>
      <c r="D5" s="1912" t="s">
        <v>537</v>
      </c>
      <c r="E5" s="1912"/>
      <c r="F5" s="1912"/>
      <c r="G5" s="1913" t="s">
        <v>588</v>
      </c>
      <c r="H5" s="1909"/>
      <c r="I5" s="1909"/>
    </row>
    <row r="6" spans="1:9" s="1308" customFormat="1" ht="39.75" customHeight="1" thickBot="1">
      <c r="A6" s="1909"/>
      <c r="B6" s="1910"/>
      <c r="C6" s="1911"/>
      <c r="D6" s="1304" t="s">
        <v>538</v>
      </c>
      <c r="E6" s="1305" t="s">
        <v>539</v>
      </c>
      <c r="F6" s="1306" t="s">
        <v>540</v>
      </c>
      <c r="G6" s="1307" t="s">
        <v>541</v>
      </c>
      <c r="H6" s="1306" t="s">
        <v>540</v>
      </c>
      <c r="I6" s="1302" t="s">
        <v>542</v>
      </c>
    </row>
    <row r="7" spans="1:9" s="1313" customFormat="1" ht="11.25" customHeight="1" thickBot="1">
      <c r="A7" s="1309" t="s">
        <v>9</v>
      </c>
      <c r="B7" s="1310" t="s">
        <v>23</v>
      </c>
      <c r="C7" s="1311" t="s">
        <v>25</v>
      </c>
      <c r="D7" s="1309" t="s">
        <v>27</v>
      </c>
      <c r="E7" s="1310" t="s">
        <v>29</v>
      </c>
      <c r="F7" s="1311" t="s">
        <v>31</v>
      </c>
      <c r="G7" s="1312" t="s">
        <v>74</v>
      </c>
      <c r="H7" s="1311" t="s">
        <v>77</v>
      </c>
      <c r="I7" s="1309" t="s">
        <v>237</v>
      </c>
    </row>
    <row r="8" spans="1:9" s="1321" customFormat="1" ht="30" customHeight="1">
      <c r="A8" s="1314">
        <v>2</v>
      </c>
      <c r="B8" s="1415" t="s">
        <v>545</v>
      </c>
      <c r="C8" s="1315" t="s">
        <v>544</v>
      </c>
      <c r="D8" s="1316">
        <v>180000</v>
      </c>
      <c r="E8" s="1317">
        <v>180000</v>
      </c>
      <c r="F8" s="1318"/>
      <c r="G8" s="1319">
        <v>162995</v>
      </c>
      <c r="H8" s="1320"/>
      <c r="I8" s="1316">
        <f>SUM(G8:H8)</f>
        <v>162995</v>
      </c>
    </row>
    <row r="9" spans="1:9" s="1321" customFormat="1" ht="30" customHeight="1">
      <c r="A9" s="1314">
        <v>3</v>
      </c>
      <c r="B9" s="1416" t="s">
        <v>546</v>
      </c>
      <c r="C9" s="1347" t="s">
        <v>547</v>
      </c>
      <c r="D9" s="1316">
        <v>140000</v>
      </c>
      <c r="E9" s="1317">
        <v>140000</v>
      </c>
      <c r="F9" s="1318"/>
      <c r="G9" s="1319">
        <v>127038</v>
      </c>
      <c r="H9" s="1320"/>
      <c r="I9" s="1316">
        <f aca="true" t="shared" si="0" ref="I9:I18">SUM(G9:H9)</f>
        <v>127038</v>
      </c>
    </row>
    <row r="10" spans="1:9" s="1321" customFormat="1" ht="39.75" customHeight="1">
      <c r="A10" s="1314">
        <v>4</v>
      </c>
      <c r="B10" s="1416" t="s">
        <v>548</v>
      </c>
      <c r="C10" s="1347" t="s">
        <v>549</v>
      </c>
      <c r="D10" s="1316">
        <v>149203</v>
      </c>
      <c r="E10" s="1317">
        <v>149203</v>
      </c>
      <c r="F10" s="1318"/>
      <c r="G10" s="1319">
        <f>149203-3060</f>
        <v>146143</v>
      </c>
      <c r="H10" s="1320"/>
      <c r="I10" s="1316">
        <f t="shared" si="0"/>
        <v>146143</v>
      </c>
    </row>
    <row r="11" spans="1:9" s="1321" customFormat="1" ht="30" customHeight="1">
      <c r="A11" s="1314">
        <v>5</v>
      </c>
      <c r="B11" s="1416" t="s">
        <v>550</v>
      </c>
      <c r="C11" s="1347" t="s">
        <v>551</v>
      </c>
      <c r="D11" s="1316">
        <v>69987</v>
      </c>
      <c r="E11" s="1317">
        <v>69987</v>
      </c>
      <c r="F11" s="1318"/>
      <c r="G11" s="1319">
        <v>64408</v>
      </c>
      <c r="H11" s="1320"/>
      <c r="I11" s="1316">
        <f t="shared" si="0"/>
        <v>64408</v>
      </c>
    </row>
    <row r="12" spans="1:9" s="1321" customFormat="1" ht="30" customHeight="1">
      <c r="A12" s="1314">
        <v>6</v>
      </c>
      <c r="B12" s="1416" t="s">
        <v>552</v>
      </c>
      <c r="C12" s="1414" t="s">
        <v>553</v>
      </c>
      <c r="D12" s="1324">
        <v>72747</v>
      </c>
      <c r="E12" s="1325">
        <v>72747</v>
      </c>
      <c r="F12" s="1318"/>
      <c r="G12" s="1326">
        <v>71051</v>
      </c>
      <c r="H12" s="1327"/>
      <c r="I12" s="1316">
        <f t="shared" si="0"/>
        <v>71051</v>
      </c>
    </row>
    <row r="13" spans="1:9" s="1321" customFormat="1" ht="30" customHeight="1">
      <c r="A13" s="1314">
        <v>7</v>
      </c>
      <c r="B13" s="1322" t="s">
        <v>554</v>
      </c>
      <c r="C13" s="1323" t="s">
        <v>555</v>
      </c>
      <c r="D13" s="1324">
        <v>395992</v>
      </c>
      <c r="E13" s="1325">
        <v>395992</v>
      </c>
      <c r="F13" s="1318"/>
      <c r="G13" s="1326">
        <v>388059</v>
      </c>
      <c r="H13" s="1327"/>
      <c r="I13" s="1316">
        <f t="shared" si="0"/>
        <v>388059</v>
      </c>
    </row>
    <row r="14" spans="1:9" s="1321" customFormat="1" ht="30" customHeight="1">
      <c r="A14" s="1314">
        <v>8</v>
      </c>
      <c r="B14" s="1322" t="s">
        <v>556</v>
      </c>
      <c r="C14" s="1323" t="s">
        <v>557</v>
      </c>
      <c r="D14" s="1324">
        <v>8948</v>
      </c>
      <c r="E14" s="1325">
        <v>8948</v>
      </c>
      <c r="F14" s="1318"/>
      <c r="G14" s="1326">
        <f>8948-202</f>
        <v>8746</v>
      </c>
      <c r="H14" s="1327"/>
      <c r="I14" s="1316">
        <f t="shared" si="0"/>
        <v>8746</v>
      </c>
    </row>
    <row r="15" spans="1:9" s="1328" customFormat="1" ht="28.5" customHeight="1">
      <c r="A15" s="1314">
        <v>9</v>
      </c>
      <c r="B15" s="1322" t="s">
        <v>558</v>
      </c>
      <c r="C15" s="1323" t="s">
        <v>559</v>
      </c>
      <c r="D15" s="1324">
        <v>215178</v>
      </c>
      <c r="E15" s="1325">
        <v>215178</v>
      </c>
      <c r="F15" s="1327"/>
      <c r="G15" s="1326">
        <v>215087</v>
      </c>
      <c r="H15" s="1327"/>
      <c r="I15" s="1316">
        <f t="shared" si="0"/>
        <v>215087</v>
      </c>
    </row>
    <row r="16" spans="1:9" s="1328" customFormat="1" ht="28.5" customHeight="1">
      <c r="A16" s="1449">
        <v>10</v>
      </c>
      <c r="B16" s="1451" t="s">
        <v>590</v>
      </c>
      <c r="C16" s="1452" t="s">
        <v>591</v>
      </c>
      <c r="D16" s="1417">
        <v>229641</v>
      </c>
      <c r="E16" s="1418">
        <v>229641</v>
      </c>
      <c r="F16" s="1419"/>
      <c r="G16" s="1420">
        <v>215335</v>
      </c>
      <c r="H16" s="1419"/>
      <c r="I16" s="1421">
        <f t="shared" si="0"/>
        <v>215335</v>
      </c>
    </row>
    <row r="17" spans="1:9" s="1328" customFormat="1" ht="28.5" customHeight="1">
      <c r="A17" s="1450">
        <v>11</v>
      </c>
      <c r="B17" s="1618" t="s">
        <v>674</v>
      </c>
      <c r="C17" s="1617" t="s">
        <v>673</v>
      </c>
      <c r="D17" s="1613">
        <v>124937</v>
      </c>
      <c r="E17" s="1613">
        <v>124937</v>
      </c>
      <c r="F17" s="1613"/>
      <c r="G17" s="1613">
        <v>124937</v>
      </c>
      <c r="H17" s="1613"/>
      <c r="I17" s="1614">
        <f t="shared" si="0"/>
        <v>124937</v>
      </c>
    </row>
    <row r="18" spans="1:9" s="1328" customFormat="1" ht="38.25" customHeight="1" thickBot="1">
      <c r="A18" s="1314">
        <v>12</v>
      </c>
      <c r="B18" s="1453" t="s">
        <v>686</v>
      </c>
      <c r="C18" s="1619" t="s">
        <v>685</v>
      </c>
      <c r="D18" s="1615">
        <v>24561</v>
      </c>
      <c r="E18" s="1615">
        <v>24561</v>
      </c>
      <c r="F18" s="1615"/>
      <c r="G18" s="1615">
        <v>24561</v>
      </c>
      <c r="H18" s="1615"/>
      <c r="I18" s="1616">
        <f t="shared" si="0"/>
        <v>24561</v>
      </c>
    </row>
    <row r="19" spans="1:9" s="1328" customFormat="1" ht="28.5" customHeight="1" thickBot="1">
      <c r="A19" s="1314">
        <v>13</v>
      </c>
      <c r="B19" s="1329" t="s">
        <v>543</v>
      </c>
      <c r="C19" s="1329"/>
      <c r="D19" s="1330">
        <f>SUM(D8:D18)</f>
        <v>1611194</v>
      </c>
      <c r="E19" s="1331">
        <f>SUM(E8:E18)</f>
        <v>1611194</v>
      </c>
      <c r="F19" s="1332">
        <f>SUM(F8:F15)</f>
        <v>0</v>
      </c>
      <c r="G19" s="1333">
        <f>SUM(G8:G18)</f>
        <v>1548360</v>
      </c>
      <c r="H19" s="1332">
        <f>SUM(H8:H15)</f>
        <v>0</v>
      </c>
      <c r="I19" s="1330">
        <f>SUM(I8:I18)</f>
        <v>1548360</v>
      </c>
    </row>
  </sheetData>
  <sheetProtection selectLockedCells="1" selectUnlockedCells="1"/>
  <mergeCells count="7">
    <mergeCell ref="A3:I3"/>
    <mergeCell ref="C4:F4"/>
    <mergeCell ref="A5:A6"/>
    <mergeCell ref="B5:B6"/>
    <mergeCell ref="C5:C6"/>
    <mergeCell ref="D5:F5"/>
    <mergeCell ref="G5:I5"/>
  </mergeCells>
  <printOptions horizontalCentered="1" vertic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90" zoomScaleSheetLayoutView="90" zoomScalePageLayoutView="0" workbookViewId="0" topLeftCell="A1">
      <selection activeCell="A2" sqref="A2:N2"/>
    </sheetView>
  </sheetViews>
  <sheetFormatPr defaultColWidth="10.625" defaultRowHeight="12.75"/>
  <cols>
    <col min="1" max="1" width="4.875" style="1108" customWidth="1"/>
    <col min="2" max="2" width="44.875" style="1108" customWidth="1"/>
    <col min="3" max="3" width="10.625" style="1108" customWidth="1"/>
    <col min="4" max="4" width="10.375" style="1108" customWidth="1"/>
    <col min="5" max="5" width="10.625" style="1108" customWidth="1"/>
    <col min="6" max="6" width="10.50390625" style="1108" customWidth="1"/>
    <col min="7" max="7" width="13.625" style="1108" customWidth="1"/>
    <col min="8" max="8" width="12.125" style="1108" customWidth="1"/>
    <col min="9" max="9" width="11.125" style="1108" customWidth="1"/>
    <col min="10" max="10" width="11.875" style="1108" customWidth="1"/>
    <col min="11" max="11" width="11.00390625" style="1108" customWidth="1"/>
    <col min="12" max="12" width="11.875" style="1108" customWidth="1"/>
    <col min="13" max="13" width="12.00390625" style="1108" customWidth="1"/>
    <col min="14" max="14" width="11.875" style="1108" customWidth="1"/>
    <col min="15" max="15" width="15.625" style="1108" customWidth="1"/>
    <col min="16" max="16" width="14.125" style="1108" customWidth="1"/>
    <col min="17" max="17" width="13.125" style="1110" customWidth="1"/>
    <col min="18" max="16384" width="10.625" style="1108" customWidth="1"/>
  </cols>
  <sheetData>
    <row r="1" spans="2:14" ht="12.75">
      <c r="B1" s="1228" t="s">
        <v>739</v>
      </c>
      <c r="N1" s="1109"/>
    </row>
    <row r="2" spans="1:17" s="1111" customFormat="1" ht="19.5" customHeight="1">
      <c r="A2" s="1914" t="s">
        <v>219</v>
      </c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Q2" s="1110"/>
    </row>
    <row r="3" spans="1:17" s="1111" customFormat="1" ht="16.5" customHeight="1">
      <c r="A3" s="1915" t="s">
        <v>589</v>
      </c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Q3" s="1110"/>
    </row>
    <row r="4" spans="1:17" s="1111" customFormat="1" ht="18.75" thickBot="1">
      <c r="A4" s="1112"/>
      <c r="B4" s="1112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3"/>
      <c r="O4" s="1113" t="s">
        <v>380</v>
      </c>
      <c r="P4" s="1114"/>
      <c r="Q4" s="1110"/>
    </row>
    <row r="5" spans="1:17" ht="16.5" customHeight="1" thickBot="1">
      <c r="A5" s="1916" t="s">
        <v>171</v>
      </c>
      <c r="B5" s="1916"/>
      <c r="C5" s="1115" t="s">
        <v>381</v>
      </c>
      <c r="D5" s="1116" t="s">
        <v>382</v>
      </c>
      <c r="E5" s="1116" t="s">
        <v>383</v>
      </c>
      <c r="F5" s="1116" t="s">
        <v>384</v>
      </c>
      <c r="G5" s="1116" t="s">
        <v>385</v>
      </c>
      <c r="H5" s="1116" t="s">
        <v>386</v>
      </c>
      <c r="I5" s="1116" t="s">
        <v>387</v>
      </c>
      <c r="J5" s="1116" t="s">
        <v>388</v>
      </c>
      <c r="K5" s="1116" t="s">
        <v>389</v>
      </c>
      <c r="L5" s="1116" t="s">
        <v>390</v>
      </c>
      <c r="M5" s="1116" t="s">
        <v>391</v>
      </c>
      <c r="N5" s="1117" t="s">
        <v>392</v>
      </c>
      <c r="O5" s="1118" t="s">
        <v>152</v>
      </c>
      <c r="P5" s="1119"/>
      <c r="Q5" s="1120"/>
    </row>
    <row r="6" spans="1:17" s="1111" customFormat="1" ht="16.5" customHeight="1">
      <c r="A6" s="1121" t="s">
        <v>393</v>
      </c>
      <c r="B6" s="1122"/>
      <c r="C6" s="1123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5"/>
      <c r="O6" s="1126"/>
      <c r="P6" s="1127"/>
      <c r="Q6" s="1120"/>
    </row>
    <row r="7" spans="1:17" s="1132" customFormat="1" ht="16.5" customHeight="1">
      <c r="A7" s="1128" t="s">
        <v>9</v>
      </c>
      <c r="B7" s="1129" t="s">
        <v>34</v>
      </c>
      <c r="C7" s="1130">
        <v>21478</v>
      </c>
      <c r="D7" s="1130">
        <v>21478</v>
      </c>
      <c r="E7" s="1130">
        <v>21478</v>
      </c>
      <c r="F7" s="1130">
        <v>21478</v>
      </c>
      <c r="G7" s="1130">
        <v>21478</v>
      </c>
      <c r="H7" s="1130">
        <f>21478+23116</f>
        <v>44594</v>
      </c>
      <c r="I7" s="1130">
        <v>21478</v>
      </c>
      <c r="J7" s="1130">
        <v>21478</v>
      </c>
      <c r="K7" s="1130">
        <v>21478</v>
      </c>
      <c r="L7" s="1130">
        <v>21478</v>
      </c>
      <c r="M7" s="1130">
        <v>21480</v>
      </c>
      <c r="N7" s="1130">
        <v>21480</v>
      </c>
      <c r="O7" s="1130">
        <f>SUM(C7:N7)</f>
        <v>280856</v>
      </c>
      <c r="P7" s="1131"/>
      <c r="Q7" s="1131"/>
    </row>
    <row r="8" spans="1:17" s="1111" customFormat="1" ht="16.5" customHeight="1">
      <c r="A8" s="1133"/>
      <c r="B8" s="1126" t="s">
        <v>81</v>
      </c>
      <c r="C8" s="1134">
        <v>3000</v>
      </c>
      <c r="D8" s="1134">
        <v>3000</v>
      </c>
      <c r="E8" s="1134">
        <f>52000+37000</f>
        <v>89000</v>
      </c>
      <c r="F8" s="1134">
        <v>3000</v>
      </c>
      <c r="G8" s="1134">
        <v>3000</v>
      </c>
      <c r="H8" s="1134">
        <v>3000</v>
      </c>
      <c r="I8" s="1134">
        <v>3000</v>
      </c>
      <c r="J8" s="1134">
        <v>3000</v>
      </c>
      <c r="K8" s="1134">
        <f>52000+37000</f>
        <v>89000</v>
      </c>
      <c r="L8" s="1134">
        <v>3000</v>
      </c>
      <c r="M8" s="1134">
        <v>3000</v>
      </c>
      <c r="N8" s="1134">
        <v>3000</v>
      </c>
      <c r="O8" s="1130">
        <f aca="true" t="shared" si="0" ref="O8:O17">SUM(C8:N8)</f>
        <v>208000</v>
      </c>
      <c r="P8" s="1131"/>
      <c r="Q8" s="1131"/>
    </row>
    <row r="9" spans="1:17" s="1111" customFormat="1" ht="16.5" customHeight="1">
      <c r="A9" s="1133"/>
      <c r="B9" s="1126" t="s">
        <v>82</v>
      </c>
      <c r="C9" s="1134">
        <v>1853</v>
      </c>
      <c r="D9" s="1134">
        <v>26798</v>
      </c>
      <c r="E9" s="1134">
        <f>327447+23300-5000</f>
        <v>345747</v>
      </c>
      <c r="F9" s="1134">
        <v>9753</v>
      </c>
      <c r="G9" s="1134">
        <v>12565</v>
      </c>
      <c r="H9" s="1134">
        <f>81784-20000</f>
        <v>61784</v>
      </c>
      <c r="I9" s="1134">
        <v>100</v>
      </c>
      <c r="J9" s="1134">
        <v>6877</v>
      </c>
      <c r="K9" s="1134">
        <f>241155-10000-30000</f>
        <v>201155</v>
      </c>
      <c r="L9" s="1134">
        <v>7610</v>
      </c>
      <c r="M9" s="1134">
        <f>24447-9128-5000</f>
        <v>10319</v>
      </c>
      <c r="N9" s="1134">
        <f>164497-61486+20000+30000+23300+9128</f>
        <v>185439</v>
      </c>
      <c r="O9" s="1130">
        <f t="shared" si="0"/>
        <v>870000</v>
      </c>
      <c r="P9" s="1131"/>
      <c r="Q9" s="1131"/>
    </row>
    <row r="10" spans="1:17" s="1111" customFormat="1" ht="16.5" customHeight="1">
      <c r="A10" s="1133"/>
      <c r="B10" s="1126" t="s">
        <v>83</v>
      </c>
      <c r="C10" s="1134"/>
      <c r="D10" s="1134"/>
      <c r="E10" s="1134">
        <v>1000</v>
      </c>
      <c r="F10" s="1134"/>
      <c r="G10" s="1134">
        <v>500</v>
      </c>
      <c r="H10" s="1134"/>
      <c r="I10" s="1134"/>
      <c r="J10" s="1134"/>
      <c r="K10" s="1134">
        <v>1500</v>
      </c>
      <c r="L10" s="1134"/>
      <c r="M10" s="1134"/>
      <c r="N10" s="1134"/>
      <c r="O10" s="1130">
        <f t="shared" si="0"/>
        <v>3000</v>
      </c>
      <c r="P10" s="1131"/>
      <c r="Q10" s="1131"/>
    </row>
    <row r="11" spans="1:17" s="1111" customFormat="1" ht="16.5" customHeight="1">
      <c r="A11" s="1135" t="s">
        <v>23</v>
      </c>
      <c r="B11" s="1136" t="s">
        <v>33</v>
      </c>
      <c r="C11" s="1130">
        <f aca="true" t="shared" si="1" ref="C11:N11">SUM(C8+C9+C10)</f>
        <v>4853</v>
      </c>
      <c r="D11" s="1130">
        <f t="shared" si="1"/>
        <v>29798</v>
      </c>
      <c r="E11" s="1137">
        <f t="shared" si="1"/>
        <v>435747</v>
      </c>
      <c r="F11" s="1137">
        <f t="shared" si="1"/>
        <v>12753</v>
      </c>
      <c r="G11" s="1137">
        <f t="shared" si="1"/>
        <v>16065</v>
      </c>
      <c r="H11" s="1137">
        <f>SUM(H8+H9+H10)</f>
        <v>64784</v>
      </c>
      <c r="I11" s="1137">
        <f t="shared" si="1"/>
        <v>3100</v>
      </c>
      <c r="J11" s="1137">
        <f t="shared" si="1"/>
        <v>9877</v>
      </c>
      <c r="K11" s="1130">
        <f t="shared" si="1"/>
        <v>291655</v>
      </c>
      <c r="L11" s="1130">
        <f>SUM(L8+L9+L10)</f>
        <v>10610</v>
      </c>
      <c r="M11" s="1137">
        <f t="shared" si="1"/>
        <v>13319</v>
      </c>
      <c r="N11" s="1137">
        <f t="shared" si="1"/>
        <v>188439</v>
      </c>
      <c r="O11" s="1130">
        <f t="shared" si="0"/>
        <v>1081000</v>
      </c>
      <c r="P11" s="1131"/>
      <c r="Q11" s="1131"/>
    </row>
    <row r="12" spans="1:17" s="1140" customFormat="1" ht="16.5" customHeight="1">
      <c r="A12" s="1135" t="s">
        <v>25</v>
      </c>
      <c r="B12" s="1138" t="s">
        <v>63</v>
      </c>
      <c r="C12" s="1130"/>
      <c r="D12" s="1130"/>
      <c r="E12" s="1130"/>
      <c r="F12" s="1130"/>
      <c r="G12" s="1130"/>
      <c r="H12" s="1130">
        <v>400</v>
      </c>
      <c r="I12" s="1130"/>
      <c r="J12" s="1130"/>
      <c r="K12" s="1130"/>
      <c r="L12" s="1130"/>
      <c r="M12" s="1130"/>
      <c r="N12" s="1130"/>
      <c r="O12" s="1130">
        <f t="shared" si="0"/>
        <v>400</v>
      </c>
      <c r="P12" s="1139"/>
      <c r="Q12" s="1131"/>
    </row>
    <row r="13" spans="1:17" ht="24.75" customHeight="1">
      <c r="A13" s="1135" t="s">
        <v>27</v>
      </c>
      <c r="B13" s="1141" t="s">
        <v>451</v>
      </c>
      <c r="C13" s="1130">
        <v>69119</v>
      </c>
      <c r="D13" s="1130">
        <v>69119</v>
      </c>
      <c r="E13" s="1130">
        <f>69119+771+777+4432+3983+24561</f>
        <v>103643</v>
      </c>
      <c r="F13" s="1130">
        <v>69119</v>
      </c>
      <c r="G13" s="1130">
        <v>69119</v>
      </c>
      <c r="H13" s="1130">
        <f>69119+12381-420+5660+476</f>
        <v>87216</v>
      </c>
      <c r="I13" s="1130">
        <v>69119</v>
      </c>
      <c r="J13" s="1130">
        <v>69119</v>
      </c>
      <c r="K13" s="1130">
        <v>69119</v>
      </c>
      <c r="L13" s="1130">
        <v>69119</v>
      </c>
      <c r="M13" s="1130">
        <v>69119</v>
      </c>
      <c r="N13" s="1130">
        <v>69113</v>
      </c>
      <c r="O13" s="1447">
        <f t="shared" si="0"/>
        <v>882043</v>
      </c>
      <c r="P13" s="1448"/>
      <c r="Q13" s="1131"/>
    </row>
    <row r="14" spans="1:17" ht="16.5" customHeight="1">
      <c r="A14" s="1135" t="s">
        <v>29</v>
      </c>
      <c r="B14" s="1138" t="s">
        <v>394</v>
      </c>
      <c r="C14" s="1130"/>
      <c r="D14" s="1130"/>
      <c r="E14" s="1130"/>
      <c r="F14" s="1130"/>
      <c r="G14" s="1130"/>
      <c r="H14" s="1130"/>
      <c r="I14" s="1130"/>
      <c r="J14" s="1130"/>
      <c r="K14" s="1130"/>
      <c r="L14" s="1130"/>
      <c r="M14" s="1130"/>
      <c r="N14" s="1130"/>
      <c r="O14" s="1130">
        <f t="shared" si="0"/>
        <v>0</v>
      </c>
      <c r="P14" s="1131"/>
      <c r="Q14" s="1131"/>
    </row>
    <row r="15" spans="1:17" s="1140" customFormat="1" ht="16.5" customHeight="1">
      <c r="A15" s="1135" t="s">
        <v>31</v>
      </c>
      <c r="B15" s="1138" t="s">
        <v>395</v>
      </c>
      <c r="C15" s="1130">
        <f>207+35</f>
        <v>242</v>
      </c>
      <c r="D15" s="1130">
        <v>35</v>
      </c>
      <c r="E15" s="1130">
        <v>35</v>
      </c>
      <c r="F15" s="1130">
        <v>35</v>
      </c>
      <c r="G15" s="1130">
        <v>35</v>
      </c>
      <c r="H15" s="1130">
        <f>35+2588</f>
        <v>2623</v>
      </c>
      <c r="I15" s="1130">
        <v>35</v>
      </c>
      <c r="J15" s="1130">
        <v>35</v>
      </c>
      <c r="K15" s="1130">
        <v>35</v>
      </c>
      <c r="L15" s="1130">
        <v>35</v>
      </c>
      <c r="M15" s="1130">
        <v>35</v>
      </c>
      <c r="N15" s="1130">
        <v>35</v>
      </c>
      <c r="O15" s="1130">
        <f t="shared" si="0"/>
        <v>3215</v>
      </c>
      <c r="P15" s="1139"/>
      <c r="Q15" s="1131"/>
    </row>
    <row r="16" spans="1:17" s="1140" customFormat="1" ht="16.5" customHeight="1">
      <c r="A16" s="1135" t="s">
        <v>74</v>
      </c>
      <c r="B16" s="1138" t="s">
        <v>396</v>
      </c>
      <c r="C16" s="1130">
        <v>197795</v>
      </c>
      <c r="D16" s="1130">
        <v>197795</v>
      </c>
      <c r="E16" s="1130">
        <v>197795</v>
      </c>
      <c r="F16" s="1130">
        <v>197795</v>
      </c>
      <c r="G16" s="1130">
        <v>197795</v>
      </c>
      <c r="H16" s="1130">
        <f>197795+639835</f>
        <v>837630</v>
      </c>
      <c r="I16" s="1130">
        <v>197795</v>
      </c>
      <c r="J16" s="1130">
        <v>197795</v>
      </c>
      <c r="K16" s="1130">
        <v>197797</v>
      </c>
      <c r="L16" s="1130">
        <v>197795</v>
      </c>
      <c r="M16" s="1130">
        <v>197795</v>
      </c>
      <c r="N16" s="1130">
        <v>197797</v>
      </c>
      <c r="O16" s="1130">
        <f t="shared" si="0"/>
        <v>3013379</v>
      </c>
      <c r="P16" s="1139"/>
      <c r="Q16" s="1131"/>
    </row>
    <row r="17" spans="1:17" ht="16.5" customHeight="1" thickBot="1">
      <c r="A17" s="1135" t="s">
        <v>77</v>
      </c>
      <c r="B17" s="1142" t="s">
        <v>397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4">
        <f t="shared" si="0"/>
        <v>0</v>
      </c>
      <c r="P17" s="1131"/>
      <c r="Q17" s="1131"/>
    </row>
    <row r="18" spans="1:17" s="1140" customFormat="1" ht="16.5" customHeight="1" thickBot="1">
      <c r="A18" s="1145"/>
      <c r="B18" s="1146" t="s">
        <v>398</v>
      </c>
      <c r="C18" s="1147">
        <f>+C7+C11+C12+C13+C14+C15+C16+C17</f>
        <v>293487</v>
      </c>
      <c r="D18" s="1147">
        <f aca="true" t="shared" si="2" ref="D18:N18">+D7+D11+D12+D13+D14+D15+D16+D17</f>
        <v>318225</v>
      </c>
      <c r="E18" s="1147">
        <f t="shared" si="2"/>
        <v>758698</v>
      </c>
      <c r="F18" s="1147">
        <f t="shared" si="2"/>
        <v>301180</v>
      </c>
      <c r="G18" s="1147">
        <f t="shared" si="2"/>
        <v>304492</v>
      </c>
      <c r="H18" s="1147">
        <f t="shared" si="2"/>
        <v>1037247</v>
      </c>
      <c r="I18" s="1147">
        <f t="shared" si="2"/>
        <v>291527</v>
      </c>
      <c r="J18" s="1147">
        <f t="shared" si="2"/>
        <v>298304</v>
      </c>
      <c r="K18" s="1147">
        <f t="shared" si="2"/>
        <v>580084</v>
      </c>
      <c r="L18" s="1147">
        <f t="shared" si="2"/>
        <v>299037</v>
      </c>
      <c r="M18" s="1147">
        <f t="shared" si="2"/>
        <v>301748</v>
      </c>
      <c r="N18" s="1147">
        <f t="shared" si="2"/>
        <v>476864</v>
      </c>
      <c r="O18" s="1147">
        <f>SUM(C18:N18)</f>
        <v>5260893</v>
      </c>
      <c r="P18" s="1139"/>
      <c r="Q18" s="1131"/>
    </row>
    <row r="19" spans="14:17" ht="12.75">
      <c r="N19" s="1109"/>
      <c r="O19" s="1119"/>
      <c r="P19" s="1119"/>
      <c r="Q19" s="1131"/>
    </row>
    <row r="20" spans="1:17" s="1111" customFormat="1" ht="19.5" customHeight="1">
      <c r="A20" s="1914" t="s">
        <v>219</v>
      </c>
      <c r="B20" s="1914"/>
      <c r="C20" s="1914"/>
      <c r="D20" s="1914"/>
      <c r="E20" s="1914"/>
      <c r="F20" s="1914"/>
      <c r="G20" s="1914"/>
      <c r="H20" s="1914"/>
      <c r="I20" s="1914"/>
      <c r="J20" s="1914"/>
      <c r="K20" s="1914"/>
      <c r="L20" s="1914"/>
      <c r="M20" s="1914"/>
      <c r="N20" s="1914"/>
      <c r="P20" s="1132"/>
      <c r="Q20" s="1131"/>
    </row>
    <row r="21" spans="1:17" s="1111" customFormat="1" ht="16.5" customHeight="1">
      <c r="A21" s="1915" t="s">
        <v>589</v>
      </c>
      <c r="B21" s="1914"/>
      <c r="C21" s="1914"/>
      <c r="D21" s="1914"/>
      <c r="E21" s="1914"/>
      <c r="F21" s="1914"/>
      <c r="G21" s="1914"/>
      <c r="H21" s="1914"/>
      <c r="I21" s="1914"/>
      <c r="J21" s="1914"/>
      <c r="K21" s="1914"/>
      <c r="L21" s="1914"/>
      <c r="M21" s="1914"/>
      <c r="N21" s="1914"/>
      <c r="Q21" s="1131"/>
    </row>
    <row r="22" spans="1:17" s="1148" customFormat="1" ht="15" customHeight="1" thickBot="1">
      <c r="A22" s="112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13"/>
      <c r="O22" s="1113" t="s">
        <v>380</v>
      </c>
      <c r="P22" s="1149"/>
      <c r="Q22" s="1149"/>
    </row>
    <row r="23" spans="1:17" s="1148" customFormat="1" ht="16.5" customHeight="1" thickBot="1">
      <c r="A23" s="1917" t="s">
        <v>171</v>
      </c>
      <c r="B23" s="1917"/>
      <c r="C23" s="1150" t="s">
        <v>381</v>
      </c>
      <c r="D23" s="1150" t="s">
        <v>382</v>
      </c>
      <c r="E23" s="1150" t="s">
        <v>383</v>
      </c>
      <c r="F23" s="1150" t="s">
        <v>384</v>
      </c>
      <c r="G23" s="1150" t="s">
        <v>385</v>
      </c>
      <c r="H23" s="1150" t="s">
        <v>386</v>
      </c>
      <c r="I23" s="1150" t="s">
        <v>387</v>
      </c>
      <c r="J23" s="1150" t="s">
        <v>388</v>
      </c>
      <c r="K23" s="1150" t="s">
        <v>389</v>
      </c>
      <c r="L23" s="1150" t="s">
        <v>390</v>
      </c>
      <c r="M23" s="1150" t="s">
        <v>391</v>
      </c>
      <c r="N23" s="1150" t="s">
        <v>392</v>
      </c>
      <c r="O23" s="1151" t="s">
        <v>152</v>
      </c>
      <c r="P23" s="1149"/>
      <c r="Q23" s="1120"/>
    </row>
    <row r="24" spans="1:16" ht="15" customHeight="1">
      <c r="A24" s="1152" t="s">
        <v>3</v>
      </c>
      <c r="B24" s="1153"/>
      <c r="C24" s="1134"/>
      <c r="D24" s="1134"/>
      <c r="E24" s="1134"/>
      <c r="F24" s="1134"/>
      <c r="G24" s="1134"/>
      <c r="H24" s="1134"/>
      <c r="I24" s="1134"/>
      <c r="J24" s="1134"/>
      <c r="K24" s="1134"/>
      <c r="L24" s="1134"/>
      <c r="M24" s="1134"/>
      <c r="N24" s="1134"/>
      <c r="O24" s="1130"/>
      <c r="P24" s="1131"/>
    </row>
    <row r="25" spans="1:19" ht="16.5" customHeight="1">
      <c r="A25" s="1154">
        <v>1</v>
      </c>
      <c r="B25" s="1155" t="s">
        <v>399</v>
      </c>
      <c r="C25" s="1134">
        <f>84669-10000</f>
        <v>74669</v>
      </c>
      <c r="D25" s="1134">
        <v>84669</v>
      </c>
      <c r="E25" s="1134">
        <f>84669+16240</f>
        <v>100909</v>
      </c>
      <c r="F25" s="1134">
        <v>84669</v>
      </c>
      <c r="G25" s="1134">
        <v>84669</v>
      </c>
      <c r="H25" s="1134">
        <f>84669+5019+1</f>
        <v>89689</v>
      </c>
      <c r="I25" s="1134">
        <f>84669+1878</f>
        <v>86547</v>
      </c>
      <c r="J25" s="1134">
        <f>84669+1878</f>
        <v>86547</v>
      </c>
      <c r="K25" s="1134">
        <f>84669+1878</f>
        <v>86547</v>
      </c>
      <c r="L25" s="1134">
        <f>84669+1878</f>
        <v>86547</v>
      </c>
      <c r="M25" s="1134">
        <f>84669+1878</f>
        <v>86547</v>
      </c>
      <c r="N25" s="1134">
        <f>94674+1878</f>
        <v>96552</v>
      </c>
      <c r="O25" s="1130">
        <f aca="true" t="shared" si="3" ref="O25:O40">SUM(C25:N25)</f>
        <v>1048561</v>
      </c>
      <c r="P25" s="1131"/>
      <c r="Q25" s="1131"/>
      <c r="R25" s="1131"/>
      <c r="S25" s="1131"/>
    </row>
    <row r="26" spans="1:18" ht="16.5" customHeight="1">
      <c r="A26" s="1154">
        <v>2</v>
      </c>
      <c r="B26" s="1155" t="s">
        <v>400</v>
      </c>
      <c r="C26" s="1134">
        <v>13073</v>
      </c>
      <c r="D26" s="1134">
        <v>17073</v>
      </c>
      <c r="E26" s="1134">
        <f>17073+3196</f>
        <v>20269</v>
      </c>
      <c r="F26" s="1134">
        <v>17073</v>
      </c>
      <c r="G26" s="1134">
        <v>17073</v>
      </c>
      <c r="H26" s="1134">
        <f>17073+1117+1</f>
        <v>18191</v>
      </c>
      <c r="I26" s="1134">
        <f>17073+393</f>
        <v>17466</v>
      </c>
      <c r="J26" s="1134">
        <f>17073+393</f>
        <v>17466</v>
      </c>
      <c r="K26" s="1134">
        <f>17073+393</f>
        <v>17466</v>
      </c>
      <c r="L26" s="1134">
        <f>17073+393</f>
        <v>17466</v>
      </c>
      <c r="M26" s="1134">
        <f>17073+393</f>
        <v>17466</v>
      </c>
      <c r="N26" s="1134">
        <f>21078+392</f>
        <v>21470</v>
      </c>
      <c r="O26" s="1130">
        <f t="shared" si="3"/>
        <v>211552</v>
      </c>
      <c r="P26" s="1131"/>
      <c r="Q26" s="1131"/>
      <c r="R26" s="1131"/>
    </row>
    <row r="27" spans="1:18" ht="16.5" customHeight="1">
      <c r="A27" s="1154">
        <v>3</v>
      </c>
      <c r="B27" s="1155" t="s">
        <v>401</v>
      </c>
      <c r="C27" s="1134">
        <v>62827</v>
      </c>
      <c r="D27" s="1134">
        <v>62827</v>
      </c>
      <c r="E27" s="1134">
        <f>62827+14742</f>
        <v>77569</v>
      </c>
      <c r="F27" s="1134">
        <v>62827</v>
      </c>
      <c r="G27" s="1134">
        <v>62827</v>
      </c>
      <c r="H27" s="1134">
        <f>62827-1327</f>
        <v>61500</v>
      </c>
      <c r="I27" s="1134">
        <f>62827+4413</f>
        <v>67240</v>
      </c>
      <c r="J27" s="1134">
        <v>62827</v>
      </c>
      <c r="K27" s="1134">
        <v>62827</v>
      </c>
      <c r="L27" s="1134">
        <v>62827</v>
      </c>
      <c r="M27" s="1134">
        <f>62827+4400</f>
        <v>67227</v>
      </c>
      <c r="N27" s="1134">
        <f>62827-6</f>
        <v>62821</v>
      </c>
      <c r="O27" s="1130">
        <f t="shared" si="3"/>
        <v>776146</v>
      </c>
      <c r="P27" s="1131"/>
      <c r="Q27" s="1131"/>
      <c r="R27" s="1131"/>
    </row>
    <row r="28" spans="1:18" ht="16.5" customHeight="1">
      <c r="A28" s="1154">
        <v>4</v>
      </c>
      <c r="B28" s="1156" t="s">
        <v>402</v>
      </c>
      <c r="C28" s="1130">
        <f>SUM(C25:C27)</f>
        <v>150569</v>
      </c>
      <c r="D28" s="1130">
        <f aca="true" t="shared" si="4" ref="D28:N28">SUM(D25:D27)</f>
        <v>164569</v>
      </c>
      <c r="E28" s="1130">
        <f t="shared" si="4"/>
        <v>198747</v>
      </c>
      <c r="F28" s="1130">
        <f t="shared" si="4"/>
        <v>164569</v>
      </c>
      <c r="G28" s="1130">
        <f t="shared" si="4"/>
        <v>164569</v>
      </c>
      <c r="H28" s="1130">
        <f>SUM(H25:H27)</f>
        <v>169380</v>
      </c>
      <c r="I28" s="1130">
        <f t="shared" si="4"/>
        <v>171253</v>
      </c>
      <c r="J28" s="1130">
        <f t="shared" si="4"/>
        <v>166840</v>
      </c>
      <c r="K28" s="1130">
        <f t="shared" si="4"/>
        <v>166840</v>
      </c>
      <c r="L28" s="1130">
        <f t="shared" si="4"/>
        <v>166840</v>
      </c>
      <c r="M28" s="1130">
        <f t="shared" si="4"/>
        <v>171240</v>
      </c>
      <c r="N28" s="1130">
        <f t="shared" si="4"/>
        <v>180843</v>
      </c>
      <c r="O28" s="1130">
        <f t="shared" si="3"/>
        <v>2036259</v>
      </c>
      <c r="P28" s="1139"/>
      <c r="Q28" s="1131"/>
      <c r="R28" s="1119"/>
    </row>
    <row r="29" spans="1:18" ht="16.5" customHeight="1">
      <c r="A29" s="1154">
        <v>5</v>
      </c>
      <c r="B29" s="1156" t="s">
        <v>21</v>
      </c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>
        <f t="shared" si="3"/>
        <v>0</v>
      </c>
      <c r="P29" s="1131"/>
      <c r="Q29" s="1131"/>
      <c r="R29" s="1119"/>
    </row>
    <row r="30" spans="1:18" ht="16.5" customHeight="1">
      <c r="A30" s="1154">
        <v>6</v>
      </c>
      <c r="B30" s="1157" t="s">
        <v>403</v>
      </c>
      <c r="C30" s="1134">
        <v>110</v>
      </c>
      <c r="D30" s="1134"/>
      <c r="E30" s="1134">
        <v>9000</v>
      </c>
      <c r="F30" s="1134"/>
      <c r="G30" s="1134">
        <f>9000-1600+84</f>
        <v>7484</v>
      </c>
      <c r="H30" s="1134"/>
      <c r="I30" s="1134">
        <v>5000</v>
      </c>
      <c r="J30" s="1134"/>
      <c r="K30" s="1134"/>
      <c r="L30" s="1134"/>
      <c r="M30" s="1134">
        <v>4000</v>
      </c>
      <c r="N30" s="1134"/>
      <c r="O30" s="1130">
        <f t="shared" si="3"/>
        <v>25594</v>
      </c>
      <c r="P30" s="1139"/>
      <c r="Q30" s="1131"/>
      <c r="R30" s="1119"/>
    </row>
    <row r="31" spans="1:18" s="1158" customFormat="1" ht="45" customHeight="1">
      <c r="A31" s="1159">
        <v>7</v>
      </c>
      <c r="B31" s="1160" t="s">
        <v>453</v>
      </c>
      <c r="C31" s="1161">
        <v>4418</v>
      </c>
      <c r="D31" s="1161">
        <v>4418</v>
      </c>
      <c r="E31" s="1161">
        <v>4418</v>
      </c>
      <c r="F31" s="1161">
        <v>4418</v>
      </c>
      <c r="G31" s="1161">
        <f>4418+1600+110-84</f>
        <v>6044</v>
      </c>
      <c r="H31" s="1161">
        <f>4418+500</f>
        <v>4918</v>
      </c>
      <c r="I31" s="1161">
        <v>4418</v>
      </c>
      <c r="J31" s="1161">
        <v>4418</v>
      </c>
      <c r="K31" s="1161">
        <v>4418</v>
      </c>
      <c r="L31" s="1161">
        <v>4418</v>
      </c>
      <c r="M31" s="1161">
        <v>4418</v>
      </c>
      <c r="N31" s="1161">
        <v>4417</v>
      </c>
      <c r="O31" s="1162">
        <f t="shared" si="3"/>
        <v>55141</v>
      </c>
      <c r="P31" s="1163"/>
      <c r="Q31" s="1131"/>
      <c r="R31" s="1164"/>
    </row>
    <row r="32" spans="1:18" ht="16.5" customHeight="1">
      <c r="A32" s="1154">
        <v>8</v>
      </c>
      <c r="B32" s="1165" t="s">
        <v>18</v>
      </c>
      <c r="C32" s="1130">
        <v>2905</v>
      </c>
      <c r="D32" s="1130">
        <v>2905</v>
      </c>
      <c r="E32" s="1130">
        <v>2905</v>
      </c>
      <c r="F32" s="1130">
        <v>2905</v>
      </c>
      <c r="G32" s="1130">
        <v>2905</v>
      </c>
      <c r="H32" s="1130">
        <v>2905</v>
      </c>
      <c r="I32" s="1130">
        <v>2905</v>
      </c>
      <c r="J32" s="1130">
        <v>2905</v>
      </c>
      <c r="K32" s="1130">
        <v>2905</v>
      </c>
      <c r="L32" s="1130">
        <v>2905</v>
      </c>
      <c r="M32" s="1130">
        <v>2905</v>
      </c>
      <c r="N32" s="1130">
        <f>2905+9000-3-2</f>
        <v>11900</v>
      </c>
      <c r="O32" s="1130">
        <f t="shared" si="3"/>
        <v>43855</v>
      </c>
      <c r="P32" s="1131"/>
      <c r="Q32" s="1131"/>
      <c r="R32" s="1119"/>
    </row>
    <row r="33" spans="1:18" ht="16.5" customHeight="1">
      <c r="A33" s="1154">
        <v>9</v>
      </c>
      <c r="B33" s="1156" t="s">
        <v>53</v>
      </c>
      <c r="C33" s="1130"/>
      <c r="D33" s="1130"/>
      <c r="E33" s="1130">
        <f>82355+100</f>
        <v>82455</v>
      </c>
      <c r="F33" s="1130">
        <v>82355</v>
      </c>
      <c r="G33" s="1130">
        <v>82355</v>
      </c>
      <c r="H33" s="1130">
        <f>182355+22260+400+1327-1</f>
        <v>206341</v>
      </c>
      <c r="I33" s="1130">
        <v>382355</v>
      </c>
      <c r="J33" s="1130">
        <v>82355</v>
      </c>
      <c r="K33" s="1130">
        <v>182355</v>
      </c>
      <c r="L33" s="1130">
        <v>182355</v>
      </c>
      <c r="M33" s="1130">
        <v>182355</v>
      </c>
      <c r="N33" s="1130">
        <f>82357+31792</f>
        <v>114149</v>
      </c>
      <c r="O33" s="1130">
        <f t="shared" si="3"/>
        <v>1579430</v>
      </c>
      <c r="P33" s="1131"/>
      <c r="Q33" s="1131"/>
      <c r="R33" s="1119"/>
    </row>
    <row r="34" spans="1:18" ht="16.5" customHeight="1">
      <c r="A34" s="1154">
        <v>10</v>
      </c>
      <c r="B34" s="1165" t="s">
        <v>56</v>
      </c>
      <c r="C34" s="1130"/>
      <c r="D34" s="1130"/>
      <c r="E34" s="1130">
        <v>838</v>
      </c>
      <c r="F34" s="1130"/>
      <c r="G34" s="1130"/>
      <c r="H34" s="1130">
        <v>152</v>
      </c>
      <c r="I34" s="1130">
        <v>2000</v>
      </c>
      <c r="J34" s="1130">
        <v>72707</v>
      </c>
      <c r="K34" s="1130"/>
      <c r="L34" s="1130"/>
      <c r="M34" s="1130">
        <v>57218</v>
      </c>
      <c r="N34" s="1130">
        <v>152</v>
      </c>
      <c r="O34" s="1130">
        <f t="shared" si="3"/>
        <v>133067</v>
      </c>
      <c r="P34" s="1131"/>
      <c r="Q34" s="1131"/>
      <c r="R34" s="1119"/>
    </row>
    <row r="35" spans="1:18" ht="16.5" customHeight="1">
      <c r="A35" s="1154">
        <v>11</v>
      </c>
      <c r="B35" s="1157" t="s">
        <v>404</v>
      </c>
      <c r="C35" s="1166">
        <v>0</v>
      </c>
      <c r="D35" s="1166">
        <v>0</v>
      </c>
      <c r="E35" s="1166">
        <v>0</v>
      </c>
      <c r="F35" s="1166">
        <v>0</v>
      </c>
      <c r="G35" s="1166">
        <v>0</v>
      </c>
      <c r="H35" s="1166">
        <v>0</v>
      </c>
      <c r="I35" s="1166">
        <v>0</v>
      </c>
      <c r="J35" s="1166">
        <v>0</v>
      </c>
      <c r="K35" s="1166">
        <v>0</v>
      </c>
      <c r="L35" s="1166">
        <v>0</v>
      </c>
      <c r="M35" s="1166">
        <v>0</v>
      </c>
      <c r="N35" s="1166">
        <v>0</v>
      </c>
      <c r="O35" s="1130">
        <f t="shared" si="3"/>
        <v>0</v>
      </c>
      <c r="P35" s="1139"/>
      <c r="Q35" s="1131"/>
      <c r="R35" s="1119"/>
    </row>
    <row r="36" spans="1:18" ht="16.5" customHeight="1">
      <c r="A36" s="1154">
        <v>12</v>
      </c>
      <c r="B36" s="1165" t="s">
        <v>85</v>
      </c>
      <c r="C36" s="1166">
        <v>61952</v>
      </c>
      <c r="D36" s="1166">
        <v>61952</v>
      </c>
      <c r="E36" s="1166">
        <f>61952+246</f>
        <v>62198</v>
      </c>
      <c r="F36" s="1166">
        <v>61952</v>
      </c>
      <c r="G36" s="1166">
        <v>61952</v>
      </c>
      <c r="H36" s="1166">
        <v>61951</v>
      </c>
      <c r="I36" s="1166">
        <f>61952+632192</f>
        <v>694144</v>
      </c>
      <c r="J36" s="1166">
        <v>61954</v>
      </c>
      <c r="K36" s="1166">
        <v>61952</v>
      </c>
      <c r="L36" s="1166">
        <v>61952</v>
      </c>
      <c r="M36" s="1166">
        <v>61952</v>
      </c>
      <c r="N36" s="1166">
        <v>61955</v>
      </c>
      <c r="O36" s="1130">
        <f t="shared" si="3"/>
        <v>1375866</v>
      </c>
      <c r="P36" s="1139"/>
      <c r="Q36" s="1131"/>
      <c r="R36" s="1119"/>
    </row>
    <row r="37" spans="1:18" ht="16.5" customHeight="1" thickBot="1">
      <c r="A37" s="1154">
        <v>13</v>
      </c>
      <c r="B37" s="1167" t="s">
        <v>405</v>
      </c>
      <c r="C37" s="1168"/>
      <c r="D37" s="1168"/>
      <c r="E37" s="1168"/>
      <c r="F37" s="1168"/>
      <c r="G37" s="1134"/>
      <c r="H37" s="1134"/>
      <c r="I37" s="1134"/>
      <c r="J37" s="1134"/>
      <c r="K37" s="1134"/>
      <c r="L37" s="1134"/>
      <c r="M37" s="1166"/>
      <c r="N37" s="1134">
        <v>11681</v>
      </c>
      <c r="O37" s="1130">
        <f t="shared" si="3"/>
        <v>11681</v>
      </c>
      <c r="P37" s="1139"/>
      <c r="Q37" s="1131"/>
      <c r="R37" s="1119"/>
    </row>
    <row r="38" spans="1:18" ht="16.5" customHeight="1" thickBot="1">
      <c r="A38" s="1154">
        <v>14</v>
      </c>
      <c r="B38" s="1169" t="s">
        <v>406</v>
      </c>
      <c r="C38" s="1147">
        <f aca="true" t="shared" si="5" ref="C38:N38">SUM(C28:C37)</f>
        <v>219954</v>
      </c>
      <c r="D38" s="1147">
        <f t="shared" si="5"/>
        <v>233844</v>
      </c>
      <c r="E38" s="1147">
        <f t="shared" si="5"/>
        <v>360561</v>
      </c>
      <c r="F38" s="1147">
        <f t="shared" si="5"/>
        <v>316199</v>
      </c>
      <c r="G38" s="1147">
        <f>SUM(G28:G37)</f>
        <v>325309</v>
      </c>
      <c r="H38" s="1147">
        <f t="shared" si="5"/>
        <v>445647</v>
      </c>
      <c r="I38" s="1147">
        <f t="shared" si="5"/>
        <v>1262075</v>
      </c>
      <c r="J38" s="1147">
        <f t="shared" si="5"/>
        <v>391179</v>
      </c>
      <c r="K38" s="1147">
        <f t="shared" si="5"/>
        <v>418470</v>
      </c>
      <c r="L38" s="1147">
        <f t="shared" si="5"/>
        <v>418470</v>
      </c>
      <c r="M38" s="1147">
        <f t="shared" si="5"/>
        <v>484088</v>
      </c>
      <c r="N38" s="1147">
        <f t="shared" si="5"/>
        <v>385097</v>
      </c>
      <c r="O38" s="1130">
        <f>SUM(C38:N38)</f>
        <v>5260893</v>
      </c>
      <c r="P38" s="1139"/>
      <c r="Q38" s="1131"/>
      <c r="R38" s="1119"/>
    </row>
    <row r="39" spans="1:18" ht="16.5" customHeight="1">
      <c r="A39" s="1154">
        <v>15</v>
      </c>
      <c r="B39" s="1170"/>
      <c r="C39" s="1168"/>
      <c r="D39" s="1168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34">
        <f t="shared" si="3"/>
        <v>0</v>
      </c>
      <c r="P39" s="1131"/>
      <c r="R39" s="1119"/>
    </row>
    <row r="40" spans="1:18" ht="16.5" customHeight="1" thickBot="1">
      <c r="A40" s="1154">
        <v>16</v>
      </c>
      <c r="B40" s="1171" t="s">
        <v>452</v>
      </c>
      <c r="C40" s="1172">
        <f aca="true" t="shared" si="6" ref="C40:N40">SUM(C18-C38)</f>
        <v>73533</v>
      </c>
      <c r="D40" s="1172">
        <f t="shared" si="6"/>
        <v>84381</v>
      </c>
      <c r="E40" s="1172">
        <f t="shared" si="6"/>
        <v>398137</v>
      </c>
      <c r="F40" s="1172">
        <f t="shared" si="6"/>
        <v>-15019</v>
      </c>
      <c r="G40" s="1172">
        <f t="shared" si="6"/>
        <v>-20817</v>
      </c>
      <c r="H40" s="1172">
        <f t="shared" si="6"/>
        <v>591600</v>
      </c>
      <c r="I40" s="1172">
        <f t="shared" si="6"/>
        <v>-970548</v>
      </c>
      <c r="J40" s="1172">
        <f t="shared" si="6"/>
        <v>-92875</v>
      </c>
      <c r="K40" s="1172">
        <f t="shared" si="6"/>
        <v>161614</v>
      </c>
      <c r="L40" s="1172">
        <f t="shared" si="6"/>
        <v>-119433</v>
      </c>
      <c r="M40" s="1172">
        <f t="shared" si="6"/>
        <v>-182340</v>
      </c>
      <c r="N40" s="1172">
        <f t="shared" si="6"/>
        <v>91767</v>
      </c>
      <c r="O40" s="1173">
        <f t="shared" si="3"/>
        <v>0</v>
      </c>
      <c r="P40" s="1131"/>
      <c r="R40" s="1119"/>
    </row>
    <row r="41" spans="3:16" ht="12.75">
      <c r="C41" s="1174"/>
      <c r="D41" s="1174"/>
      <c r="E41" s="1174"/>
      <c r="F41" s="1174"/>
      <c r="G41" s="1174"/>
      <c r="H41" s="1174"/>
      <c r="I41" s="1174"/>
      <c r="J41" s="1174"/>
      <c r="K41" s="1174"/>
      <c r="L41" s="1174"/>
      <c r="M41" s="1174"/>
      <c r="N41" s="1174"/>
      <c r="O41" s="1131"/>
      <c r="P41" s="1174"/>
    </row>
    <row r="42" spans="3:14" ht="12.75"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</row>
    <row r="43" spans="14:16" ht="12.75">
      <c r="N43" s="1119"/>
      <c r="O43" s="1119"/>
      <c r="P43" s="1174"/>
    </row>
    <row r="44" ht="12.75">
      <c r="O44" s="1119"/>
    </row>
    <row r="45" ht="12.75">
      <c r="O45" s="1119"/>
    </row>
  </sheetData>
  <sheetProtection selectLockedCells="1" selectUnlockedCells="1"/>
  <mergeCells count="6">
    <mergeCell ref="A2:N2"/>
    <mergeCell ref="A3:N3"/>
    <mergeCell ref="A5:B5"/>
    <mergeCell ref="A20:N20"/>
    <mergeCell ref="A21:N21"/>
    <mergeCell ref="A23:B23"/>
  </mergeCells>
  <printOptions/>
  <pageMargins left="0.7874015748031497" right="0.7874015748031497" top="0.8661417322834646" bottom="0.787401574803149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63.875" style="628" customWidth="1"/>
    <col min="3" max="3" width="16.50390625" style="0" customWidth="1"/>
    <col min="4" max="4" width="16.00390625" style="0" customWidth="1"/>
    <col min="5" max="5" width="14.875" style="0" customWidth="1"/>
    <col min="7" max="7" width="49.00390625" style="628" customWidth="1"/>
    <col min="8" max="8" width="16.125" style="0" customWidth="1"/>
    <col min="9" max="9" width="16.375" style="0" customWidth="1"/>
    <col min="10" max="10" width="16.125" style="0" customWidth="1"/>
  </cols>
  <sheetData>
    <row r="1" spans="1:10" ht="15.75">
      <c r="A1" s="1"/>
      <c r="B1" s="1630" t="s">
        <v>710</v>
      </c>
      <c r="C1" s="346"/>
      <c r="D1" s="346"/>
      <c r="E1" s="346"/>
      <c r="F1" s="1"/>
      <c r="G1" s="1"/>
      <c r="H1" s="3"/>
      <c r="I1" s="3"/>
      <c r="J1" s="3"/>
    </row>
    <row r="2" spans="1:10" ht="15.75">
      <c r="A2" s="1"/>
      <c r="B2"/>
      <c r="C2" s="346"/>
      <c r="D2" s="346"/>
      <c r="E2" s="346"/>
      <c r="F2" s="1"/>
      <c r="G2" s="1"/>
      <c r="H2" s="3"/>
      <c r="I2" s="3"/>
      <c r="J2" s="3"/>
    </row>
    <row r="3" spans="1:10" ht="15.75">
      <c r="A3" s="1"/>
      <c r="B3"/>
      <c r="C3" s="346"/>
      <c r="D3" s="346"/>
      <c r="E3" s="346"/>
      <c r="F3" s="1"/>
      <c r="G3" s="1"/>
      <c r="H3" s="3"/>
      <c r="I3" s="3"/>
      <c r="J3" s="3"/>
    </row>
    <row r="4" spans="1:10" ht="14.25">
      <c r="A4" s="1796" t="s">
        <v>565</v>
      </c>
      <c r="B4" s="1797"/>
      <c r="C4" s="1797"/>
      <c r="D4" s="1797"/>
      <c r="E4" s="1797"/>
      <c r="F4" s="1797"/>
      <c r="G4" s="1797"/>
      <c r="H4" s="1797"/>
      <c r="I4" s="1454"/>
      <c r="J4" s="1454"/>
    </row>
    <row r="5" spans="1:10" ht="16.5" thickBot="1">
      <c r="A5" s="347"/>
      <c r="B5" s="1455"/>
      <c r="C5" s="347"/>
      <c r="D5" s="347"/>
      <c r="E5" s="347"/>
      <c r="F5" s="347"/>
      <c r="G5" s="1455"/>
      <c r="H5" s="347"/>
      <c r="I5" s="347"/>
      <c r="J5" s="347"/>
    </row>
    <row r="6" spans="1:10" ht="16.5" thickBot="1">
      <c r="A6" s="348" t="s">
        <v>118</v>
      </c>
      <c r="B6" t="s">
        <v>142</v>
      </c>
      <c r="C6" s="348" t="s">
        <v>363</v>
      </c>
      <c r="D6" s="388" t="s">
        <v>364</v>
      </c>
      <c r="E6" s="388" t="s">
        <v>365</v>
      </c>
      <c r="F6" s="388" t="s">
        <v>366</v>
      </c>
      <c r="G6" t="s">
        <v>367</v>
      </c>
      <c r="H6" s="388" t="s">
        <v>368</v>
      </c>
      <c r="I6" s="348" t="s">
        <v>230</v>
      </c>
      <c r="J6" s="348" t="s">
        <v>369</v>
      </c>
    </row>
    <row r="7" spans="1:10" ht="48" thickBot="1">
      <c r="A7" s="150"/>
      <c r="B7" t="s">
        <v>2</v>
      </c>
      <c r="C7" s="1355" t="s">
        <v>563</v>
      </c>
      <c r="D7" s="1355" t="s">
        <v>677</v>
      </c>
      <c r="E7" s="1355" t="s">
        <v>678</v>
      </c>
      <c r="F7" s="418"/>
      <c r="G7" t="s">
        <v>3</v>
      </c>
      <c r="H7" s="1355" t="s">
        <v>563</v>
      </c>
      <c r="I7" s="1355" t="s">
        <v>677</v>
      </c>
      <c r="J7" s="1355" t="s">
        <v>678</v>
      </c>
    </row>
    <row r="8" spans="1:10" ht="29.25" thickBot="1">
      <c r="A8" s="151"/>
      <c r="B8" s="1236" t="s">
        <v>4</v>
      </c>
      <c r="C8" s="92">
        <f>SUM(C9+C22+C28+C40)</f>
        <v>5550</v>
      </c>
      <c r="D8" s="92">
        <f>SUM(D9+D22+D28+D40)</f>
        <v>5550</v>
      </c>
      <c r="E8" s="92">
        <f>SUM(E9+E22+E28+E40)</f>
        <v>0</v>
      </c>
      <c r="F8" s="153"/>
      <c r="G8" s="1237" t="s">
        <v>5</v>
      </c>
      <c r="H8" s="1491">
        <f>SUM(H9:H13)</f>
        <v>172108</v>
      </c>
      <c r="I8" s="1491">
        <f>SUM(I9:I13)</f>
        <v>172195</v>
      </c>
      <c r="J8" s="339"/>
    </row>
    <row r="9" spans="1:10" ht="24.75" customHeight="1">
      <c r="A9" s="123" t="s">
        <v>6</v>
      </c>
      <c r="B9" s="154" t="s">
        <v>7</v>
      </c>
      <c r="C9" s="6">
        <f>SUM(C10+C17+C18+C19+C20+C21)</f>
        <v>0</v>
      </c>
      <c r="D9" s="6"/>
      <c r="E9" s="6"/>
      <c r="F9" s="4" t="s">
        <v>6</v>
      </c>
      <c r="G9" s="390" t="s">
        <v>8</v>
      </c>
      <c r="H9" s="1492">
        <v>122002</v>
      </c>
      <c r="I9" s="1495">
        <v>122075</v>
      </c>
      <c r="J9" s="1495"/>
    </row>
    <row r="10" spans="1:10" ht="31.5" customHeight="1">
      <c r="A10" s="124" t="s">
        <v>9</v>
      </c>
      <c r="B10" s="19" t="s">
        <v>10</v>
      </c>
      <c r="C10" s="9">
        <f>SUM(C11:C16)</f>
        <v>0</v>
      </c>
      <c r="D10" s="9"/>
      <c r="E10" s="9"/>
      <c r="F10" s="7" t="s">
        <v>11</v>
      </c>
      <c r="G10" s="391" t="s">
        <v>12</v>
      </c>
      <c r="H10" s="1466">
        <v>24446</v>
      </c>
      <c r="I10" s="358">
        <v>24460</v>
      </c>
      <c r="J10" s="358"/>
    </row>
    <row r="11" spans="1:10" ht="36.75" customHeight="1">
      <c r="A11" s="124"/>
      <c r="B11" s="10" t="s">
        <v>13</v>
      </c>
      <c r="C11" s="12"/>
      <c r="D11" s="12"/>
      <c r="E11" s="12"/>
      <c r="F11" s="7" t="s">
        <v>14</v>
      </c>
      <c r="G11" s="391" t="s">
        <v>15</v>
      </c>
      <c r="H11" s="1466">
        <v>25660</v>
      </c>
      <c r="I11" s="358">
        <v>25660</v>
      </c>
      <c r="J11" s="358"/>
    </row>
    <row r="12" spans="1:10" ht="31.5" customHeight="1">
      <c r="A12" s="124"/>
      <c r="B12" s="10" t="s">
        <v>16</v>
      </c>
      <c r="C12" s="12"/>
      <c r="D12" s="12"/>
      <c r="E12" s="12"/>
      <c r="F12" s="7" t="s">
        <v>17</v>
      </c>
      <c r="G12" s="391" t="s">
        <v>18</v>
      </c>
      <c r="H12" s="1466"/>
      <c r="I12" s="358"/>
      <c r="J12" s="358"/>
    </row>
    <row r="13" spans="1:10" ht="30" customHeight="1">
      <c r="A13" s="124"/>
      <c r="B13" s="10" t="s">
        <v>19</v>
      </c>
      <c r="C13" s="12"/>
      <c r="D13" s="12"/>
      <c r="E13" s="12"/>
      <c r="F13" s="7" t="s">
        <v>20</v>
      </c>
      <c r="G13" s="391" t="s">
        <v>21</v>
      </c>
      <c r="H13" s="1466"/>
      <c r="I13" s="358"/>
      <c r="J13" s="358"/>
    </row>
    <row r="14" spans="1:10" ht="37.5" customHeight="1">
      <c r="A14" s="124"/>
      <c r="B14" s="10" t="s">
        <v>22</v>
      </c>
      <c r="C14" s="12"/>
      <c r="D14" s="180"/>
      <c r="E14" s="180"/>
      <c r="F14" s="1793"/>
      <c r="G14" s="156"/>
      <c r="H14" s="1467"/>
      <c r="I14" s="403"/>
      <c r="J14" s="403"/>
    </row>
    <row r="15" spans="1:10" ht="40.5" customHeight="1">
      <c r="A15" s="124"/>
      <c r="B15" s="10" t="s">
        <v>238</v>
      </c>
      <c r="C15" s="12"/>
      <c r="D15" s="180"/>
      <c r="E15" s="180"/>
      <c r="F15" s="1793"/>
      <c r="G15" s="1"/>
      <c r="H15" s="1467"/>
      <c r="I15" s="403"/>
      <c r="J15" s="403"/>
    </row>
    <row r="16" spans="1:10" ht="25.5" customHeight="1">
      <c r="A16" s="124"/>
      <c r="B16" s="10" t="s">
        <v>239</v>
      </c>
      <c r="C16" s="12"/>
      <c r="D16" s="180"/>
      <c r="E16" s="180"/>
      <c r="F16" s="1793"/>
      <c r="G16" s="1"/>
      <c r="H16" s="1467"/>
      <c r="I16" s="403"/>
      <c r="J16" s="403"/>
    </row>
    <row r="17" spans="1:10" ht="24" customHeight="1">
      <c r="A17" s="124">
        <v>2</v>
      </c>
      <c r="B17" s="13" t="s">
        <v>24</v>
      </c>
      <c r="C17" s="12"/>
      <c r="D17" s="180"/>
      <c r="E17" s="180"/>
      <c r="F17" s="1793"/>
      <c r="G17" s="1"/>
      <c r="H17" s="1467"/>
      <c r="I17" s="403"/>
      <c r="J17" s="403"/>
    </row>
    <row r="18" spans="1:10" ht="44.25" customHeight="1">
      <c r="A18" s="124">
        <v>3</v>
      </c>
      <c r="B18" s="13" t="s">
        <v>26</v>
      </c>
      <c r="C18" s="12"/>
      <c r="D18" s="180"/>
      <c r="E18" s="180"/>
      <c r="F18" s="1793"/>
      <c r="G18" s="1"/>
      <c r="H18" s="1467"/>
      <c r="I18" s="403"/>
      <c r="J18" s="403"/>
    </row>
    <row r="19" spans="1:10" ht="32.25" customHeight="1">
      <c r="A19" s="124">
        <v>4</v>
      </c>
      <c r="B19" s="13" t="s">
        <v>28</v>
      </c>
      <c r="C19" s="12"/>
      <c r="D19" s="180"/>
      <c r="E19" s="180"/>
      <c r="F19" s="1793"/>
      <c r="G19" s="1"/>
      <c r="H19" s="1467"/>
      <c r="I19" s="403"/>
      <c r="J19" s="403"/>
    </row>
    <row r="20" spans="1:10" ht="27.75" customHeight="1">
      <c r="A20" s="124">
        <v>5</v>
      </c>
      <c r="B20" s="13" t="s">
        <v>30</v>
      </c>
      <c r="C20" s="12"/>
      <c r="D20" s="180"/>
      <c r="E20" s="180"/>
      <c r="F20" s="1793"/>
      <c r="G20" s="1"/>
      <c r="H20" s="1467"/>
      <c r="I20" s="403"/>
      <c r="J20" s="403"/>
    </row>
    <row r="21" spans="1:10" ht="30" customHeight="1">
      <c r="A21" s="124">
        <v>6</v>
      </c>
      <c r="B21" s="13" t="s">
        <v>32</v>
      </c>
      <c r="C21" s="12"/>
      <c r="D21" s="180"/>
      <c r="E21" s="180"/>
      <c r="F21" s="1793"/>
      <c r="G21" s="1"/>
      <c r="H21" s="1467"/>
      <c r="I21" s="403"/>
      <c r="J21" s="403"/>
    </row>
    <row r="22" spans="1:10" ht="15">
      <c r="A22" s="158" t="s">
        <v>11</v>
      </c>
      <c r="B22" s="13" t="s">
        <v>243</v>
      </c>
      <c r="C22" s="9">
        <f>SUM(C23:C27)</f>
        <v>0</v>
      </c>
      <c r="D22" s="1464"/>
      <c r="E22" s="1464"/>
      <c r="F22" s="160"/>
      <c r="G22" s="1"/>
      <c r="H22" s="1467"/>
      <c r="I22" s="403"/>
      <c r="J22" s="403"/>
    </row>
    <row r="23" spans="1:10" ht="15">
      <c r="A23" s="158">
        <v>1</v>
      </c>
      <c r="B23" s="10" t="s">
        <v>240</v>
      </c>
      <c r="C23" s="162"/>
      <c r="D23" s="105"/>
      <c r="E23" s="105"/>
      <c r="F23" s="160"/>
      <c r="G23" s="1"/>
      <c r="H23" s="1467"/>
      <c r="I23" s="403"/>
      <c r="J23" s="403"/>
    </row>
    <row r="24" spans="1:10" ht="15">
      <c r="A24" s="158">
        <v>2</v>
      </c>
      <c r="B24" s="10" t="s">
        <v>241</v>
      </c>
      <c r="C24" s="162"/>
      <c r="D24" s="105"/>
      <c r="E24" s="105"/>
      <c r="F24" s="160"/>
      <c r="G24" s="1"/>
      <c r="H24" s="1467"/>
      <c r="I24" s="403"/>
      <c r="J24" s="403"/>
    </row>
    <row r="25" spans="1:10" ht="15">
      <c r="A25" s="158">
        <v>3</v>
      </c>
      <c r="B25" s="10" t="s">
        <v>242</v>
      </c>
      <c r="C25" s="162"/>
      <c r="D25" s="105"/>
      <c r="E25" s="105"/>
      <c r="F25" s="160"/>
      <c r="G25" s="1"/>
      <c r="H25" s="1467"/>
      <c r="I25" s="403"/>
      <c r="J25" s="403"/>
    </row>
    <row r="26" spans="1:10" ht="15">
      <c r="A26" s="158">
        <v>4</v>
      </c>
      <c r="B26" s="10" t="s">
        <v>81</v>
      </c>
      <c r="C26" s="162"/>
      <c r="D26" s="105"/>
      <c r="E26" s="105"/>
      <c r="F26" s="160"/>
      <c r="G26" s="1"/>
      <c r="H26" s="1467"/>
      <c r="I26" s="403"/>
      <c r="J26" s="403"/>
    </row>
    <row r="27" spans="1:10" ht="15">
      <c r="A27" s="158">
        <v>5</v>
      </c>
      <c r="B27" s="10" t="s">
        <v>82</v>
      </c>
      <c r="C27" s="162"/>
      <c r="D27" s="105"/>
      <c r="E27" s="105"/>
      <c r="F27" s="160"/>
      <c r="G27" s="1"/>
      <c r="H27" s="1467"/>
      <c r="I27" s="403"/>
      <c r="J27" s="403"/>
    </row>
    <row r="28" spans="1:10" ht="15">
      <c r="A28" s="158" t="s">
        <v>14</v>
      </c>
      <c r="B28" s="13" t="s">
        <v>34</v>
      </c>
      <c r="C28" s="9">
        <f>SUM(C29:C39)</f>
        <v>5550</v>
      </c>
      <c r="D28" s="9">
        <f>SUM(D29:D39)</f>
        <v>5550</v>
      </c>
      <c r="E28" s="9">
        <f>SUM(E29:E39)</f>
        <v>0</v>
      </c>
      <c r="F28" s="160"/>
      <c r="G28" s="1"/>
      <c r="H28" s="1467"/>
      <c r="I28" s="403"/>
      <c r="J28" s="403"/>
    </row>
    <row r="29" spans="1:10" ht="27.75" customHeight="1">
      <c r="A29" s="158">
        <v>1</v>
      </c>
      <c r="B29" s="15" t="s">
        <v>35</v>
      </c>
      <c r="C29" s="97"/>
      <c r="D29" s="1464"/>
      <c r="E29" s="1464"/>
      <c r="F29" s="160"/>
      <c r="G29" s="1"/>
      <c r="H29" s="1467"/>
      <c r="I29" s="403"/>
      <c r="J29" s="403"/>
    </row>
    <row r="30" spans="1:10" ht="20.25" customHeight="1">
      <c r="A30" s="158">
        <v>2</v>
      </c>
      <c r="B30" s="15" t="s">
        <v>36</v>
      </c>
      <c r="C30" s="112">
        <v>50</v>
      </c>
      <c r="D30" s="1506">
        <v>50</v>
      </c>
      <c r="E30" s="1506"/>
      <c r="F30" s="160"/>
      <c r="G30" s="1"/>
      <c r="H30" s="1467"/>
      <c r="I30" s="403"/>
      <c r="J30" s="403"/>
    </row>
    <row r="31" spans="1:10" ht="24" customHeight="1">
      <c r="A31" s="158">
        <v>3</v>
      </c>
      <c r="B31" s="15" t="s">
        <v>37</v>
      </c>
      <c r="C31" s="112">
        <v>5500</v>
      </c>
      <c r="D31" s="1506">
        <v>5500</v>
      </c>
      <c r="E31" s="1506"/>
      <c r="F31" s="160"/>
      <c r="G31" s="1"/>
      <c r="H31" s="1467"/>
      <c r="I31" s="403"/>
      <c r="J31" s="403"/>
    </row>
    <row r="32" spans="1:10" ht="24.75" customHeight="1">
      <c r="A32" s="158">
        <v>4</v>
      </c>
      <c r="B32" s="15" t="s">
        <v>38</v>
      </c>
      <c r="C32" s="112"/>
      <c r="D32" s="1506"/>
      <c r="E32" s="1506"/>
      <c r="F32" s="160"/>
      <c r="G32" s="1"/>
      <c r="H32" s="1467"/>
      <c r="I32" s="403"/>
      <c r="J32" s="403"/>
    </row>
    <row r="33" spans="1:10" ht="23.25" customHeight="1">
      <c r="A33" s="158">
        <v>5</v>
      </c>
      <c r="B33" s="15" t="s">
        <v>39</v>
      </c>
      <c r="C33" s="112"/>
      <c r="D33" s="1506"/>
      <c r="E33" s="1506"/>
      <c r="F33" s="160"/>
      <c r="G33" s="1"/>
      <c r="H33" s="1467"/>
      <c r="I33" s="403"/>
      <c r="J33" s="403"/>
    </row>
    <row r="34" spans="1:10" ht="33" customHeight="1">
      <c r="A34" s="158">
        <v>6</v>
      </c>
      <c r="B34" s="15" t="s">
        <v>40</v>
      </c>
      <c r="C34" s="112"/>
      <c r="D34" s="1506"/>
      <c r="E34" s="1506"/>
      <c r="F34" s="160"/>
      <c r="G34" s="1"/>
      <c r="H34" s="1467"/>
      <c r="I34" s="403"/>
      <c r="J34" s="403"/>
    </row>
    <row r="35" spans="1:10" ht="27.75" customHeight="1">
      <c r="A35" s="158">
        <v>7</v>
      </c>
      <c r="B35" s="15" t="s">
        <v>41</v>
      </c>
      <c r="C35" s="112"/>
      <c r="D35" s="1506"/>
      <c r="E35" s="1506"/>
      <c r="F35" s="160"/>
      <c r="G35" s="1"/>
      <c r="H35" s="1467"/>
      <c r="I35" s="403"/>
      <c r="J35" s="403"/>
    </row>
    <row r="36" spans="1:10" ht="20.25" customHeight="1">
      <c r="A36" s="158">
        <v>8</v>
      </c>
      <c r="B36" s="15" t="s">
        <v>42</v>
      </c>
      <c r="C36" s="112"/>
      <c r="D36" s="1506"/>
      <c r="E36" s="1506"/>
      <c r="F36" s="160"/>
      <c r="G36" s="1"/>
      <c r="H36" s="1467"/>
      <c r="I36" s="403"/>
      <c r="J36" s="403"/>
    </row>
    <row r="37" spans="1:10" ht="30" customHeight="1">
      <c r="A37" s="158">
        <v>9</v>
      </c>
      <c r="B37" s="15" t="s">
        <v>43</v>
      </c>
      <c r="C37" s="112"/>
      <c r="D37" s="1506"/>
      <c r="E37" s="1506"/>
      <c r="F37" s="160"/>
      <c r="G37" s="1"/>
      <c r="H37" s="1467"/>
      <c r="I37" s="403"/>
      <c r="J37" s="403"/>
    </row>
    <row r="38" spans="1:10" ht="14.25" customHeight="1">
      <c r="A38" s="158">
        <v>10</v>
      </c>
      <c r="B38" s="15" t="s">
        <v>244</v>
      </c>
      <c r="C38" s="112"/>
      <c r="D38" s="1506"/>
      <c r="E38" s="1506"/>
      <c r="F38" s="160"/>
      <c r="G38" s="1"/>
      <c r="H38" s="1467"/>
      <c r="I38" s="403"/>
      <c r="J38" s="403"/>
    </row>
    <row r="39" spans="1:10" ht="17.25" customHeight="1">
      <c r="A39" s="158">
        <v>11</v>
      </c>
      <c r="B39" s="15" t="s">
        <v>44</v>
      </c>
      <c r="C39" s="112"/>
      <c r="D39" s="1506"/>
      <c r="E39" s="1506"/>
      <c r="F39" s="160"/>
      <c r="G39" s="1"/>
      <c r="H39" s="1467"/>
      <c r="I39" s="403"/>
      <c r="J39" s="403"/>
    </row>
    <row r="40" spans="1:10" ht="15">
      <c r="A40" s="163" t="s">
        <v>17</v>
      </c>
      <c r="B40" s="13" t="s">
        <v>45</v>
      </c>
      <c r="C40" s="96">
        <f>SUM(C41:C45)</f>
        <v>0</v>
      </c>
      <c r="D40" s="1505"/>
      <c r="E40" s="1505"/>
      <c r="F40" s="160"/>
      <c r="G40" s="1"/>
      <c r="H40" s="1467"/>
      <c r="I40" s="403"/>
      <c r="J40" s="403"/>
    </row>
    <row r="41" spans="1:10" ht="30">
      <c r="A41" s="163">
        <v>1</v>
      </c>
      <c r="B41" s="15" t="s">
        <v>46</v>
      </c>
      <c r="C41" s="97"/>
      <c r="D41" s="1464"/>
      <c r="E41" s="1464"/>
      <c r="F41" s="160"/>
      <c r="G41" s="1"/>
      <c r="H41" s="1467"/>
      <c r="I41" s="403"/>
      <c r="J41" s="403"/>
    </row>
    <row r="42" spans="1:10" ht="33" customHeight="1">
      <c r="A42" s="163">
        <v>2</v>
      </c>
      <c r="B42" s="10" t="s">
        <v>245</v>
      </c>
      <c r="C42" s="112"/>
      <c r="D42" s="1506"/>
      <c r="E42" s="1506"/>
      <c r="F42" s="160"/>
      <c r="G42" s="1"/>
      <c r="H42" s="1467"/>
      <c r="I42" s="403"/>
      <c r="J42" s="403"/>
    </row>
    <row r="43" spans="1:10" ht="28.5" customHeight="1">
      <c r="A43" s="163">
        <v>3</v>
      </c>
      <c r="B43" s="10" t="s">
        <v>246</v>
      </c>
      <c r="C43" s="112"/>
      <c r="D43" s="1506"/>
      <c r="E43" s="1506"/>
      <c r="F43" s="160"/>
      <c r="G43" s="1"/>
      <c r="H43" s="1467"/>
      <c r="I43" s="403"/>
      <c r="J43" s="403"/>
    </row>
    <row r="44" spans="1:10" ht="30.75" thickBot="1">
      <c r="A44" s="163">
        <v>4</v>
      </c>
      <c r="B44" s="10" t="s">
        <v>47</v>
      </c>
      <c r="C44" s="164"/>
      <c r="D44" s="1506"/>
      <c r="E44" s="1506"/>
      <c r="F44" s="160"/>
      <c r="G44" s="1"/>
      <c r="H44" s="1467"/>
      <c r="I44" s="403"/>
      <c r="J44" s="403"/>
    </row>
    <row r="45" spans="1:10" ht="28.5" customHeight="1" thickBot="1">
      <c r="A45" s="125">
        <v>5</v>
      </c>
      <c r="B45" s="17" t="s">
        <v>48</v>
      </c>
      <c r="C45" s="93"/>
      <c r="D45" s="357"/>
      <c r="E45" s="357"/>
      <c r="F45" s="165"/>
      <c r="G45" s="166"/>
      <c r="H45" s="1468"/>
      <c r="I45" s="757"/>
      <c r="J45" s="757"/>
    </row>
    <row r="46" spans="1:10" ht="29.25" thickBot="1">
      <c r="A46" s="167"/>
      <c r="B46" s="1236" t="s">
        <v>49</v>
      </c>
      <c r="C46" s="6">
        <f>SUM(C47+C53+C59)</f>
        <v>0</v>
      </c>
      <c r="D46" s="1461"/>
      <c r="E46" s="1461"/>
      <c r="F46" s="168"/>
      <c r="G46" s="1237" t="s">
        <v>50</v>
      </c>
      <c r="H46" s="1472">
        <f>SUM(H47:H49)</f>
        <v>1651</v>
      </c>
      <c r="I46" s="1472">
        <f>SUM(I47:I49)</f>
        <v>1651</v>
      </c>
      <c r="J46" s="1496"/>
    </row>
    <row r="47" spans="1:10" ht="15">
      <c r="A47" s="158" t="s">
        <v>261</v>
      </c>
      <c r="B47" s="154" t="s">
        <v>51</v>
      </c>
      <c r="C47" s="14">
        <f>SUM(C48:C52)</f>
        <v>0</v>
      </c>
      <c r="D47" s="178"/>
      <c r="E47" s="178"/>
      <c r="F47" s="170" t="s">
        <v>52</v>
      </c>
      <c r="G47" t="s">
        <v>53</v>
      </c>
      <c r="H47" s="1466">
        <v>1651</v>
      </c>
      <c r="I47" s="358">
        <v>1651</v>
      </c>
      <c r="J47" s="358"/>
    </row>
    <row r="48" spans="1:10" ht="31.5" customHeight="1">
      <c r="A48" s="158">
        <v>1</v>
      </c>
      <c r="B48" s="10" t="s">
        <v>54</v>
      </c>
      <c r="C48" s="112"/>
      <c r="D48" s="564"/>
      <c r="E48" s="564"/>
      <c r="F48" s="170" t="s">
        <v>55</v>
      </c>
      <c r="G48" s="701" t="s">
        <v>56</v>
      </c>
      <c r="H48" s="1466"/>
      <c r="I48" s="358"/>
      <c r="J48" s="358"/>
    </row>
    <row r="49" spans="1:10" ht="30.75" thickBot="1">
      <c r="A49" s="158">
        <v>2</v>
      </c>
      <c r="B49" s="10" t="s">
        <v>57</v>
      </c>
      <c r="C49" s="112"/>
      <c r="D49" s="564"/>
      <c r="E49" s="564"/>
      <c r="F49" s="170" t="s">
        <v>58</v>
      </c>
      <c r="G49" t="s">
        <v>59</v>
      </c>
      <c r="H49" s="1470"/>
      <c r="I49" s="1497"/>
      <c r="J49" s="1497"/>
    </row>
    <row r="50" spans="1:10" ht="30">
      <c r="A50" s="158">
        <v>3</v>
      </c>
      <c r="B50" s="10" t="s">
        <v>60</v>
      </c>
      <c r="C50" s="112"/>
      <c r="D50" s="180"/>
      <c r="E50" s="180"/>
      <c r="F50" s="174"/>
      <c r="G50"/>
      <c r="H50" s="1471"/>
      <c r="I50" s="407"/>
      <c r="J50" s="407"/>
    </row>
    <row r="51" spans="1:10" ht="29.25" customHeight="1">
      <c r="A51" s="158">
        <v>4</v>
      </c>
      <c r="B51" s="10" t="s">
        <v>61</v>
      </c>
      <c r="C51" s="112"/>
      <c r="D51" s="1506"/>
      <c r="E51" s="1506"/>
      <c r="F51" s="160"/>
      <c r="G51"/>
      <c r="H51" s="1471"/>
      <c r="I51" s="407"/>
      <c r="J51" s="407"/>
    </row>
    <row r="52" spans="1:10" ht="30.75" customHeight="1">
      <c r="A52" s="158">
        <v>5</v>
      </c>
      <c r="B52" s="10" t="s">
        <v>62</v>
      </c>
      <c r="C52" s="97"/>
      <c r="D52" s="1464"/>
      <c r="E52" s="1464"/>
      <c r="F52" s="160"/>
      <c r="G52"/>
      <c r="H52" s="1471"/>
      <c r="I52" s="407"/>
      <c r="J52" s="407"/>
    </row>
    <row r="53" spans="1:10" ht="25.5" customHeight="1">
      <c r="A53" s="158" t="s">
        <v>52</v>
      </c>
      <c r="B53" s="19" t="s">
        <v>63</v>
      </c>
      <c r="C53" s="96">
        <f>SUM(C54:C58)</f>
        <v>0</v>
      </c>
      <c r="D53" s="1505"/>
      <c r="E53" s="1505"/>
      <c r="F53" s="160"/>
      <c r="G53"/>
      <c r="H53" s="1471"/>
      <c r="I53" s="407"/>
      <c r="J53" s="407"/>
    </row>
    <row r="54" spans="1:10" ht="25.5" customHeight="1">
      <c r="A54" s="158">
        <v>1</v>
      </c>
      <c r="B54" s="15" t="s">
        <v>64</v>
      </c>
      <c r="C54" s="112"/>
      <c r="D54" s="1506"/>
      <c r="E54" s="1506"/>
      <c r="F54" s="160"/>
      <c r="G54"/>
      <c r="H54" s="1471"/>
      <c r="I54" s="407"/>
      <c r="J54" s="407"/>
    </row>
    <row r="55" spans="1:10" ht="28.5" customHeight="1">
      <c r="A55" s="158">
        <v>2</v>
      </c>
      <c r="B55" s="15" t="s">
        <v>65</v>
      </c>
      <c r="C55" s="164"/>
      <c r="D55" s="1506"/>
      <c r="E55" s="1506"/>
      <c r="F55" s="160"/>
      <c r="G55"/>
      <c r="H55" s="1471"/>
      <c r="I55" s="407"/>
      <c r="J55" s="407"/>
    </row>
    <row r="56" spans="1:10" ht="21.75" customHeight="1">
      <c r="A56" s="158">
        <v>3</v>
      </c>
      <c r="B56" s="15" t="s">
        <v>66</v>
      </c>
      <c r="C56" s="12"/>
      <c r="D56" s="12"/>
      <c r="E56" s="12"/>
      <c r="F56" s="160"/>
      <c r="G56"/>
      <c r="H56" s="1471"/>
      <c r="I56" s="407"/>
      <c r="J56" s="407"/>
    </row>
    <row r="57" spans="1:10" ht="23.25" customHeight="1">
      <c r="A57" s="158">
        <v>4</v>
      </c>
      <c r="B57" s="15" t="s">
        <v>409</v>
      </c>
      <c r="C57" s="12"/>
      <c r="D57" s="12"/>
      <c r="E57" s="12"/>
      <c r="F57" s="160"/>
      <c r="G57"/>
      <c r="H57" s="1471"/>
      <c r="I57" s="407"/>
      <c r="J57" s="407"/>
    </row>
    <row r="58" spans="1:10" ht="22.5" customHeight="1">
      <c r="A58" s="158">
        <v>5</v>
      </c>
      <c r="B58" s="15" t="s">
        <v>68</v>
      </c>
      <c r="C58" s="9"/>
      <c r="D58" s="9"/>
      <c r="E58" s="9"/>
      <c r="F58" s="160"/>
      <c r="G58"/>
      <c r="H58" s="1471"/>
      <c r="I58" s="407"/>
      <c r="J58" s="407"/>
    </row>
    <row r="59" spans="1:10" ht="15">
      <c r="A59" s="163" t="s">
        <v>55</v>
      </c>
      <c r="B59" s="13" t="s">
        <v>69</v>
      </c>
      <c r="C59" s="96">
        <f>SUM(C60:C63)</f>
        <v>0</v>
      </c>
      <c r="D59" s="96"/>
      <c r="E59" s="96"/>
      <c r="F59" s="160"/>
      <c r="G59"/>
      <c r="H59" s="1471"/>
      <c r="I59" s="407"/>
      <c r="J59" s="407"/>
    </row>
    <row r="60" spans="1:10" ht="31.5" customHeight="1">
      <c r="A60" s="163">
        <v>1</v>
      </c>
      <c r="B60" s="15" t="s">
        <v>70</v>
      </c>
      <c r="C60" s="12"/>
      <c r="D60" s="12"/>
      <c r="E60" s="12"/>
      <c r="F60" s="160"/>
      <c r="G60"/>
      <c r="H60" s="1471"/>
      <c r="I60" s="407"/>
      <c r="J60" s="407"/>
    </row>
    <row r="61" spans="1:10" ht="27" customHeight="1">
      <c r="A61" s="163">
        <v>2</v>
      </c>
      <c r="B61" s="10" t="s">
        <v>247</v>
      </c>
      <c r="C61" s="12"/>
      <c r="D61" s="12"/>
      <c r="E61" s="12"/>
      <c r="F61" s="160"/>
      <c r="G61"/>
      <c r="H61" s="1471"/>
      <c r="I61" s="407"/>
      <c r="J61" s="407"/>
    </row>
    <row r="62" spans="1:10" ht="45.75" thickBot="1">
      <c r="A62" s="163">
        <v>3</v>
      </c>
      <c r="B62" s="10" t="s">
        <v>248</v>
      </c>
      <c r="C62" s="12"/>
      <c r="D62" s="12"/>
      <c r="E62" s="12"/>
      <c r="F62" s="160"/>
      <c r="G62"/>
      <c r="H62" s="1471"/>
      <c r="I62" s="407"/>
      <c r="J62" s="407"/>
    </row>
    <row r="63" spans="1:10" ht="30.75" thickBot="1">
      <c r="A63" s="125">
        <v>4</v>
      </c>
      <c r="B63" s="10" t="s">
        <v>71</v>
      </c>
      <c r="C63" s="1557"/>
      <c r="D63" s="1464"/>
      <c r="E63" s="1464"/>
      <c r="F63" s="160"/>
      <c r="G63"/>
      <c r="H63" s="1471"/>
      <c r="I63" s="407"/>
      <c r="J63" s="407"/>
    </row>
    <row r="64" spans="1:10" ht="29.25" thickBot="1">
      <c r="A64" s="177"/>
      <c r="B64" s="1236" t="s">
        <v>72</v>
      </c>
      <c r="C64" s="178">
        <f>SUM(C65:C73)</f>
        <v>166558</v>
      </c>
      <c r="D64" s="155">
        <f>SUM(D65:D73)</f>
        <v>166645</v>
      </c>
      <c r="E64" s="155">
        <f>SUM(E65:E73)</f>
        <v>0</v>
      </c>
      <c r="F64" s="168"/>
      <c r="G64" s="1237" t="s">
        <v>73</v>
      </c>
      <c r="H64" s="1472">
        <f>SUM(H65:H73)</f>
        <v>0</v>
      </c>
      <c r="I64" s="731"/>
      <c r="J64" s="731"/>
    </row>
    <row r="65" spans="1:10" ht="30" customHeight="1">
      <c r="A65" s="124">
        <v>1</v>
      </c>
      <c r="B65" s="106" t="s">
        <v>410</v>
      </c>
      <c r="C65" s="112"/>
      <c r="D65" s="340"/>
      <c r="E65" s="340"/>
      <c r="F65" s="179" t="s">
        <v>9</v>
      </c>
      <c r="G65" s="394" t="s">
        <v>411</v>
      </c>
      <c r="H65" s="1473"/>
      <c r="I65" s="1498"/>
      <c r="J65" s="1498"/>
    </row>
    <row r="66" spans="1:10" ht="30">
      <c r="A66" s="124">
        <v>2</v>
      </c>
      <c r="B66" s="20" t="s">
        <v>249</v>
      </c>
      <c r="C66" s="112"/>
      <c r="D66" s="112"/>
      <c r="E66" s="112"/>
      <c r="F66" s="7" t="s">
        <v>23</v>
      </c>
      <c r="G66" s="395" t="s">
        <v>257</v>
      </c>
      <c r="H66" s="1473"/>
      <c r="I66" s="1498"/>
      <c r="J66" s="1498"/>
    </row>
    <row r="67" spans="1:10" ht="30">
      <c r="A67" s="124">
        <v>3</v>
      </c>
      <c r="B67" s="20" t="s">
        <v>250</v>
      </c>
      <c r="C67" s="112"/>
      <c r="D67" s="112"/>
      <c r="E67" s="112"/>
      <c r="F67" s="7" t="s">
        <v>25</v>
      </c>
      <c r="G67" s="395" t="s">
        <v>258</v>
      </c>
      <c r="H67" s="1474"/>
      <c r="I67" s="1498"/>
      <c r="J67" s="1498"/>
    </row>
    <row r="68" spans="1:10" ht="30">
      <c r="A68" s="124">
        <v>4</v>
      </c>
      <c r="B68" s="20" t="s">
        <v>251</v>
      </c>
      <c r="C68" s="112"/>
      <c r="D68" s="112"/>
      <c r="E68" s="112"/>
      <c r="F68" s="7" t="s">
        <v>27</v>
      </c>
      <c r="G68" s="395" t="s">
        <v>259</v>
      </c>
      <c r="H68" s="1475"/>
      <c r="I68" s="1499"/>
      <c r="J68" s="1499"/>
    </row>
    <row r="69" spans="1:10" ht="30">
      <c r="A69" s="124">
        <v>5</v>
      </c>
      <c r="B69" s="20" t="s">
        <v>252</v>
      </c>
      <c r="C69" s="112"/>
      <c r="D69" s="112"/>
      <c r="E69" s="112"/>
      <c r="F69" s="7" t="s">
        <v>29</v>
      </c>
      <c r="G69" s="395" t="s">
        <v>412</v>
      </c>
      <c r="H69" s="1476"/>
      <c r="I69" s="731"/>
      <c r="J69" s="731"/>
    </row>
    <row r="70" spans="1:10" ht="45">
      <c r="A70" s="124">
        <v>6</v>
      </c>
      <c r="B70" s="21" t="s">
        <v>253</v>
      </c>
      <c r="C70" s="164"/>
      <c r="D70" s="164"/>
      <c r="E70" s="164"/>
      <c r="F70" s="7" t="s">
        <v>31</v>
      </c>
      <c r="G70" s="395" t="s">
        <v>413</v>
      </c>
      <c r="H70" s="1477"/>
      <c r="I70" s="731"/>
      <c r="J70" s="731"/>
    </row>
    <row r="71" spans="1:10" ht="33.75" customHeight="1" thickBot="1">
      <c r="A71" s="124">
        <v>7</v>
      </c>
      <c r="B71" s="20" t="s">
        <v>414</v>
      </c>
      <c r="C71" s="9"/>
      <c r="D71" s="9"/>
      <c r="E71" s="9"/>
      <c r="F71" s="183" t="s">
        <v>74</v>
      </c>
      <c r="G71" s="396" t="s">
        <v>415</v>
      </c>
      <c r="H71" s="1477"/>
      <c r="I71" s="731"/>
      <c r="J71" s="731"/>
    </row>
    <row r="72" spans="1:10" ht="24.75" customHeight="1" thickBot="1">
      <c r="A72" s="124">
        <v>8</v>
      </c>
      <c r="B72" s="20" t="s">
        <v>254</v>
      </c>
      <c r="C72" s="9">
        <f>168209-1651</f>
        <v>166558</v>
      </c>
      <c r="D72" s="9">
        <f>168296-D81</f>
        <v>166645</v>
      </c>
      <c r="E72" s="9"/>
      <c r="F72" s="168"/>
      <c r="G72" s="1237"/>
      <c r="H72" s="1477"/>
      <c r="I72" s="731"/>
      <c r="J72" s="731"/>
    </row>
    <row r="73" spans="1:10" ht="26.25" customHeight="1" thickBot="1">
      <c r="A73" s="124">
        <v>9</v>
      </c>
      <c r="B73" s="29" t="s">
        <v>255</v>
      </c>
      <c r="C73" s="1463"/>
      <c r="D73" s="1463"/>
      <c r="E73" s="1463"/>
      <c r="F73" s="91"/>
      <c r="G73"/>
      <c r="H73" s="1477"/>
      <c r="I73" s="731"/>
      <c r="J73" s="731"/>
    </row>
    <row r="74" spans="1:10" ht="29.25" thickBot="1">
      <c r="A74" s="177" t="s">
        <v>9</v>
      </c>
      <c r="B74" s="1236" t="s">
        <v>75</v>
      </c>
      <c r="C74" s="343">
        <f>SUM(C75:C81)</f>
        <v>1651</v>
      </c>
      <c r="D74" s="343">
        <f>SUM(D75:D81)</f>
        <v>1651</v>
      </c>
      <c r="E74" s="343"/>
      <c r="F74" s="91"/>
      <c r="G74" s="1237" t="s">
        <v>76</v>
      </c>
      <c r="H74" s="1466">
        <f>SUM(H75:H82)</f>
        <v>0</v>
      </c>
      <c r="I74" s="358"/>
      <c r="J74" s="358"/>
    </row>
    <row r="75" spans="1:10" ht="27.75" customHeight="1" thickBot="1">
      <c r="A75" s="124" t="s">
        <v>23</v>
      </c>
      <c r="B75" s="351" t="s">
        <v>256</v>
      </c>
      <c r="C75" s="564"/>
      <c r="D75" s="564"/>
      <c r="E75" s="564"/>
      <c r="F75" s="179" t="s">
        <v>9</v>
      </c>
      <c r="G75" s="398" t="s">
        <v>260</v>
      </c>
      <c r="H75" s="1470"/>
      <c r="I75" s="731"/>
      <c r="J75" s="731"/>
    </row>
    <row r="76" spans="1:10" ht="28.5" customHeight="1">
      <c r="A76" s="124" t="s">
        <v>25</v>
      </c>
      <c r="B76" s="20" t="s">
        <v>416</v>
      </c>
      <c r="C76" s="112"/>
      <c r="D76" s="112"/>
      <c r="E76" s="112"/>
      <c r="F76" s="7" t="s">
        <v>23</v>
      </c>
      <c r="G76" s="395" t="s">
        <v>417</v>
      </c>
      <c r="H76" s="1469"/>
      <c r="I76" s="1499"/>
      <c r="J76" s="1499"/>
    </row>
    <row r="77" spans="1:10" ht="29.25" customHeight="1">
      <c r="A77" s="124" t="s">
        <v>27</v>
      </c>
      <c r="B77" s="20" t="s">
        <v>249</v>
      </c>
      <c r="C77" s="112"/>
      <c r="D77" s="112"/>
      <c r="E77" s="112"/>
      <c r="F77" s="7" t="s">
        <v>25</v>
      </c>
      <c r="G77" s="395" t="s">
        <v>418</v>
      </c>
      <c r="H77" s="1475"/>
      <c r="I77" s="1499"/>
      <c r="J77" s="1499"/>
    </row>
    <row r="78" spans="1:10" ht="27" customHeight="1">
      <c r="A78" s="124" t="s">
        <v>29</v>
      </c>
      <c r="B78" s="20" t="s">
        <v>419</v>
      </c>
      <c r="C78" s="112"/>
      <c r="D78" s="112"/>
      <c r="E78" s="112"/>
      <c r="F78" s="7" t="s">
        <v>27</v>
      </c>
      <c r="G78" s="395" t="s">
        <v>420</v>
      </c>
      <c r="H78" s="1475"/>
      <c r="I78" s="1499"/>
      <c r="J78" s="1499"/>
    </row>
    <row r="79" spans="1:12" ht="37.5" customHeight="1">
      <c r="A79" s="124" t="s">
        <v>31</v>
      </c>
      <c r="B79" s="20" t="s">
        <v>253</v>
      </c>
      <c r="C79" s="112"/>
      <c r="D79" s="112"/>
      <c r="E79" s="112"/>
      <c r="F79" s="7" t="s">
        <v>29</v>
      </c>
      <c r="G79" s="395" t="s">
        <v>422</v>
      </c>
      <c r="H79" s="1477"/>
      <c r="I79" s="731"/>
      <c r="J79" s="731"/>
      <c r="L79" s="561"/>
    </row>
    <row r="80" spans="1:11" ht="27.75" customHeight="1">
      <c r="A80" s="124" t="s">
        <v>74</v>
      </c>
      <c r="B80" s="20" t="s">
        <v>252</v>
      </c>
      <c r="C80" s="112"/>
      <c r="D80" s="112"/>
      <c r="E80" s="112"/>
      <c r="F80" s="7" t="s">
        <v>31</v>
      </c>
      <c r="G80" s="395" t="s">
        <v>252</v>
      </c>
      <c r="H80" s="1477"/>
      <c r="I80" s="731"/>
      <c r="J80" s="731"/>
      <c r="K80" s="561">
        <f>SUM(D72+D81)</f>
        <v>168296</v>
      </c>
    </row>
    <row r="81" spans="1:10" ht="34.5" customHeight="1" thickBot="1">
      <c r="A81" s="150" t="s">
        <v>77</v>
      </c>
      <c r="B81" s="20" t="s">
        <v>254</v>
      </c>
      <c r="C81" s="12">
        <v>1651</v>
      </c>
      <c r="D81" s="12">
        <v>1651</v>
      </c>
      <c r="E81" s="180"/>
      <c r="F81" s="183" t="s">
        <v>74</v>
      </c>
      <c r="G81" s="395" t="s">
        <v>253</v>
      </c>
      <c r="H81" s="1477"/>
      <c r="I81" s="731"/>
      <c r="J81" s="731"/>
    </row>
    <row r="82" spans="1:10" ht="15.75" thickBot="1">
      <c r="A82" s="201"/>
      <c r="B82" s="23"/>
      <c r="C82" s="732"/>
      <c r="D82" s="732"/>
      <c r="E82" s="732"/>
      <c r="F82" s="184" t="s">
        <v>77</v>
      </c>
      <c r="G82" s="415"/>
      <c r="H82" s="1477"/>
      <c r="I82" s="731"/>
      <c r="J82" s="731"/>
    </row>
    <row r="83" spans="1:10" ht="15.75" thickBot="1">
      <c r="A83" s="353"/>
      <c r="B83" t="s">
        <v>78</v>
      </c>
      <c r="C83" s="356">
        <f>(C8+C46+C64+C74)</f>
        <v>173759</v>
      </c>
      <c r="D83" s="356">
        <f>(D8+D46+D64+D81)</f>
        <v>173846</v>
      </c>
      <c r="E83" s="1507"/>
      <c r="F83" s="354"/>
      <c r="G83" t="s">
        <v>79</v>
      </c>
      <c r="H83" s="1493">
        <f>SUM(H8+H46+H64+H74)</f>
        <v>173759</v>
      </c>
      <c r="I83" s="1493">
        <f>SUM(I8+I46+I64+I74)</f>
        <v>173846</v>
      </c>
      <c r="J83" s="1500"/>
    </row>
    <row r="84" ht="12.75">
      <c r="D84" s="561">
        <f>SUM(D72+D81)</f>
        <v>168296</v>
      </c>
    </row>
    <row r="85" ht="12.75">
      <c r="G85" s="1646"/>
    </row>
  </sheetData>
  <sheetProtection/>
  <mergeCells count="2">
    <mergeCell ref="F14:F21"/>
    <mergeCell ref="A4:H4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628" customWidth="1"/>
    <col min="3" max="3" width="17.50390625" style="0" customWidth="1"/>
    <col min="4" max="4" width="16.625" style="0" customWidth="1"/>
    <col min="5" max="5" width="17.625" style="0" customWidth="1"/>
    <col min="7" max="7" width="49.00390625" style="628" customWidth="1"/>
    <col min="8" max="10" width="16.125" style="0" customWidth="1"/>
  </cols>
  <sheetData>
    <row r="1" spans="1:10" ht="15.75">
      <c r="A1" s="1"/>
      <c r="B1" s="1630" t="s">
        <v>705</v>
      </c>
      <c r="C1" s="346"/>
      <c r="D1" s="346"/>
      <c r="E1" s="346"/>
      <c r="F1" s="1"/>
      <c r="G1" s="1"/>
      <c r="H1" s="3"/>
      <c r="I1" s="3"/>
      <c r="J1" s="3"/>
    </row>
    <row r="2" spans="1:10" ht="15.75">
      <c r="A2" s="1"/>
      <c r="B2" s="1631"/>
      <c r="C2" s="346"/>
      <c r="D2" s="346"/>
      <c r="E2" s="346"/>
      <c r="F2" s="1"/>
      <c r="G2" s="1"/>
      <c r="H2" s="3"/>
      <c r="I2" s="3"/>
      <c r="J2" s="3"/>
    </row>
    <row r="3" spans="1:10" ht="15.75">
      <c r="A3" s="1"/>
      <c r="B3" s="1630"/>
      <c r="C3" s="346"/>
      <c r="D3" s="346"/>
      <c r="E3" s="346"/>
      <c r="F3" s="1"/>
      <c r="G3" s="1"/>
      <c r="H3" s="3"/>
      <c r="I3" s="3"/>
      <c r="J3" s="3"/>
    </row>
    <row r="4" spans="1:10" ht="33.75" customHeight="1">
      <c r="A4" s="1798" t="s">
        <v>566</v>
      </c>
      <c r="B4" s="1798"/>
      <c r="C4" s="1798"/>
      <c r="D4" s="1798"/>
      <c r="E4" s="1798"/>
      <c r="F4" s="1798"/>
      <c r="G4" s="1798"/>
      <c r="H4" s="1798"/>
      <c r="I4" s="1455"/>
      <c r="J4" s="1455"/>
    </row>
    <row r="5" spans="1:10" ht="16.5" thickBot="1">
      <c r="A5" s="347"/>
      <c r="B5" s="1455"/>
      <c r="C5" s="347"/>
      <c r="D5" s="347"/>
      <c r="E5" s="347"/>
      <c r="F5" s="347"/>
      <c r="G5" s="1455"/>
      <c r="H5" s="347"/>
      <c r="I5" s="347"/>
      <c r="J5" s="347"/>
    </row>
    <row r="6" spans="1:10" ht="16.5" thickBot="1">
      <c r="A6" s="348" t="s">
        <v>118</v>
      </c>
      <c r="B6" s="1632" t="s">
        <v>142</v>
      </c>
      <c r="C6" s="348" t="s">
        <v>363</v>
      </c>
      <c r="D6" s="348" t="s">
        <v>364</v>
      </c>
      <c r="E6" s="348" t="s">
        <v>365</v>
      </c>
      <c r="F6" s="348" t="s">
        <v>366</v>
      </c>
      <c r="G6" s="1715" t="s">
        <v>367</v>
      </c>
      <c r="H6" s="349" t="s">
        <v>368</v>
      </c>
      <c r="I6" s="349" t="s">
        <v>230</v>
      </c>
      <c r="J6" s="349" t="s">
        <v>369</v>
      </c>
    </row>
    <row r="7" spans="1:10" ht="48" thickBot="1">
      <c r="A7" s="1229"/>
      <c r="B7" t="s">
        <v>2</v>
      </c>
      <c r="C7" s="1355" t="s">
        <v>563</v>
      </c>
      <c r="D7" s="1355" t="s">
        <v>677</v>
      </c>
      <c r="E7" s="1355" t="s">
        <v>678</v>
      </c>
      <c r="F7" s="418"/>
      <c r="G7" t="s">
        <v>3</v>
      </c>
      <c r="H7" s="1355" t="s">
        <v>563</v>
      </c>
      <c r="I7" s="1355" t="s">
        <v>677</v>
      </c>
      <c r="J7" s="1355" t="s">
        <v>678</v>
      </c>
    </row>
    <row r="8" spans="1:10" ht="29.25" thickBot="1">
      <c r="A8" s="685"/>
      <c r="B8" s="1236" t="s">
        <v>4</v>
      </c>
      <c r="C8" s="357">
        <f>SUM(C9+C22+C28+C40)</f>
        <v>10150</v>
      </c>
      <c r="D8" s="357">
        <f>SUM(D9+D22+D28+D40)</f>
        <v>34711</v>
      </c>
      <c r="E8" s="357">
        <f>SUM(E9+E22+E28+E40)</f>
        <v>0</v>
      </c>
      <c r="F8" s="185"/>
      <c r="G8" s="1239" t="s">
        <v>5</v>
      </c>
      <c r="H8" s="339">
        <f>SUM(H9:H13)</f>
        <v>68942</v>
      </c>
      <c r="I8" s="339">
        <f>SUM(I9:I13)</f>
        <v>94185</v>
      </c>
      <c r="J8" s="339"/>
    </row>
    <row r="9" spans="1:10" ht="24.75" customHeight="1">
      <c r="A9" s="686" t="s">
        <v>6</v>
      </c>
      <c r="B9" s="154" t="s">
        <v>7</v>
      </c>
      <c r="C9" s="6">
        <f>SUM(C10+C17+C18+C19+C20+C21)</f>
        <v>180</v>
      </c>
      <c r="D9" s="6">
        <f>SUM(D10+D17+D18+D19+D20+D21)</f>
        <v>24741</v>
      </c>
      <c r="E9" s="6">
        <f>SUM(E10+E17+E18+E19+E20+E21)</f>
        <v>0</v>
      </c>
      <c r="F9" s="4" t="s">
        <v>6</v>
      </c>
      <c r="G9" s="390" t="s">
        <v>8</v>
      </c>
      <c r="H9" s="1495">
        <f>31317+3279</f>
        <v>34596</v>
      </c>
      <c r="I9" s="1495">
        <v>43661</v>
      </c>
      <c r="J9" s="1495"/>
    </row>
    <row r="10" spans="1:10" ht="31.5" customHeight="1">
      <c r="A10" s="687" t="s">
        <v>9</v>
      </c>
      <c r="B10" s="19" t="s">
        <v>10</v>
      </c>
      <c r="C10" s="9">
        <f>SUM(C11:C16)</f>
        <v>0</v>
      </c>
      <c r="D10" s="9"/>
      <c r="E10" s="9"/>
      <c r="F10" s="7" t="s">
        <v>11</v>
      </c>
      <c r="G10" s="391" t="s">
        <v>12</v>
      </c>
      <c r="H10" s="358">
        <f>6185+732</f>
        <v>6917</v>
      </c>
      <c r="I10" s="358">
        <v>8670</v>
      </c>
      <c r="J10" s="358"/>
    </row>
    <row r="11" spans="1:10" ht="36.75" customHeight="1">
      <c r="A11" s="687"/>
      <c r="B11" s="10" t="s">
        <v>13</v>
      </c>
      <c r="C11" s="12"/>
      <c r="D11" s="12"/>
      <c r="E11" s="12"/>
      <c r="F11" s="7" t="s">
        <v>14</v>
      </c>
      <c r="G11" s="391" t="s">
        <v>15</v>
      </c>
      <c r="H11" s="358">
        <f>22485+4944</f>
        <v>27429</v>
      </c>
      <c r="I11" s="358">
        <v>41854</v>
      </c>
      <c r="J11" s="358"/>
    </row>
    <row r="12" spans="1:10" ht="31.5" customHeight="1">
      <c r="A12" s="687"/>
      <c r="B12" s="10" t="s">
        <v>16</v>
      </c>
      <c r="C12" s="12"/>
      <c r="D12" s="12"/>
      <c r="E12" s="12"/>
      <c r="F12" s="7" t="s">
        <v>17</v>
      </c>
      <c r="G12" s="391" t="s">
        <v>18</v>
      </c>
      <c r="H12" s="358"/>
      <c r="I12" s="358"/>
      <c r="J12" s="358"/>
    </row>
    <row r="13" spans="1:10" ht="30" customHeight="1">
      <c r="A13" s="687"/>
      <c r="B13" s="10" t="s">
        <v>19</v>
      </c>
      <c r="C13" s="12"/>
      <c r="D13" s="12"/>
      <c r="E13" s="12"/>
      <c r="F13" s="7" t="s">
        <v>20</v>
      </c>
      <c r="G13" s="391" t="s">
        <v>21</v>
      </c>
      <c r="H13" s="358"/>
      <c r="I13" s="358"/>
      <c r="J13" s="358"/>
    </row>
    <row r="14" spans="1:10" ht="37.5" customHeight="1">
      <c r="A14" s="687"/>
      <c r="B14" s="10" t="s">
        <v>22</v>
      </c>
      <c r="C14" s="12"/>
      <c r="D14" s="1487"/>
      <c r="E14" s="1487"/>
      <c r="F14" s="1793"/>
      <c r="G14" s="156"/>
      <c r="H14" s="403"/>
      <c r="I14" s="403"/>
      <c r="J14" s="403"/>
    </row>
    <row r="15" spans="1:10" ht="40.5" customHeight="1">
      <c r="A15" s="687"/>
      <c r="B15" s="10" t="s">
        <v>238</v>
      </c>
      <c r="C15" s="12"/>
      <c r="D15" s="1487"/>
      <c r="E15" s="1487"/>
      <c r="F15" s="1793"/>
      <c r="G15" s="1"/>
      <c r="H15" s="403"/>
      <c r="I15" s="403"/>
      <c r="J15" s="403"/>
    </row>
    <row r="16" spans="1:10" ht="25.5" customHeight="1">
      <c r="A16" s="687"/>
      <c r="B16" s="10" t="s">
        <v>239</v>
      </c>
      <c r="C16" s="12"/>
      <c r="D16" s="1487"/>
      <c r="E16" s="1487"/>
      <c r="F16" s="1793"/>
      <c r="G16" s="1"/>
      <c r="H16" s="403"/>
      <c r="I16" s="403"/>
      <c r="J16" s="403"/>
    </row>
    <row r="17" spans="1:10" ht="24" customHeight="1">
      <c r="A17" s="687">
        <v>2</v>
      </c>
      <c r="B17" s="13" t="s">
        <v>24</v>
      </c>
      <c r="C17" s="12"/>
      <c r="D17" s="1487"/>
      <c r="E17" s="1487"/>
      <c r="F17" s="1793"/>
      <c r="G17" s="1"/>
      <c r="H17" s="403"/>
      <c r="I17" s="403"/>
      <c r="J17" s="403"/>
    </row>
    <row r="18" spans="1:10" ht="44.25" customHeight="1">
      <c r="A18" s="687">
        <v>3</v>
      </c>
      <c r="B18" s="13" t="s">
        <v>26</v>
      </c>
      <c r="C18" s="12"/>
      <c r="D18" s="1487"/>
      <c r="E18" s="1487"/>
      <c r="F18" s="1793"/>
      <c r="G18" s="1"/>
      <c r="H18" s="403"/>
      <c r="I18" s="403"/>
      <c r="J18" s="403"/>
    </row>
    <row r="19" spans="1:10" ht="32.25" customHeight="1">
      <c r="A19" s="687">
        <v>4</v>
      </c>
      <c r="B19" s="13" t="s">
        <v>28</v>
      </c>
      <c r="C19" s="12"/>
      <c r="D19" s="1487"/>
      <c r="E19" s="1487"/>
      <c r="F19" s="1793"/>
      <c r="G19" s="1"/>
      <c r="H19" s="403"/>
      <c r="I19" s="403"/>
      <c r="J19" s="403"/>
    </row>
    <row r="20" spans="1:10" ht="27.75" customHeight="1">
      <c r="A20" s="687">
        <v>5</v>
      </c>
      <c r="B20" s="13" t="s">
        <v>30</v>
      </c>
      <c r="C20" s="12"/>
      <c r="D20" s="1487"/>
      <c r="E20" s="1487"/>
      <c r="F20" s="1793"/>
      <c r="G20" s="1"/>
      <c r="H20" s="403"/>
      <c r="I20" s="403"/>
      <c r="J20" s="403"/>
    </row>
    <row r="21" spans="1:10" ht="30" customHeight="1">
      <c r="A21" s="687">
        <v>6</v>
      </c>
      <c r="B21" s="13" t="s">
        <v>32</v>
      </c>
      <c r="C21" s="12">
        <v>180</v>
      </c>
      <c r="D21" s="12">
        <f>180+24561</f>
        <v>24741</v>
      </c>
      <c r="E21" s="12"/>
      <c r="F21" s="1793"/>
      <c r="G21" s="1"/>
      <c r="H21" s="403"/>
      <c r="I21" s="403"/>
      <c r="J21" s="403"/>
    </row>
    <row r="22" spans="1:10" ht="15">
      <c r="A22" s="688" t="s">
        <v>11</v>
      </c>
      <c r="B22" s="13" t="s">
        <v>243</v>
      </c>
      <c r="C22" s="9">
        <f>SUM(C23:C27)</f>
        <v>0</v>
      </c>
      <c r="D22" s="9">
        <f>SUM(D23:D27)</f>
        <v>0</v>
      </c>
      <c r="E22" s="9"/>
      <c r="F22" s="160"/>
      <c r="G22" s="1"/>
      <c r="H22" s="403"/>
      <c r="I22" s="403"/>
      <c r="J22" s="403"/>
    </row>
    <row r="23" spans="1:10" ht="15">
      <c r="A23" s="688">
        <v>1</v>
      </c>
      <c r="B23" s="10" t="s">
        <v>240</v>
      </c>
      <c r="C23" s="162"/>
      <c r="D23" s="11"/>
      <c r="E23" s="11"/>
      <c r="F23" s="160"/>
      <c r="G23" s="1"/>
      <c r="H23" s="403"/>
      <c r="I23" s="403"/>
      <c r="J23" s="403"/>
    </row>
    <row r="24" spans="1:10" ht="15">
      <c r="A24" s="688">
        <v>2</v>
      </c>
      <c r="B24" s="10" t="s">
        <v>241</v>
      </c>
      <c r="C24" s="162"/>
      <c r="D24" s="11"/>
      <c r="E24" s="11"/>
      <c r="F24" s="160"/>
      <c r="G24" s="1"/>
      <c r="H24" s="403"/>
      <c r="I24" s="403"/>
      <c r="J24" s="403"/>
    </row>
    <row r="25" spans="1:10" ht="15">
      <c r="A25" s="688">
        <v>3</v>
      </c>
      <c r="B25" s="10" t="s">
        <v>242</v>
      </c>
      <c r="C25" s="162"/>
      <c r="D25" s="11"/>
      <c r="E25" s="11"/>
      <c r="F25" s="160"/>
      <c r="G25" s="1"/>
      <c r="H25" s="403"/>
      <c r="I25" s="403"/>
      <c r="J25" s="403"/>
    </row>
    <row r="26" spans="1:10" ht="15">
      <c r="A26" s="688">
        <v>4</v>
      </c>
      <c r="B26" s="10" t="s">
        <v>81</v>
      </c>
      <c r="C26" s="162"/>
      <c r="D26" s="11"/>
      <c r="E26" s="11"/>
      <c r="F26" s="160"/>
      <c r="G26" s="1"/>
      <c r="H26" s="403"/>
      <c r="I26" s="403"/>
      <c r="J26" s="403"/>
    </row>
    <row r="27" spans="1:10" ht="15">
      <c r="A27" s="688">
        <v>5</v>
      </c>
      <c r="B27" s="10" t="s">
        <v>82</v>
      </c>
      <c r="C27" s="162"/>
      <c r="D27" s="11"/>
      <c r="E27" s="11"/>
      <c r="F27" s="160"/>
      <c r="G27" s="1"/>
      <c r="H27" s="403"/>
      <c r="I27" s="403"/>
      <c r="J27" s="403"/>
    </row>
    <row r="28" spans="1:10" ht="15">
      <c r="A28" s="688" t="s">
        <v>14</v>
      </c>
      <c r="B28" s="13" t="s">
        <v>34</v>
      </c>
      <c r="C28" s="9">
        <f>SUM(C29:C39)</f>
        <v>9970</v>
      </c>
      <c r="D28" s="9">
        <f>SUM(D29:D39)</f>
        <v>9970</v>
      </c>
      <c r="E28" s="9">
        <f>SUM(E29:E39)</f>
        <v>0</v>
      </c>
      <c r="F28" s="160"/>
      <c r="G28" s="1"/>
      <c r="H28" s="403"/>
      <c r="I28" s="403"/>
      <c r="J28" s="403"/>
    </row>
    <row r="29" spans="1:10" ht="27.75" customHeight="1">
      <c r="A29" s="688">
        <v>1</v>
      </c>
      <c r="B29" s="15" t="s">
        <v>35</v>
      </c>
      <c r="C29" s="97"/>
      <c r="D29" s="9"/>
      <c r="E29" s="9"/>
      <c r="F29" s="160"/>
      <c r="G29" s="1"/>
      <c r="H29" s="403"/>
      <c r="I29" s="403"/>
      <c r="J29" s="403"/>
    </row>
    <row r="30" spans="1:10" ht="20.25" customHeight="1">
      <c r="A30" s="688">
        <v>2</v>
      </c>
      <c r="B30" s="15" t="s">
        <v>36</v>
      </c>
      <c r="C30" s="112">
        <f>2400+3650+250</f>
        <v>6300</v>
      </c>
      <c r="D30" s="12">
        <v>6300</v>
      </c>
      <c r="E30" s="12"/>
      <c r="F30" s="160"/>
      <c r="G30" s="1"/>
      <c r="H30" s="403"/>
      <c r="I30" s="403"/>
      <c r="J30" s="403"/>
    </row>
    <row r="31" spans="1:10" ht="24" customHeight="1">
      <c r="A31" s="688">
        <v>3</v>
      </c>
      <c r="B31" s="15" t="s">
        <v>37</v>
      </c>
      <c r="C31" s="112">
        <f>1144+650</f>
        <v>1794</v>
      </c>
      <c r="D31" s="12">
        <v>1794</v>
      </c>
      <c r="E31" s="12"/>
      <c r="F31" s="160"/>
      <c r="G31" s="1"/>
      <c r="H31" s="403"/>
      <c r="I31" s="403"/>
      <c r="J31" s="403"/>
    </row>
    <row r="32" spans="1:10" ht="24.75" customHeight="1">
      <c r="A32" s="688">
        <v>4</v>
      </c>
      <c r="B32" s="15" t="s">
        <v>38</v>
      </c>
      <c r="C32" s="112"/>
      <c r="D32" s="12"/>
      <c r="E32" s="12"/>
      <c r="F32" s="160"/>
      <c r="G32" s="1"/>
      <c r="H32" s="403"/>
      <c r="I32" s="403"/>
      <c r="J32" s="403"/>
    </row>
    <row r="33" spans="1:10" ht="23.25" customHeight="1">
      <c r="A33" s="688">
        <v>5</v>
      </c>
      <c r="B33" s="15" t="s">
        <v>39</v>
      </c>
      <c r="C33" s="112"/>
      <c r="D33" s="12"/>
      <c r="E33" s="12"/>
      <c r="F33" s="160"/>
      <c r="G33" s="1"/>
      <c r="H33" s="403"/>
      <c r="I33" s="403"/>
      <c r="J33" s="403"/>
    </row>
    <row r="34" spans="1:10" ht="33" customHeight="1">
      <c r="A34" s="688">
        <v>6</v>
      </c>
      <c r="B34" s="15" t="s">
        <v>40</v>
      </c>
      <c r="C34" s="112">
        <f>1633+243</f>
        <v>1876</v>
      </c>
      <c r="D34" s="12">
        <v>1876</v>
      </c>
      <c r="E34" s="12"/>
      <c r="F34" s="160"/>
      <c r="G34" s="1"/>
      <c r="H34" s="403"/>
      <c r="I34" s="403"/>
      <c r="J34" s="403"/>
    </row>
    <row r="35" spans="1:10" ht="27.75" customHeight="1">
      <c r="A35" s="688">
        <v>7</v>
      </c>
      <c r="B35" s="15" t="s">
        <v>41</v>
      </c>
      <c r="C35" s="112"/>
      <c r="D35" s="12"/>
      <c r="E35" s="12"/>
      <c r="F35" s="160"/>
      <c r="G35" s="1"/>
      <c r="H35" s="403"/>
      <c r="I35" s="403"/>
      <c r="J35" s="403"/>
    </row>
    <row r="36" spans="1:10" ht="20.25" customHeight="1">
      <c r="A36" s="688">
        <v>8</v>
      </c>
      <c r="B36" s="15" t="s">
        <v>42</v>
      </c>
      <c r="C36" s="112"/>
      <c r="D36" s="12"/>
      <c r="E36" s="12"/>
      <c r="F36" s="160"/>
      <c r="G36" s="1"/>
      <c r="H36" s="403"/>
      <c r="I36" s="403"/>
      <c r="J36" s="403"/>
    </row>
    <row r="37" spans="1:10" ht="30" customHeight="1">
      <c r="A37" s="688">
        <v>9</v>
      </c>
      <c r="B37" s="15" t="s">
        <v>43</v>
      </c>
      <c r="C37" s="112"/>
      <c r="D37" s="12"/>
      <c r="E37" s="12"/>
      <c r="F37" s="160"/>
      <c r="G37" s="1"/>
      <c r="H37" s="403"/>
      <c r="I37" s="403"/>
      <c r="J37" s="403"/>
    </row>
    <row r="38" spans="1:10" ht="14.25" customHeight="1">
      <c r="A38" s="688">
        <v>10</v>
      </c>
      <c r="B38" s="15" t="s">
        <v>244</v>
      </c>
      <c r="C38" s="112"/>
      <c r="D38" s="12"/>
      <c r="E38" s="12"/>
      <c r="F38" s="160"/>
      <c r="G38" s="1"/>
      <c r="H38" s="403"/>
      <c r="I38" s="403"/>
      <c r="J38" s="403"/>
    </row>
    <row r="39" spans="1:10" ht="17.25" customHeight="1">
      <c r="A39" s="688">
        <v>11</v>
      </c>
      <c r="B39" s="15" t="s">
        <v>44</v>
      </c>
      <c r="C39" s="112"/>
      <c r="D39" s="12"/>
      <c r="E39" s="12"/>
      <c r="F39" s="160"/>
      <c r="G39" s="1"/>
      <c r="H39" s="403"/>
      <c r="I39" s="403"/>
      <c r="J39" s="403"/>
    </row>
    <row r="40" spans="1:10" ht="15">
      <c r="A40" s="692" t="s">
        <v>17</v>
      </c>
      <c r="B40" s="13" t="s">
        <v>45</v>
      </c>
      <c r="C40" s="96">
        <f>SUM(C41:C45)</f>
        <v>0</v>
      </c>
      <c r="D40" s="96"/>
      <c r="E40" s="96"/>
      <c r="F40" s="160"/>
      <c r="G40" s="1"/>
      <c r="H40" s="403"/>
      <c r="I40" s="403"/>
      <c r="J40" s="403"/>
    </row>
    <row r="41" spans="1:10" ht="30">
      <c r="A41" s="692">
        <v>1</v>
      </c>
      <c r="B41" s="15" t="s">
        <v>46</v>
      </c>
      <c r="C41" s="97"/>
      <c r="D41" s="9"/>
      <c r="E41" s="9"/>
      <c r="F41" s="160"/>
      <c r="G41" s="1"/>
      <c r="H41" s="403"/>
      <c r="I41" s="403"/>
      <c r="J41" s="403"/>
    </row>
    <row r="42" spans="1:10" ht="33" customHeight="1">
      <c r="A42" s="692">
        <v>2</v>
      </c>
      <c r="B42" s="10" t="s">
        <v>245</v>
      </c>
      <c r="C42" s="112"/>
      <c r="D42" s="12"/>
      <c r="E42" s="12"/>
      <c r="F42" s="160"/>
      <c r="G42" s="1"/>
      <c r="H42" s="403"/>
      <c r="I42" s="403"/>
      <c r="J42" s="403"/>
    </row>
    <row r="43" spans="1:10" ht="28.5" customHeight="1">
      <c r="A43" s="692">
        <v>3</v>
      </c>
      <c r="B43" s="10" t="s">
        <v>246</v>
      </c>
      <c r="C43" s="112"/>
      <c r="D43" s="12"/>
      <c r="E43" s="12"/>
      <c r="F43" s="160"/>
      <c r="G43" s="1"/>
      <c r="H43" s="403"/>
      <c r="I43" s="403"/>
      <c r="J43" s="403"/>
    </row>
    <row r="44" spans="1:10" ht="30.75" thickBot="1">
      <c r="A44" s="692">
        <v>4</v>
      </c>
      <c r="B44" s="10" t="s">
        <v>47</v>
      </c>
      <c r="C44" s="164"/>
      <c r="D44" s="12"/>
      <c r="E44" s="12"/>
      <c r="F44" s="160"/>
      <c r="G44" s="1"/>
      <c r="H44" s="403"/>
      <c r="I44" s="403"/>
      <c r="J44" s="403"/>
    </row>
    <row r="45" spans="1:10" ht="28.5" customHeight="1" thickBot="1">
      <c r="A45" s="695">
        <v>5</v>
      </c>
      <c r="B45" s="17" t="s">
        <v>48</v>
      </c>
      <c r="C45" s="93"/>
      <c r="D45" s="357"/>
      <c r="E45" s="357"/>
      <c r="F45" s="165"/>
      <c r="G45" s="166"/>
      <c r="H45" s="404"/>
      <c r="I45" s="757"/>
      <c r="J45" s="757"/>
    </row>
    <row r="46" spans="1:10" ht="29.25" thickBot="1">
      <c r="A46" s="690"/>
      <c r="B46" s="1236" t="s">
        <v>49</v>
      </c>
      <c r="C46" s="6">
        <f>SUM(C47+C53+C59)</f>
        <v>0</v>
      </c>
      <c r="D46" s="6"/>
      <c r="E46" s="6"/>
      <c r="F46" s="168"/>
      <c r="G46" s="1237" t="s">
        <v>50</v>
      </c>
      <c r="H46" s="405">
        <f>SUM(H47:H49)</f>
        <v>1236</v>
      </c>
      <c r="I46" s="405">
        <f>SUM(I47:I49)</f>
        <v>1336</v>
      </c>
      <c r="J46" s="1496"/>
    </row>
    <row r="47" spans="1:10" ht="15">
      <c r="A47" s="688" t="s">
        <v>261</v>
      </c>
      <c r="B47" s="154" t="s">
        <v>51</v>
      </c>
      <c r="C47" s="14">
        <f>SUM(C48:C52)</f>
        <v>0</v>
      </c>
      <c r="D47" s="14"/>
      <c r="E47" s="14"/>
      <c r="F47" s="170" t="s">
        <v>52</v>
      </c>
      <c r="G47" t="s">
        <v>53</v>
      </c>
      <c r="H47" s="402">
        <f>771+465</f>
        <v>1236</v>
      </c>
      <c r="I47" s="358">
        <v>1336</v>
      </c>
      <c r="J47" s="358"/>
    </row>
    <row r="48" spans="1:10" ht="31.5" customHeight="1">
      <c r="A48" s="688">
        <v>1</v>
      </c>
      <c r="B48" s="10" t="s">
        <v>54</v>
      </c>
      <c r="C48" s="112"/>
      <c r="D48" s="12"/>
      <c r="E48" s="12"/>
      <c r="F48" s="170" t="s">
        <v>55</v>
      </c>
      <c r="G48" s="701" t="s">
        <v>56</v>
      </c>
      <c r="H48" s="402"/>
      <c r="I48" s="358"/>
      <c r="J48" s="358"/>
    </row>
    <row r="49" spans="1:10" ht="30.75" thickBot="1">
      <c r="A49" s="688">
        <v>2</v>
      </c>
      <c r="B49" s="10" t="s">
        <v>57</v>
      </c>
      <c r="C49" s="112"/>
      <c r="D49" s="12"/>
      <c r="E49" s="12"/>
      <c r="F49" s="170" t="s">
        <v>58</v>
      </c>
      <c r="G49" t="s">
        <v>59</v>
      </c>
      <c r="H49" s="406"/>
      <c r="I49" s="1497"/>
      <c r="J49" s="1497"/>
    </row>
    <row r="50" spans="1:10" ht="27" customHeight="1">
      <c r="A50" s="688">
        <v>3</v>
      </c>
      <c r="B50" s="10" t="s">
        <v>60</v>
      </c>
      <c r="C50" s="112"/>
      <c r="D50" s="12"/>
      <c r="E50" s="12"/>
      <c r="F50" s="174"/>
      <c r="G50"/>
      <c r="H50" s="407"/>
      <c r="I50" s="407"/>
      <c r="J50" s="407"/>
    </row>
    <row r="51" spans="1:10" ht="29.25" customHeight="1">
      <c r="A51" s="688">
        <v>4</v>
      </c>
      <c r="B51" s="10" t="s">
        <v>61</v>
      </c>
      <c r="C51" s="112"/>
      <c r="D51" s="12"/>
      <c r="E51" s="12"/>
      <c r="F51" s="160"/>
      <c r="G51"/>
      <c r="H51" s="407"/>
      <c r="I51" s="407"/>
      <c r="J51" s="407"/>
    </row>
    <row r="52" spans="1:10" ht="30.75" customHeight="1">
      <c r="A52" s="688">
        <v>5</v>
      </c>
      <c r="B52" s="10" t="s">
        <v>62</v>
      </c>
      <c r="C52" s="97"/>
      <c r="D52" s="9"/>
      <c r="E52" s="9"/>
      <c r="F52" s="160"/>
      <c r="G52"/>
      <c r="H52" s="407"/>
      <c r="I52" s="407"/>
      <c r="J52" s="407"/>
    </row>
    <row r="53" spans="1:10" ht="25.5" customHeight="1">
      <c r="A53" s="688" t="s">
        <v>52</v>
      </c>
      <c r="B53" s="19" t="s">
        <v>63</v>
      </c>
      <c r="C53" s="96">
        <f>SUM(C54:C58)</f>
        <v>0</v>
      </c>
      <c r="D53" s="96"/>
      <c r="E53" s="96"/>
      <c r="F53" s="160"/>
      <c r="G53"/>
      <c r="H53" s="407"/>
      <c r="I53" s="407"/>
      <c r="J53" s="407"/>
    </row>
    <row r="54" spans="1:10" ht="25.5" customHeight="1">
      <c r="A54" s="688">
        <v>1</v>
      </c>
      <c r="B54" s="15" t="s">
        <v>64</v>
      </c>
      <c r="C54" s="112"/>
      <c r="D54" s="12"/>
      <c r="E54" s="12"/>
      <c r="F54" s="160"/>
      <c r="G54"/>
      <c r="H54" s="407"/>
      <c r="I54" s="407"/>
      <c r="J54" s="407"/>
    </row>
    <row r="55" spans="1:10" ht="28.5" customHeight="1">
      <c r="A55" s="688">
        <v>2</v>
      </c>
      <c r="B55" s="15" t="s">
        <v>65</v>
      </c>
      <c r="C55" s="112"/>
      <c r="D55" s="12"/>
      <c r="E55" s="12"/>
      <c r="F55" s="160"/>
      <c r="G55"/>
      <c r="H55" s="407"/>
      <c r="I55" s="407"/>
      <c r="J55" s="407"/>
    </row>
    <row r="56" spans="1:10" ht="21.75" customHeight="1">
      <c r="A56" s="688">
        <v>3</v>
      </c>
      <c r="B56" s="15" t="s">
        <v>66</v>
      </c>
      <c r="C56" s="112"/>
      <c r="D56" s="12"/>
      <c r="E56" s="12"/>
      <c r="F56" s="160"/>
      <c r="G56"/>
      <c r="H56" s="407"/>
      <c r="I56" s="407"/>
      <c r="J56" s="407"/>
    </row>
    <row r="57" spans="1:10" ht="23.25" customHeight="1">
      <c r="A57" s="688">
        <v>4</v>
      </c>
      <c r="B57" s="15" t="s">
        <v>409</v>
      </c>
      <c r="C57" s="112"/>
      <c r="D57" s="12"/>
      <c r="E57" s="12"/>
      <c r="F57" s="160"/>
      <c r="G57"/>
      <c r="H57" s="407"/>
      <c r="I57" s="407"/>
      <c r="J57" s="407"/>
    </row>
    <row r="58" spans="1:10" ht="22.5" customHeight="1">
      <c r="A58" s="688">
        <v>5</v>
      </c>
      <c r="B58" s="15" t="s">
        <v>68</v>
      </c>
      <c r="C58" s="97"/>
      <c r="D58" s="9"/>
      <c r="E58" s="9"/>
      <c r="F58" s="160"/>
      <c r="G58"/>
      <c r="H58" s="407"/>
      <c r="I58" s="407"/>
      <c r="J58" s="407"/>
    </row>
    <row r="59" spans="1:10" ht="15">
      <c r="A59" s="692" t="s">
        <v>55</v>
      </c>
      <c r="B59" s="13" t="s">
        <v>69</v>
      </c>
      <c r="C59" s="96">
        <f>SUM(C60:C63)</f>
        <v>0</v>
      </c>
      <c r="D59" s="96"/>
      <c r="E59" s="96"/>
      <c r="F59" s="160"/>
      <c r="G59"/>
      <c r="H59" s="407"/>
      <c r="I59" s="407"/>
      <c r="J59" s="407"/>
    </row>
    <row r="60" spans="1:10" ht="31.5" customHeight="1">
      <c r="A60" s="692">
        <v>1</v>
      </c>
      <c r="B60" s="15" t="s">
        <v>70</v>
      </c>
      <c r="C60" s="112"/>
      <c r="D60" s="12"/>
      <c r="E60" s="12"/>
      <c r="F60" s="160"/>
      <c r="G60"/>
      <c r="H60" s="407"/>
      <c r="I60" s="407"/>
      <c r="J60" s="407"/>
    </row>
    <row r="61" spans="1:10" ht="29.25" customHeight="1">
      <c r="A61" s="692">
        <v>2</v>
      </c>
      <c r="B61" s="10" t="s">
        <v>247</v>
      </c>
      <c r="C61" s="164"/>
      <c r="D61" s="12"/>
      <c r="E61" s="12"/>
      <c r="F61" s="160"/>
      <c r="G61"/>
      <c r="H61" s="407"/>
      <c r="I61" s="407"/>
      <c r="J61" s="407"/>
    </row>
    <row r="62" spans="1:10" ht="26.25" customHeight="1" thickBot="1">
      <c r="A62" s="692">
        <v>3</v>
      </c>
      <c r="B62" s="10" t="s">
        <v>248</v>
      </c>
      <c r="C62" s="176"/>
      <c r="D62" s="12"/>
      <c r="E62" s="12"/>
      <c r="F62" s="160"/>
      <c r="G62"/>
      <c r="H62" s="407"/>
      <c r="I62" s="407"/>
      <c r="J62" s="407"/>
    </row>
    <row r="63" spans="1:10" ht="24" customHeight="1" thickBot="1">
      <c r="A63" s="695">
        <v>4</v>
      </c>
      <c r="B63" s="10" t="s">
        <v>71</v>
      </c>
      <c r="C63" s="93"/>
      <c r="D63" s="98"/>
      <c r="E63" s="98"/>
      <c r="F63" s="160"/>
      <c r="G63"/>
      <c r="H63" s="407"/>
      <c r="I63" s="407"/>
      <c r="J63" s="407"/>
    </row>
    <row r="64" spans="1:10" ht="29.25" thickBot="1">
      <c r="A64" s="693"/>
      <c r="B64" s="1236" t="s">
        <v>72</v>
      </c>
      <c r="C64" s="178">
        <f>SUM(C65:C73)</f>
        <v>58792</v>
      </c>
      <c r="D64" s="178">
        <f>SUM(D65:D73)</f>
        <v>59574</v>
      </c>
      <c r="E64" s="178">
        <f>SUM(E65:E73)</f>
        <v>0</v>
      </c>
      <c r="F64" s="168"/>
      <c r="G64" s="1237" t="s">
        <v>73</v>
      </c>
      <c r="H64" s="405">
        <f>SUM(H65:H73)</f>
        <v>0</v>
      </c>
      <c r="I64" s="407"/>
      <c r="J64" s="407"/>
    </row>
    <row r="65" spans="1:10" ht="30" customHeight="1">
      <c r="A65" s="687">
        <v>1</v>
      </c>
      <c r="B65" s="106" t="s">
        <v>410</v>
      </c>
      <c r="C65" s="112"/>
      <c r="D65" s="564"/>
      <c r="E65" s="564"/>
      <c r="F65" s="179" t="s">
        <v>9</v>
      </c>
      <c r="G65" s="394" t="s">
        <v>411</v>
      </c>
      <c r="H65" s="408"/>
      <c r="I65" s="1508"/>
      <c r="J65" s="1508"/>
    </row>
    <row r="66" spans="1:10" ht="33.75" customHeight="1">
      <c r="A66" s="687">
        <v>2</v>
      </c>
      <c r="B66" s="20" t="s">
        <v>249</v>
      </c>
      <c r="C66" s="112"/>
      <c r="D66" s="112"/>
      <c r="E66" s="112"/>
      <c r="F66" s="7" t="s">
        <v>23</v>
      </c>
      <c r="G66" s="395" t="s">
        <v>257</v>
      </c>
      <c r="H66" s="408"/>
      <c r="I66" s="1508"/>
      <c r="J66" s="1508"/>
    </row>
    <row r="67" spans="1:10" ht="27" customHeight="1">
      <c r="A67" s="687">
        <v>3</v>
      </c>
      <c r="B67" s="20" t="s">
        <v>250</v>
      </c>
      <c r="C67" s="112"/>
      <c r="D67" s="112"/>
      <c r="E67" s="112"/>
      <c r="F67" s="7" t="s">
        <v>25</v>
      </c>
      <c r="G67" s="395" t="s">
        <v>258</v>
      </c>
      <c r="H67" s="409"/>
      <c r="I67" s="1508"/>
      <c r="J67" s="1508"/>
    </row>
    <row r="68" spans="1:10" ht="28.5" customHeight="1">
      <c r="A68" s="687">
        <v>4</v>
      </c>
      <c r="B68" s="20" t="s">
        <v>251</v>
      </c>
      <c r="C68" s="112"/>
      <c r="D68" s="112"/>
      <c r="E68" s="112"/>
      <c r="F68" s="7" t="s">
        <v>27</v>
      </c>
      <c r="G68" s="395" t="s">
        <v>259</v>
      </c>
      <c r="H68" s="410"/>
      <c r="I68" s="757"/>
      <c r="J68" s="757"/>
    </row>
    <row r="69" spans="1:10" ht="27.75" customHeight="1">
      <c r="A69" s="687">
        <v>5</v>
      </c>
      <c r="B69" s="20" t="s">
        <v>252</v>
      </c>
      <c r="C69" s="112">
        <v>3932</v>
      </c>
      <c r="D69" s="112">
        <v>3932</v>
      </c>
      <c r="E69" s="112"/>
      <c r="F69" s="7" t="s">
        <v>29</v>
      </c>
      <c r="G69" s="395" t="s">
        <v>412</v>
      </c>
      <c r="H69" s="411"/>
      <c r="I69" s="407"/>
      <c r="J69" s="407"/>
    </row>
    <row r="70" spans="1:10" ht="45">
      <c r="A70" s="687">
        <v>6</v>
      </c>
      <c r="B70" s="21" t="s">
        <v>253</v>
      </c>
      <c r="C70" s="164"/>
      <c r="D70" s="164"/>
      <c r="E70" s="164"/>
      <c r="F70" s="7" t="s">
        <v>31</v>
      </c>
      <c r="G70" s="395" t="s">
        <v>413</v>
      </c>
      <c r="H70" s="412"/>
      <c r="I70" s="407"/>
      <c r="J70" s="407"/>
    </row>
    <row r="71" spans="1:10" ht="33.75" customHeight="1" thickBot="1">
      <c r="A71" s="687">
        <v>7</v>
      </c>
      <c r="B71" s="20" t="s">
        <v>414</v>
      </c>
      <c r="C71" s="97"/>
      <c r="D71" s="355"/>
      <c r="E71" s="355"/>
      <c r="F71" s="183" t="s">
        <v>74</v>
      </c>
      <c r="G71" s="396" t="s">
        <v>415</v>
      </c>
      <c r="H71" s="412"/>
      <c r="I71" s="407"/>
      <c r="J71" s="407"/>
    </row>
    <row r="72" spans="1:10" ht="24.75" customHeight="1" thickBot="1">
      <c r="A72" s="687">
        <v>8</v>
      </c>
      <c r="B72" s="20" t="s">
        <v>254</v>
      </c>
      <c r="C72" s="97">
        <f>47819-771+8277-465</f>
        <v>54860</v>
      </c>
      <c r="D72" s="9">
        <v>55642</v>
      </c>
      <c r="E72" s="9"/>
      <c r="F72" s="168"/>
      <c r="G72" s="1237"/>
      <c r="H72" s="412"/>
      <c r="I72" s="407"/>
      <c r="J72" s="407"/>
    </row>
    <row r="73" spans="1:10" ht="26.25" customHeight="1" thickBot="1">
      <c r="A73" s="687">
        <v>9</v>
      </c>
      <c r="B73" s="29" t="s">
        <v>255</v>
      </c>
      <c r="C73" s="99"/>
      <c r="D73" s="1488"/>
      <c r="E73" s="1488"/>
      <c r="F73" s="91"/>
      <c r="G73"/>
      <c r="H73" s="412"/>
      <c r="I73" s="407"/>
      <c r="J73" s="407"/>
    </row>
    <row r="74" spans="1:10" ht="29.25" thickBot="1">
      <c r="A74" s="693" t="s">
        <v>9</v>
      </c>
      <c r="B74" s="1236" t="s">
        <v>75</v>
      </c>
      <c r="C74" s="182">
        <f>SUM(C75:C81)</f>
        <v>1236</v>
      </c>
      <c r="D74" s="182">
        <f>SUM(D75:D81)</f>
        <v>1236</v>
      </c>
      <c r="E74" s="343"/>
      <c r="F74" s="91"/>
      <c r="G74" s="1237" t="s">
        <v>76</v>
      </c>
      <c r="H74" s="402">
        <f>SUM(H75:H82)</f>
        <v>0</v>
      </c>
      <c r="I74" s="1391"/>
      <c r="J74" s="1391"/>
    </row>
    <row r="75" spans="1:10" ht="27.75" customHeight="1" thickBot="1">
      <c r="A75" s="687" t="s">
        <v>23</v>
      </c>
      <c r="B75" s="351" t="s">
        <v>256</v>
      </c>
      <c r="C75" s="112"/>
      <c r="D75" s="340"/>
      <c r="E75" s="1361"/>
      <c r="F75" s="179" t="s">
        <v>9</v>
      </c>
      <c r="G75" s="398" t="s">
        <v>260</v>
      </c>
      <c r="H75" s="406"/>
      <c r="I75" s="407"/>
      <c r="J75" s="407"/>
    </row>
    <row r="76" spans="1:10" ht="28.5" customHeight="1">
      <c r="A76" s="687" t="s">
        <v>25</v>
      </c>
      <c r="B76" s="20" t="s">
        <v>416</v>
      </c>
      <c r="C76" s="112"/>
      <c r="D76" s="112"/>
      <c r="E76" s="340"/>
      <c r="F76" s="7" t="s">
        <v>23</v>
      </c>
      <c r="G76" s="395" t="s">
        <v>417</v>
      </c>
      <c r="H76" s="413"/>
      <c r="I76" s="757"/>
      <c r="J76" s="757"/>
    </row>
    <row r="77" spans="1:10" ht="29.25" customHeight="1">
      <c r="A77" s="687" t="s">
        <v>27</v>
      </c>
      <c r="B77" s="20" t="s">
        <v>249</v>
      </c>
      <c r="C77" s="112"/>
      <c r="D77" s="112"/>
      <c r="E77" s="112"/>
      <c r="F77" s="7" t="s">
        <v>25</v>
      </c>
      <c r="G77" s="395" t="s">
        <v>418</v>
      </c>
      <c r="H77" s="410"/>
      <c r="I77" s="757"/>
      <c r="J77" s="757"/>
    </row>
    <row r="78" spans="1:10" ht="27" customHeight="1">
      <c r="A78" s="687" t="s">
        <v>29</v>
      </c>
      <c r="B78" s="20" t="s">
        <v>419</v>
      </c>
      <c r="C78" s="112"/>
      <c r="D78" s="112"/>
      <c r="E78" s="112"/>
      <c r="F78" s="7" t="s">
        <v>27</v>
      </c>
      <c r="G78" s="395" t="s">
        <v>420</v>
      </c>
      <c r="H78" s="410"/>
      <c r="I78" s="757"/>
      <c r="J78" s="757"/>
    </row>
    <row r="79" spans="1:10" ht="37.5" customHeight="1">
      <c r="A79" s="687" t="s">
        <v>31</v>
      </c>
      <c r="B79" s="20" t="s">
        <v>421</v>
      </c>
      <c r="C79" s="112"/>
      <c r="D79" s="112"/>
      <c r="E79" s="112"/>
      <c r="F79" s="7" t="s">
        <v>29</v>
      </c>
      <c r="G79" s="395" t="s">
        <v>422</v>
      </c>
      <c r="H79" s="412"/>
      <c r="I79" s="407"/>
      <c r="J79" s="407"/>
    </row>
    <row r="80" spans="1:10" ht="27.75" customHeight="1">
      <c r="A80" s="687" t="s">
        <v>74</v>
      </c>
      <c r="B80" s="20" t="s">
        <v>252</v>
      </c>
      <c r="C80" s="112"/>
      <c r="D80" s="112"/>
      <c r="E80" s="112"/>
      <c r="F80" s="7" t="s">
        <v>31</v>
      </c>
      <c r="G80" s="395" t="s">
        <v>252</v>
      </c>
      <c r="H80" s="412"/>
      <c r="I80" s="407"/>
      <c r="J80" s="407"/>
    </row>
    <row r="81" spans="1:10" ht="34.5" customHeight="1" thickBot="1">
      <c r="A81" s="1229" t="s">
        <v>77</v>
      </c>
      <c r="B81" s="20" t="s">
        <v>254</v>
      </c>
      <c r="C81" s="173">
        <f>771+465</f>
        <v>1236</v>
      </c>
      <c r="D81" s="180">
        <v>1236</v>
      </c>
      <c r="E81" s="180"/>
      <c r="F81" s="183" t="s">
        <v>74</v>
      </c>
      <c r="G81" s="395" t="s">
        <v>253</v>
      </c>
      <c r="H81" s="412"/>
      <c r="I81" s="407"/>
      <c r="J81" s="407"/>
    </row>
    <row r="82" spans="1:10" ht="15.75" thickBot="1">
      <c r="A82" s="1230"/>
      <c r="B82" s="23"/>
      <c r="C82" s="352"/>
      <c r="D82" s="732"/>
      <c r="E82" s="732"/>
      <c r="F82" s="184" t="s">
        <v>77</v>
      </c>
      <c r="G82" s="415"/>
      <c r="H82" s="414"/>
      <c r="I82" s="407"/>
      <c r="J82" s="407"/>
    </row>
    <row r="83" spans="1:10" ht="15.75" thickBot="1">
      <c r="A83" s="1231"/>
      <c r="B83" t="s">
        <v>78</v>
      </c>
      <c r="C83" s="1234">
        <f>(C8+C46+C64+C79+C81)</f>
        <v>70178</v>
      </c>
      <c r="D83" s="1234">
        <f>(D8+D46+D64+D79+D81)</f>
        <v>95521</v>
      </c>
      <c r="E83" s="1489"/>
      <c r="F83" s="1233"/>
      <c r="G83" t="s">
        <v>79</v>
      </c>
      <c r="H83" s="417">
        <f>SUM(H8+H46+H64+H74)</f>
        <v>70178</v>
      </c>
      <c r="I83" s="417">
        <f>SUM(I8+I46+I64+I74)</f>
        <v>95521</v>
      </c>
      <c r="J83" s="1509"/>
    </row>
    <row r="84" ht="12.75">
      <c r="D84">
        <f>48601+8277</f>
        <v>56878</v>
      </c>
    </row>
    <row r="85" spans="3:5" ht="12.75">
      <c r="C85" s="561"/>
      <c r="D85" s="561">
        <f>SUM(D72+D81)</f>
        <v>56878</v>
      </c>
      <c r="E85" s="561"/>
    </row>
    <row r="86" ht="12.75">
      <c r="D86">
        <f>86101+9420</f>
        <v>95521</v>
      </c>
    </row>
    <row r="87" spans="3:5" ht="12.75">
      <c r="C87" s="561"/>
      <c r="D87" s="561"/>
      <c r="E87" s="561"/>
    </row>
    <row r="91" spans="3:5" ht="12.75">
      <c r="C91" s="561"/>
      <c r="D91" s="561"/>
      <c r="E91" s="561"/>
    </row>
  </sheetData>
  <sheetProtection/>
  <mergeCells count="2">
    <mergeCell ref="A4:H4"/>
    <mergeCell ref="F14:F2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84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5.375" style="0" customWidth="1"/>
    <col min="4" max="4" width="16.875" style="0" customWidth="1"/>
    <col min="5" max="5" width="15.375" style="0" customWidth="1"/>
    <col min="7" max="7" width="49.00390625" style="0" customWidth="1"/>
    <col min="8" max="10" width="16.125" style="0" customWidth="1"/>
  </cols>
  <sheetData>
    <row r="1" spans="1:10" ht="15.75">
      <c r="A1" s="1"/>
      <c r="B1" t="s">
        <v>707</v>
      </c>
      <c r="C1" s="346"/>
      <c r="D1" s="346"/>
      <c r="E1" s="346"/>
      <c r="F1" s="1"/>
      <c r="H1" s="3"/>
      <c r="I1" s="3"/>
      <c r="J1" s="3"/>
    </row>
    <row r="2" spans="1:10" ht="15.75">
      <c r="A2" s="1"/>
      <c r="C2" s="346"/>
      <c r="D2" s="346"/>
      <c r="E2" s="346"/>
      <c r="F2" s="1"/>
      <c r="H2" s="3"/>
      <c r="I2" s="3"/>
      <c r="J2" s="3"/>
    </row>
    <row r="3" spans="1:10" s="628" customFormat="1" ht="42" customHeight="1">
      <c r="A3" s="1798" t="s">
        <v>567</v>
      </c>
      <c r="B3" s="1798"/>
      <c r="C3" s="1798"/>
      <c r="D3" s="1798"/>
      <c r="E3" s="1798"/>
      <c r="F3" s="1798"/>
      <c r="G3" s="1798"/>
      <c r="H3" s="1798"/>
      <c r="I3" s="1455"/>
      <c r="J3" s="1455"/>
    </row>
    <row r="4" spans="1:10" ht="16.5" thickBot="1">
      <c r="A4" s="347"/>
      <c r="C4" s="347"/>
      <c r="D4" s="347"/>
      <c r="E4" s="347"/>
      <c r="F4" s="347"/>
      <c r="H4" s="347"/>
      <c r="I4" s="347"/>
      <c r="J4" s="347"/>
    </row>
    <row r="5" spans="1:10" ht="16.5" thickBot="1">
      <c r="A5" s="388" t="s">
        <v>118</v>
      </c>
      <c r="B5" s="1482" t="s">
        <v>142</v>
      </c>
      <c r="C5" s="348" t="s">
        <v>363</v>
      </c>
      <c r="D5" s="348"/>
      <c r="E5" s="348"/>
      <c r="F5" s="1728" t="s">
        <v>364</v>
      </c>
      <c r="G5" s="1482" t="s">
        <v>365</v>
      </c>
      <c r="H5" s="1717" t="s">
        <v>366</v>
      </c>
      <c r="I5" s="349"/>
      <c r="J5" s="349"/>
    </row>
    <row r="6" spans="1:10" ht="48" thickBot="1">
      <c r="A6" s="1723"/>
      <c r="B6" s="1482" t="s">
        <v>2</v>
      </c>
      <c r="C6" s="1494" t="s">
        <v>563</v>
      </c>
      <c r="D6" s="1494" t="s">
        <v>677</v>
      </c>
      <c r="E6" s="1494" t="s">
        <v>678</v>
      </c>
      <c r="F6" s="1716"/>
      <c r="G6" s="1482" t="s">
        <v>3</v>
      </c>
      <c r="H6" s="1718" t="s">
        <v>563</v>
      </c>
      <c r="I6" s="1494" t="s">
        <v>677</v>
      </c>
      <c r="J6" s="1494" t="s">
        <v>678</v>
      </c>
    </row>
    <row r="7" spans="1:10" ht="15" thickBot="1">
      <c r="A7" s="1724"/>
      <c r="B7" s="1482" t="s">
        <v>4</v>
      </c>
      <c r="C7" s="339">
        <f>SUM(C8+C21+C27+C39)</f>
        <v>1570</v>
      </c>
      <c r="D7" s="339">
        <f>SUM(D8+D21+D27+D39)</f>
        <v>1570</v>
      </c>
      <c r="E7" s="339">
        <f>SUM(E8+E21+E27+E39)</f>
        <v>0</v>
      </c>
      <c r="F7" s="1729"/>
      <c r="G7" s="1482" t="s">
        <v>5</v>
      </c>
      <c r="H7" s="1719">
        <f>SUM(H8:H12)</f>
        <v>30287</v>
      </c>
      <c r="I7" s="1491">
        <f>SUM(I8:I12)</f>
        <v>31037</v>
      </c>
      <c r="J7" s="339"/>
    </row>
    <row r="8" spans="1:10" ht="24.75" customHeight="1">
      <c r="A8" s="1725" t="s">
        <v>6</v>
      </c>
      <c r="B8" s="1738" t="s">
        <v>7</v>
      </c>
      <c r="C8" s="1739">
        <f>SUM(C9+C16+C17+C18+C19+C20)</f>
        <v>600</v>
      </c>
      <c r="D8" s="1739">
        <f>SUM(D9+D16+D17+D18+D19+D20)</f>
        <v>600</v>
      </c>
      <c r="E8" s="1740">
        <f>SUM(E9+E16+E17+E18+E19+E20)</f>
        <v>0</v>
      </c>
      <c r="F8" s="1730" t="s">
        <v>6</v>
      </c>
      <c r="G8" s="1722" t="s">
        <v>8</v>
      </c>
      <c r="H8" s="1720">
        <v>18522</v>
      </c>
      <c r="I8" s="1495">
        <v>19139</v>
      </c>
      <c r="J8" s="1495"/>
    </row>
    <row r="9" spans="1:10" ht="31.5" customHeight="1">
      <c r="A9" s="1628" t="s">
        <v>9</v>
      </c>
      <c r="B9" s="1732" t="s">
        <v>10</v>
      </c>
      <c r="C9" s="1499">
        <f>SUM(C10:C15)</f>
        <v>0</v>
      </c>
      <c r="D9" s="1499"/>
      <c r="E9" s="1733"/>
      <c r="F9" s="1731" t="s">
        <v>11</v>
      </c>
      <c r="G9" s="1721" t="s">
        <v>12</v>
      </c>
      <c r="H9" s="565">
        <v>3609</v>
      </c>
      <c r="I9" s="358">
        <v>3742</v>
      </c>
      <c r="J9" s="358"/>
    </row>
    <row r="10" spans="1:10" ht="36.75" customHeight="1">
      <c r="A10" s="1628"/>
      <c r="B10" s="1732" t="s">
        <v>13</v>
      </c>
      <c r="C10" s="731"/>
      <c r="D10" s="731"/>
      <c r="E10" s="1734"/>
      <c r="F10" s="1731" t="s">
        <v>14</v>
      </c>
      <c r="G10" s="1721" t="s">
        <v>15</v>
      </c>
      <c r="H10" s="565">
        <v>8156</v>
      </c>
      <c r="I10" s="358">
        <v>8156</v>
      </c>
      <c r="J10" s="358"/>
    </row>
    <row r="11" spans="1:10" ht="31.5" customHeight="1">
      <c r="A11" s="1628"/>
      <c r="B11" s="1732" t="s">
        <v>16</v>
      </c>
      <c r="C11" s="731"/>
      <c r="D11" s="731"/>
      <c r="E11" s="1734"/>
      <c r="F11" s="1731" t="s">
        <v>17</v>
      </c>
      <c r="G11" s="1721" t="s">
        <v>18</v>
      </c>
      <c r="H11" s="565"/>
      <c r="I11" s="358"/>
      <c r="J11" s="358"/>
    </row>
    <row r="12" spans="1:10" ht="30" customHeight="1">
      <c r="A12" s="1628"/>
      <c r="B12" s="1732" t="s">
        <v>19</v>
      </c>
      <c r="C12" s="731"/>
      <c r="D12" s="731"/>
      <c r="E12" s="1734"/>
      <c r="F12" s="1731" t="s">
        <v>20</v>
      </c>
      <c r="G12" s="1721" t="s">
        <v>21</v>
      </c>
      <c r="H12" s="565"/>
      <c r="I12" s="358"/>
      <c r="J12" s="358"/>
    </row>
    <row r="13" spans="1:10" ht="37.5" customHeight="1">
      <c r="A13" s="1628"/>
      <c r="B13" s="1732" t="s">
        <v>22</v>
      </c>
      <c r="C13" s="731"/>
      <c r="D13" s="731"/>
      <c r="E13" s="1734"/>
      <c r="F13" s="1799"/>
      <c r="H13" s="1467"/>
      <c r="I13" s="403"/>
      <c r="J13" s="403"/>
    </row>
    <row r="14" spans="1:10" ht="40.5" customHeight="1">
      <c r="A14" s="1628"/>
      <c r="B14" s="1732" t="s">
        <v>238</v>
      </c>
      <c r="C14" s="731"/>
      <c r="D14" s="731"/>
      <c r="E14" s="1734"/>
      <c r="F14" s="1799"/>
      <c r="H14" s="1467"/>
      <c r="I14" s="403"/>
      <c r="J14" s="403"/>
    </row>
    <row r="15" spans="1:10" ht="25.5" customHeight="1">
      <c r="A15" s="1628"/>
      <c r="B15" s="1732" t="s">
        <v>239</v>
      </c>
      <c r="C15" s="731"/>
      <c r="D15" s="731"/>
      <c r="E15" s="1734"/>
      <c r="F15" s="1799"/>
      <c r="H15" s="1467"/>
      <c r="I15" s="403"/>
      <c r="J15" s="403"/>
    </row>
    <row r="16" spans="1:10" ht="24" customHeight="1">
      <c r="A16" s="1628">
        <v>2</v>
      </c>
      <c r="B16" s="1732" t="s">
        <v>24</v>
      </c>
      <c r="C16" s="731"/>
      <c r="D16" s="731"/>
      <c r="E16" s="1734"/>
      <c r="F16" s="1799"/>
      <c r="H16" s="1467"/>
      <c r="I16" s="403"/>
      <c r="J16" s="403"/>
    </row>
    <row r="17" spans="1:10" ht="44.25" customHeight="1">
      <c r="A17" s="1628">
        <v>3</v>
      </c>
      <c r="B17" s="1732" t="s">
        <v>26</v>
      </c>
      <c r="C17" s="731"/>
      <c r="D17" s="731"/>
      <c r="E17" s="1734"/>
      <c r="F17" s="1799"/>
      <c r="H17" s="1467"/>
      <c r="I17" s="403"/>
      <c r="J17" s="403"/>
    </row>
    <row r="18" spans="1:10" ht="32.25" customHeight="1">
      <c r="A18" s="1628">
        <v>4</v>
      </c>
      <c r="B18" s="1732" t="s">
        <v>28</v>
      </c>
      <c r="C18" s="731"/>
      <c r="D18" s="731"/>
      <c r="E18" s="1734"/>
      <c r="F18" s="1799"/>
      <c r="H18" s="1467"/>
      <c r="I18" s="403"/>
      <c r="J18" s="403"/>
    </row>
    <row r="19" spans="1:10" ht="27.75" customHeight="1">
      <c r="A19" s="1628">
        <v>5</v>
      </c>
      <c r="B19" s="1732" t="s">
        <v>30</v>
      </c>
      <c r="C19" s="731"/>
      <c r="D19" s="731"/>
      <c r="E19" s="1734"/>
      <c r="F19" s="1799"/>
      <c r="H19" s="1467"/>
      <c r="I19" s="403"/>
      <c r="J19" s="403"/>
    </row>
    <row r="20" spans="1:10" ht="30" customHeight="1">
      <c r="A20" s="1628">
        <v>6</v>
      </c>
      <c r="B20" s="1732" t="s">
        <v>32</v>
      </c>
      <c r="C20" s="731">
        <v>600</v>
      </c>
      <c r="D20" s="731">
        <v>600</v>
      </c>
      <c r="E20" s="1734"/>
      <c r="F20" s="1799"/>
      <c r="H20" s="1467"/>
      <c r="I20" s="403"/>
      <c r="J20" s="403"/>
    </row>
    <row r="21" spans="1:10" ht="15">
      <c r="A21" s="1726" t="s">
        <v>11</v>
      </c>
      <c r="B21" s="1732" t="s">
        <v>243</v>
      </c>
      <c r="C21" s="1499">
        <f>SUM(C22:C26)</f>
        <v>0</v>
      </c>
      <c r="D21" s="1499"/>
      <c r="E21" s="1733"/>
      <c r="F21" s="175"/>
      <c r="H21" s="1467"/>
      <c r="I21" s="403"/>
      <c r="J21" s="403"/>
    </row>
    <row r="22" spans="1:10" ht="15">
      <c r="A22" s="1726">
        <v>1</v>
      </c>
      <c r="B22" s="1732" t="s">
        <v>240</v>
      </c>
      <c r="C22" s="358"/>
      <c r="D22" s="358"/>
      <c r="E22" s="1735"/>
      <c r="F22" s="175"/>
      <c r="H22" s="1467"/>
      <c r="I22" s="403"/>
      <c r="J22" s="403"/>
    </row>
    <row r="23" spans="1:10" ht="15">
      <c r="A23" s="1726">
        <v>2</v>
      </c>
      <c r="B23" s="1732" t="s">
        <v>241</v>
      </c>
      <c r="C23" s="358"/>
      <c r="D23" s="358"/>
      <c r="E23" s="1735"/>
      <c r="F23" s="175"/>
      <c r="H23" s="1467"/>
      <c r="I23" s="403"/>
      <c r="J23" s="403"/>
    </row>
    <row r="24" spans="1:10" ht="15">
      <c r="A24" s="1726">
        <v>3</v>
      </c>
      <c r="B24" s="1732" t="s">
        <v>242</v>
      </c>
      <c r="C24" s="358"/>
      <c r="D24" s="358"/>
      <c r="E24" s="1735"/>
      <c r="F24" s="175"/>
      <c r="H24" s="1467"/>
      <c r="I24" s="403"/>
      <c r="J24" s="403"/>
    </row>
    <row r="25" spans="1:10" ht="15">
      <c r="A25" s="1726">
        <v>4</v>
      </c>
      <c r="B25" s="1732" t="s">
        <v>81</v>
      </c>
      <c r="C25" s="358"/>
      <c r="D25" s="358"/>
      <c r="E25" s="1735"/>
      <c r="F25" s="175"/>
      <c r="H25" s="1467"/>
      <c r="I25" s="403"/>
      <c r="J25" s="403"/>
    </row>
    <row r="26" spans="1:10" ht="15">
      <c r="A26" s="1726">
        <v>5</v>
      </c>
      <c r="B26" s="1732" t="s">
        <v>82</v>
      </c>
      <c r="C26" s="358"/>
      <c r="D26" s="358"/>
      <c r="E26" s="1735"/>
      <c r="F26" s="175"/>
      <c r="H26" s="1467"/>
      <c r="I26" s="403"/>
      <c r="J26" s="403"/>
    </row>
    <row r="27" spans="1:10" ht="15">
      <c r="A27" s="1726" t="s">
        <v>14</v>
      </c>
      <c r="B27" s="1732" t="s">
        <v>34</v>
      </c>
      <c r="C27" s="1499">
        <f>SUM(C28:C38)</f>
        <v>970</v>
      </c>
      <c r="D27" s="1499">
        <f>SUM(D28:D38)</f>
        <v>970</v>
      </c>
      <c r="E27" s="1733">
        <f>SUM(E28:E38)</f>
        <v>0</v>
      </c>
      <c r="F27" s="175"/>
      <c r="H27" s="1467"/>
      <c r="I27" s="403"/>
      <c r="J27" s="403"/>
    </row>
    <row r="28" spans="1:10" ht="27.75" customHeight="1">
      <c r="A28" s="1726">
        <v>1</v>
      </c>
      <c r="B28" s="1732" t="s">
        <v>35</v>
      </c>
      <c r="C28" s="1499"/>
      <c r="D28" s="1499"/>
      <c r="E28" s="1733"/>
      <c r="F28" s="175"/>
      <c r="H28" s="1467"/>
      <c r="I28" s="403"/>
      <c r="J28" s="403"/>
    </row>
    <row r="29" spans="1:10" ht="20.25" customHeight="1">
      <c r="A29" s="1726">
        <v>2</v>
      </c>
      <c r="B29" s="1732" t="s">
        <v>36</v>
      </c>
      <c r="C29" s="731">
        <v>790</v>
      </c>
      <c r="D29" s="731">
        <v>790</v>
      </c>
      <c r="E29" s="1734"/>
      <c r="F29" s="175"/>
      <c r="H29" s="1467"/>
      <c r="I29" s="403"/>
      <c r="J29" s="403"/>
    </row>
    <row r="30" spans="1:10" ht="24" customHeight="1">
      <c r="A30" s="1726">
        <v>3</v>
      </c>
      <c r="B30" s="1732" t="s">
        <v>37</v>
      </c>
      <c r="C30" s="731"/>
      <c r="D30" s="731"/>
      <c r="E30" s="1734"/>
      <c r="F30" s="175"/>
      <c r="H30" s="1467"/>
      <c r="I30" s="403"/>
      <c r="J30" s="403"/>
    </row>
    <row r="31" spans="1:10" ht="24.75" customHeight="1">
      <c r="A31" s="1726">
        <v>4</v>
      </c>
      <c r="B31" s="1732" t="s">
        <v>38</v>
      </c>
      <c r="C31" s="731"/>
      <c r="D31" s="731"/>
      <c r="E31" s="1734"/>
      <c r="F31" s="175"/>
      <c r="H31" s="1467"/>
      <c r="I31" s="403"/>
      <c r="J31" s="403"/>
    </row>
    <row r="32" spans="1:10" ht="23.25" customHeight="1">
      <c r="A32" s="1726">
        <v>5</v>
      </c>
      <c r="B32" s="1732" t="s">
        <v>39</v>
      </c>
      <c r="C32" s="731"/>
      <c r="D32" s="731"/>
      <c r="E32" s="1734"/>
      <c r="F32" s="175"/>
      <c r="H32" s="1467"/>
      <c r="I32" s="403"/>
      <c r="J32" s="403"/>
    </row>
    <row r="33" spans="1:10" ht="33" customHeight="1">
      <c r="A33" s="1726">
        <v>6</v>
      </c>
      <c r="B33" s="1732" t="s">
        <v>40</v>
      </c>
      <c r="C33" s="731">
        <v>180</v>
      </c>
      <c r="D33" s="731">
        <v>180</v>
      </c>
      <c r="E33" s="1734"/>
      <c r="F33" s="175"/>
      <c r="H33" s="1467"/>
      <c r="I33" s="403"/>
      <c r="J33" s="403"/>
    </row>
    <row r="34" spans="1:10" ht="27.75" customHeight="1">
      <c r="A34" s="1726">
        <v>7</v>
      </c>
      <c r="B34" s="1732" t="s">
        <v>41</v>
      </c>
      <c r="C34" s="731"/>
      <c r="D34" s="731"/>
      <c r="E34" s="1734"/>
      <c r="F34" s="175"/>
      <c r="H34" s="1467"/>
      <c r="I34" s="403"/>
      <c r="J34" s="403"/>
    </row>
    <row r="35" spans="1:10" ht="20.25" customHeight="1">
      <c r="A35" s="1726">
        <v>8</v>
      </c>
      <c r="B35" s="1732" t="s">
        <v>42</v>
      </c>
      <c r="C35" s="731"/>
      <c r="D35" s="731"/>
      <c r="E35" s="1734"/>
      <c r="F35" s="175"/>
      <c r="H35" s="1467"/>
      <c r="I35" s="403"/>
      <c r="J35" s="403"/>
    </row>
    <row r="36" spans="1:10" ht="30" customHeight="1">
      <c r="A36" s="1726">
        <v>9</v>
      </c>
      <c r="B36" s="1732" t="s">
        <v>43</v>
      </c>
      <c r="C36" s="731"/>
      <c r="D36" s="731"/>
      <c r="E36" s="1734"/>
      <c r="F36" s="175"/>
      <c r="H36" s="1467"/>
      <c r="I36" s="403"/>
      <c r="J36" s="403"/>
    </row>
    <row r="37" spans="1:10" ht="14.25" customHeight="1">
      <c r="A37" s="1726">
        <v>10</v>
      </c>
      <c r="B37" s="1732" t="s">
        <v>244</v>
      </c>
      <c r="C37" s="731"/>
      <c r="D37" s="731"/>
      <c r="E37" s="1734"/>
      <c r="F37" s="175"/>
      <c r="H37" s="1467"/>
      <c r="I37" s="403"/>
      <c r="J37" s="403"/>
    </row>
    <row r="38" spans="1:10" ht="17.25" customHeight="1">
      <c r="A38" s="1727">
        <v>11</v>
      </c>
      <c r="B38" s="1732" t="s">
        <v>44</v>
      </c>
      <c r="C38" s="731"/>
      <c r="D38" s="731"/>
      <c r="E38" s="1734"/>
      <c r="F38" s="175"/>
      <c r="H38" s="1467"/>
      <c r="I38" s="403"/>
      <c r="J38" s="403"/>
    </row>
    <row r="39" spans="1:10" ht="15">
      <c r="A39" s="1727" t="s">
        <v>17</v>
      </c>
      <c r="B39" s="1732" t="s">
        <v>45</v>
      </c>
      <c r="C39" s="1736">
        <f>SUM(C40:C44)</f>
        <v>0</v>
      </c>
      <c r="D39" s="1736"/>
      <c r="E39" s="1737"/>
      <c r="F39" s="175"/>
      <c r="H39" s="1467"/>
      <c r="I39" s="403"/>
      <c r="J39" s="403"/>
    </row>
    <row r="40" spans="1:10" ht="26.25" customHeight="1">
      <c r="A40" s="1727">
        <v>1</v>
      </c>
      <c r="B40" s="1732" t="s">
        <v>46</v>
      </c>
      <c r="C40" s="1499"/>
      <c r="D40" s="1499"/>
      <c r="E40" s="1733"/>
      <c r="F40" s="175"/>
      <c r="H40" s="1467"/>
      <c r="I40" s="403"/>
      <c r="J40" s="403"/>
    </row>
    <row r="41" spans="1:10" ht="33" customHeight="1">
      <c r="A41" s="1727">
        <v>2</v>
      </c>
      <c r="B41" s="1732" t="s">
        <v>245</v>
      </c>
      <c r="C41" s="731"/>
      <c r="D41" s="731"/>
      <c r="E41" s="1734"/>
      <c r="F41" s="175"/>
      <c r="H41" s="1467"/>
      <c r="I41" s="403"/>
      <c r="J41" s="403"/>
    </row>
    <row r="42" spans="1:10" ht="28.5" customHeight="1">
      <c r="A42" s="1727">
        <v>3</v>
      </c>
      <c r="B42" s="1732" t="s">
        <v>246</v>
      </c>
      <c r="C42" s="731"/>
      <c r="D42" s="731"/>
      <c r="E42" s="1734"/>
      <c r="F42" s="175"/>
      <c r="H42" s="1467"/>
      <c r="I42" s="403"/>
      <c r="J42" s="403"/>
    </row>
    <row r="43" spans="1:10" ht="22.5" customHeight="1" thickBot="1">
      <c r="A43" s="692">
        <v>4</v>
      </c>
      <c r="B43" t="s">
        <v>47</v>
      </c>
      <c r="C43" s="176"/>
      <c r="D43" s="564"/>
      <c r="E43" s="564"/>
      <c r="F43" s="160"/>
      <c r="H43" s="1467"/>
      <c r="I43" s="403"/>
      <c r="J43" s="403"/>
    </row>
    <row r="44" spans="1:10" ht="28.5" customHeight="1" thickBot="1">
      <c r="A44" s="695">
        <v>5</v>
      </c>
      <c r="B44" t="s">
        <v>48</v>
      </c>
      <c r="C44" s="93"/>
      <c r="D44" s="357"/>
      <c r="E44" s="357"/>
      <c r="F44" s="165"/>
      <c r="H44" s="1468"/>
      <c r="I44" s="757"/>
      <c r="J44" s="757"/>
    </row>
    <row r="45" spans="1:10" ht="15.75" thickBot="1">
      <c r="A45" s="690"/>
      <c r="B45" t="s">
        <v>49</v>
      </c>
      <c r="C45" s="6">
        <f>SUM(C46+C52+C58)</f>
        <v>0</v>
      </c>
      <c r="D45" s="1461"/>
      <c r="E45" s="1461"/>
      <c r="F45" s="168"/>
      <c r="G45" t="s">
        <v>50</v>
      </c>
      <c r="H45" s="1472">
        <f>SUM(H46:H48)</f>
        <v>3493</v>
      </c>
      <c r="I45" s="1472">
        <f>SUM(I46:I48)</f>
        <v>3493</v>
      </c>
      <c r="J45" s="1496"/>
    </row>
    <row r="46" spans="1:10" ht="15">
      <c r="A46" s="688" t="s">
        <v>261</v>
      </c>
      <c r="B46" t="s">
        <v>51</v>
      </c>
      <c r="C46" s="14">
        <f>SUM(C47:C51)</f>
        <v>0</v>
      </c>
      <c r="D46" s="178"/>
      <c r="E46" s="178"/>
      <c r="F46" s="170" t="s">
        <v>52</v>
      </c>
      <c r="G46" t="s">
        <v>53</v>
      </c>
      <c r="H46" s="1466">
        <v>3493</v>
      </c>
      <c r="I46" s="358">
        <v>3493</v>
      </c>
      <c r="J46" s="358"/>
    </row>
    <row r="47" spans="1:10" ht="31.5" customHeight="1">
      <c r="A47" s="688">
        <v>1</v>
      </c>
      <c r="B47" t="s">
        <v>54</v>
      </c>
      <c r="C47" s="112"/>
      <c r="D47" s="564"/>
      <c r="E47" s="564"/>
      <c r="F47" s="170" t="s">
        <v>55</v>
      </c>
      <c r="G47" t="s">
        <v>56</v>
      </c>
      <c r="H47" s="1466"/>
      <c r="I47" s="358"/>
      <c r="J47" s="358"/>
    </row>
    <row r="48" spans="1:10" ht="29.25" customHeight="1" thickBot="1">
      <c r="A48" s="688">
        <v>2</v>
      </c>
      <c r="B48" t="s">
        <v>57</v>
      </c>
      <c r="C48" s="112"/>
      <c r="D48" s="564"/>
      <c r="E48" s="564"/>
      <c r="F48" s="170" t="s">
        <v>58</v>
      </c>
      <c r="G48" t="s">
        <v>59</v>
      </c>
      <c r="H48" s="1470"/>
      <c r="I48" s="1497"/>
      <c r="J48" s="1497"/>
    </row>
    <row r="49" spans="1:10" ht="27" customHeight="1">
      <c r="A49" s="688">
        <v>3</v>
      </c>
      <c r="B49" t="s">
        <v>60</v>
      </c>
      <c r="C49" s="112"/>
      <c r="D49" s="12"/>
      <c r="E49" s="12"/>
      <c r="F49" s="174"/>
      <c r="H49" s="1471"/>
      <c r="I49" s="407"/>
      <c r="J49" s="407"/>
    </row>
    <row r="50" spans="1:10" ht="29.25" customHeight="1">
      <c r="A50" s="688">
        <v>4</v>
      </c>
      <c r="B50" t="s">
        <v>61</v>
      </c>
      <c r="C50" s="112"/>
      <c r="D50" s="12"/>
      <c r="E50" s="12"/>
      <c r="F50" s="160"/>
      <c r="H50" s="1471"/>
      <c r="I50" s="407"/>
      <c r="J50" s="407"/>
    </row>
    <row r="51" spans="1:10" ht="30.75" customHeight="1">
      <c r="A51" s="688">
        <v>5</v>
      </c>
      <c r="B51" t="s">
        <v>62</v>
      </c>
      <c r="C51" s="97"/>
      <c r="D51" s="9"/>
      <c r="E51" s="9"/>
      <c r="F51" s="160"/>
      <c r="H51" s="1471"/>
      <c r="I51" s="407"/>
      <c r="J51" s="407"/>
    </row>
    <row r="52" spans="1:10" ht="25.5" customHeight="1">
      <c r="A52" s="688" t="s">
        <v>52</v>
      </c>
      <c r="B52" t="s">
        <v>63</v>
      </c>
      <c r="C52" s="96">
        <f>SUM(C53:C57)</f>
        <v>0</v>
      </c>
      <c r="D52" s="96"/>
      <c r="E52" s="96"/>
      <c r="F52" s="160"/>
      <c r="H52" s="1471"/>
      <c r="I52" s="407"/>
      <c r="J52" s="407"/>
    </row>
    <row r="53" spans="1:10" ht="25.5" customHeight="1">
      <c r="A53" s="688">
        <v>1</v>
      </c>
      <c r="B53" t="s">
        <v>64</v>
      </c>
      <c r="C53" s="112"/>
      <c r="D53" s="12"/>
      <c r="E53" s="12"/>
      <c r="F53" s="160"/>
      <c r="H53" s="1471"/>
      <c r="I53" s="407"/>
      <c r="J53" s="407"/>
    </row>
    <row r="54" spans="1:10" ht="28.5" customHeight="1">
      <c r="A54" s="688">
        <v>2</v>
      </c>
      <c r="B54" t="s">
        <v>65</v>
      </c>
      <c r="C54" s="112"/>
      <c r="D54" s="12"/>
      <c r="E54" s="12"/>
      <c r="F54" s="160"/>
      <c r="H54" s="1471"/>
      <c r="I54" s="407"/>
      <c r="J54" s="407"/>
    </row>
    <row r="55" spans="1:10" ht="21.75" customHeight="1">
      <c r="A55" s="688">
        <v>3</v>
      </c>
      <c r="B55" t="s">
        <v>66</v>
      </c>
      <c r="C55" s="112"/>
      <c r="D55" s="12"/>
      <c r="E55" s="12"/>
      <c r="F55" s="160"/>
      <c r="H55" s="1471"/>
      <c r="I55" s="407"/>
      <c r="J55" s="407"/>
    </row>
    <row r="56" spans="1:10" ht="23.25" customHeight="1">
      <c r="A56" s="688">
        <v>4</v>
      </c>
      <c r="B56" t="s">
        <v>409</v>
      </c>
      <c r="C56" s="112"/>
      <c r="D56" s="12"/>
      <c r="E56" s="12"/>
      <c r="F56" s="160"/>
      <c r="H56" s="1471"/>
      <c r="I56" s="407"/>
      <c r="J56" s="407"/>
    </row>
    <row r="57" spans="1:10" ht="22.5" customHeight="1">
      <c r="A57" s="688">
        <v>5</v>
      </c>
      <c r="B57" t="s">
        <v>68</v>
      </c>
      <c r="C57" s="97"/>
      <c r="D57" s="9"/>
      <c r="E57" s="9"/>
      <c r="F57" s="160"/>
      <c r="H57" s="1471"/>
      <c r="I57" s="407"/>
      <c r="J57" s="407"/>
    </row>
    <row r="58" spans="1:10" ht="15">
      <c r="A58" s="692" t="s">
        <v>55</v>
      </c>
      <c r="B58" t="s">
        <v>69</v>
      </c>
      <c r="C58" s="96">
        <f>SUM(C59:C62)</f>
        <v>0</v>
      </c>
      <c r="D58" s="96"/>
      <c r="E58" s="96"/>
      <c r="F58" s="160"/>
      <c r="H58" s="1471"/>
      <c r="I58" s="407"/>
      <c r="J58" s="407"/>
    </row>
    <row r="59" spans="1:10" ht="31.5" customHeight="1">
      <c r="A59" s="692">
        <v>1</v>
      </c>
      <c r="B59" t="s">
        <v>70</v>
      </c>
      <c r="C59" s="112"/>
      <c r="D59" s="12"/>
      <c r="E59" s="12"/>
      <c r="F59" s="160"/>
      <c r="H59" s="1471"/>
      <c r="I59" s="407"/>
      <c r="J59" s="407"/>
    </row>
    <row r="60" spans="1:10" ht="29.25" customHeight="1">
      <c r="A60" s="692">
        <v>2</v>
      </c>
      <c r="B60" t="s">
        <v>247</v>
      </c>
      <c r="C60" s="164"/>
      <c r="D60" s="12"/>
      <c r="E60" s="12"/>
      <c r="F60" s="160"/>
      <c r="H60" s="1471"/>
      <c r="I60" s="407"/>
      <c r="J60" s="407"/>
    </row>
    <row r="61" spans="1:10" ht="26.25" customHeight="1" thickBot="1">
      <c r="A61" s="692">
        <v>3</v>
      </c>
      <c r="B61" t="s">
        <v>248</v>
      </c>
      <c r="C61" s="176"/>
      <c r="D61" s="12"/>
      <c r="E61" s="12"/>
      <c r="F61" s="160"/>
      <c r="H61" s="1471"/>
      <c r="I61" s="407"/>
      <c r="J61" s="407"/>
    </row>
    <row r="62" spans="1:10" ht="24" customHeight="1" thickBot="1">
      <c r="A62" s="695">
        <v>4</v>
      </c>
      <c r="B62" t="s">
        <v>71</v>
      </c>
      <c r="C62" s="93"/>
      <c r="D62" s="9"/>
      <c r="E62" s="9"/>
      <c r="F62" s="160"/>
      <c r="H62" s="1471"/>
      <c r="I62" s="407"/>
      <c r="J62" s="407"/>
    </row>
    <row r="63" spans="1:10" ht="15.75" thickBot="1">
      <c r="A63" s="693"/>
      <c r="B63" t="s">
        <v>72</v>
      </c>
      <c r="C63" s="178">
        <f>SUM(C64:C72)</f>
        <v>28717</v>
      </c>
      <c r="D63" s="178">
        <v>29467</v>
      </c>
      <c r="E63" s="14"/>
      <c r="F63" s="168"/>
      <c r="G63" t="s">
        <v>73</v>
      </c>
      <c r="H63" s="1472">
        <f>SUM(H64:H72)</f>
        <v>0</v>
      </c>
      <c r="I63" s="731"/>
      <c r="J63" s="731"/>
    </row>
    <row r="64" spans="1:10" ht="30" customHeight="1">
      <c r="A64" s="687">
        <v>1</v>
      </c>
      <c r="B64" t="s">
        <v>410</v>
      </c>
      <c r="C64" s="112"/>
      <c r="D64" s="12"/>
      <c r="E64" s="12"/>
      <c r="F64" s="179" t="s">
        <v>9</v>
      </c>
      <c r="G64" t="s">
        <v>411</v>
      </c>
      <c r="H64" s="1473"/>
      <c r="I64" s="1498"/>
      <c r="J64" s="1498"/>
    </row>
    <row r="65" spans="1:10" ht="33.75" customHeight="1">
      <c r="A65" s="687">
        <v>2</v>
      </c>
      <c r="B65" t="s">
        <v>249</v>
      </c>
      <c r="C65" s="112"/>
      <c r="D65" s="12"/>
      <c r="E65" s="12"/>
      <c r="F65" s="7" t="s">
        <v>23</v>
      </c>
      <c r="G65" t="s">
        <v>257</v>
      </c>
      <c r="H65" s="1473"/>
      <c r="I65" s="1498"/>
      <c r="J65" s="1498"/>
    </row>
    <row r="66" spans="1:10" ht="27" customHeight="1">
      <c r="A66" s="687">
        <v>3</v>
      </c>
      <c r="B66" t="s">
        <v>250</v>
      </c>
      <c r="C66" s="112"/>
      <c r="D66" s="12"/>
      <c r="E66" s="12"/>
      <c r="F66" s="7" t="s">
        <v>25</v>
      </c>
      <c r="G66" t="s">
        <v>258</v>
      </c>
      <c r="H66" s="1474"/>
      <c r="I66" s="1498"/>
      <c r="J66" s="1498"/>
    </row>
    <row r="67" spans="1:10" ht="15">
      <c r="A67" s="687">
        <v>4</v>
      </c>
      <c r="B67" t="s">
        <v>251</v>
      </c>
      <c r="C67" s="112"/>
      <c r="D67" s="12"/>
      <c r="E67" s="12"/>
      <c r="F67" s="7" t="s">
        <v>27</v>
      </c>
      <c r="G67" t="s">
        <v>259</v>
      </c>
      <c r="H67" s="1475"/>
      <c r="I67" s="1499"/>
      <c r="J67" s="1499"/>
    </row>
    <row r="68" spans="1:10" ht="15">
      <c r="A68" s="687">
        <v>5</v>
      </c>
      <c r="B68" t="s">
        <v>252</v>
      </c>
      <c r="C68" s="112"/>
      <c r="D68" s="12"/>
      <c r="E68" s="12"/>
      <c r="F68" s="7" t="s">
        <v>29</v>
      </c>
      <c r="G68" t="s">
        <v>412</v>
      </c>
      <c r="H68" s="1476"/>
      <c r="I68" s="731"/>
      <c r="J68" s="731"/>
    </row>
    <row r="69" spans="1:10" ht="15">
      <c r="A69" s="687">
        <v>6</v>
      </c>
      <c r="B69" t="s">
        <v>253</v>
      </c>
      <c r="C69" s="164"/>
      <c r="D69" s="180"/>
      <c r="E69" s="180"/>
      <c r="F69" s="7" t="s">
        <v>31</v>
      </c>
      <c r="G69" t="s">
        <v>413</v>
      </c>
      <c r="H69" s="1477"/>
      <c r="I69" s="731"/>
      <c r="J69" s="731"/>
    </row>
    <row r="70" spans="1:10" ht="33.75" customHeight="1" thickBot="1">
      <c r="A70" s="687">
        <v>7</v>
      </c>
      <c r="B70" t="s">
        <v>414</v>
      </c>
      <c r="C70" s="97"/>
      <c r="D70" s="9"/>
      <c r="E70" s="9"/>
      <c r="F70" s="183" t="s">
        <v>74</v>
      </c>
      <c r="G70" t="s">
        <v>415</v>
      </c>
      <c r="H70" s="1477"/>
      <c r="I70" s="731"/>
      <c r="J70" s="731"/>
    </row>
    <row r="71" spans="1:12" ht="24.75" customHeight="1" thickBot="1">
      <c r="A71" s="687">
        <v>8</v>
      </c>
      <c r="B71" t="s">
        <v>254</v>
      </c>
      <c r="C71" s="97">
        <f>32210-3493</f>
        <v>28717</v>
      </c>
      <c r="D71" s="9">
        <f>32960-D80</f>
        <v>29467</v>
      </c>
      <c r="E71" s="9"/>
      <c r="F71" s="168"/>
      <c r="H71" s="1477"/>
      <c r="I71" s="731"/>
      <c r="J71" s="731"/>
      <c r="L71" s="561"/>
    </row>
    <row r="72" spans="1:10" ht="26.25" customHeight="1" thickBot="1">
      <c r="A72" s="687">
        <v>9</v>
      </c>
      <c r="B72" t="s">
        <v>255</v>
      </c>
      <c r="C72" s="99"/>
      <c r="D72" s="9"/>
      <c r="E72" s="9"/>
      <c r="F72" s="91"/>
      <c r="H72" s="1477"/>
      <c r="I72" s="731"/>
      <c r="J72" s="731"/>
    </row>
    <row r="73" spans="1:10" ht="15.75" thickBot="1">
      <c r="A73" s="693" t="s">
        <v>9</v>
      </c>
      <c r="B73" t="s">
        <v>75</v>
      </c>
      <c r="C73" s="182">
        <f>SUM(C74:C80)</f>
        <v>3493</v>
      </c>
      <c r="D73" s="182">
        <f>SUM(D74:D80)</f>
        <v>3493</v>
      </c>
      <c r="E73" s="11"/>
      <c r="F73" s="91"/>
      <c r="G73" t="s">
        <v>76</v>
      </c>
      <c r="H73" s="1466">
        <f>SUM(H74:H81)</f>
        <v>0</v>
      </c>
      <c r="I73" s="358"/>
      <c r="J73" s="358"/>
    </row>
    <row r="74" spans="1:10" ht="27.75" customHeight="1" thickBot="1">
      <c r="A74" s="687" t="s">
        <v>23</v>
      </c>
      <c r="B74" t="s">
        <v>256</v>
      </c>
      <c r="C74" s="112"/>
      <c r="D74" s="12"/>
      <c r="E74" s="12"/>
      <c r="F74" s="179" t="s">
        <v>9</v>
      </c>
      <c r="G74" t="s">
        <v>260</v>
      </c>
      <c r="H74" s="1470"/>
      <c r="I74" s="731"/>
      <c r="J74" s="731"/>
    </row>
    <row r="75" spans="1:10" ht="28.5" customHeight="1">
      <c r="A75" s="687" t="s">
        <v>25</v>
      </c>
      <c r="B75" t="s">
        <v>416</v>
      </c>
      <c r="C75" s="112"/>
      <c r="D75" s="12"/>
      <c r="E75" s="12"/>
      <c r="F75" s="7" t="s">
        <v>23</v>
      </c>
      <c r="G75" t="s">
        <v>417</v>
      </c>
      <c r="H75" s="1469"/>
      <c r="I75" s="1499"/>
      <c r="J75" s="1499"/>
    </row>
    <row r="76" spans="1:10" ht="15">
      <c r="A76" s="687" t="s">
        <v>27</v>
      </c>
      <c r="B76" t="s">
        <v>249</v>
      </c>
      <c r="C76" s="112"/>
      <c r="D76" s="112"/>
      <c r="E76" s="112"/>
      <c r="F76" s="7" t="s">
        <v>25</v>
      </c>
      <c r="G76" t="s">
        <v>418</v>
      </c>
      <c r="H76" s="1475"/>
      <c r="I76" s="1499"/>
      <c r="J76" s="1499"/>
    </row>
    <row r="77" spans="1:10" ht="27" customHeight="1">
      <c r="A77" s="687" t="s">
        <v>29</v>
      </c>
      <c r="B77" t="s">
        <v>419</v>
      </c>
      <c r="C77" s="112"/>
      <c r="D77" s="112"/>
      <c r="E77" s="112"/>
      <c r="F77" s="7" t="s">
        <v>27</v>
      </c>
      <c r="G77" t="s">
        <v>420</v>
      </c>
      <c r="H77" s="1475"/>
      <c r="I77" s="1499"/>
      <c r="J77" s="1499"/>
    </row>
    <row r="78" spans="1:10" ht="37.5" customHeight="1">
      <c r="A78" s="687" t="s">
        <v>31</v>
      </c>
      <c r="B78" t="s">
        <v>421</v>
      </c>
      <c r="C78" s="112"/>
      <c r="D78" s="112"/>
      <c r="E78" s="112"/>
      <c r="F78" s="7" t="s">
        <v>29</v>
      </c>
      <c r="G78" t="s">
        <v>422</v>
      </c>
      <c r="H78" s="1477"/>
      <c r="I78" s="731"/>
      <c r="J78" s="731"/>
    </row>
    <row r="79" spans="1:10" ht="27.75" customHeight="1">
      <c r="A79" s="687" t="s">
        <v>74</v>
      </c>
      <c r="B79" t="s">
        <v>252</v>
      </c>
      <c r="C79" s="112"/>
      <c r="D79" s="112"/>
      <c r="E79" s="112"/>
      <c r="F79" s="7" t="s">
        <v>31</v>
      </c>
      <c r="G79" t="s">
        <v>252</v>
      </c>
      <c r="H79" s="1477"/>
      <c r="I79" s="731"/>
      <c r="J79" s="731"/>
    </row>
    <row r="80" spans="1:10" ht="34.5" customHeight="1" thickBot="1">
      <c r="A80" s="1229" t="s">
        <v>77</v>
      </c>
      <c r="B80" t="s">
        <v>254</v>
      </c>
      <c r="C80" s="173">
        <v>3493</v>
      </c>
      <c r="D80" s="173">
        <v>3493</v>
      </c>
      <c r="E80" s="173"/>
      <c r="F80" s="183" t="s">
        <v>74</v>
      </c>
      <c r="G80" t="s">
        <v>253</v>
      </c>
      <c r="H80" s="1477"/>
      <c r="I80" s="731"/>
      <c r="J80" s="731"/>
    </row>
    <row r="81" spans="1:10" ht="15.75" thickBot="1">
      <c r="A81" s="1230"/>
      <c r="C81" s="352"/>
      <c r="D81" s="732"/>
      <c r="E81" s="732"/>
      <c r="F81" s="184" t="s">
        <v>77</v>
      </c>
      <c r="H81" s="1478"/>
      <c r="I81" s="731"/>
      <c r="J81" s="731"/>
    </row>
    <row r="82" spans="1:10" ht="15.75" thickBot="1">
      <c r="A82" s="1231"/>
      <c r="B82" t="s">
        <v>78</v>
      </c>
      <c r="C82" s="1235">
        <f>(C7+C45+C63+C78+C73)</f>
        <v>33780</v>
      </c>
      <c r="D82" s="1235">
        <f>(D7+D45+D63+D78+D73)</f>
        <v>34530</v>
      </c>
      <c r="E82" s="1510"/>
      <c r="F82" s="1233"/>
      <c r="G82" t="s">
        <v>79</v>
      </c>
      <c r="H82" s="1479">
        <f>SUM(H7+H45+H63+H73)</f>
        <v>33780</v>
      </c>
      <c r="I82" s="1479">
        <f>SUM(I7+I45+I63+I73)</f>
        <v>34530</v>
      </c>
      <c r="J82" s="1500"/>
    </row>
    <row r="84" ht="12.75">
      <c r="D84" s="561">
        <f>SUM(D71+D80)</f>
        <v>32960</v>
      </c>
    </row>
  </sheetData>
  <sheetProtection/>
  <mergeCells count="2">
    <mergeCell ref="A3:H3"/>
    <mergeCell ref="F13:F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5.125" style="0" customWidth="1"/>
    <col min="4" max="4" width="15.375" style="0" customWidth="1"/>
    <col min="5" max="5" width="14.625" style="0" customWidth="1"/>
    <col min="7" max="7" width="49.00390625" style="0" customWidth="1"/>
    <col min="8" max="10" width="16.125" style="0" customWidth="1"/>
  </cols>
  <sheetData>
    <row r="1" spans="1:10" ht="15.75">
      <c r="A1" s="1"/>
      <c r="B1" t="s">
        <v>711</v>
      </c>
      <c r="C1" s="346"/>
      <c r="D1" s="346"/>
      <c r="E1" s="346"/>
      <c r="F1" s="1"/>
      <c r="H1" s="3"/>
      <c r="I1" s="3"/>
      <c r="J1" s="3"/>
    </row>
    <row r="2" spans="1:10" ht="15.75">
      <c r="A2" s="1"/>
      <c r="C2" s="346"/>
      <c r="D2" s="346"/>
      <c r="E2" s="346"/>
      <c r="F2" s="1"/>
      <c r="H2" s="3"/>
      <c r="I2" s="3"/>
      <c r="J2" s="3"/>
    </row>
    <row r="3" spans="1:10" ht="15.75">
      <c r="A3" s="1794" t="s">
        <v>568</v>
      </c>
      <c r="B3" s="1794"/>
      <c r="C3" s="1794"/>
      <c r="D3" s="1794"/>
      <c r="E3" s="1794"/>
      <c r="F3" s="1794"/>
      <c r="G3" s="1794"/>
      <c r="H3" s="1794"/>
      <c r="I3" s="347"/>
      <c r="J3" s="347"/>
    </row>
    <row r="4" spans="1:10" ht="16.5" thickBot="1">
      <c r="A4" s="347"/>
      <c r="C4" s="347"/>
      <c r="D4" s="347"/>
      <c r="E4" s="347"/>
      <c r="F4" s="347"/>
      <c r="H4" s="347"/>
      <c r="I4" s="347"/>
      <c r="J4" s="347"/>
    </row>
    <row r="5" spans="1:10" ht="16.5" thickBot="1">
      <c r="A5" s="348" t="s">
        <v>118</v>
      </c>
      <c r="B5" t="s">
        <v>142</v>
      </c>
      <c r="C5" s="348" t="s">
        <v>363</v>
      </c>
      <c r="D5" s="348" t="s">
        <v>364</v>
      </c>
      <c r="E5" s="348" t="s">
        <v>365</v>
      </c>
      <c r="F5" s="348" t="s">
        <v>366</v>
      </c>
      <c r="G5" t="s">
        <v>367</v>
      </c>
      <c r="H5" s="348" t="s">
        <v>368</v>
      </c>
      <c r="I5" s="348" t="s">
        <v>230</v>
      </c>
      <c r="J5" s="348" t="s">
        <v>369</v>
      </c>
    </row>
    <row r="6" spans="1:10" ht="48" thickBot="1">
      <c r="A6" s="1229"/>
      <c r="B6" t="s">
        <v>2</v>
      </c>
      <c r="C6" s="1355" t="s">
        <v>563</v>
      </c>
      <c r="D6" s="1355" t="s">
        <v>677</v>
      </c>
      <c r="E6" s="1355" t="s">
        <v>678</v>
      </c>
      <c r="F6" s="418"/>
      <c r="G6" t="s">
        <v>3</v>
      </c>
      <c r="H6" s="1355" t="s">
        <v>563</v>
      </c>
      <c r="I6" s="1355" t="s">
        <v>677</v>
      </c>
      <c r="J6" s="1355" t="s">
        <v>678</v>
      </c>
    </row>
    <row r="7" spans="1:10" ht="15" thickBot="1">
      <c r="A7" s="685"/>
      <c r="B7" t="s">
        <v>4</v>
      </c>
      <c r="C7" s="92">
        <f>SUM(C8+C21+C27+C39)</f>
        <v>54483</v>
      </c>
      <c r="D7" s="92">
        <f>SUM(D8+D21+D27+D39)</f>
        <v>54483</v>
      </c>
      <c r="E7" s="92">
        <f>SUM(E8+E21+E27+E39)</f>
        <v>0</v>
      </c>
      <c r="F7" s="153"/>
      <c r="G7" t="s">
        <v>5</v>
      </c>
      <c r="H7" s="400">
        <f>SUM(H8:H12)</f>
        <v>202780</v>
      </c>
      <c r="I7" s="400">
        <f>SUM(I8:I12)</f>
        <v>202780</v>
      </c>
      <c r="J7" s="339"/>
    </row>
    <row r="8" spans="1:10" ht="24.75" customHeight="1">
      <c r="A8" s="686" t="s">
        <v>6</v>
      </c>
      <c r="B8" t="s">
        <v>7</v>
      </c>
      <c r="C8" s="6">
        <f>SUM(C9+C16+C17+C18+C19+C20)</f>
        <v>0</v>
      </c>
      <c r="D8" s="6"/>
      <c r="E8" s="6"/>
      <c r="F8" s="4" t="s">
        <v>6</v>
      </c>
      <c r="G8" t="s">
        <v>8</v>
      </c>
      <c r="H8" s="401">
        <v>50452</v>
      </c>
      <c r="I8" s="1495">
        <v>50452</v>
      </c>
      <c r="J8" s="1495"/>
    </row>
    <row r="9" spans="1:10" ht="31.5" customHeight="1">
      <c r="A9" s="687" t="s">
        <v>9</v>
      </c>
      <c r="B9" t="s">
        <v>10</v>
      </c>
      <c r="C9" s="9">
        <f>SUM(C10:C15)</f>
        <v>0</v>
      </c>
      <c r="D9" s="9"/>
      <c r="E9" s="9"/>
      <c r="F9" s="7" t="s">
        <v>11</v>
      </c>
      <c r="G9" t="s">
        <v>12</v>
      </c>
      <c r="H9" s="402">
        <v>10488</v>
      </c>
      <c r="I9" s="358">
        <v>10488</v>
      </c>
      <c r="J9" s="358"/>
    </row>
    <row r="10" spans="1:10" ht="36.75" customHeight="1">
      <c r="A10" s="687"/>
      <c r="B10" t="s">
        <v>13</v>
      </c>
      <c r="C10" s="12"/>
      <c r="D10" s="12"/>
      <c r="E10" s="12"/>
      <c r="F10" s="7" t="s">
        <v>14</v>
      </c>
      <c r="G10" t="s">
        <v>15</v>
      </c>
      <c r="H10" s="402">
        <v>141840</v>
      </c>
      <c r="I10" s="358">
        <v>141840</v>
      </c>
      <c r="J10" s="358"/>
    </row>
    <row r="11" spans="1:10" ht="31.5" customHeight="1">
      <c r="A11" s="687"/>
      <c r="B11" t="s">
        <v>16</v>
      </c>
      <c r="C11" s="12"/>
      <c r="D11" s="12"/>
      <c r="E11" s="12"/>
      <c r="F11" s="7" t="s">
        <v>17</v>
      </c>
      <c r="G11" t="s">
        <v>18</v>
      </c>
      <c r="H11" s="402"/>
      <c r="I11" s="358"/>
      <c r="J11" s="358"/>
    </row>
    <row r="12" spans="1:10" ht="30" customHeight="1">
      <c r="A12" s="687"/>
      <c r="B12" t="s">
        <v>19</v>
      </c>
      <c r="C12" s="12"/>
      <c r="D12" s="12"/>
      <c r="E12" s="12"/>
      <c r="F12" s="7" t="s">
        <v>20</v>
      </c>
      <c r="G12" t="s">
        <v>21</v>
      </c>
      <c r="H12" s="402"/>
      <c r="I12" s="358"/>
      <c r="J12" s="358"/>
    </row>
    <row r="13" spans="1:10" ht="21" customHeight="1">
      <c r="A13" s="687"/>
      <c r="B13" t="s">
        <v>22</v>
      </c>
      <c r="C13" s="12"/>
      <c r="D13" s="180"/>
      <c r="E13" s="180"/>
      <c r="F13" s="1793"/>
      <c r="G13">
        <v>0</v>
      </c>
      <c r="H13" s="403"/>
      <c r="I13" s="403"/>
      <c r="J13" s="403"/>
    </row>
    <row r="14" spans="1:10" ht="15">
      <c r="A14" s="687"/>
      <c r="B14" t="s">
        <v>238</v>
      </c>
      <c r="C14" s="12"/>
      <c r="D14" s="180"/>
      <c r="E14" s="180"/>
      <c r="F14" s="1793"/>
      <c r="H14" s="403"/>
      <c r="I14" s="403"/>
      <c r="J14" s="403"/>
    </row>
    <row r="15" spans="1:10" ht="15">
      <c r="A15" s="687"/>
      <c r="B15" t="s">
        <v>239</v>
      </c>
      <c r="C15" s="12"/>
      <c r="D15" s="180"/>
      <c r="E15" s="180"/>
      <c r="F15" s="1793"/>
      <c r="H15" s="403"/>
      <c r="I15" s="403"/>
      <c r="J15" s="403"/>
    </row>
    <row r="16" spans="1:10" ht="15">
      <c r="A16" s="687">
        <v>2</v>
      </c>
      <c r="B16" t="s">
        <v>24</v>
      </c>
      <c r="C16" s="12"/>
      <c r="D16" s="180"/>
      <c r="E16" s="180"/>
      <c r="F16" s="1793"/>
      <c r="H16" s="403"/>
      <c r="I16" s="403"/>
      <c r="J16" s="403"/>
    </row>
    <row r="17" spans="1:10" ht="15">
      <c r="A17" s="687">
        <v>3</v>
      </c>
      <c r="B17" t="s">
        <v>26</v>
      </c>
      <c r="C17" s="12"/>
      <c r="D17" s="180"/>
      <c r="E17" s="180"/>
      <c r="F17" s="1793"/>
      <c r="H17" s="403"/>
      <c r="I17" s="403"/>
      <c r="J17" s="403"/>
    </row>
    <row r="18" spans="1:10" ht="32.25" customHeight="1">
      <c r="A18" s="687">
        <v>4</v>
      </c>
      <c r="B18" t="s">
        <v>28</v>
      </c>
      <c r="C18" s="12"/>
      <c r="D18" s="180"/>
      <c r="E18" s="180"/>
      <c r="F18" s="1793"/>
      <c r="H18" s="403"/>
      <c r="I18" s="403"/>
      <c r="J18" s="403"/>
    </row>
    <row r="19" spans="1:10" ht="27.75" customHeight="1">
      <c r="A19" s="687">
        <v>5</v>
      </c>
      <c r="B19" t="s">
        <v>30</v>
      </c>
      <c r="C19" s="12"/>
      <c r="D19" s="180"/>
      <c r="E19" s="180"/>
      <c r="F19" s="1793"/>
      <c r="H19" s="403"/>
      <c r="I19" s="403"/>
      <c r="J19" s="403"/>
    </row>
    <row r="20" spans="1:10" ht="30" customHeight="1">
      <c r="A20" s="687">
        <v>6</v>
      </c>
      <c r="B20" t="s">
        <v>32</v>
      </c>
      <c r="C20" s="12"/>
      <c r="D20" s="180"/>
      <c r="E20" s="180"/>
      <c r="F20" s="1793"/>
      <c r="H20" s="403"/>
      <c r="I20" s="403"/>
      <c r="J20" s="403"/>
    </row>
    <row r="21" spans="1:10" ht="15">
      <c r="A21" s="688" t="s">
        <v>11</v>
      </c>
      <c r="B21" t="s">
        <v>243</v>
      </c>
      <c r="C21" s="9">
        <f>SUM(C22:C26)</f>
        <v>0</v>
      </c>
      <c r="D21" s="1464"/>
      <c r="E21" s="1464"/>
      <c r="F21" s="160"/>
      <c r="H21" s="403"/>
      <c r="I21" s="403"/>
      <c r="J21" s="403"/>
    </row>
    <row r="22" spans="1:10" ht="15">
      <c r="A22" s="688">
        <v>1</v>
      </c>
      <c r="B22" t="s">
        <v>240</v>
      </c>
      <c r="C22" s="162"/>
      <c r="D22" s="105"/>
      <c r="E22" s="105"/>
      <c r="F22" s="160"/>
      <c r="H22" s="403"/>
      <c r="I22" s="403"/>
      <c r="J22" s="403"/>
    </row>
    <row r="23" spans="1:10" ht="15">
      <c r="A23" s="688">
        <v>2</v>
      </c>
      <c r="B23" t="s">
        <v>241</v>
      </c>
      <c r="C23" s="162"/>
      <c r="D23" s="105"/>
      <c r="E23" s="105"/>
      <c r="F23" s="160"/>
      <c r="H23" s="403"/>
      <c r="I23" s="403"/>
      <c r="J23" s="403"/>
    </row>
    <row r="24" spans="1:10" ht="15">
      <c r="A24" s="688">
        <v>3</v>
      </c>
      <c r="B24" t="s">
        <v>242</v>
      </c>
      <c r="C24" s="162"/>
      <c r="D24" s="105"/>
      <c r="E24" s="105"/>
      <c r="F24" s="160"/>
      <c r="H24" s="403"/>
      <c r="I24" s="403"/>
      <c r="J24" s="403"/>
    </row>
    <row r="25" spans="1:10" ht="15">
      <c r="A25" s="688">
        <v>4</v>
      </c>
      <c r="B25" t="s">
        <v>81</v>
      </c>
      <c r="C25" s="162"/>
      <c r="D25" s="105"/>
      <c r="E25" s="105"/>
      <c r="F25" s="160"/>
      <c r="H25" s="403"/>
      <c r="I25" s="403"/>
      <c r="J25" s="403"/>
    </row>
    <row r="26" spans="1:10" ht="15">
      <c r="A26" s="688">
        <v>5</v>
      </c>
      <c r="B26" t="s">
        <v>82</v>
      </c>
      <c r="C26" s="162"/>
      <c r="D26" s="105"/>
      <c r="E26" s="105"/>
      <c r="F26" s="160"/>
      <c r="H26" s="403"/>
      <c r="I26" s="403"/>
      <c r="J26" s="403"/>
    </row>
    <row r="27" spans="1:10" ht="15">
      <c r="A27" s="688" t="s">
        <v>14</v>
      </c>
      <c r="B27" t="s">
        <v>34</v>
      </c>
      <c r="C27" s="9">
        <f>SUM(C28:C38)</f>
        <v>54483</v>
      </c>
      <c r="D27" s="9">
        <f>SUM(D28:D38)</f>
        <v>54483</v>
      </c>
      <c r="E27" s="9">
        <f>SUM(E28:E38)</f>
        <v>0</v>
      </c>
      <c r="F27" s="160"/>
      <c r="H27" s="403"/>
      <c r="I27" s="403"/>
      <c r="J27" s="403"/>
    </row>
    <row r="28" spans="1:10" ht="27.75" customHeight="1">
      <c r="A28" s="688">
        <v>1</v>
      </c>
      <c r="B28" t="s">
        <v>35</v>
      </c>
      <c r="C28" s="97"/>
      <c r="D28" s="9"/>
      <c r="E28" s="9"/>
      <c r="F28" s="160"/>
      <c r="H28" s="403"/>
      <c r="I28" s="403"/>
      <c r="J28" s="403"/>
    </row>
    <row r="29" spans="1:10" ht="20.25" customHeight="1">
      <c r="A29" s="688">
        <v>2</v>
      </c>
      <c r="B29" t="s">
        <v>36</v>
      </c>
      <c r="C29" s="112">
        <f>250+150+4000</f>
        <v>4400</v>
      </c>
      <c r="D29" s="12">
        <v>4400</v>
      </c>
      <c r="E29" s="12"/>
      <c r="F29" s="160"/>
      <c r="H29" s="403"/>
      <c r="I29" s="403"/>
      <c r="J29" s="403"/>
    </row>
    <row r="30" spans="1:10" ht="24" customHeight="1">
      <c r="A30" s="688">
        <v>3</v>
      </c>
      <c r="B30" t="s">
        <v>37</v>
      </c>
      <c r="C30" s="112">
        <v>500</v>
      </c>
      <c r="D30" s="12">
        <v>500</v>
      </c>
      <c r="E30" s="12"/>
      <c r="F30" s="160"/>
      <c r="H30" s="403"/>
      <c r="I30" s="403"/>
      <c r="J30" s="403"/>
    </row>
    <row r="31" spans="1:10" ht="24.75" customHeight="1">
      <c r="A31" s="688">
        <v>4</v>
      </c>
      <c r="B31" t="s">
        <v>38</v>
      </c>
      <c r="C31" s="112"/>
      <c r="D31" s="12"/>
      <c r="E31" s="12"/>
      <c r="F31" s="160"/>
      <c r="H31" s="403"/>
      <c r="I31" s="403"/>
      <c r="J31" s="403"/>
    </row>
    <row r="32" spans="1:10" ht="23.25" customHeight="1">
      <c r="A32" s="688">
        <v>5</v>
      </c>
      <c r="B32" t="s">
        <v>39</v>
      </c>
      <c r="C32" s="112">
        <v>38000</v>
      </c>
      <c r="D32" s="12">
        <v>38000</v>
      </c>
      <c r="E32" s="12"/>
      <c r="F32" s="160"/>
      <c r="H32" s="403"/>
      <c r="I32" s="403"/>
      <c r="J32" s="403"/>
    </row>
    <row r="33" spans="1:10" ht="33" customHeight="1">
      <c r="A33" s="688">
        <v>6</v>
      </c>
      <c r="B33" t="s">
        <v>40</v>
      </c>
      <c r="C33" s="112">
        <v>11583</v>
      </c>
      <c r="D33" s="12">
        <v>11583</v>
      </c>
      <c r="E33" s="12"/>
      <c r="F33" s="160"/>
      <c r="H33" s="403"/>
      <c r="I33" s="403"/>
      <c r="J33" s="403"/>
    </row>
    <row r="34" spans="1:10" ht="27.75" customHeight="1">
      <c r="A34" s="688">
        <v>7</v>
      </c>
      <c r="B34" t="s">
        <v>41</v>
      </c>
      <c r="C34" s="112"/>
      <c r="D34" s="12"/>
      <c r="E34" s="12"/>
      <c r="F34" s="160"/>
      <c r="H34" s="403"/>
      <c r="I34" s="403"/>
      <c r="J34" s="403"/>
    </row>
    <row r="35" spans="1:10" ht="20.25" customHeight="1">
      <c r="A35" s="688">
        <v>8</v>
      </c>
      <c r="B35" t="s">
        <v>42</v>
      </c>
      <c r="C35" s="112"/>
      <c r="D35" s="12"/>
      <c r="E35" s="12"/>
      <c r="F35" s="160"/>
      <c r="H35" s="403"/>
      <c r="I35" s="403"/>
      <c r="J35" s="403"/>
    </row>
    <row r="36" spans="1:10" ht="15">
      <c r="A36" s="688">
        <v>9</v>
      </c>
      <c r="B36" t="s">
        <v>43</v>
      </c>
      <c r="C36" s="112"/>
      <c r="D36" s="12"/>
      <c r="E36" s="12"/>
      <c r="F36" s="160"/>
      <c r="H36" s="403"/>
      <c r="I36" s="403"/>
      <c r="J36" s="403"/>
    </row>
    <row r="37" spans="1:10" ht="14.25" customHeight="1">
      <c r="A37" s="688">
        <v>10</v>
      </c>
      <c r="B37" t="s">
        <v>244</v>
      </c>
      <c r="C37" s="112"/>
      <c r="D37" s="12"/>
      <c r="E37" s="12"/>
      <c r="F37" s="160"/>
      <c r="H37" s="403"/>
      <c r="I37" s="403"/>
      <c r="J37" s="403"/>
    </row>
    <row r="38" spans="1:10" ht="17.25" customHeight="1">
      <c r="A38" s="688">
        <v>11</v>
      </c>
      <c r="B38" t="s">
        <v>44</v>
      </c>
      <c r="C38" s="112"/>
      <c r="D38" s="12"/>
      <c r="E38" s="12"/>
      <c r="F38" s="160"/>
      <c r="H38" s="403"/>
      <c r="I38" s="403"/>
      <c r="J38" s="403"/>
    </row>
    <row r="39" spans="1:10" ht="15">
      <c r="A39" s="692" t="s">
        <v>17</v>
      </c>
      <c r="B39" t="s">
        <v>45</v>
      </c>
      <c r="C39" s="96">
        <f>SUM(C40:C44)</f>
        <v>0</v>
      </c>
      <c r="D39" s="96"/>
      <c r="E39" s="96"/>
      <c r="F39" s="160"/>
      <c r="H39" s="403"/>
      <c r="I39" s="403"/>
      <c r="J39" s="403"/>
    </row>
    <row r="40" spans="1:10" ht="15">
      <c r="A40" s="688">
        <v>1</v>
      </c>
      <c r="B40" t="s">
        <v>46</v>
      </c>
      <c r="C40" s="97"/>
      <c r="D40" s="9"/>
      <c r="E40" s="9"/>
      <c r="F40" s="160"/>
      <c r="H40" s="403"/>
      <c r="I40" s="403"/>
      <c r="J40" s="403"/>
    </row>
    <row r="41" spans="1:10" ht="33" customHeight="1">
      <c r="A41" s="688">
        <v>2</v>
      </c>
      <c r="B41" t="s">
        <v>245</v>
      </c>
      <c r="C41" s="112"/>
      <c r="D41" s="12"/>
      <c r="E41" s="12"/>
      <c r="F41" s="160"/>
      <c r="H41" s="403"/>
      <c r="I41" s="403"/>
      <c r="J41" s="403"/>
    </row>
    <row r="42" spans="1:10" ht="33" customHeight="1">
      <c r="A42" s="688">
        <v>3</v>
      </c>
      <c r="B42" t="s">
        <v>246</v>
      </c>
      <c r="C42" s="112"/>
      <c r="D42" s="12"/>
      <c r="E42" s="12"/>
      <c r="F42" s="160"/>
      <c r="H42" s="403"/>
      <c r="I42" s="403"/>
      <c r="J42" s="403"/>
    </row>
    <row r="43" spans="1:10" ht="15.75" thickBot="1">
      <c r="A43" s="688">
        <v>4</v>
      </c>
      <c r="B43" t="s">
        <v>47</v>
      </c>
      <c r="C43" s="164"/>
      <c r="D43" s="12"/>
      <c r="E43" s="12"/>
      <c r="F43" s="160"/>
      <c r="H43" s="403"/>
      <c r="I43" s="403"/>
      <c r="J43" s="403"/>
    </row>
    <row r="44" spans="1:10" ht="15.75" thickBot="1">
      <c r="A44" s="689">
        <v>5</v>
      </c>
      <c r="B44" t="s">
        <v>48</v>
      </c>
      <c r="C44" s="93"/>
      <c r="D44" s="357"/>
      <c r="E44" s="357"/>
      <c r="F44" s="165"/>
      <c r="H44" s="404"/>
      <c r="I44" s="757"/>
      <c r="J44" s="757"/>
    </row>
    <row r="45" spans="1:10" ht="15.75" thickBot="1">
      <c r="A45" s="695"/>
      <c r="B45" t="s">
        <v>49</v>
      </c>
      <c r="C45" s="6">
        <f>SUM(C46+C52+C58)</f>
        <v>0</v>
      </c>
      <c r="D45" s="1461"/>
      <c r="E45" s="1461"/>
      <c r="F45" s="168"/>
      <c r="G45" t="s">
        <v>50</v>
      </c>
      <c r="H45" s="405">
        <f>SUM(H46:H48)</f>
        <v>5715</v>
      </c>
      <c r="I45" s="405">
        <f>SUM(I46:I48)</f>
        <v>5715</v>
      </c>
      <c r="J45" s="1496"/>
    </row>
    <row r="46" spans="1:10" ht="15">
      <c r="A46" s="690" t="s">
        <v>261</v>
      </c>
      <c r="B46" t="s">
        <v>51</v>
      </c>
      <c r="C46" s="14">
        <f>SUM(C47:C51)</f>
        <v>0</v>
      </c>
      <c r="D46" s="178"/>
      <c r="E46" s="178"/>
      <c r="F46" s="170" t="s">
        <v>52</v>
      </c>
      <c r="G46" t="s">
        <v>53</v>
      </c>
      <c r="H46" s="402">
        <v>5715</v>
      </c>
      <c r="I46" s="358">
        <v>5715</v>
      </c>
      <c r="J46" s="358"/>
    </row>
    <row r="47" spans="1:10" ht="15">
      <c r="A47" s="688">
        <v>1</v>
      </c>
      <c r="B47" t="s">
        <v>54</v>
      </c>
      <c r="C47" s="112"/>
      <c r="D47" s="564"/>
      <c r="E47" s="564"/>
      <c r="F47" s="170" t="s">
        <v>55</v>
      </c>
      <c r="G47" t="s">
        <v>56</v>
      </c>
      <c r="H47" s="402"/>
      <c r="I47" s="358"/>
      <c r="J47" s="358"/>
    </row>
    <row r="48" spans="1:10" ht="29.25" customHeight="1" thickBot="1">
      <c r="A48" s="688">
        <v>2</v>
      </c>
      <c r="B48" t="s">
        <v>57</v>
      </c>
      <c r="C48" s="112"/>
      <c r="D48" s="564"/>
      <c r="E48" s="564"/>
      <c r="F48" s="170" t="s">
        <v>58</v>
      </c>
      <c r="G48" t="s">
        <v>59</v>
      </c>
      <c r="H48" s="406"/>
      <c r="I48" s="1497"/>
      <c r="J48" s="1497"/>
    </row>
    <row r="49" spans="1:10" ht="27" customHeight="1">
      <c r="A49" s="688">
        <v>3</v>
      </c>
      <c r="B49" t="s">
        <v>60</v>
      </c>
      <c r="C49" s="112"/>
      <c r="D49" s="12"/>
      <c r="E49" s="12"/>
      <c r="F49" s="174"/>
      <c r="H49" s="407"/>
      <c r="I49" s="407"/>
      <c r="J49" s="407"/>
    </row>
    <row r="50" spans="1:10" ht="29.25" customHeight="1">
      <c r="A50" s="688">
        <v>4</v>
      </c>
      <c r="B50" t="s">
        <v>61</v>
      </c>
      <c r="C50" s="112"/>
      <c r="D50" s="12"/>
      <c r="E50" s="12"/>
      <c r="F50" s="160"/>
      <c r="H50" s="407"/>
      <c r="I50" s="407"/>
      <c r="J50" s="407"/>
    </row>
    <row r="51" spans="1:10" ht="30.75" customHeight="1">
      <c r="A51" s="688">
        <v>5</v>
      </c>
      <c r="B51" t="s">
        <v>62</v>
      </c>
      <c r="C51" s="97"/>
      <c r="D51" s="9"/>
      <c r="E51" s="9"/>
      <c r="F51" s="160"/>
      <c r="H51" s="407"/>
      <c r="I51" s="407"/>
      <c r="J51" s="407"/>
    </row>
    <row r="52" spans="1:10" ht="25.5" customHeight="1">
      <c r="A52" s="688" t="s">
        <v>52</v>
      </c>
      <c r="B52" t="s">
        <v>63</v>
      </c>
      <c r="C52" s="96">
        <f>SUM(C53:C57)</f>
        <v>0</v>
      </c>
      <c r="D52" s="96"/>
      <c r="E52" s="96"/>
      <c r="F52" s="160"/>
      <c r="H52" s="407"/>
      <c r="I52" s="407"/>
      <c r="J52" s="407"/>
    </row>
    <row r="53" spans="1:10" ht="25.5" customHeight="1">
      <c r="A53" s="688">
        <v>1</v>
      </c>
      <c r="B53" t="s">
        <v>64</v>
      </c>
      <c r="C53" s="112"/>
      <c r="D53" s="12"/>
      <c r="E53" s="12"/>
      <c r="F53" s="160"/>
      <c r="H53" s="407"/>
      <c r="I53" s="407"/>
      <c r="J53" s="407"/>
    </row>
    <row r="54" spans="1:10" ht="28.5" customHeight="1">
      <c r="A54" s="688">
        <v>2</v>
      </c>
      <c r="B54" t="s">
        <v>65</v>
      </c>
      <c r="C54" s="112"/>
      <c r="D54" s="12"/>
      <c r="E54" s="12"/>
      <c r="F54" s="160"/>
      <c r="H54" s="407"/>
      <c r="I54" s="407"/>
      <c r="J54" s="407"/>
    </row>
    <row r="55" spans="1:10" ht="21.75" customHeight="1">
      <c r="A55" s="688">
        <v>3</v>
      </c>
      <c r="B55" t="s">
        <v>66</v>
      </c>
      <c r="C55" s="112"/>
      <c r="D55" s="12"/>
      <c r="E55" s="12"/>
      <c r="F55" s="160"/>
      <c r="H55" s="407"/>
      <c r="I55" s="407"/>
      <c r="J55" s="407"/>
    </row>
    <row r="56" spans="1:10" ht="23.25" customHeight="1">
      <c r="A56" s="688">
        <v>4</v>
      </c>
      <c r="B56" t="s">
        <v>409</v>
      </c>
      <c r="C56" s="112"/>
      <c r="D56" s="12"/>
      <c r="E56" s="12"/>
      <c r="F56" s="160"/>
      <c r="H56" s="407"/>
      <c r="I56" s="407"/>
      <c r="J56" s="407"/>
    </row>
    <row r="57" spans="1:10" ht="22.5" customHeight="1">
      <c r="A57" s="688">
        <v>5</v>
      </c>
      <c r="B57" t="s">
        <v>68</v>
      </c>
      <c r="C57" s="97"/>
      <c r="D57" s="9"/>
      <c r="E57" s="9"/>
      <c r="F57" s="160"/>
      <c r="H57" s="407"/>
      <c r="I57" s="407"/>
      <c r="J57" s="407"/>
    </row>
    <row r="58" spans="1:10" ht="15">
      <c r="A58" s="692" t="s">
        <v>55</v>
      </c>
      <c r="B58" t="s">
        <v>69</v>
      </c>
      <c r="C58" s="96">
        <f>SUM(C59:C62)</f>
        <v>0</v>
      </c>
      <c r="D58" s="96"/>
      <c r="E58" s="96"/>
      <c r="F58" s="160"/>
      <c r="H58" s="407"/>
      <c r="I58" s="407"/>
      <c r="J58" s="407"/>
    </row>
    <row r="59" spans="1:10" ht="31.5" customHeight="1">
      <c r="A59" s="692">
        <v>1</v>
      </c>
      <c r="B59" t="s">
        <v>70</v>
      </c>
      <c r="C59" s="112"/>
      <c r="D59" s="12"/>
      <c r="E59" s="12"/>
      <c r="F59" s="160"/>
      <c r="H59" s="407"/>
      <c r="I59" s="407"/>
      <c r="J59" s="407"/>
    </row>
    <row r="60" spans="1:10" ht="29.25" customHeight="1">
      <c r="A60" s="692">
        <v>2</v>
      </c>
      <c r="B60" t="s">
        <v>247</v>
      </c>
      <c r="C60" s="164"/>
      <c r="D60" s="12"/>
      <c r="E60" s="12"/>
      <c r="F60" s="160"/>
      <c r="H60" s="407"/>
      <c r="I60" s="407"/>
      <c r="J60" s="407"/>
    </row>
    <row r="61" spans="1:10" ht="26.25" customHeight="1" thickBot="1">
      <c r="A61" s="692">
        <v>3</v>
      </c>
      <c r="B61" t="s">
        <v>248</v>
      </c>
      <c r="C61" s="176"/>
      <c r="D61" s="12"/>
      <c r="E61" s="12"/>
      <c r="F61" s="160"/>
      <c r="H61" s="407"/>
      <c r="I61" s="407"/>
      <c r="J61" s="407"/>
    </row>
    <row r="62" spans="1:10" ht="15.75" thickBot="1">
      <c r="A62" s="695">
        <v>4</v>
      </c>
      <c r="B62" t="s">
        <v>71</v>
      </c>
      <c r="C62" s="93"/>
      <c r="D62" s="9"/>
      <c r="E62" s="9"/>
      <c r="F62" s="160"/>
      <c r="H62" s="407"/>
      <c r="I62" s="407"/>
      <c r="J62" s="407"/>
    </row>
    <row r="63" spans="1:10" ht="15.75" thickBot="1">
      <c r="A63" s="693"/>
      <c r="B63" t="s">
        <v>72</v>
      </c>
      <c r="C63" s="178">
        <f>SUM(C64:C72)</f>
        <v>148297</v>
      </c>
      <c r="D63" s="178">
        <f>SUM(D64:D72)</f>
        <v>148297</v>
      </c>
      <c r="E63" s="14"/>
      <c r="F63" s="168"/>
      <c r="G63" t="s">
        <v>73</v>
      </c>
      <c r="H63" s="405">
        <f>SUM(H64:H72)</f>
        <v>0</v>
      </c>
      <c r="I63" s="1496"/>
      <c r="J63" s="1496"/>
    </row>
    <row r="64" spans="1:10" ht="30" customHeight="1">
      <c r="A64" s="687">
        <v>1</v>
      </c>
      <c r="B64" t="s">
        <v>410</v>
      </c>
      <c r="C64" s="112"/>
      <c r="D64" s="564"/>
      <c r="E64" s="564"/>
      <c r="F64" s="179" t="s">
        <v>9</v>
      </c>
      <c r="G64" t="s">
        <v>411</v>
      </c>
      <c r="H64" s="408"/>
      <c r="I64" s="1498"/>
      <c r="J64" s="1498"/>
    </row>
    <row r="65" spans="1:10" ht="33.75" customHeight="1">
      <c r="A65" s="687">
        <v>2</v>
      </c>
      <c r="B65" t="s">
        <v>249</v>
      </c>
      <c r="C65" s="112"/>
      <c r="D65" s="112"/>
      <c r="E65" s="112"/>
      <c r="F65" s="7" t="s">
        <v>23</v>
      </c>
      <c r="G65" t="s">
        <v>257</v>
      </c>
      <c r="H65" s="408"/>
      <c r="I65" s="1498"/>
      <c r="J65" s="1498"/>
    </row>
    <row r="66" spans="1:10" ht="27" customHeight="1">
      <c r="A66" s="687">
        <v>3</v>
      </c>
      <c r="B66" t="s">
        <v>250</v>
      </c>
      <c r="C66" s="112"/>
      <c r="D66" s="112"/>
      <c r="E66" s="112"/>
      <c r="F66" s="7" t="s">
        <v>25</v>
      </c>
      <c r="G66" t="s">
        <v>258</v>
      </c>
      <c r="H66" s="409"/>
      <c r="I66" s="1498"/>
      <c r="J66" s="1498"/>
    </row>
    <row r="67" spans="1:10" ht="28.5" customHeight="1">
      <c r="A67" s="687">
        <v>4</v>
      </c>
      <c r="B67" t="s">
        <v>251</v>
      </c>
      <c r="C67" s="112"/>
      <c r="D67" s="112"/>
      <c r="E67" s="112"/>
      <c r="F67" s="7" t="s">
        <v>27</v>
      </c>
      <c r="G67" t="s">
        <v>259</v>
      </c>
      <c r="H67" s="410"/>
      <c r="I67" s="1499"/>
      <c r="J67" s="1499"/>
    </row>
    <row r="68" spans="1:10" ht="27.75" customHeight="1">
      <c r="A68" s="687">
        <v>5</v>
      </c>
      <c r="B68" t="s">
        <v>252</v>
      </c>
      <c r="C68" s="112">
        <v>5101</v>
      </c>
      <c r="D68" s="112">
        <v>5101</v>
      </c>
      <c r="E68" s="112"/>
      <c r="F68" s="7" t="s">
        <v>29</v>
      </c>
      <c r="G68" t="s">
        <v>412</v>
      </c>
      <c r="H68" s="411"/>
      <c r="I68" s="731"/>
      <c r="J68" s="731"/>
    </row>
    <row r="69" spans="1:10" ht="15">
      <c r="A69" s="687">
        <v>6</v>
      </c>
      <c r="B69" t="s">
        <v>253</v>
      </c>
      <c r="C69" s="164"/>
      <c r="D69" s="164"/>
      <c r="E69" s="164"/>
      <c r="F69" s="7" t="s">
        <v>31</v>
      </c>
      <c r="G69" t="s">
        <v>413</v>
      </c>
      <c r="H69" s="412"/>
      <c r="I69" s="731"/>
      <c r="J69" s="731"/>
    </row>
    <row r="70" spans="1:10" ht="33.75" customHeight="1" thickBot="1">
      <c r="A70" s="687">
        <v>7</v>
      </c>
      <c r="B70" t="s">
        <v>414</v>
      </c>
      <c r="C70" s="97"/>
      <c r="D70" s="355"/>
      <c r="E70" s="355"/>
      <c r="F70" s="183" t="s">
        <v>74</v>
      </c>
      <c r="G70" t="s">
        <v>415</v>
      </c>
      <c r="H70" s="412"/>
      <c r="I70" s="731"/>
      <c r="J70" s="731"/>
    </row>
    <row r="71" spans="1:10" ht="24.75" customHeight="1" thickBot="1">
      <c r="A71" s="687">
        <v>8</v>
      </c>
      <c r="B71" t="s">
        <v>254</v>
      </c>
      <c r="C71" s="97">
        <f>148911-5715</f>
        <v>143196</v>
      </c>
      <c r="D71" s="9">
        <v>143196</v>
      </c>
      <c r="E71" s="97"/>
      <c r="F71" s="168"/>
      <c r="H71" s="412"/>
      <c r="I71" s="731"/>
      <c r="J71" s="731"/>
    </row>
    <row r="72" spans="1:10" ht="26.25" customHeight="1" thickBot="1">
      <c r="A72" s="687">
        <v>9</v>
      </c>
      <c r="B72" t="s">
        <v>255</v>
      </c>
      <c r="C72" s="355"/>
      <c r="D72" s="1488"/>
      <c r="E72" s="1488"/>
      <c r="F72" s="91"/>
      <c r="H72" s="412"/>
      <c r="I72" s="731"/>
      <c r="J72" s="731"/>
    </row>
    <row r="73" spans="1:10" s="628" customFormat="1" ht="15.75" thickBot="1">
      <c r="A73" s="693" t="s">
        <v>9</v>
      </c>
      <c r="B73" t="s">
        <v>75</v>
      </c>
      <c r="C73" s="343">
        <f>SUM(C74:C80)</f>
        <v>5715</v>
      </c>
      <c r="D73" s="343">
        <f>SUM(D74:D80)</f>
        <v>5715</v>
      </c>
      <c r="E73" s="343"/>
      <c r="F73" s="153"/>
      <c r="G73" t="s">
        <v>76</v>
      </c>
      <c r="H73" s="402">
        <f>SUM(H74:H81)</f>
        <v>0</v>
      </c>
      <c r="I73" s="358"/>
      <c r="J73" s="358"/>
    </row>
    <row r="74" spans="1:10" ht="27.75" customHeight="1" thickBot="1">
      <c r="A74" s="687" t="s">
        <v>23</v>
      </c>
      <c r="B74" t="s">
        <v>256</v>
      </c>
      <c r="C74" s="340"/>
      <c r="D74" s="340"/>
      <c r="E74" s="340"/>
      <c r="F74" s="179" t="s">
        <v>9</v>
      </c>
      <c r="G74" t="s">
        <v>260</v>
      </c>
      <c r="H74" s="406"/>
      <c r="I74" s="731"/>
      <c r="J74" s="731"/>
    </row>
    <row r="75" spans="1:10" ht="28.5" customHeight="1">
      <c r="A75" s="687" t="s">
        <v>25</v>
      </c>
      <c r="B75" t="s">
        <v>416</v>
      </c>
      <c r="C75" s="112"/>
      <c r="D75" s="112"/>
      <c r="E75" s="112"/>
      <c r="F75" s="7" t="s">
        <v>23</v>
      </c>
      <c r="G75" t="s">
        <v>417</v>
      </c>
      <c r="H75" s="413"/>
      <c r="I75" s="1499"/>
      <c r="J75" s="1499"/>
    </row>
    <row r="76" spans="1:10" ht="15">
      <c r="A76" s="687" t="s">
        <v>27</v>
      </c>
      <c r="B76" t="s">
        <v>249</v>
      </c>
      <c r="C76" s="112"/>
      <c r="D76" s="112"/>
      <c r="E76" s="112"/>
      <c r="F76" s="7" t="s">
        <v>25</v>
      </c>
      <c r="G76" t="s">
        <v>418</v>
      </c>
      <c r="H76" s="410"/>
      <c r="I76" s="1499"/>
      <c r="J76" s="1499"/>
    </row>
    <row r="77" spans="1:10" ht="27" customHeight="1">
      <c r="A77" s="687" t="s">
        <v>29</v>
      </c>
      <c r="B77" t="s">
        <v>419</v>
      </c>
      <c r="C77" s="112"/>
      <c r="D77" s="112"/>
      <c r="E77" s="112"/>
      <c r="F77" s="7" t="s">
        <v>27</v>
      </c>
      <c r="G77" t="s">
        <v>420</v>
      </c>
      <c r="H77" s="410"/>
      <c r="I77" s="1499"/>
      <c r="J77" s="1499"/>
    </row>
    <row r="78" spans="1:10" ht="37.5" customHeight="1">
      <c r="A78" s="687" t="s">
        <v>31</v>
      </c>
      <c r="B78" t="s">
        <v>421</v>
      </c>
      <c r="C78" s="112"/>
      <c r="D78" s="112"/>
      <c r="E78" s="112"/>
      <c r="F78" s="7" t="s">
        <v>29</v>
      </c>
      <c r="G78" t="s">
        <v>422</v>
      </c>
      <c r="H78" s="412"/>
      <c r="I78" s="731"/>
      <c r="J78" s="731"/>
    </row>
    <row r="79" spans="1:10" ht="27.75" customHeight="1">
      <c r="A79" s="687" t="s">
        <v>74</v>
      </c>
      <c r="B79" t="s">
        <v>252</v>
      </c>
      <c r="C79" s="112"/>
      <c r="D79" s="112"/>
      <c r="E79" s="112"/>
      <c r="F79" s="7" t="s">
        <v>31</v>
      </c>
      <c r="G79" t="s">
        <v>252</v>
      </c>
      <c r="H79" s="412"/>
      <c r="I79" s="731"/>
      <c r="J79" s="731"/>
    </row>
    <row r="80" spans="1:10" ht="34.5" customHeight="1" thickBot="1">
      <c r="A80" s="1229" t="s">
        <v>77</v>
      </c>
      <c r="B80" t="s">
        <v>254</v>
      </c>
      <c r="C80" s="173">
        <v>5715</v>
      </c>
      <c r="D80" s="180">
        <v>5715</v>
      </c>
      <c r="E80" s="180"/>
      <c r="F80" s="183" t="s">
        <v>74</v>
      </c>
      <c r="G80" t="s">
        <v>253</v>
      </c>
      <c r="H80" s="412"/>
      <c r="I80" s="731"/>
      <c r="J80" s="731"/>
    </row>
    <row r="81" spans="1:10" ht="15.75" thickBot="1">
      <c r="A81" s="1230"/>
      <c r="C81" s="352"/>
      <c r="D81" s="732"/>
      <c r="E81" s="732"/>
      <c r="F81" s="184" t="s">
        <v>77</v>
      </c>
      <c r="H81" s="412"/>
      <c r="I81" s="731"/>
      <c r="J81" s="731"/>
    </row>
    <row r="82" spans="1:10" ht="15.75" thickBot="1">
      <c r="A82" s="1231"/>
      <c r="B82" t="s">
        <v>78</v>
      </c>
      <c r="C82" s="1234">
        <f>(C7+C45+C63+C78+C73)</f>
        <v>208495</v>
      </c>
      <c r="D82" s="1234">
        <f>(D7+D45+D63+D78+D73)</f>
        <v>208495</v>
      </c>
      <c r="E82" s="1489"/>
      <c r="F82" s="1233"/>
      <c r="G82" t="s">
        <v>79</v>
      </c>
      <c r="H82" s="416">
        <f>SUM(H7+H45+H63+H73)</f>
        <v>208495</v>
      </c>
      <c r="I82" s="416">
        <f>SUM(I7+I45+I63+I73)</f>
        <v>208495</v>
      </c>
      <c r="J82" s="1500"/>
    </row>
    <row r="86" ht="12.75">
      <c r="E86" s="561"/>
    </row>
  </sheetData>
  <sheetProtection/>
  <mergeCells count="2">
    <mergeCell ref="A3:H3"/>
    <mergeCell ref="F13:F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6.875" style="0" customWidth="1"/>
    <col min="4" max="4" width="15.375" style="0" customWidth="1"/>
    <col min="5" max="5" width="13.00390625" style="0" customWidth="1"/>
    <col min="7" max="7" width="49.00390625" style="0" customWidth="1"/>
    <col min="8" max="8" width="16.125" style="0" customWidth="1"/>
    <col min="9" max="9" width="16.375" style="0" customWidth="1"/>
    <col min="10" max="10" width="13.125" style="0" customWidth="1"/>
  </cols>
  <sheetData>
    <row r="1" spans="1:8" ht="15.75">
      <c r="A1" s="1"/>
      <c r="B1" s="345" t="s">
        <v>712</v>
      </c>
      <c r="C1" s="346"/>
      <c r="D1" s="346"/>
      <c r="E1" s="346"/>
      <c r="F1" s="1"/>
      <c r="G1" s="2"/>
      <c r="H1" s="3"/>
    </row>
    <row r="2" spans="1:8" ht="15.75">
      <c r="A2" s="1"/>
      <c r="C2" s="346"/>
      <c r="D2" s="346"/>
      <c r="E2" s="346"/>
      <c r="F2" s="1"/>
      <c r="G2" s="2"/>
      <c r="H2" s="3"/>
    </row>
    <row r="3" spans="1:8" ht="15.75">
      <c r="A3" s="1794" t="s">
        <v>569</v>
      </c>
      <c r="B3" s="1794"/>
      <c r="C3" s="1794"/>
      <c r="D3" s="1794"/>
      <c r="E3" s="1794"/>
      <c r="F3" s="1794"/>
      <c r="G3" s="1794"/>
      <c r="H3" s="1794"/>
    </row>
    <row r="4" spans="1:8" ht="16.5" thickBot="1">
      <c r="A4" s="347"/>
      <c r="B4" s="347"/>
      <c r="C4" s="347"/>
      <c r="D4" s="347"/>
      <c r="E4" s="347"/>
      <c r="F4" s="347"/>
      <c r="G4" s="347"/>
      <c r="H4" s="347"/>
    </row>
    <row r="5" spans="1:10" ht="16.5" thickBot="1">
      <c r="A5" s="348" t="s">
        <v>118</v>
      </c>
      <c r="B5" s="629" t="s">
        <v>142</v>
      </c>
      <c r="C5" s="348" t="s">
        <v>363</v>
      </c>
      <c r="D5" s="348" t="s">
        <v>364</v>
      </c>
      <c r="E5" s="348" t="s">
        <v>365</v>
      </c>
      <c r="F5" s="348" t="s">
        <v>366</v>
      </c>
      <c r="G5" s="388" t="s">
        <v>367</v>
      </c>
      <c r="H5" s="348" t="s">
        <v>368</v>
      </c>
      <c r="I5" s="1512" t="s">
        <v>230</v>
      </c>
      <c r="J5" s="1512" t="s">
        <v>369</v>
      </c>
    </row>
    <row r="6" spans="1:10" ht="48" thickBot="1">
      <c r="A6" s="644"/>
      <c r="B6" s="630" t="s">
        <v>2</v>
      </c>
      <c r="C6" s="1355" t="s">
        <v>563</v>
      </c>
      <c r="D6" s="1355" t="s">
        <v>677</v>
      </c>
      <c r="E6" s="1355" t="s">
        <v>678</v>
      </c>
      <c r="F6" s="418"/>
      <c r="G6" s="419" t="s">
        <v>3</v>
      </c>
      <c r="H6" s="1494" t="s">
        <v>563</v>
      </c>
      <c r="I6" s="1494" t="s">
        <v>677</v>
      </c>
      <c r="J6" s="1494" t="s">
        <v>678</v>
      </c>
    </row>
    <row r="7" spans="1:10" ht="29.25" thickBot="1">
      <c r="A7" s="645"/>
      <c r="B7" s="1238" t="s">
        <v>4</v>
      </c>
      <c r="C7" s="92">
        <f>SUM(C8+C21+C27+C39)</f>
        <v>7725</v>
      </c>
      <c r="D7" s="92">
        <f>SUM(D8+D21+D27+D39)</f>
        <v>18416</v>
      </c>
      <c r="E7" s="92">
        <f>SUM(E8+E21+E27+E39)</f>
        <v>0</v>
      </c>
      <c r="F7" s="185"/>
      <c r="G7" s="1239" t="s">
        <v>5</v>
      </c>
      <c r="H7" s="339">
        <f>SUM(H8:H12)</f>
        <v>226232</v>
      </c>
      <c r="I7" s="339">
        <f>SUM(I8:I12)</f>
        <v>236958</v>
      </c>
      <c r="J7" s="339">
        <f>SUM(J8:J12)</f>
        <v>0</v>
      </c>
    </row>
    <row r="8" spans="1:10" ht="24.75" customHeight="1">
      <c r="A8" s="646" t="s">
        <v>6</v>
      </c>
      <c r="B8" s="632" t="s">
        <v>7</v>
      </c>
      <c r="C8" s="6">
        <f>SUM(C9+C16+C17+C18+C19+C20)</f>
        <v>0</v>
      </c>
      <c r="D8" s="6">
        <f>SUM(D9+D16+D17+D18+D19+D20)</f>
        <v>10691</v>
      </c>
      <c r="E8" s="6">
        <f>SUM(E9+E16+E17+E18+E19+E20)</f>
        <v>0</v>
      </c>
      <c r="F8" s="4" t="s">
        <v>6</v>
      </c>
      <c r="G8" s="390" t="s">
        <v>8</v>
      </c>
      <c r="H8" s="1481">
        <v>116879</v>
      </c>
      <c r="I8" s="1554">
        <v>125854</v>
      </c>
      <c r="J8" s="1554"/>
    </row>
    <row r="9" spans="1:10" ht="31.5" customHeight="1">
      <c r="A9" s="647" t="s">
        <v>9</v>
      </c>
      <c r="B9" s="633" t="s">
        <v>10</v>
      </c>
      <c r="C9" s="9">
        <f>SUM(C10:C15)</f>
        <v>0</v>
      </c>
      <c r="D9" s="9">
        <f>SUM(D10:D15)</f>
        <v>0</v>
      </c>
      <c r="E9" s="9">
        <f>SUM(E10:E15)</f>
        <v>0</v>
      </c>
      <c r="F9" s="7" t="s">
        <v>11</v>
      </c>
      <c r="G9" s="391" t="s">
        <v>12</v>
      </c>
      <c r="H9" s="1466">
        <v>20722</v>
      </c>
      <c r="I9" s="1555">
        <v>22473</v>
      </c>
      <c r="J9" s="1555"/>
    </row>
    <row r="10" spans="1:10" ht="36.75" customHeight="1">
      <c r="A10" s="647"/>
      <c r="B10" s="101" t="s">
        <v>13</v>
      </c>
      <c r="C10" s="12"/>
      <c r="D10" s="12"/>
      <c r="E10" s="12"/>
      <c r="F10" s="7" t="s">
        <v>14</v>
      </c>
      <c r="G10" s="391" t="s">
        <v>15</v>
      </c>
      <c r="H10" s="1466">
        <v>88631</v>
      </c>
      <c r="I10" s="1555">
        <v>88631</v>
      </c>
      <c r="J10" s="1555"/>
    </row>
    <row r="11" spans="1:10" ht="31.5" customHeight="1">
      <c r="A11" s="647"/>
      <c r="B11" s="101" t="s">
        <v>16</v>
      </c>
      <c r="C11" s="12"/>
      <c r="D11" s="12"/>
      <c r="E11" s="12"/>
      <c r="F11" s="7" t="s">
        <v>17</v>
      </c>
      <c r="G11" s="391" t="s">
        <v>18</v>
      </c>
      <c r="H11" s="1466"/>
      <c r="I11" s="1555"/>
      <c r="J11" s="1555"/>
    </row>
    <row r="12" spans="1:10" ht="30" customHeight="1">
      <c r="A12" s="647"/>
      <c r="B12" s="101" t="s">
        <v>19</v>
      </c>
      <c r="C12" s="12"/>
      <c r="D12" s="12"/>
      <c r="E12" s="12"/>
      <c r="F12" s="7" t="s">
        <v>20</v>
      </c>
      <c r="G12" s="391" t="s">
        <v>21</v>
      </c>
      <c r="H12" s="1466"/>
      <c r="I12" s="1484"/>
      <c r="J12" s="1484"/>
    </row>
    <row r="13" spans="1:10" ht="37.5" customHeight="1">
      <c r="A13" s="647"/>
      <c r="B13" s="101" t="s">
        <v>22</v>
      </c>
      <c r="C13" s="12"/>
      <c r="D13" s="1487"/>
      <c r="E13" s="1487"/>
      <c r="F13" s="1793"/>
      <c r="G13" s="156"/>
      <c r="H13" s="1467"/>
      <c r="I13" s="1480"/>
      <c r="J13" s="1480"/>
    </row>
    <row r="14" spans="1:10" ht="40.5" customHeight="1">
      <c r="A14" s="647"/>
      <c r="B14" s="101" t="s">
        <v>238</v>
      </c>
      <c r="C14" s="12"/>
      <c r="D14" s="1487"/>
      <c r="E14" s="1487"/>
      <c r="F14" s="1793"/>
      <c r="G14" s="1"/>
      <c r="H14" s="1467"/>
      <c r="I14" s="1480"/>
      <c r="J14" s="1480"/>
    </row>
    <row r="15" spans="1:10" ht="25.5" customHeight="1">
      <c r="A15" s="647"/>
      <c r="B15" s="101" t="s">
        <v>239</v>
      </c>
      <c r="C15" s="12"/>
      <c r="D15" s="1487"/>
      <c r="E15" s="1487"/>
      <c r="F15" s="1793"/>
      <c r="G15" s="1"/>
      <c r="H15" s="1467"/>
      <c r="I15" s="1480"/>
      <c r="J15" s="1480"/>
    </row>
    <row r="16" spans="1:10" ht="24" customHeight="1">
      <c r="A16" s="647">
        <v>2</v>
      </c>
      <c r="B16" s="634" t="s">
        <v>24</v>
      </c>
      <c r="C16" s="12"/>
      <c r="D16" s="1487"/>
      <c r="E16" s="1487"/>
      <c r="F16" s="1793"/>
      <c r="G16" s="1"/>
      <c r="H16" s="1467"/>
      <c r="I16" s="1480"/>
      <c r="J16" s="1480"/>
    </row>
    <row r="17" spans="1:10" ht="44.25" customHeight="1">
      <c r="A17" s="647">
        <v>3</v>
      </c>
      <c r="B17" s="634" t="s">
        <v>26</v>
      </c>
      <c r="C17" s="12"/>
      <c r="D17" s="180"/>
      <c r="E17" s="180"/>
      <c r="F17" s="1793"/>
      <c r="G17" s="1"/>
      <c r="H17" s="1467"/>
      <c r="I17" s="1480"/>
      <c r="J17" s="1480"/>
    </row>
    <row r="18" spans="1:10" ht="32.25" customHeight="1">
      <c r="A18" s="647">
        <v>4</v>
      </c>
      <c r="B18" s="634" t="s">
        <v>28</v>
      </c>
      <c r="C18" s="12"/>
      <c r="D18" s="180"/>
      <c r="E18" s="180"/>
      <c r="F18" s="1793"/>
      <c r="G18" s="1"/>
      <c r="H18" s="1467"/>
      <c r="I18" s="1480"/>
      <c r="J18" s="1480"/>
    </row>
    <row r="19" spans="1:10" ht="27.75" customHeight="1">
      <c r="A19" s="647">
        <v>5</v>
      </c>
      <c r="B19" s="634" t="s">
        <v>30</v>
      </c>
      <c r="C19" s="12"/>
      <c r="D19" s="180"/>
      <c r="E19" s="180"/>
      <c r="F19" s="1793"/>
      <c r="G19" s="1"/>
      <c r="H19" s="1467"/>
      <c r="I19" s="1480"/>
      <c r="J19" s="1480"/>
    </row>
    <row r="20" spans="1:10" ht="30" customHeight="1">
      <c r="A20" s="647">
        <v>6</v>
      </c>
      <c r="B20" s="634" t="s">
        <v>32</v>
      </c>
      <c r="C20" s="12"/>
      <c r="D20" s="180">
        <v>10691</v>
      </c>
      <c r="E20" s="180"/>
      <c r="F20" s="1793"/>
      <c r="G20" s="1"/>
      <c r="H20" s="1467"/>
      <c r="I20" s="1480"/>
      <c r="J20" s="1480"/>
    </row>
    <row r="21" spans="1:10" ht="15">
      <c r="A21" s="648" t="s">
        <v>11</v>
      </c>
      <c r="B21" s="197" t="s">
        <v>243</v>
      </c>
      <c r="C21" s="9">
        <f>SUM(C22:C26)</f>
        <v>0</v>
      </c>
      <c r="D21" s="1464"/>
      <c r="E21" s="1464"/>
      <c r="F21" s="160"/>
      <c r="G21" s="1"/>
      <c r="H21" s="1467"/>
      <c r="I21" s="1480"/>
      <c r="J21" s="1480"/>
    </row>
    <row r="22" spans="1:10" ht="15">
      <c r="A22" s="648">
        <v>1</v>
      </c>
      <c r="B22" s="635" t="s">
        <v>240</v>
      </c>
      <c r="C22" s="162"/>
      <c r="D22" s="105"/>
      <c r="E22" s="105"/>
      <c r="F22" s="160"/>
      <c r="G22" s="1"/>
      <c r="H22" s="1467"/>
      <c r="I22" s="1480"/>
      <c r="J22" s="1480"/>
    </row>
    <row r="23" spans="1:10" ht="15">
      <c r="A23" s="648">
        <v>2</v>
      </c>
      <c r="B23" s="635" t="s">
        <v>241</v>
      </c>
      <c r="C23" s="162"/>
      <c r="D23" s="105"/>
      <c r="E23" s="105"/>
      <c r="F23" s="160"/>
      <c r="G23" s="1"/>
      <c r="H23" s="1467"/>
      <c r="I23" s="1480"/>
      <c r="J23" s="1480"/>
    </row>
    <row r="24" spans="1:10" ht="15">
      <c r="A24" s="648">
        <v>3</v>
      </c>
      <c r="B24" s="635" t="s">
        <v>242</v>
      </c>
      <c r="C24" s="162"/>
      <c r="D24" s="105"/>
      <c r="E24" s="105"/>
      <c r="F24" s="160"/>
      <c r="G24" s="1"/>
      <c r="H24" s="1467"/>
      <c r="I24" s="1480"/>
      <c r="J24" s="1480"/>
    </row>
    <row r="25" spans="1:10" ht="15">
      <c r="A25" s="648">
        <v>4</v>
      </c>
      <c r="B25" s="635" t="s">
        <v>81</v>
      </c>
      <c r="C25" s="162"/>
      <c r="D25" s="105"/>
      <c r="E25" s="105"/>
      <c r="F25" s="160"/>
      <c r="G25" s="1"/>
      <c r="H25" s="1467"/>
      <c r="I25" s="1480"/>
      <c r="J25" s="1480"/>
    </row>
    <row r="26" spans="1:10" ht="15">
      <c r="A26" s="648">
        <v>5</v>
      </c>
      <c r="B26" s="635" t="s">
        <v>82</v>
      </c>
      <c r="C26" s="162"/>
      <c r="D26" s="105"/>
      <c r="E26" s="105"/>
      <c r="F26" s="160"/>
      <c r="G26" s="1"/>
      <c r="H26" s="1467"/>
      <c r="I26" s="1480"/>
      <c r="J26" s="1480"/>
    </row>
    <row r="27" spans="1:10" ht="15">
      <c r="A27" s="648" t="s">
        <v>14</v>
      </c>
      <c r="B27" s="197" t="s">
        <v>34</v>
      </c>
      <c r="C27" s="9">
        <f>SUM(C28:C38)</f>
        <v>7725</v>
      </c>
      <c r="D27" s="9">
        <f>SUM(D28:D38)</f>
        <v>7725</v>
      </c>
      <c r="E27" s="9">
        <f>SUM(E28:E38)</f>
        <v>0</v>
      </c>
      <c r="F27" s="160"/>
      <c r="G27" s="1"/>
      <c r="H27" s="1467"/>
      <c r="I27" s="1480"/>
      <c r="J27" s="1480"/>
    </row>
    <row r="28" spans="1:10" ht="27.75" customHeight="1">
      <c r="A28" s="648">
        <v>1</v>
      </c>
      <c r="B28" s="100" t="s">
        <v>35</v>
      </c>
      <c r="C28" s="97"/>
      <c r="D28" s="9"/>
      <c r="E28" s="9"/>
      <c r="F28" s="160"/>
      <c r="G28" s="1"/>
      <c r="H28" s="1467"/>
      <c r="I28" s="1480"/>
      <c r="J28" s="1480"/>
    </row>
    <row r="29" spans="1:10" ht="20.25" customHeight="1">
      <c r="A29" s="648">
        <v>2</v>
      </c>
      <c r="B29" s="100" t="s">
        <v>36</v>
      </c>
      <c r="C29" s="112">
        <f>15+510+5000</f>
        <v>5525</v>
      </c>
      <c r="D29" s="12">
        <v>5525</v>
      </c>
      <c r="E29" s="12"/>
      <c r="F29" s="160"/>
      <c r="G29" s="1"/>
      <c r="H29" s="1467"/>
      <c r="I29" s="1480"/>
      <c r="J29" s="1480"/>
    </row>
    <row r="30" spans="1:10" ht="24" customHeight="1">
      <c r="A30" s="648">
        <v>3</v>
      </c>
      <c r="B30" s="100" t="s">
        <v>37</v>
      </c>
      <c r="C30" s="112">
        <v>550</v>
      </c>
      <c r="D30" s="12">
        <v>550</v>
      </c>
      <c r="E30" s="12"/>
      <c r="F30" s="160"/>
      <c r="G30" s="1"/>
      <c r="H30" s="1467"/>
      <c r="I30" s="1480"/>
      <c r="J30" s="1480"/>
    </row>
    <row r="31" spans="1:10" ht="24.75" customHeight="1">
      <c r="A31" s="648">
        <v>4</v>
      </c>
      <c r="B31" s="100" t="s">
        <v>38</v>
      </c>
      <c r="C31" s="112"/>
      <c r="D31" s="12"/>
      <c r="E31" s="12"/>
      <c r="F31" s="160"/>
      <c r="G31" s="1"/>
      <c r="H31" s="1467"/>
      <c r="I31" s="1480"/>
      <c r="J31" s="1480"/>
    </row>
    <row r="32" spans="1:10" ht="23.25" customHeight="1">
      <c r="A32" s="648">
        <v>5</v>
      </c>
      <c r="B32" s="100" t="s">
        <v>39</v>
      </c>
      <c r="C32" s="112"/>
      <c r="D32" s="12"/>
      <c r="E32" s="12"/>
      <c r="F32" s="160"/>
      <c r="G32" s="1"/>
      <c r="H32" s="1467"/>
      <c r="I32" s="1480"/>
      <c r="J32" s="1480"/>
    </row>
    <row r="33" spans="1:10" ht="33" customHeight="1">
      <c r="A33" s="648">
        <v>6</v>
      </c>
      <c r="B33" s="100" t="s">
        <v>40</v>
      </c>
      <c r="C33" s="112">
        <v>1640</v>
      </c>
      <c r="D33" s="12">
        <v>1640</v>
      </c>
      <c r="E33" s="12"/>
      <c r="F33" s="160"/>
      <c r="G33" s="1"/>
      <c r="H33" s="1467"/>
      <c r="I33" s="1480"/>
      <c r="J33" s="1480"/>
    </row>
    <row r="34" spans="1:10" ht="27.75" customHeight="1">
      <c r="A34" s="648">
        <v>7</v>
      </c>
      <c r="B34" s="100" t="s">
        <v>41</v>
      </c>
      <c r="C34" s="112"/>
      <c r="D34" s="12"/>
      <c r="E34" s="12"/>
      <c r="F34" s="160"/>
      <c r="G34" s="1"/>
      <c r="H34" s="1467"/>
      <c r="I34" s="1480"/>
      <c r="J34" s="1480"/>
    </row>
    <row r="35" spans="1:10" ht="20.25" customHeight="1">
      <c r="A35" s="648">
        <v>8</v>
      </c>
      <c r="B35" s="100" t="s">
        <v>42</v>
      </c>
      <c r="C35" s="112">
        <v>10</v>
      </c>
      <c r="D35" s="12">
        <v>10</v>
      </c>
      <c r="E35" s="12"/>
      <c r="F35" s="160"/>
      <c r="G35" s="1"/>
      <c r="H35" s="1467"/>
      <c r="I35" s="1480"/>
      <c r="J35" s="1480"/>
    </row>
    <row r="36" spans="1:10" ht="30" customHeight="1">
      <c r="A36" s="648">
        <v>9</v>
      </c>
      <c r="B36" s="100" t="s">
        <v>43</v>
      </c>
      <c r="C36" s="112"/>
      <c r="D36" s="12"/>
      <c r="E36" s="12"/>
      <c r="F36" s="160"/>
      <c r="G36" s="1"/>
      <c r="H36" s="1467"/>
      <c r="I36" s="1480"/>
      <c r="J36" s="1480"/>
    </row>
    <row r="37" spans="1:10" ht="14.25" customHeight="1">
      <c r="A37" s="648">
        <v>10</v>
      </c>
      <c r="B37" s="100" t="s">
        <v>244</v>
      </c>
      <c r="C37" s="112"/>
      <c r="D37" s="12"/>
      <c r="E37" s="12"/>
      <c r="F37" s="160"/>
      <c r="G37" s="1"/>
      <c r="H37" s="1467"/>
      <c r="I37" s="1480"/>
      <c r="J37" s="1480"/>
    </row>
    <row r="38" spans="1:10" ht="17.25" customHeight="1">
      <c r="A38" s="648">
        <v>11</v>
      </c>
      <c r="B38" s="100" t="s">
        <v>44</v>
      </c>
      <c r="C38" s="112"/>
      <c r="D38" s="12"/>
      <c r="E38" s="12"/>
      <c r="F38" s="160"/>
      <c r="G38" s="1"/>
      <c r="H38" s="1467"/>
      <c r="I38" s="1480"/>
      <c r="J38" s="1480"/>
    </row>
    <row r="39" spans="1:10" ht="15">
      <c r="A39" s="649" t="s">
        <v>17</v>
      </c>
      <c r="B39" s="197" t="s">
        <v>45</v>
      </c>
      <c r="C39" s="96">
        <f>SUM(C40:C44)</f>
        <v>0</v>
      </c>
      <c r="D39" s="96"/>
      <c r="E39" s="96"/>
      <c r="F39" s="160"/>
      <c r="G39" s="1"/>
      <c r="H39" s="1467"/>
      <c r="I39" s="1480"/>
      <c r="J39" s="1480"/>
    </row>
    <row r="40" spans="1:10" ht="30">
      <c r="A40" s="648">
        <v>1</v>
      </c>
      <c r="B40" s="100" t="s">
        <v>46</v>
      </c>
      <c r="C40" s="97"/>
      <c r="D40" s="9"/>
      <c r="E40" s="9"/>
      <c r="F40" s="160"/>
      <c r="G40" s="1"/>
      <c r="H40" s="1467"/>
      <c r="I40" s="1480"/>
      <c r="J40" s="1480"/>
    </row>
    <row r="41" spans="1:10" ht="33" customHeight="1">
      <c r="A41" s="648">
        <v>2</v>
      </c>
      <c r="B41" s="101" t="s">
        <v>245</v>
      </c>
      <c r="C41" s="112"/>
      <c r="D41" s="12"/>
      <c r="E41" s="12"/>
      <c r="F41" s="160"/>
      <c r="G41" s="1"/>
      <c r="H41" s="1467"/>
      <c r="I41" s="1480"/>
      <c r="J41" s="1480"/>
    </row>
    <row r="42" spans="1:10" ht="28.5" customHeight="1">
      <c r="A42" s="648">
        <v>3</v>
      </c>
      <c r="B42" s="101" t="s">
        <v>246</v>
      </c>
      <c r="C42" s="112"/>
      <c r="D42" s="12"/>
      <c r="E42" s="12"/>
      <c r="F42" s="160"/>
      <c r="G42" s="1"/>
      <c r="H42" s="1467"/>
      <c r="I42" s="1480"/>
      <c r="J42" s="1480"/>
    </row>
    <row r="43" spans="1:10" ht="30.75" thickBot="1">
      <c r="A43" s="648">
        <v>4</v>
      </c>
      <c r="B43" s="101" t="s">
        <v>47</v>
      </c>
      <c r="C43" s="164"/>
      <c r="D43" s="12"/>
      <c r="E43" s="12"/>
      <c r="F43" s="160"/>
      <c r="G43" s="1"/>
      <c r="H43" s="1467"/>
      <c r="I43" s="1480"/>
      <c r="J43" s="1480"/>
    </row>
    <row r="44" spans="1:10" ht="28.5" customHeight="1" thickBot="1">
      <c r="A44" s="648">
        <v>5</v>
      </c>
      <c r="B44" s="636" t="s">
        <v>48</v>
      </c>
      <c r="C44" s="93"/>
      <c r="D44" s="357"/>
      <c r="E44" s="357"/>
      <c r="F44" s="165"/>
      <c r="G44" s="166"/>
      <c r="H44" s="1468"/>
      <c r="I44" s="1480"/>
      <c r="J44" s="1480"/>
    </row>
    <row r="45" spans="1:10" ht="29.25" thickBot="1">
      <c r="A45" s="650"/>
      <c r="B45" s="1238" t="s">
        <v>49</v>
      </c>
      <c r="C45" s="6">
        <f>SUM(C46+C52+C58)</f>
        <v>0</v>
      </c>
      <c r="D45" s="6">
        <f>SUM(D46+D52+D58)</f>
        <v>400</v>
      </c>
      <c r="E45" s="6">
        <f>SUM(E46+E52+E58)</f>
        <v>0</v>
      </c>
      <c r="F45" s="168"/>
      <c r="G45" s="1237" t="s">
        <v>50</v>
      </c>
      <c r="H45" s="1472">
        <f>SUM(H46:H48)</f>
        <v>23813</v>
      </c>
      <c r="I45" s="1472">
        <f>SUM(I46:I48)</f>
        <v>24212</v>
      </c>
      <c r="J45" s="1483"/>
    </row>
    <row r="46" spans="1:10" ht="15">
      <c r="A46" s="651" t="s">
        <v>261</v>
      </c>
      <c r="B46" s="632" t="s">
        <v>51</v>
      </c>
      <c r="C46" s="14">
        <f>SUM(C47:C51)</f>
        <v>0</v>
      </c>
      <c r="D46" s="14">
        <f>SUM(D47:D51)</f>
        <v>0</v>
      </c>
      <c r="E46" s="14">
        <f>SUM(E47:E51)</f>
        <v>0</v>
      </c>
      <c r="F46" s="170" t="s">
        <v>52</v>
      </c>
      <c r="G46" s="392" t="s">
        <v>53</v>
      </c>
      <c r="H46" s="1466">
        <v>23813</v>
      </c>
      <c r="I46" s="1555">
        <v>24212</v>
      </c>
      <c r="J46" s="1484"/>
    </row>
    <row r="47" spans="1:10" ht="15">
      <c r="A47" s="648">
        <v>1</v>
      </c>
      <c r="B47" s="101" t="s">
        <v>54</v>
      </c>
      <c r="C47" s="112"/>
      <c r="D47" s="564"/>
      <c r="E47" s="564"/>
      <c r="F47" s="170" t="s">
        <v>55</v>
      </c>
      <c r="G47" s="350" t="s">
        <v>56</v>
      </c>
      <c r="H47" s="1466"/>
      <c r="I47" s="1484"/>
      <c r="J47" s="1484"/>
    </row>
    <row r="48" spans="1:10" ht="29.25" customHeight="1" thickBot="1">
      <c r="A48" s="648">
        <v>2</v>
      </c>
      <c r="B48" s="101" t="s">
        <v>57</v>
      </c>
      <c r="C48" s="112"/>
      <c r="D48" s="564"/>
      <c r="E48" s="564"/>
      <c r="F48" s="170" t="s">
        <v>58</v>
      </c>
      <c r="G48" s="393" t="s">
        <v>59</v>
      </c>
      <c r="H48" s="1470"/>
      <c r="I48" s="1485"/>
      <c r="J48" s="1485"/>
    </row>
    <row r="49" spans="1:10" ht="27" customHeight="1">
      <c r="A49" s="648">
        <v>3</v>
      </c>
      <c r="B49" s="101" t="s">
        <v>60</v>
      </c>
      <c r="C49" s="112"/>
      <c r="D49" s="180"/>
      <c r="E49" s="180"/>
      <c r="F49" s="174"/>
      <c r="G49" s="175"/>
      <c r="H49" s="1471"/>
      <c r="I49" s="1480"/>
      <c r="J49" s="1480"/>
    </row>
    <row r="50" spans="1:10" ht="29.25" customHeight="1">
      <c r="A50" s="648">
        <v>4</v>
      </c>
      <c r="B50" s="101" t="s">
        <v>61</v>
      </c>
      <c r="C50" s="112"/>
      <c r="D50" s="1506"/>
      <c r="E50" s="1506"/>
      <c r="F50" s="160"/>
      <c r="G50" s="175"/>
      <c r="H50" s="1471"/>
      <c r="I50" s="1480"/>
      <c r="J50" s="1480"/>
    </row>
    <row r="51" spans="1:10" ht="30.75" customHeight="1">
      <c r="A51" s="648">
        <v>5</v>
      </c>
      <c r="B51" s="101" t="s">
        <v>62</v>
      </c>
      <c r="C51" s="97"/>
      <c r="D51" s="1464"/>
      <c r="E51" s="1464"/>
      <c r="F51" s="160"/>
      <c r="G51" s="175"/>
      <c r="H51" s="1471"/>
      <c r="I51" s="1480"/>
      <c r="J51" s="1480"/>
    </row>
    <row r="52" spans="1:10" ht="25.5" customHeight="1">
      <c r="A52" s="648" t="s">
        <v>52</v>
      </c>
      <c r="B52" s="637" t="s">
        <v>63</v>
      </c>
      <c r="C52" s="96">
        <f>SUM(C53:C57)</f>
        <v>0</v>
      </c>
      <c r="D52" s="96">
        <f>SUM(D53:D57)</f>
        <v>400</v>
      </c>
      <c r="E52" s="96">
        <f>SUM(E53:E57)</f>
        <v>0</v>
      </c>
      <c r="F52" s="160"/>
      <c r="G52" s="175"/>
      <c r="H52" s="1471"/>
      <c r="I52" s="1480"/>
      <c r="J52" s="1480"/>
    </row>
    <row r="53" spans="1:10" ht="25.5" customHeight="1">
      <c r="A53" s="648">
        <v>1</v>
      </c>
      <c r="B53" s="100" t="s">
        <v>64</v>
      </c>
      <c r="C53" s="112"/>
      <c r="D53" s="1506"/>
      <c r="E53" s="1506"/>
      <c r="F53" s="160"/>
      <c r="G53" s="175"/>
      <c r="H53" s="1471"/>
      <c r="I53" s="1480"/>
      <c r="J53" s="1480"/>
    </row>
    <row r="54" spans="1:10" ht="28.5" customHeight="1">
      <c r="A54" s="648">
        <v>2</v>
      </c>
      <c r="B54" s="100" t="s">
        <v>65</v>
      </c>
      <c r="C54" s="112"/>
      <c r="D54" s="1506"/>
      <c r="E54" s="1506"/>
      <c r="F54" s="160"/>
      <c r="G54" s="175"/>
      <c r="H54" s="1471"/>
      <c r="I54" s="1480"/>
      <c r="J54" s="1480"/>
    </row>
    <row r="55" spans="1:10" ht="21.75" customHeight="1">
      <c r="A55" s="648">
        <v>3</v>
      </c>
      <c r="B55" s="100" t="s">
        <v>66</v>
      </c>
      <c r="C55" s="112"/>
      <c r="D55" s="1506">
        <v>400</v>
      </c>
      <c r="E55" s="1506"/>
      <c r="F55" s="160"/>
      <c r="G55" s="175"/>
      <c r="H55" s="1471"/>
      <c r="I55" s="1480"/>
      <c r="J55" s="1480"/>
    </row>
    <row r="56" spans="1:10" ht="23.25" customHeight="1">
      <c r="A56" s="648">
        <v>4</v>
      </c>
      <c r="B56" s="100" t="s">
        <v>409</v>
      </c>
      <c r="C56" s="112"/>
      <c r="D56" s="1506"/>
      <c r="E56" s="1506"/>
      <c r="F56" s="160"/>
      <c r="G56" s="175"/>
      <c r="H56" s="1471"/>
      <c r="I56" s="1480"/>
      <c r="J56" s="1480"/>
    </row>
    <row r="57" spans="1:10" ht="22.5" customHeight="1">
      <c r="A57" s="648">
        <v>5</v>
      </c>
      <c r="B57" s="100" t="s">
        <v>68</v>
      </c>
      <c r="C57" s="97"/>
      <c r="D57" s="1464"/>
      <c r="E57" s="1464"/>
      <c r="F57" s="160"/>
      <c r="G57" s="175"/>
      <c r="H57" s="1471"/>
      <c r="I57" s="1480"/>
      <c r="J57" s="1480"/>
    </row>
    <row r="58" spans="1:10" ht="15">
      <c r="A58" s="649" t="s">
        <v>55</v>
      </c>
      <c r="B58" s="197" t="s">
        <v>69</v>
      </c>
      <c r="C58" s="96">
        <f>SUM(C59:C62)</f>
        <v>0</v>
      </c>
      <c r="D58" s="1505"/>
      <c r="E58" s="1505"/>
      <c r="F58" s="160"/>
      <c r="G58" s="175"/>
      <c r="H58" s="1471"/>
      <c r="I58" s="1480"/>
      <c r="J58" s="1480"/>
    </row>
    <row r="59" spans="1:10" ht="31.5" customHeight="1">
      <c r="A59" s="648">
        <v>1</v>
      </c>
      <c r="B59" s="100" t="s">
        <v>70</v>
      </c>
      <c r="C59" s="112"/>
      <c r="D59" s="1506"/>
      <c r="E59" s="1506"/>
      <c r="F59" s="160"/>
      <c r="G59" s="175"/>
      <c r="H59" s="1471"/>
      <c r="I59" s="1480"/>
      <c r="J59" s="1480"/>
    </row>
    <row r="60" spans="1:10" ht="30">
      <c r="A60" s="648">
        <v>2</v>
      </c>
      <c r="B60" s="101" t="s">
        <v>247</v>
      </c>
      <c r="C60" s="164"/>
      <c r="D60" s="1506"/>
      <c r="E60" s="1506"/>
      <c r="F60" s="160"/>
      <c r="G60" s="175"/>
      <c r="H60" s="1471"/>
      <c r="I60" s="1480"/>
      <c r="J60" s="1480"/>
    </row>
    <row r="61" spans="1:10" ht="45.75" thickBot="1">
      <c r="A61" s="650">
        <v>3</v>
      </c>
      <c r="B61" s="101" t="s">
        <v>248</v>
      </c>
      <c r="C61" s="176"/>
      <c r="D61" s="1506"/>
      <c r="E61" s="1506"/>
      <c r="F61" s="160"/>
      <c r="G61" s="175"/>
      <c r="H61" s="1471"/>
      <c r="I61" s="1480"/>
      <c r="J61" s="1480"/>
    </row>
    <row r="62" spans="1:10" ht="30.75" thickBot="1">
      <c r="A62" s="652">
        <v>4</v>
      </c>
      <c r="B62" s="101" t="s">
        <v>71</v>
      </c>
      <c r="C62" s="1558"/>
      <c r="D62" s="1464"/>
      <c r="E62" s="1464"/>
      <c r="F62" s="160"/>
      <c r="G62" s="175"/>
      <c r="H62" s="1471"/>
      <c r="I62" s="1480"/>
      <c r="J62" s="1480"/>
    </row>
    <row r="63" spans="1:10" ht="29.25" thickBot="1">
      <c r="A63" s="645"/>
      <c r="B63" s="1238" t="s">
        <v>72</v>
      </c>
      <c r="C63" s="568">
        <f>SUM(C64:C72)</f>
        <v>218507</v>
      </c>
      <c r="D63" s="568">
        <f>SUM(D64:D72)</f>
        <v>218541</v>
      </c>
      <c r="E63" s="568"/>
      <c r="F63" s="168"/>
      <c r="G63" s="1237" t="s">
        <v>73</v>
      </c>
      <c r="H63" s="1472">
        <f>SUM(H64:H72)</f>
        <v>0</v>
      </c>
      <c r="I63" s="1484"/>
      <c r="J63" s="1484"/>
    </row>
    <row r="64" spans="1:10" ht="30" customHeight="1">
      <c r="A64" s="653">
        <v>1</v>
      </c>
      <c r="B64" s="199" t="s">
        <v>410</v>
      </c>
      <c r="C64" s="340"/>
      <c r="D64" s="340"/>
      <c r="E64" s="340"/>
      <c r="F64" s="179" t="s">
        <v>9</v>
      </c>
      <c r="G64" s="394" t="s">
        <v>411</v>
      </c>
      <c r="H64" s="1473"/>
      <c r="I64" s="1484"/>
      <c r="J64" s="1484"/>
    </row>
    <row r="65" spans="1:10" ht="33.75" customHeight="1">
      <c r="A65" s="647">
        <v>2</v>
      </c>
      <c r="B65" s="638" t="s">
        <v>249</v>
      </c>
      <c r="C65" s="112"/>
      <c r="D65" s="112"/>
      <c r="E65" s="112"/>
      <c r="F65" s="7" t="s">
        <v>23</v>
      </c>
      <c r="G65" s="395" t="s">
        <v>257</v>
      </c>
      <c r="H65" s="1473"/>
      <c r="I65" s="1484"/>
      <c r="J65" s="1484"/>
    </row>
    <row r="66" spans="1:10" ht="27" customHeight="1">
      <c r="A66" s="647">
        <v>3</v>
      </c>
      <c r="B66" s="638" t="s">
        <v>250</v>
      </c>
      <c r="C66" s="112"/>
      <c r="D66" s="112"/>
      <c r="E66" s="112"/>
      <c r="F66" s="7" t="s">
        <v>25</v>
      </c>
      <c r="G66" s="395" t="s">
        <v>258</v>
      </c>
      <c r="H66" s="1474"/>
      <c r="I66" s="1484"/>
      <c r="J66" s="1484"/>
    </row>
    <row r="67" spans="1:10" ht="28.5" customHeight="1">
      <c r="A67" s="647">
        <v>4</v>
      </c>
      <c r="B67" s="638" t="s">
        <v>251</v>
      </c>
      <c r="C67" s="112"/>
      <c r="D67" s="112"/>
      <c r="E67" s="112"/>
      <c r="F67" s="7" t="s">
        <v>27</v>
      </c>
      <c r="G67" s="395" t="s">
        <v>259</v>
      </c>
      <c r="H67" s="1475"/>
      <c r="I67" s="1484"/>
      <c r="J67" s="1484"/>
    </row>
    <row r="68" spans="1:10" ht="27.75" customHeight="1">
      <c r="A68" s="647">
        <v>5</v>
      </c>
      <c r="B68" s="638" t="s">
        <v>252</v>
      </c>
      <c r="C68" s="112">
        <v>21119</v>
      </c>
      <c r="D68" s="112">
        <v>21119</v>
      </c>
      <c r="E68" s="112"/>
      <c r="F68" s="7" t="s">
        <v>29</v>
      </c>
      <c r="G68" s="395" t="s">
        <v>412</v>
      </c>
      <c r="H68" s="1476"/>
      <c r="I68" s="1484"/>
      <c r="J68" s="1484"/>
    </row>
    <row r="69" spans="1:10" ht="45">
      <c r="A69" s="647">
        <v>6</v>
      </c>
      <c r="B69" s="639" t="s">
        <v>253</v>
      </c>
      <c r="C69" s="164"/>
      <c r="D69" s="164"/>
      <c r="E69" s="164"/>
      <c r="F69" s="7" t="s">
        <v>31</v>
      </c>
      <c r="G69" s="395" t="s">
        <v>413</v>
      </c>
      <c r="H69" s="1477"/>
      <c r="I69" s="1484"/>
      <c r="J69" s="1484"/>
    </row>
    <row r="70" spans="1:10" ht="33.75" customHeight="1" thickBot="1">
      <c r="A70" s="647">
        <v>7</v>
      </c>
      <c r="B70" s="638" t="s">
        <v>414</v>
      </c>
      <c r="C70" s="97"/>
      <c r="D70" s="355"/>
      <c r="E70" s="355"/>
      <c r="F70" s="183" t="s">
        <v>74</v>
      </c>
      <c r="G70" s="396" t="s">
        <v>415</v>
      </c>
      <c r="H70" s="1477"/>
      <c r="I70" s="1484"/>
      <c r="J70" s="1484"/>
    </row>
    <row r="71" spans="1:10" ht="24.75" customHeight="1" thickBot="1">
      <c r="A71" s="647">
        <v>8</v>
      </c>
      <c r="B71" s="638" t="s">
        <v>254</v>
      </c>
      <c r="C71" s="97">
        <f>221201-23813</f>
        <v>197388</v>
      </c>
      <c r="D71" s="9">
        <f>221223-D80+12</f>
        <v>197422</v>
      </c>
      <c r="E71" s="97"/>
      <c r="F71" s="168"/>
      <c r="G71" s="389"/>
      <c r="H71" s="1477"/>
      <c r="I71" s="1484"/>
      <c r="J71" s="1484"/>
    </row>
    <row r="72" spans="1:10" ht="26.25" customHeight="1" thickBot="1">
      <c r="A72" s="647">
        <v>9</v>
      </c>
      <c r="B72" s="640" t="s">
        <v>255</v>
      </c>
      <c r="C72" s="99"/>
      <c r="D72" s="9"/>
      <c r="E72" s="97"/>
      <c r="F72" s="91"/>
      <c r="G72" s="397"/>
      <c r="H72" s="1477"/>
      <c r="I72" s="1484"/>
      <c r="J72" s="1484"/>
    </row>
    <row r="73" spans="1:10" ht="15.75" thickBot="1">
      <c r="A73" s="653" t="s">
        <v>9</v>
      </c>
      <c r="B73" s="631" t="s">
        <v>75</v>
      </c>
      <c r="C73" s="182">
        <f>SUM(C74:C80)</f>
        <v>23813</v>
      </c>
      <c r="D73" s="182">
        <f>SUM(D74:D80)</f>
        <v>23813</v>
      </c>
      <c r="E73" s="11"/>
      <c r="F73" s="91"/>
      <c r="G73" s="389" t="s">
        <v>76</v>
      </c>
      <c r="H73" s="1466">
        <f>SUM(H74:H81)</f>
        <v>0</v>
      </c>
      <c r="I73" s="1484"/>
      <c r="J73" s="1484"/>
    </row>
    <row r="74" spans="1:10" ht="27.75" customHeight="1" thickBot="1">
      <c r="A74" s="647" t="s">
        <v>23</v>
      </c>
      <c r="B74" s="641" t="s">
        <v>256</v>
      </c>
      <c r="C74" s="112"/>
      <c r="D74" s="340"/>
      <c r="E74" s="340"/>
      <c r="F74" s="179" t="s">
        <v>9</v>
      </c>
      <c r="G74" s="398" t="s">
        <v>260</v>
      </c>
      <c r="H74" s="1470"/>
      <c r="I74" s="1484"/>
      <c r="J74" s="1484"/>
    </row>
    <row r="75" spans="1:10" ht="28.5" customHeight="1">
      <c r="A75" s="647" t="s">
        <v>25</v>
      </c>
      <c r="B75" s="638" t="s">
        <v>416</v>
      </c>
      <c r="C75" s="112"/>
      <c r="D75" s="112"/>
      <c r="E75" s="112"/>
      <c r="F75" s="7" t="s">
        <v>23</v>
      </c>
      <c r="G75" s="395" t="s">
        <v>417</v>
      </c>
      <c r="H75" s="1469"/>
      <c r="I75" s="1484"/>
      <c r="J75" s="1484"/>
    </row>
    <row r="76" spans="1:10" ht="29.25" customHeight="1">
      <c r="A76" s="647" t="s">
        <v>27</v>
      </c>
      <c r="B76" s="638" t="s">
        <v>249</v>
      </c>
      <c r="C76" s="112"/>
      <c r="D76" s="112"/>
      <c r="E76" s="112"/>
      <c r="F76" s="7" t="s">
        <v>25</v>
      </c>
      <c r="G76" s="395" t="s">
        <v>418</v>
      </c>
      <c r="H76" s="1475"/>
      <c r="I76" s="1484"/>
      <c r="J76" s="1486"/>
    </row>
    <row r="77" spans="1:10" ht="30">
      <c r="A77" s="647" t="s">
        <v>29</v>
      </c>
      <c r="B77" s="638" t="s">
        <v>419</v>
      </c>
      <c r="C77" s="112"/>
      <c r="D77" s="112"/>
      <c r="E77" s="112"/>
      <c r="F77" s="7" t="s">
        <v>27</v>
      </c>
      <c r="G77" s="395" t="s">
        <v>420</v>
      </c>
      <c r="H77" s="1475"/>
      <c r="I77" s="1484"/>
      <c r="J77" s="1484"/>
    </row>
    <row r="78" spans="1:10" ht="22.5" customHeight="1">
      <c r="A78" s="647" t="s">
        <v>31</v>
      </c>
      <c r="B78" s="638" t="s">
        <v>253</v>
      </c>
      <c r="C78" s="112"/>
      <c r="D78" s="112"/>
      <c r="E78" s="112"/>
      <c r="F78" s="7" t="s">
        <v>29</v>
      </c>
      <c r="G78" s="395" t="s">
        <v>422</v>
      </c>
      <c r="H78" s="1477"/>
      <c r="I78" s="1484"/>
      <c r="J78" s="1484"/>
    </row>
    <row r="79" spans="1:10" ht="27.75" customHeight="1">
      <c r="A79" s="647" t="s">
        <v>74</v>
      </c>
      <c r="B79" s="638" t="s">
        <v>252</v>
      </c>
      <c r="C79" s="112"/>
      <c r="D79" s="112"/>
      <c r="E79" s="112"/>
      <c r="F79" s="7" t="s">
        <v>31</v>
      </c>
      <c r="G79" s="395" t="s">
        <v>252</v>
      </c>
      <c r="H79" s="1477"/>
      <c r="I79" s="1484"/>
      <c r="J79" s="1484"/>
    </row>
    <row r="80" spans="1:10" ht="34.5" customHeight="1" thickBot="1">
      <c r="A80" s="644" t="s">
        <v>77</v>
      </c>
      <c r="B80" s="638" t="s">
        <v>254</v>
      </c>
      <c r="C80" s="173">
        <v>23813</v>
      </c>
      <c r="D80" s="180">
        <v>23813</v>
      </c>
      <c r="E80" s="180"/>
      <c r="F80" s="183" t="s">
        <v>74</v>
      </c>
      <c r="G80" s="395" t="s">
        <v>253</v>
      </c>
      <c r="H80" s="1477"/>
      <c r="I80" s="1484"/>
      <c r="J80" s="1484"/>
    </row>
    <row r="81" spans="1:10" ht="15.75" thickBot="1">
      <c r="A81" s="654"/>
      <c r="B81" s="642"/>
      <c r="C81" s="352"/>
      <c r="D81" s="732"/>
      <c r="E81" s="732"/>
      <c r="F81" s="184" t="s">
        <v>77</v>
      </c>
      <c r="G81" s="415"/>
      <c r="H81" s="1478"/>
      <c r="I81" s="1484"/>
      <c r="J81" s="1484"/>
    </row>
    <row r="82" spans="1:10" ht="15.75" thickBot="1">
      <c r="A82" s="1240"/>
      <c r="B82" s="1241" t="s">
        <v>78</v>
      </c>
      <c r="C82" s="1234">
        <f>+C7+C45+C63+C73</f>
        <v>250045</v>
      </c>
      <c r="D82" s="1234">
        <f>+D7+D45+D63+D73</f>
        <v>261170</v>
      </c>
      <c r="E82" s="1489"/>
      <c r="F82" s="1233"/>
      <c r="G82" s="718" t="s">
        <v>79</v>
      </c>
      <c r="H82" s="1479">
        <f>SUM(H7+H45+H63+H73)</f>
        <v>250045</v>
      </c>
      <c r="I82" s="1479">
        <f>SUM(I7+I45+I63+I73)</f>
        <v>261170</v>
      </c>
      <c r="J82" s="1485"/>
    </row>
    <row r="84" ht="12.75">
      <c r="D84" s="561"/>
    </row>
  </sheetData>
  <sheetProtection/>
  <mergeCells count="2">
    <mergeCell ref="A3:H3"/>
    <mergeCell ref="F13:F20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6.875" style="0" customWidth="1"/>
    <col min="4" max="4" width="15.875" style="0" customWidth="1"/>
    <col min="5" max="5" width="13.00390625" style="0" customWidth="1"/>
    <col min="7" max="7" width="49.00390625" style="0" customWidth="1"/>
    <col min="8" max="8" width="16.125" style="0" customWidth="1"/>
    <col min="9" max="9" width="16.50390625" style="0" customWidth="1"/>
    <col min="10" max="10" width="13.875" style="0" customWidth="1"/>
  </cols>
  <sheetData>
    <row r="1" spans="1:8" ht="15.75">
      <c r="A1" s="1"/>
      <c r="B1" s="1630" t="s">
        <v>713</v>
      </c>
      <c r="C1" s="346"/>
      <c r="D1" s="346"/>
      <c r="E1" s="346"/>
      <c r="F1" s="1"/>
      <c r="H1" s="3"/>
    </row>
    <row r="2" ht="14.25">
      <c r="B2" s="1631"/>
    </row>
    <row r="3" spans="1:8" ht="15.75">
      <c r="A3" s="1"/>
      <c r="C3" s="346"/>
      <c r="D3" s="346"/>
      <c r="E3" s="346"/>
      <c r="F3" s="1"/>
      <c r="H3" s="3"/>
    </row>
    <row r="4" spans="1:8" ht="15.75">
      <c r="A4" s="1794" t="s">
        <v>570</v>
      </c>
      <c r="B4" s="1800"/>
      <c r="C4" s="1800"/>
      <c r="D4" s="1800"/>
      <c r="E4" s="1800"/>
      <c r="F4" s="1800"/>
      <c r="G4" s="1800"/>
      <c r="H4" s="1800"/>
    </row>
    <row r="5" spans="1:8" ht="16.5" thickBot="1">
      <c r="A5" s="347"/>
      <c r="C5" s="347"/>
      <c r="D5" s="347"/>
      <c r="E5" s="347"/>
      <c r="F5" s="347"/>
      <c r="H5" s="347"/>
    </row>
    <row r="6" spans="1:10" ht="16.5" thickBot="1">
      <c r="A6" s="655" t="s">
        <v>118</v>
      </c>
      <c r="B6" s="1647" t="s">
        <v>142</v>
      </c>
      <c r="C6" s="388" t="s">
        <v>363</v>
      </c>
      <c r="D6" s="348" t="s">
        <v>364</v>
      </c>
      <c r="E6" s="348" t="s">
        <v>365</v>
      </c>
      <c r="F6" s="629" t="s">
        <v>366</v>
      </c>
      <c r="G6" s="1636" t="s">
        <v>367</v>
      </c>
      <c r="H6" s="349" t="s">
        <v>368</v>
      </c>
      <c r="I6" s="1482" t="s">
        <v>230</v>
      </c>
      <c r="J6" s="1482" t="s">
        <v>369</v>
      </c>
    </row>
    <row r="7" spans="1:10" ht="48" thickBot="1">
      <c r="A7" s="656"/>
      <c r="B7" t="s">
        <v>2</v>
      </c>
      <c r="C7" s="1355" t="s">
        <v>563</v>
      </c>
      <c r="D7" s="1355" t="s">
        <v>677</v>
      </c>
      <c r="E7" s="1355" t="s">
        <v>678</v>
      </c>
      <c r="F7" s="1355"/>
      <c r="G7" s="1637" t="s">
        <v>3</v>
      </c>
      <c r="H7" s="1355" t="s">
        <v>563</v>
      </c>
      <c r="I7" s="1355" t="s">
        <v>677</v>
      </c>
      <c r="J7" s="1355" t="s">
        <v>678</v>
      </c>
    </row>
    <row r="8" spans="1:10" ht="15" thickBot="1">
      <c r="A8" s="656"/>
      <c r="B8" t="s">
        <v>4</v>
      </c>
      <c r="C8" s="1518">
        <f>SUM(C9+C22+C28+C40)</f>
        <v>48108</v>
      </c>
      <c r="D8" s="1518">
        <f>SUM(D9+D22+D28+D40)</f>
        <v>48108</v>
      </c>
      <c r="E8" s="339"/>
      <c r="F8" s="150"/>
      <c r="G8" t="s">
        <v>5</v>
      </c>
      <c r="H8" s="404">
        <f>SUM(H9:H13)</f>
        <v>231254</v>
      </c>
      <c r="I8" s="404">
        <f>SUM(I9:I13)</f>
        <v>239217</v>
      </c>
      <c r="J8" s="1482"/>
    </row>
    <row r="9" spans="1:10" ht="24.75" customHeight="1">
      <c r="A9" s="656" t="s">
        <v>6</v>
      </c>
      <c r="B9" s="1649" t="s">
        <v>7</v>
      </c>
      <c r="C9" s="6">
        <f>SUM(C10+C17+C18+C19+C20+C21)</f>
        <v>40791</v>
      </c>
      <c r="D9" s="6">
        <f>SUM(D10+D17+D18+D19+D20+D21)</f>
        <v>40791</v>
      </c>
      <c r="E9" s="1519"/>
      <c r="F9" s="4" t="s">
        <v>6</v>
      </c>
      <c r="G9" s="1650" t="s">
        <v>8</v>
      </c>
      <c r="H9" s="401">
        <v>155677</v>
      </c>
      <c r="I9" s="1554">
        <v>162323</v>
      </c>
      <c r="J9" s="1554"/>
    </row>
    <row r="10" spans="1:10" ht="31.5" customHeight="1">
      <c r="A10" s="656" t="s">
        <v>9</v>
      </c>
      <c r="B10" t="s">
        <v>10</v>
      </c>
      <c r="C10" s="9">
        <f>SUM(C11:C16)</f>
        <v>0</v>
      </c>
      <c r="D10" s="9"/>
      <c r="E10" s="9"/>
      <c r="F10" s="7" t="s">
        <v>11</v>
      </c>
      <c r="G10" s="1651" t="s">
        <v>12</v>
      </c>
      <c r="H10" s="402">
        <v>29208</v>
      </c>
      <c r="I10" s="1555">
        <v>30525</v>
      </c>
      <c r="J10" s="1555"/>
    </row>
    <row r="11" spans="1:10" ht="36.75" customHeight="1">
      <c r="A11" s="656"/>
      <c r="B11" t="s">
        <v>13</v>
      </c>
      <c r="C11" s="12"/>
      <c r="D11" s="12"/>
      <c r="E11" s="12"/>
      <c r="F11" s="7" t="s">
        <v>14</v>
      </c>
      <c r="G11" s="1651" t="s">
        <v>15</v>
      </c>
      <c r="H11" s="402">
        <v>45969</v>
      </c>
      <c r="I11" s="1555">
        <v>45969</v>
      </c>
      <c r="J11" s="1555"/>
    </row>
    <row r="12" spans="1:10" ht="31.5" customHeight="1">
      <c r="A12" s="656"/>
      <c r="B12" t="s">
        <v>16</v>
      </c>
      <c r="C12" s="12"/>
      <c r="D12" s="12"/>
      <c r="E12" s="12"/>
      <c r="F12" s="7" t="s">
        <v>17</v>
      </c>
      <c r="G12" s="1651" t="s">
        <v>18</v>
      </c>
      <c r="H12" s="402">
        <v>400</v>
      </c>
      <c r="I12" s="1555">
        <v>400</v>
      </c>
      <c r="J12" s="1555"/>
    </row>
    <row r="13" spans="1:10" ht="30" customHeight="1">
      <c r="A13" s="656"/>
      <c r="B13" t="s">
        <v>19</v>
      </c>
      <c r="C13" s="12"/>
      <c r="D13" s="12"/>
      <c r="E13" s="12"/>
      <c r="F13" s="7" t="s">
        <v>20</v>
      </c>
      <c r="G13" s="1651" t="s">
        <v>21</v>
      </c>
      <c r="H13" s="402"/>
      <c r="I13" s="1555"/>
      <c r="J13" s="1555"/>
    </row>
    <row r="14" spans="1:10" ht="37.5" customHeight="1">
      <c r="A14" s="656"/>
      <c r="B14" t="s">
        <v>22</v>
      </c>
      <c r="C14" s="12"/>
      <c r="D14" s="1487"/>
      <c r="E14" s="1487"/>
      <c r="F14" s="183"/>
      <c r="H14" s="403"/>
      <c r="I14" s="1480"/>
      <c r="J14" s="1480"/>
    </row>
    <row r="15" spans="1:10" ht="40.5" customHeight="1">
      <c r="A15" s="656"/>
      <c r="B15" t="s">
        <v>238</v>
      </c>
      <c r="C15" s="12"/>
      <c r="D15" s="1487"/>
      <c r="E15" s="1487"/>
      <c r="F15" s="183"/>
      <c r="H15" s="403"/>
      <c r="I15" s="1480"/>
      <c r="J15" s="1480"/>
    </row>
    <row r="16" spans="1:10" ht="25.5" customHeight="1">
      <c r="A16" s="656"/>
      <c r="B16" t="s">
        <v>239</v>
      </c>
      <c r="C16" s="12"/>
      <c r="D16" s="1487"/>
      <c r="E16" s="1487"/>
      <c r="F16" s="183"/>
      <c r="H16" s="403"/>
      <c r="I16" s="1480"/>
      <c r="J16" s="1480"/>
    </row>
    <row r="17" spans="1:10" ht="24" customHeight="1">
      <c r="A17" s="656">
        <v>2</v>
      </c>
      <c r="B17" t="s">
        <v>24</v>
      </c>
      <c r="C17" s="12"/>
      <c r="D17" s="1487"/>
      <c r="E17" s="1487"/>
      <c r="F17" s="183"/>
      <c r="H17" s="403"/>
      <c r="I17" s="1480"/>
      <c r="J17" s="1480"/>
    </row>
    <row r="18" spans="1:10" ht="44.25" customHeight="1">
      <c r="A18" s="656">
        <v>3</v>
      </c>
      <c r="B18" t="s">
        <v>26</v>
      </c>
      <c r="C18" s="12"/>
      <c r="D18" s="1487"/>
      <c r="E18" s="1487"/>
      <c r="F18" s="183"/>
      <c r="H18" s="403"/>
      <c r="I18" s="1480"/>
      <c r="J18" s="1480"/>
    </row>
    <row r="19" spans="1:10" ht="32.25" customHeight="1">
      <c r="A19" s="656">
        <v>4</v>
      </c>
      <c r="B19" t="s">
        <v>28</v>
      </c>
      <c r="C19" s="12"/>
      <c r="D19" s="1487"/>
      <c r="E19" s="1487"/>
      <c r="F19" s="183"/>
      <c r="H19" s="403"/>
      <c r="I19" s="1480"/>
      <c r="J19" s="1480"/>
    </row>
    <row r="20" spans="1:10" ht="27.75" customHeight="1">
      <c r="A20" s="656">
        <v>5</v>
      </c>
      <c r="B20" t="s">
        <v>30</v>
      </c>
      <c r="C20" s="12"/>
      <c r="D20" s="1487"/>
      <c r="E20" s="1487"/>
      <c r="F20" s="183"/>
      <c r="H20" s="403"/>
      <c r="I20" s="1480"/>
      <c r="J20" s="1480"/>
    </row>
    <row r="21" spans="1:10" ht="30" customHeight="1">
      <c r="A21" s="656">
        <v>6</v>
      </c>
      <c r="B21" t="s">
        <v>32</v>
      </c>
      <c r="C21" s="12">
        <v>40791</v>
      </c>
      <c r="D21" s="12">
        <v>40791</v>
      </c>
      <c r="E21" s="12"/>
      <c r="F21" s="7"/>
      <c r="H21" s="403"/>
      <c r="I21" s="1480"/>
      <c r="J21" s="1480"/>
    </row>
    <row r="22" spans="1:10" ht="15">
      <c r="A22" s="657" t="s">
        <v>11</v>
      </c>
      <c r="B22" t="s">
        <v>243</v>
      </c>
      <c r="C22" s="9">
        <f>SUM(C23:C27)</f>
        <v>0</v>
      </c>
      <c r="D22" s="9"/>
      <c r="E22" s="9"/>
      <c r="F22" s="161"/>
      <c r="H22" s="403"/>
      <c r="I22" s="1480"/>
      <c r="J22" s="1480"/>
    </row>
    <row r="23" spans="1:10" ht="15">
      <c r="A23" s="657">
        <v>1</v>
      </c>
      <c r="B23" t="s">
        <v>240</v>
      </c>
      <c r="C23" s="162"/>
      <c r="D23" s="11"/>
      <c r="E23" s="11"/>
      <c r="F23" s="161"/>
      <c r="H23" s="403"/>
      <c r="I23" s="1480"/>
      <c r="J23" s="1480"/>
    </row>
    <row r="24" spans="1:10" ht="15">
      <c r="A24" s="657">
        <v>2</v>
      </c>
      <c r="B24" t="s">
        <v>241</v>
      </c>
      <c r="C24" s="162"/>
      <c r="D24" s="11"/>
      <c r="E24" s="11"/>
      <c r="F24" s="161"/>
      <c r="H24" s="403"/>
      <c r="I24" s="1480"/>
      <c r="J24" s="1480"/>
    </row>
    <row r="25" spans="1:10" ht="15">
      <c r="A25" s="657">
        <v>3</v>
      </c>
      <c r="B25" t="s">
        <v>242</v>
      </c>
      <c r="C25" s="162"/>
      <c r="D25" s="11"/>
      <c r="E25" s="11"/>
      <c r="F25" s="161"/>
      <c r="H25" s="403"/>
      <c r="I25" s="1480"/>
      <c r="J25" s="1480"/>
    </row>
    <row r="26" spans="1:10" ht="15">
      <c r="A26" s="657">
        <v>4</v>
      </c>
      <c r="B26" t="s">
        <v>81</v>
      </c>
      <c r="C26" s="162"/>
      <c r="D26" s="11"/>
      <c r="E26" s="11"/>
      <c r="F26" s="161"/>
      <c r="H26" s="403"/>
      <c r="I26" s="1480"/>
      <c r="J26" s="1480"/>
    </row>
    <row r="27" spans="1:10" ht="15">
      <c r="A27" s="657">
        <v>5</v>
      </c>
      <c r="B27" t="s">
        <v>82</v>
      </c>
      <c r="C27" s="162"/>
      <c r="D27" s="11"/>
      <c r="E27" s="11"/>
      <c r="F27" s="161"/>
      <c r="H27" s="403"/>
      <c r="I27" s="1480"/>
      <c r="J27" s="1480"/>
    </row>
    <row r="28" spans="1:10" ht="15">
      <c r="A28" s="657" t="s">
        <v>14</v>
      </c>
      <c r="B28" t="s">
        <v>34</v>
      </c>
      <c r="C28" s="9">
        <f>SUM(C29:C39)</f>
        <v>7317</v>
      </c>
      <c r="D28" s="9">
        <f>SUM(D29:D39)</f>
        <v>7317</v>
      </c>
      <c r="E28" s="9"/>
      <c r="F28" s="161"/>
      <c r="H28" s="403"/>
      <c r="I28" s="1480"/>
      <c r="J28" s="1480"/>
    </row>
    <row r="29" spans="1:10" ht="27.75" customHeight="1">
      <c r="A29" s="657">
        <v>1</v>
      </c>
      <c r="B29" t="s">
        <v>35</v>
      </c>
      <c r="C29" s="97"/>
      <c r="D29" s="9"/>
      <c r="E29" s="9"/>
      <c r="F29" s="161"/>
      <c r="H29" s="403"/>
      <c r="I29" s="1480"/>
      <c r="J29" s="1480"/>
    </row>
    <row r="30" spans="1:10" ht="20.25" customHeight="1">
      <c r="A30" s="657">
        <v>2</v>
      </c>
      <c r="B30" t="s">
        <v>36</v>
      </c>
      <c r="C30" s="112">
        <v>336</v>
      </c>
      <c r="D30" s="12">
        <v>336</v>
      </c>
      <c r="E30" s="12"/>
      <c r="F30" s="161"/>
      <c r="H30" s="403"/>
      <c r="I30" s="1480"/>
      <c r="J30" s="1480"/>
    </row>
    <row r="31" spans="1:10" ht="24" customHeight="1">
      <c r="A31" s="657">
        <v>3</v>
      </c>
      <c r="B31" t="s">
        <v>37</v>
      </c>
      <c r="C31" s="112">
        <f>14+33</f>
        <v>47</v>
      </c>
      <c r="D31" s="12">
        <v>47</v>
      </c>
      <c r="E31" s="12"/>
      <c r="F31" s="161"/>
      <c r="H31" s="403"/>
      <c r="I31" s="1480"/>
      <c r="J31" s="1480"/>
    </row>
    <row r="32" spans="1:10" ht="24.75" customHeight="1">
      <c r="A32" s="657">
        <v>4</v>
      </c>
      <c r="B32" t="s">
        <v>38</v>
      </c>
      <c r="C32" s="112"/>
      <c r="D32" s="12"/>
      <c r="E32" s="12"/>
      <c r="F32" s="161"/>
      <c r="H32" s="403"/>
      <c r="I32" s="1480"/>
      <c r="J32" s="1480"/>
    </row>
    <row r="33" spans="1:10" ht="23.25" customHeight="1">
      <c r="A33" s="657">
        <v>5</v>
      </c>
      <c r="B33" t="s">
        <v>39</v>
      </c>
      <c r="C33" s="112">
        <f>1560+4650</f>
        <v>6210</v>
      </c>
      <c r="D33" s="12">
        <v>6210</v>
      </c>
      <c r="E33" s="12"/>
      <c r="F33" s="161"/>
      <c r="H33" s="403"/>
      <c r="I33" s="1480"/>
      <c r="J33" s="1480"/>
    </row>
    <row r="34" spans="1:10" ht="33" customHeight="1">
      <c r="A34" s="657">
        <v>6</v>
      </c>
      <c r="B34" t="s">
        <v>40</v>
      </c>
      <c r="C34" s="112">
        <f>91+625+7+1</f>
        <v>724</v>
      </c>
      <c r="D34" s="12">
        <v>724</v>
      </c>
      <c r="E34" s="12"/>
      <c r="F34" s="161"/>
      <c r="H34" s="403"/>
      <c r="I34" s="1480"/>
      <c r="J34" s="1480"/>
    </row>
    <row r="35" spans="1:10" ht="27.75" customHeight="1">
      <c r="A35" s="657">
        <v>7</v>
      </c>
      <c r="B35" t="s">
        <v>41</v>
      </c>
      <c r="C35" s="112"/>
      <c r="D35" s="12"/>
      <c r="E35" s="12"/>
      <c r="F35" s="161"/>
      <c r="H35" s="403"/>
      <c r="I35" s="1480"/>
      <c r="J35" s="1480"/>
    </row>
    <row r="36" spans="1:10" ht="20.25" customHeight="1">
      <c r="A36" s="657">
        <v>8</v>
      </c>
      <c r="B36" t="s">
        <v>42</v>
      </c>
      <c r="C36" s="112"/>
      <c r="D36" s="12"/>
      <c r="E36" s="12"/>
      <c r="F36" s="161"/>
      <c r="H36" s="403"/>
      <c r="I36" s="1480"/>
      <c r="J36" s="1480"/>
    </row>
    <row r="37" spans="1:10" ht="30" customHeight="1">
      <c r="A37" s="657">
        <v>9</v>
      </c>
      <c r="B37" t="s">
        <v>43</v>
      </c>
      <c r="C37" s="112"/>
      <c r="D37" s="12"/>
      <c r="E37" s="12"/>
      <c r="F37" s="161"/>
      <c r="H37" s="403"/>
      <c r="I37" s="1480"/>
      <c r="J37" s="1480"/>
    </row>
    <row r="38" spans="1:10" ht="14.25" customHeight="1">
      <c r="A38" s="657">
        <v>10</v>
      </c>
      <c r="B38" t="s">
        <v>244</v>
      </c>
      <c r="C38" s="112"/>
      <c r="D38" s="12"/>
      <c r="E38" s="12"/>
      <c r="F38" s="161"/>
      <c r="H38" s="403"/>
      <c r="I38" s="1480"/>
      <c r="J38" s="1480"/>
    </row>
    <row r="39" spans="1:10" ht="17.25" customHeight="1">
      <c r="A39" s="657">
        <v>11</v>
      </c>
      <c r="B39" t="s">
        <v>44</v>
      </c>
      <c r="C39" s="112"/>
      <c r="D39" s="12"/>
      <c r="E39" s="12"/>
      <c r="F39" s="161"/>
      <c r="H39" s="403"/>
      <c r="I39" s="1480"/>
      <c r="J39" s="1480"/>
    </row>
    <row r="40" spans="1:10" ht="15">
      <c r="A40" s="657" t="s">
        <v>17</v>
      </c>
      <c r="B40" t="s">
        <v>45</v>
      </c>
      <c r="C40" s="96">
        <f>SUM(C41:C45)</f>
        <v>0</v>
      </c>
      <c r="D40" s="96"/>
      <c r="E40" s="96"/>
      <c r="F40" s="161"/>
      <c r="H40" s="403"/>
      <c r="I40" s="1480"/>
      <c r="J40" s="1480"/>
    </row>
    <row r="41" spans="1:10" ht="15">
      <c r="A41" s="657">
        <v>1</v>
      </c>
      <c r="B41" t="s">
        <v>46</v>
      </c>
      <c r="C41" s="97"/>
      <c r="D41" s="9"/>
      <c r="E41" s="9"/>
      <c r="F41" s="161"/>
      <c r="H41" s="403"/>
      <c r="I41" s="1480"/>
      <c r="J41" s="1480"/>
    </row>
    <row r="42" spans="1:10" ht="33" customHeight="1">
      <c r="A42" s="657">
        <v>2</v>
      </c>
      <c r="B42" t="s">
        <v>245</v>
      </c>
      <c r="C42" s="112"/>
      <c r="D42" s="12"/>
      <c r="E42" s="12"/>
      <c r="F42" s="161"/>
      <c r="H42" s="403"/>
      <c r="I42" s="1480"/>
      <c r="J42" s="1480"/>
    </row>
    <row r="43" spans="1:10" ht="15">
      <c r="A43" s="657">
        <v>3</v>
      </c>
      <c r="B43" t="s">
        <v>246</v>
      </c>
      <c r="C43" s="112"/>
      <c r="D43" s="12"/>
      <c r="E43" s="12"/>
      <c r="F43" s="161"/>
      <c r="H43" s="403"/>
      <c r="I43" s="1480"/>
      <c r="J43" s="1480"/>
    </row>
    <row r="44" spans="1:10" ht="15.75" thickBot="1">
      <c r="A44" s="657">
        <v>4</v>
      </c>
      <c r="B44" t="s">
        <v>47</v>
      </c>
      <c r="C44" s="164"/>
      <c r="D44" s="12"/>
      <c r="E44" s="12"/>
      <c r="F44" s="161"/>
      <c r="H44" s="403"/>
      <c r="I44" s="1480"/>
      <c r="J44" s="1480"/>
    </row>
    <row r="45" spans="1:10" ht="28.5" customHeight="1" thickBot="1">
      <c r="A45" s="657">
        <v>5</v>
      </c>
      <c r="B45" t="s">
        <v>48</v>
      </c>
      <c r="C45" s="93"/>
      <c r="D45" s="357"/>
      <c r="E45" s="357"/>
      <c r="F45" s="1521"/>
      <c r="H45" s="404"/>
      <c r="I45" s="1480"/>
      <c r="J45" s="1480"/>
    </row>
    <row r="46" spans="1:10" ht="29.25" thickBot="1">
      <c r="A46" s="657"/>
      <c r="B46" t="s">
        <v>49</v>
      </c>
      <c r="C46" s="6">
        <f>SUM(C47+C53+C59)</f>
        <v>0</v>
      </c>
      <c r="D46" s="1461"/>
      <c r="E46" s="1461"/>
      <c r="F46" s="168"/>
      <c r="G46" s="1652" t="s">
        <v>50</v>
      </c>
      <c r="H46" s="405">
        <f>SUM(H47:H49)</f>
        <v>2863</v>
      </c>
      <c r="I46" s="405">
        <f>SUM(I47:I49)</f>
        <v>2863</v>
      </c>
      <c r="J46" s="1483"/>
    </row>
    <row r="47" spans="1:10" ht="15">
      <c r="A47" s="657" t="s">
        <v>261</v>
      </c>
      <c r="B47" s="1649" t="s">
        <v>51</v>
      </c>
      <c r="C47" s="14">
        <f>SUM(C48:C52)</f>
        <v>0</v>
      </c>
      <c r="D47" s="178"/>
      <c r="E47" s="178"/>
      <c r="F47" s="170" t="s">
        <v>52</v>
      </c>
      <c r="G47" s="1644" t="s">
        <v>53</v>
      </c>
      <c r="H47" s="402">
        <v>2863</v>
      </c>
      <c r="I47" s="1555">
        <v>2863</v>
      </c>
      <c r="J47" s="1484"/>
    </row>
    <row r="48" spans="1:10" ht="31.5" customHeight="1">
      <c r="A48" s="657">
        <v>1</v>
      </c>
      <c r="B48" t="s">
        <v>54</v>
      </c>
      <c r="C48" s="112"/>
      <c r="D48" s="564"/>
      <c r="E48" s="564"/>
      <c r="F48" s="170" t="s">
        <v>55</v>
      </c>
      <c r="G48" t="s">
        <v>56</v>
      </c>
      <c r="H48" s="402"/>
      <c r="I48" s="1484"/>
      <c r="J48" s="1484"/>
    </row>
    <row r="49" spans="1:10" ht="29.25" customHeight="1" thickBot="1">
      <c r="A49" s="657">
        <v>2</v>
      </c>
      <c r="B49" t="s">
        <v>57</v>
      </c>
      <c r="C49" s="112"/>
      <c r="D49" s="564"/>
      <c r="E49" s="564"/>
      <c r="F49" s="170" t="s">
        <v>58</v>
      </c>
      <c r="G49" s="1645" t="s">
        <v>59</v>
      </c>
      <c r="H49" s="406"/>
      <c r="I49" s="1485"/>
      <c r="J49" s="1485"/>
    </row>
    <row r="50" spans="1:10" ht="27" customHeight="1">
      <c r="A50" s="657">
        <v>3</v>
      </c>
      <c r="B50" t="s">
        <v>60</v>
      </c>
      <c r="C50" s="112"/>
      <c r="D50" s="180"/>
      <c r="E50" s="180"/>
      <c r="F50" s="1522"/>
      <c r="G50" s="1640"/>
      <c r="H50" s="407"/>
      <c r="I50" s="1480"/>
      <c r="J50" s="1480"/>
    </row>
    <row r="51" spans="1:10" ht="29.25" customHeight="1">
      <c r="A51" s="657">
        <v>4</v>
      </c>
      <c r="B51" t="s">
        <v>61</v>
      </c>
      <c r="C51" s="112"/>
      <c r="D51" s="1506"/>
      <c r="E51" s="1506"/>
      <c r="F51" s="1520"/>
      <c r="G51" s="1640"/>
      <c r="H51" s="407"/>
      <c r="I51" s="1480"/>
      <c r="J51" s="1480"/>
    </row>
    <row r="52" spans="1:10" ht="30.75" customHeight="1">
      <c r="A52" s="657">
        <v>5</v>
      </c>
      <c r="B52" t="s">
        <v>62</v>
      </c>
      <c r="C52" s="97"/>
      <c r="D52" s="1464"/>
      <c r="E52" s="1464"/>
      <c r="F52" s="1520"/>
      <c r="G52" s="1640"/>
      <c r="H52" s="407"/>
      <c r="I52" s="1480"/>
      <c r="J52" s="1480"/>
    </row>
    <row r="53" spans="1:10" ht="25.5" customHeight="1">
      <c r="A53" s="657" t="s">
        <v>52</v>
      </c>
      <c r="B53" t="s">
        <v>63</v>
      </c>
      <c r="C53" s="96">
        <f>SUM(C54:C58)</f>
        <v>0</v>
      </c>
      <c r="D53" s="1505"/>
      <c r="E53" s="1505"/>
      <c r="F53" s="1520"/>
      <c r="G53" s="1640"/>
      <c r="H53" s="407"/>
      <c r="I53" s="1480"/>
      <c r="J53" s="1480"/>
    </row>
    <row r="54" spans="1:10" ht="25.5" customHeight="1">
      <c r="A54" s="657">
        <v>1</v>
      </c>
      <c r="B54" t="s">
        <v>64</v>
      </c>
      <c r="C54" s="112"/>
      <c r="D54" s="1506"/>
      <c r="E54" s="1506"/>
      <c r="F54" s="1520"/>
      <c r="G54" s="1640"/>
      <c r="H54" s="407"/>
      <c r="I54" s="1480"/>
      <c r="J54" s="1480"/>
    </row>
    <row r="55" spans="1:10" ht="28.5" customHeight="1">
      <c r="A55" s="657">
        <v>2</v>
      </c>
      <c r="B55" t="s">
        <v>65</v>
      </c>
      <c r="C55" s="112"/>
      <c r="D55" s="1506"/>
      <c r="E55" s="1506"/>
      <c r="F55" s="1520"/>
      <c r="G55" s="1640"/>
      <c r="H55" s="407"/>
      <c r="I55" s="1480"/>
      <c r="J55" s="1480"/>
    </row>
    <row r="56" spans="1:10" ht="21.75" customHeight="1">
      <c r="A56" s="657">
        <v>3</v>
      </c>
      <c r="B56" t="s">
        <v>66</v>
      </c>
      <c r="C56" s="112"/>
      <c r="D56" s="1506"/>
      <c r="E56" s="1506"/>
      <c r="F56" s="1520"/>
      <c r="G56" s="1640"/>
      <c r="H56" s="407"/>
      <c r="I56" s="1480"/>
      <c r="J56" s="1480"/>
    </row>
    <row r="57" spans="1:10" ht="23.25" customHeight="1">
      <c r="A57" s="657">
        <v>4</v>
      </c>
      <c r="B57" t="s">
        <v>409</v>
      </c>
      <c r="C57" s="112"/>
      <c r="D57" s="1506"/>
      <c r="E57" s="1506"/>
      <c r="F57" s="1520"/>
      <c r="G57" s="1640"/>
      <c r="H57" s="407"/>
      <c r="I57" s="1480"/>
      <c r="J57" s="1480"/>
    </row>
    <row r="58" spans="1:10" ht="22.5" customHeight="1">
      <c r="A58" s="657">
        <v>5</v>
      </c>
      <c r="B58" t="s">
        <v>68</v>
      </c>
      <c r="C58" s="97"/>
      <c r="D58" s="1464"/>
      <c r="E58" s="1464"/>
      <c r="F58" s="1520"/>
      <c r="G58" s="1640"/>
      <c r="H58" s="407"/>
      <c r="I58" s="1480"/>
      <c r="J58" s="1480"/>
    </row>
    <row r="59" spans="1:10" ht="15">
      <c r="A59" s="657" t="s">
        <v>55</v>
      </c>
      <c r="B59" t="s">
        <v>69</v>
      </c>
      <c r="C59" s="96">
        <f>SUM(C60:C63)</f>
        <v>0</v>
      </c>
      <c r="D59" s="1505"/>
      <c r="E59" s="1505"/>
      <c r="F59" s="1520"/>
      <c r="G59" s="1640"/>
      <c r="H59" s="407"/>
      <c r="I59" s="1480"/>
      <c r="J59" s="1480"/>
    </row>
    <row r="60" spans="1:10" ht="31.5" customHeight="1">
      <c r="A60" s="657">
        <v>1</v>
      </c>
      <c r="B60" t="s">
        <v>70</v>
      </c>
      <c r="C60" s="112"/>
      <c r="D60" s="1506"/>
      <c r="E60" s="1506"/>
      <c r="F60" s="1520"/>
      <c r="G60" s="1640"/>
      <c r="H60" s="407"/>
      <c r="I60" s="1480"/>
      <c r="J60" s="1480"/>
    </row>
    <row r="61" spans="1:10" ht="29.25" customHeight="1">
      <c r="A61" s="657">
        <v>2</v>
      </c>
      <c r="B61" t="s">
        <v>247</v>
      </c>
      <c r="C61" s="164"/>
      <c r="D61" s="1506"/>
      <c r="E61" s="1506"/>
      <c r="F61" s="1520"/>
      <c r="G61" s="1640"/>
      <c r="H61" s="407"/>
      <c r="I61" s="1480"/>
      <c r="J61" s="1480"/>
    </row>
    <row r="62" spans="1:10" ht="26.25" customHeight="1" thickBot="1">
      <c r="A62" s="657">
        <v>3</v>
      </c>
      <c r="B62" t="s">
        <v>248</v>
      </c>
      <c r="C62" s="176"/>
      <c r="D62" s="1506"/>
      <c r="E62" s="1506"/>
      <c r="F62" s="1520"/>
      <c r="G62" s="1640"/>
      <c r="H62" s="407"/>
      <c r="I62" s="1480"/>
      <c r="J62" s="1480"/>
    </row>
    <row r="63" spans="1:10" ht="24" customHeight="1" thickBot="1">
      <c r="A63" s="657">
        <v>4</v>
      </c>
      <c r="B63" t="s">
        <v>71</v>
      </c>
      <c r="C63" s="93"/>
      <c r="D63" s="1464"/>
      <c r="E63" s="1464"/>
      <c r="F63" s="1520"/>
      <c r="G63" s="1640"/>
      <c r="H63" s="407"/>
      <c r="I63" s="1480"/>
      <c r="J63" s="1480"/>
    </row>
    <row r="64" spans="1:10" ht="29.25" thickBot="1">
      <c r="A64" s="656"/>
      <c r="B64" t="s">
        <v>72</v>
      </c>
      <c r="C64" s="178">
        <f>SUM(C65:C73)</f>
        <v>183146</v>
      </c>
      <c r="D64" s="178">
        <f>SUM(D65:D73)</f>
        <v>191109</v>
      </c>
      <c r="E64" s="178">
        <f>SUM(E65:E73)</f>
        <v>0</v>
      </c>
      <c r="F64" s="168"/>
      <c r="G64" s="1652" t="s">
        <v>73</v>
      </c>
      <c r="H64" s="405">
        <f>SUM(H65:H73)</f>
        <v>0</v>
      </c>
      <c r="I64" s="1483"/>
      <c r="J64" s="1483"/>
    </row>
    <row r="65" spans="1:10" ht="30" customHeight="1">
      <c r="A65" s="656">
        <v>1</v>
      </c>
      <c r="B65" t="s">
        <v>410</v>
      </c>
      <c r="C65" s="112"/>
      <c r="D65" s="564"/>
      <c r="E65" s="564"/>
      <c r="F65" s="179" t="s">
        <v>9</v>
      </c>
      <c r="G65" s="1653" t="s">
        <v>411</v>
      </c>
      <c r="H65" s="408"/>
      <c r="I65" s="1484"/>
      <c r="J65" s="1484"/>
    </row>
    <row r="66" spans="1:10" ht="33.75" customHeight="1">
      <c r="A66" s="656">
        <v>2</v>
      </c>
      <c r="B66" t="s">
        <v>249</v>
      </c>
      <c r="C66" s="112"/>
      <c r="D66" s="12"/>
      <c r="E66" s="12"/>
      <c r="F66" s="7" t="s">
        <v>23</v>
      </c>
      <c r="G66" s="1654" t="s">
        <v>257</v>
      </c>
      <c r="H66" s="408"/>
      <c r="I66" s="1484"/>
      <c r="J66" s="1484"/>
    </row>
    <row r="67" spans="1:10" ht="27" customHeight="1">
      <c r="A67" s="656">
        <v>3</v>
      </c>
      <c r="B67" t="s">
        <v>250</v>
      </c>
      <c r="C67" s="112"/>
      <c r="D67" s="12"/>
      <c r="E67" s="12"/>
      <c r="F67" s="7" t="s">
        <v>25</v>
      </c>
      <c r="G67" s="1654" t="s">
        <v>258</v>
      </c>
      <c r="H67" s="409"/>
      <c r="I67" s="1484"/>
      <c r="J67" s="1484"/>
    </row>
    <row r="68" spans="1:10" ht="28.5" customHeight="1" thickBot="1">
      <c r="A68" s="656">
        <v>4</v>
      </c>
      <c r="B68" t="s">
        <v>251</v>
      </c>
      <c r="C68" s="112"/>
      <c r="D68" s="173"/>
      <c r="E68" s="173"/>
      <c r="F68" s="7" t="s">
        <v>27</v>
      </c>
      <c r="G68" s="1654" t="s">
        <v>259</v>
      </c>
      <c r="H68" s="410"/>
      <c r="I68" s="1484"/>
      <c r="J68" s="1484"/>
    </row>
    <row r="69" spans="1:10" ht="27.75" customHeight="1">
      <c r="A69" s="656">
        <v>5</v>
      </c>
      <c r="B69" t="s">
        <v>252</v>
      </c>
      <c r="C69" s="112">
        <v>15423</v>
      </c>
      <c r="D69" s="340">
        <v>15423</v>
      </c>
      <c r="E69" s="340"/>
      <c r="F69" s="7" t="s">
        <v>29</v>
      </c>
      <c r="G69" s="1654" t="s">
        <v>412</v>
      </c>
      <c r="H69" s="411"/>
      <c r="I69" s="1484"/>
      <c r="J69" s="1484"/>
    </row>
    <row r="70" spans="1:10" ht="15">
      <c r="A70" s="656">
        <v>6</v>
      </c>
      <c r="B70" t="s">
        <v>253</v>
      </c>
      <c r="C70" s="164"/>
      <c r="D70" s="164"/>
      <c r="E70" s="164"/>
      <c r="F70" s="7" t="s">
        <v>31</v>
      </c>
      <c r="G70" t="s">
        <v>413</v>
      </c>
      <c r="H70" s="412"/>
      <c r="I70" s="1484"/>
      <c r="J70" s="1484"/>
    </row>
    <row r="71" spans="1:10" ht="33.75" customHeight="1" thickBot="1">
      <c r="A71" s="656">
        <v>7</v>
      </c>
      <c r="B71" t="s">
        <v>414</v>
      </c>
      <c r="C71" s="97"/>
      <c r="D71" s="355"/>
      <c r="E71" s="355"/>
      <c r="F71" s="183" t="s">
        <v>74</v>
      </c>
      <c r="G71" t="s">
        <v>415</v>
      </c>
      <c r="H71" s="412"/>
      <c r="I71" s="1484"/>
      <c r="J71" s="1486"/>
    </row>
    <row r="72" spans="1:10" ht="24.75" customHeight="1" thickBot="1">
      <c r="A72" s="656">
        <v>8</v>
      </c>
      <c r="B72" t="s">
        <v>254</v>
      </c>
      <c r="C72" s="97">
        <f>170586-2863</f>
        <v>167723</v>
      </c>
      <c r="D72" s="1488">
        <f>178549-D81</f>
        <v>175686</v>
      </c>
      <c r="E72" s="1488"/>
      <c r="F72" s="168"/>
      <c r="H72" s="412"/>
      <c r="I72" s="1484"/>
      <c r="J72" s="1484"/>
    </row>
    <row r="73" spans="1:10" ht="26.25" customHeight="1" thickBot="1">
      <c r="A73" s="656">
        <v>9</v>
      </c>
      <c r="B73" t="s">
        <v>255</v>
      </c>
      <c r="C73" s="99"/>
      <c r="D73" s="1488"/>
      <c r="E73" s="1488"/>
      <c r="F73" s="91"/>
      <c r="G73" s="1641"/>
      <c r="H73" s="412"/>
      <c r="I73" s="1484"/>
      <c r="J73" s="1484"/>
    </row>
    <row r="74" spans="1:10" ht="15.75" thickBot="1">
      <c r="A74" s="656" t="s">
        <v>9</v>
      </c>
      <c r="B74" t="s">
        <v>75</v>
      </c>
      <c r="C74" s="182">
        <f>SUM(C75:C81)</f>
        <v>2863</v>
      </c>
      <c r="D74" s="182">
        <f>SUM(D75:D81)</f>
        <v>2863</v>
      </c>
      <c r="E74" s="182">
        <f>SUM(E75:E81)</f>
        <v>0</v>
      </c>
      <c r="F74" s="91"/>
      <c r="G74" t="s">
        <v>76</v>
      </c>
      <c r="H74" s="402">
        <f>SUM(H75:H82)</f>
        <v>0</v>
      </c>
      <c r="I74" s="1484"/>
      <c r="J74" s="1484"/>
    </row>
    <row r="75" spans="1:10" ht="27.75" customHeight="1" thickBot="1">
      <c r="A75" s="656" t="s">
        <v>23</v>
      </c>
      <c r="B75" t="s">
        <v>256</v>
      </c>
      <c r="C75" s="112"/>
      <c r="D75" s="340"/>
      <c r="E75" s="340"/>
      <c r="F75" s="179" t="s">
        <v>9</v>
      </c>
      <c r="G75" t="s">
        <v>260</v>
      </c>
      <c r="H75" s="406"/>
      <c r="I75" s="1484"/>
      <c r="J75" s="1484"/>
    </row>
    <row r="76" spans="1:10" ht="28.5" customHeight="1">
      <c r="A76" s="656" t="s">
        <v>25</v>
      </c>
      <c r="B76" t="s">
        <v>416</v>
      </c>
      <c r="C76" s="112"/>
      <c r="D76" s="112"/>
      <c r="E76" s="112"/>
      <c r="F76" s="7" t="s">
        <v>23</v>
      </c>
      <c r="G76" t="s">
        <v>417</v>
      </c>
      <c r="H76" s="413"/>
      <c r="I76" s="1484"/>
      <c r="J76" s="1484"/>
    </row>
    <row r="77" spans="1:10" ht="29.25" customHeight="1">
      <c r="A77" s="656" t="s">
        <v>27</v>
      </c>
      <c r="B77" t="s">
        <v>249</v>
      </c>
      <c r="C77" s="112"/>
      <c r="D77" s="112"/>
      <c r="E77" s="112"/>
      <c r="F77" s="7" t="s">
        <v>25</v>
      </c>
      <c r="G77" t="s">
        <v>418</v>
      </c>
      <c r="H77" s="410"/>
      <c r="I77" s="1484"/>
      <c r="J77" s="1484"/>
    </row>
    <row r="78" spans="1:10" ht="27" customHeight="1">
      <c r="A78" s="656" t="s">
        <v>29</v>
      </c>
      <c r="B78" t="s">
        <v>419</v>
      </c>
      <c r="C78" s="112"/>
      <c r="D78" s="112"/>
      <c r="E78" s="112"/>
      <c r="F78" s="7" t="s">
        <v>27</v>
      </c>
      <c r="G78" t="s">
        <v>420</v>
      </c>
      <c r="H78" s="410"/>
      <c r="I78" s="1484"/>
      <c r="J78" s="1484"/>
    </row>
    <row r="79" spans="1:10" ht="37.5" customHeight="1">
      <c r="A79" s="656" t="s">
        <v>31</v>
      </c>
      <c r="B79" t="s">
        <v>253</v>
      </c>
      <c r="C79" s="112"/>
      <c r="D79" s="112"/>
      <c r="E79" s="112"/>
      <c r="F79" s="7" t="s">
        <v>29</v>
      </c>
      <c r="G79" t="s">
        <v>422</v>
      </c>
      <c r="H79" s="412"/>
      <c r="I79" s="1484"/>
      <c r="J79" s="1484"/>
    </row>
    <row r="80" spans="1:10" ht="27.75" customHeight="1">
      <c r="A80" s="656" t="s">
        <v>74</v>
      </c>
      <c r="B80" t="s">
        <v>252</v>
      </c>
      <c r="C80" s="112"/>
      <c r="D80" s="112"/>
      <c r="E80" s="112"/>
      <c r="F80" s="7" t="s">
        <v>31</v>
      </c>
      <c r="G80" t="s">
        <v>252</v>
      </c>
      <c r="H80" s="412"/>
      <c r="I80" s="1484"/>
      <c r="J80" s="1484"/>
    </row>
    <row r="81" spans="1:10" ht="34.5" customHeight="1" thickBot="1">
      <c r="A81" s="656" t="s">
        <v>77</v>
      </c>
      <c r="B81" t="s">
        <v>254</v>
      </c>
      <c r="C81" s="173">
        <v>2863</v>
      </c>
      <c r="D81" s="173">
        <v>2863</v>
      </c>
      <c r="E81" s="173"/>
      <c r="F81" s="183" t="s">
        <v>74</v>
      </c>
      <c r="G81" t="s">
        <v>253</v>
      </c>
      <c r="H81" s="412"/>
      <c r="I81" s="1484"/>
      <c r="J81" s="1484"/>
    </row>
    <row r="82" spans="1:10" ht="15.75" thickBot="1">
      <c r="A82" s="658"/>
      <c r="C82" s="352"/>
      <c r="D82" s="732"/>
      <c r="E82" s="732"/>
      <c r="F82" s="184" t="s">
        <v>77</v>
      </c>
      <c r="H82" s="414"/>
      <c r="I82" s="1484"/>
      <c r="J82" s="1484"/>
    </row>
    <row r="83" spans="1:10" ht="15.75" thickBot="1">
      <c r="A83" s="1242"/>
      <c r="B83" s="1648" t="s">
        <v>78</v>
      </c>
      <c r="C83" s="1234">
        <f>+C8+C46+C64+C74</f>
        <v>234117</v>
      </c>
      <c r="D83" s="1234">
        <f>+D8+D46+D64+D74</f>
        <v>242080</v>
      </c>
      <c r="E83" s="1489"/>
      <c r="F83" s="1233"/>
      <c r="G83" s="1643" t="s">
        <v>79</v>
      </c>
      <c r="H83" s="417">
        <f>SUM(H8+H46+H64+H74)</f>
        <v>234117</v>
      </c>
      <c r="I83" s="417">
        <f>SUM(I8+I46+I64+I74)</f>
        <v>242080</v>
      </c>
      <c r="J83" s="1485"/>
    </row>
    <row r="87" ht="12.75">
      <c r="D87" s="561"/>
    </row>
  </sheetData>
  <sheetProtection/>
  <mergeCells count="1">
    <mergeCell ref="A4:H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Bajtekné Halász Ildikó</cp:lastModifiedBy>
  <cp:lastPrinted>2018-09-26T12:09:08Z</cp:lastPrinted>
  <dcterms:created xsi:type="dcterms:W3CDTF">2001-11-27T10:09:29Z</dcterms:created>
  <dcterms:modified xsi:type="dcterms:W3CDTF">2018-09-26T12:10:18Z</dcterms:modified>
  <cp:category/>
  <cp:version/>
  <cp:contentType/>
  <cp:contentStatus/>
  <cp:revision>333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</Properties>
</file>