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Tartalékok" sheetId="9" r:id="rId9"/>
    <sheet name="8,a COFOG-os kiadás+létszám" sheetId="10" r:id="rId10"/>
    <sheet name="8,b COFOG-os bevétel" sheetId="11" r:id="rId11"/>
    <sheet name="9. Likviditási terv" sheetId="12" r:id="rId12"/>
    <sheet name="10. Közvetett támogatás" sheetId="13" r:id="rId13"/>
    <sheet name="11. Többéves döntések" sheetId="14" r:id="rId14"/>
    <sheet name="12. Adósságot kel. ügyletek" sheetId="15" r:id="rId15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'1. Mérlegszerű'!$A$1:$V$63</definedName>
    <definedName name="_xlnm.Print_Area" localSheetId="1">'2,a Elemi bevételek'!$A$1:$K$49</definedName>
    <definedName name="_xlnm.Print_Area" localSheetId="2">'2,b Elemi kiadások'!$A$1:$K$68</definedName>
    <definedName name="_xlnm.Print_Area" localSheetId="4">'4. Állami tám.'!$A$1:$K$50</definedName>
    <definedName name="_xlnm.Print_Area" localSheetId="5">'5. Felhalmozás'!$A$1:$V$26</definedName>
    <definedName name="_xlnm.Print_Area" localSheetId="9">'8,a COFOG-os kiadás+létszám'!$A$1:$U$61</definedName>
    <definedName name="_xlnm.Print_Area" localSheetId="10">'8,b COFOG-os bevétel'!$A$1:$U$57</definedName>
    <definedName name="_xlnm.Print_Area" localSheetId="11">'9. Likviditási terv'!$A$1:$O$30</definedName>
  </definedNames>
  <calcPr fullCalcOnLoad="1"/>
</workbook>
</file>

<file path=xl/comments6.xml><?xml version="1.0" encoding="utf-8"?>
<comments xmlns="http://schemas.openxmlformats.org/spreadsheetml/2006/main">
  <authors>
    <author>T?th N?ra</author>
  </authors>
  <commentList>
    <comment ref="C11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<sst xmlns="http://schemas.openxmlformats.org/spreadsheetml/2006/main" count="1374" uniqueCount="807">
  <si>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</si>
  <si>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</si>
  <si>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</si>
  <si>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</si>
  <si>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</si>
  <si>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</si>
  <si>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</si>
  <si>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</si>
  <si>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</si>
  <si>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</si>
  <si>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</si>
  <si>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</si>
  <si>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</si>
  <si>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</si>
  <si>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</si>
  <si>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</si>
  <si>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</si>
  <si>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</si>
  <si>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</si>
  <si>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</si>
  <si>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</si>
  <si>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</si>
  <si>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</si>
  <si>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</si>
  <si>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</si>
  <si>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</si>
  <si>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</si>
  <si>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</si>
  <si>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</si>
  <si>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</si>
  <si>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</si>
  <si>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</si>
  <si>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</si>
  <si>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</si>
  <si>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</si>
  <si>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</si>
  <si>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</si>
  <si>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</si>
  <si>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</si>
  <si>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</si>
  <si>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</si>
  <si>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</si>
  <si>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</si>
  <si>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</si>
  <si>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</si>
  <si>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</si>
  <si>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</si>
  <si>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</si>
  <si>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</si>
  <si>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</si>
  <si>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</si>
  <si>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</si>
  <si>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</si>
  <si>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</si>
  <si>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</si>
  <si>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</si>
  <si>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</si>
  <si>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</si>
  <si>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</si>
  <si>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</si>
  <si>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</si>
  <si>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</si>
  <si>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</si>
  <si>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</si>
  <si>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</si>
  <si>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</si>
  <si>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</si>
  <si>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</si>
  <si>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</si>
  <si>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</si>
  <si>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</si>
  <si>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</si>
  <si>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</si>
  <si>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</si>
  <si>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</si>
  <si>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</si>
  <si>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</si>
  <si>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</si>
  <si>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</si>
  <si>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</si>
  <si>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</si>
  <si>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</si>
  <si>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</si>
  <si>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</si>
  <si>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</si>
  <si>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</si>
  <si>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</si>
  <si>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</si>
  <si>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</si>
  <si>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</si>
  <si>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</si>
  <si>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</si>
  <si>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</si>
  <si>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</si>
  <si>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</si>
  <si>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</si>
  <si>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</si>
  <si>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</si>
  <si>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</si>
  <si>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</si>
  <si>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</si>
  <si>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</si>
  <si>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</si>
  <si>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</si>
  <si>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</si>
  <si>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</si>
  <si>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</si>
  <si>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</si>
  <si>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</si>
  <si>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</si>
  <si>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</si>
  <si>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</si>
  <si>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</si>
  <si>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</si>
  <si>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</si>
  <si>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</si>
  <si>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</si>
  <si>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</si>
  <si>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</si>
  <si>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</si>
  <si>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</si>
  <si>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</si>
  <si>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</si>
  <si>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</si>
  <si>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</si>
  <si>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</si>
  <si>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</si>
  <si>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</si>
  <si>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</si>
  <si>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</si>
  <si>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</si>
  <si>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</si>
  <si>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</si>
  <si>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</si>
  <si>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</si>
  <si>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</si>
  <si>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</si>
  <si>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</si>
  <si>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</si>
  <si>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</si>
  <si>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</si>
  <si>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</si>
  <si>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</si>
  <si>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</si>
  <si>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</si>
  <si>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</si>
  <si>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</si>
  <si>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</si>
  <si>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</si>
  <si>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</si>
  <si>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</si>
  <si>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</si>
  <si>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</si>
  <si>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</si>
  <si>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</si>
  <si>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</si>
  <si>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</si>
  <si>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</si>
  <si>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</si>
  <si>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</si>
  <si>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</si>
  <si>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</si>
  <si>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</si>
  <si>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</si>
  <si>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</si>
  <si>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</si>
  <si>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</si>
  <si>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</si>
  <si>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</si>
  <si>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</si>
  <si>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</si>
  <si>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</si>
  <si>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</si>
  <si>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</si>
  <si>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</si>
  <si>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</si>
  <si>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</si>
  <si>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</si>
  <si>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</si>
  <si>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</si>
  <si>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</si>
  <si>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</si>
  <si>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</si>
  <si>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</si>
  <si>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</si>
  <si>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</si>
  <si>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</si>
  <si>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</si>
  <si>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</si>
  <si>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</si>
  <si>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</si>
  <si>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</si>
  <si>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</si>
  <si>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</si>
  <si>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</si>
  <si>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</si>
  <si>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</si>
  <si>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</si>
  <si>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</si>
  <si>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</si>
  <si>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</si>
  <si>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</si>
  <si>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</si>
  <si>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</si>
  <si>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</si>
  <si>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</si>
  <si>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</si>
  <si>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</si>
  <si>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</si>
  <si>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</si>
  <si>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</si>
  <si>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</si>
  <si>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</si>
  <si>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</si>
  <si>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</si>
  <si>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</si>
  <si>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</si>
  <si>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</si>
  <si>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</si>
  <si>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</si>
  <si>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</si>
  <si>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</si>
  <si>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</si>
  <si>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</si>
  <si>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</si>
  <si>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</si>
  <si>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</si>
  <si>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</si>
  <si>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</si>
  <si>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</si>
  <si>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</si>
  <si>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</si>
  <si>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</si>
  <si>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</si>
  <si>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</si>
  <si>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</si>
  <si>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</si>
  <si>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</si>
  <si>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</si>
  <si>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</si>
  <si>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</si>
  <si>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</si>
  <si>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</si>
  <si>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</si>
  <si>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</si>
  <si>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</si>
  <si>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</si>
  <si>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</si>
  <si>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</si>
  <si>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</si>
  <si>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</si>
  <si>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</si>
  <si>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</si>
  <si>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</si>
  <si>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</si>
  <si>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</si>
  <si>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</si>
  <si>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</si>
  <si>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</si>
  <si>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</si>
  <si>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</si>
  <si>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</si>
  <si>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</si>
  <si>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</si>
  <si>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</si>
  <si>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</si>
  <si>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</si>
  <si>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</si>
  <si>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</si>
  <si>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</si>
  <si>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</si>
  <si>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</si>
  <si>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</si>
  <si>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</si>
  <si>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</si>
  <si>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</si>
  <si>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</si>
  <si>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</si>
  <si>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</si>
  <si>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</si>
  <si>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</si>
  <si>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</si>
  <si>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</si>
  <si>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</si>
  <si>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</si>
  <si>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</si>
  <si>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</si>
  <si>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</si>
  <si>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</si>
  <si>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</si>
  <si>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</si>
  <si>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</si>
  <si>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</si>
  <si>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</si>
  <si>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</si>
  <si>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</si>
  <si>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</si>
  <si>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</si>
  <si>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</si>
  <si>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</si>
  <si>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</si>
  <si>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</si>
  <si>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</si>
  <si>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</si>
  <si>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</si>
  <si>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</si>
  <si>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</si>
  <si>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B63.</t>
  </si>
  <si>
    <t>Egyéb működési célú átvett pénzeszközök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</si>
  <si>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</si>
  <si>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</si>
  <si>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</si>
  <si>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</si>
  <si>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</si>
  <si>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</si>
  <si>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</si>
  <si>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 Tóparti fejlesztések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</si>
  <si>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</si>
  <si>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</si>
  <si>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</si>
  <si>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</si>
  <si>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</si>
  <si>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</si>
  <si>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</si>
  <si>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</si>
  <si>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</si>
  <si>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</si>
  <si>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</si>
  <si>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</si>
  <si>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</si>
  <si>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</si>
  <si>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</si>
  <si>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</si>
  <si>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</si>
  <si>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</si>
  <si>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</si>
  <si>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</si>
  <si>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</si>
  <si>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</si>
  <si>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</si>
  <si>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</si>
  <si>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</si>
  <si>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</si>
  <si>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</si>
  <si>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</si>
  <si>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</si>
  <si>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</si>
  <si>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</si>
  <si>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</si>
  <si>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</si>
  <si>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</si>
  <si>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</si>
  <si>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</si>
  <si>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</si>
  <si>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</si>
  <si>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</si>
  <si>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</si>
  <si>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</si>
  <si>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</si>
  <si>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</si>
  <si>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</si>
  <si>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</si>
  <si>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</si>
  <si>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</si>
  <si>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</si>
  <si>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Ellátottak pénzbeli juttatásai   K4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</si>
  <si>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</si>
  <si>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</si>
  <si>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</si>
  <si>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</si>
  <si>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</si>
  <si>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</si>
  <si>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</si>
  <si>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</si>
  <si>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</si>
  <si>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</si>
  <si>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</si>
  <si>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</si>
  <si>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</si>
  <si>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</si>
  <si>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</si>
  <si>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</si>
  <si>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</si>
  <si>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</si>
  <si>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</si>
  <si>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</si>
  <si>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</si>
  <si>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</si>
  <si>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</si>
  <si>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</si>
  <si>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</si>
  <si>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</si>
  <si>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</si>
  <si>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</si>
  <si>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</si>
  <si>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</si>
  <si>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</si>
  <si>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</si>
  <si>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</si>
  <si>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</si>
  <si>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</si>
  <si>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</si>
  <si>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</si>
  <si>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</si>
  <si>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</si>
  <si>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</si>
  <si>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</si>
  <si>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</si>
  <si>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</si>
  <si>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</si>
  <si>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</si>
  <si>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</si>
  <si>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</si>
  <si>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</si>
  <si>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</si>
  <si>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</si>
  <si>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</si>
  <si>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</si>
  <si>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</si>
  <si>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</si>
  <si>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</si>
  <si>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</si>
  <si>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</si>
  <si>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</si>
  <si>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</si>
  <si>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</si>
  <si>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</si>
  <si>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</si>
  <si>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</si>
  <si>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</si>
  <si>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</si>
  <si>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</si>
  <si>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</si>
  <si>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</si>
  <si>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</si>
  <si>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</si>
  <si>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</si>
  <si>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</si>
  <si>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</si>
  <si>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</si>
  <si>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</si>
  <si>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</si>
  <si>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</si>
  <si>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</si>
  <si>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</si>
  <si>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</si>
  <si>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</si>
  <si>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</si>
  <si>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</si>
  <si>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</si>
  <si>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</si>
  <si>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</si>
  <si>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</si>
  <si>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</si>
  <si>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</si>
  <si>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</si>
  <si>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</si>
  <si>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</si>
  <si>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</si>
  <si>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</si>
  <si>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</si>
  <si>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</si>
  <si>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</si>
  <si>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</si>
  <si>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</si>
  <si>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</si>
  <si>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</si>
  <si>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</si>
  <si>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</si>
  <si>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</si>
  <si>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</si>
  <si>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</si>
  <si>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</si>
  <si>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</si>
  <si>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</si>
  <si>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</si>
  <si>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</si>
  <si>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</si>
  <si>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</si>
  <si>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</si>
  <si>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</si>
  <si>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</si>
  <si>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</si>
  <si>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</si>
  <si>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</si>
  <si>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</si>
  <si>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</si>
  <si>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</si>
  <si>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</si>
  <si>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</si>
  <si>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</si>
  <si>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</si>
  <si>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</si>
  <si>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</si>
  <si>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</si>
  <si>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</si>
  <si>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</si>
  <si>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</si>
  <si>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F</t>
  </si>
  <si>
    <t>G</t>
  </si>
  <si>
    <t>Létszám fő</t>
  </si>
  <si>
    <t>Működési célú átvett pénzeszközök, kölcsönök visszatérülése</t>
  </si>
  <si>
    <t>Önkormányzat költségvetési támogatása</t>
  </si>
  <si>
    <t>Működési célú támogatások</t>
  </si>
  <si>
    <t>Felhalmozási célú támogatások</t>
  </si>
  <si>
    <t>Adatok ezer Ft-ban</t>
  </si>
  <si>
    <t>CSESZTREG KÖZSÉG ÖNKORMÁNYZATA ÉS INTÉZMÉNYE</t>
  </si>
  <si>
    <t>2016.</t>
  </si>
  <si>
    <t>Eredeti előirányzat 2016.</t>
  </si>
  <si>
    <t>Adatok Ft-ban</t>
  </si>
  <si>
    <t xml:space="preserve">2016. </t>
  </si>
  <si>
    <t>Működési célú költségvetési tán. és kiegészítő tám.</t>
  </si>
  <si>
    <t>Elszámolásból származó bevételek</t>
  </si>
  <si>
    <t>K335.</t>
  </si>
  <si>
    <t>Közvetített szolgáltatások</t>
  </si>
  <si>
    <t>B916.</t>
  </si>
  <si>
    <t>Pénzeszközök lekötött bankbetétként elhelyezése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</si>
  <si>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</si>
  <si>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</si>
  <si>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</si>
  <si>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</si>
  <si>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</si>
  <si>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</si>
  <si>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</si>
  <si>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</si>
  <si>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Átlagos statisztikai létszám (közfogl. nélkül)     fő</t>
  </si>
  <si>
    <t>Eredeti előirányzat       2016.</t>
  </si>
  <si>
    <t>Engedélyezett létszám keret (fő)</t>
  </si>
  <si>
    <t>Igazgatáshoz szükséges kis értékű tárgyi eszközök beszerzés</t>
  </si>
  <si>
    <t>Víziközmű felújítása</t>
  </si>
  <si>
    <t>Közvilágítás korszerűsítés</t>
  </si>
  <si>
    <t xml:space="preserve">    Pályázatok előkészítése, pályazati önerők biztosítása</t>
  </si>
  <si>
    <t xml:space="preserve">    Téligumi beszerzés óvodabuszra</t>
  </si>
  <si>
    <t xml:space="preserve">   Előző évi maradvány igénybevétele</t>
  </si>
  <si>
    <t xml:space="preserve">   Általános forgalmi adó visszatérítése</t>
  </si>
  <si>
    <t>Felhalmozási jellegű bevétel megnevezése</t>
  </si>
  <si>
    <t>Felhalmozási jellegű kiadás megnevezése</t>
  </si>
  <si>
    <t>Felhalmozási jellegű bevételek és kiadások</t>
  </si>
  <si>
    <t>2016. ÉVI MŰKÖDÉSI ÉS FELHALMOZÁSI CÉLÚ BEVÉTELEI ÉS KIADÁSAI</t>
  </si>
  <si>
    <t>2016. évi előirányzat</t>
  </si>
  <si>
    <t>2.4. Egyéb működési célú kiadások</t>
  </si>
  <si>
    <t>2.5. Elvonások, befizetések</t>
  </si>
  <si>
    <t xml:space="preserve"> Adatok Ft-ban</t>
  </si>
  <si>
    <t>CSESZTREG KÖZSÉG ÖNKORMÁNYZATA ÉS INTÉZMÉNYE 2016. ÉVI KIADÁSAI ÉS LÉTSZÁMADATAI COFOG SZERINTI BONTÁSBAN</t>
  </si>
  <si>
    <t>013370</t>
  </si>
  <si>
    <t>Informatikai fejlesztések és szolgáltatások</t>
  </si>
  <si>
    <t>091140</t>
  </si>
  <si>
    <t>Óvodai nevelés, ellátás működtetési feladatai</t>
  </si>
  <si>
    <t>Intézményen kívüli gyermekétkezés</t>
  </si>
  <si>
    <t>CSESZTREG KÖZSÉG ÖNKORMÁNYZATA ÉS INTÉZMÉNYE 2016. ÉVI BEVÉTELEI COFOG SZERINTI BONTÁSBAN</t>
  </si>
  <si>
    <t>Zöldterület- kezelés</t>
  </si>
  <si>
    <t>Óvodai nevelés, ellátás működetési feladatai</t>
  </si>
  <si>
    <t>Gyermekvédelmi pénzbeli és természetbeli ellátások</t>
  </si>
  <si>
    <t>Dologi kiadások       K3</t>
  </si>
  <si>
    <t>CSESZTREG KÖZSÉG ÖNKORMÁNYZATA ÉS INTÉZMÉNYE 2016. ÉVI ELŐIRÁNYZAT FELHASZNÁLÁSI ÜTEMTERVE</t>
  </si>
  <si>
    <t>104042</t>
  </si>
  <si>
    <t>Család- és gyermekjóléti szolgáltatások</t>
  </si>
  <si>
    <t>Család- és gyermekjóléti szolgálat</t>
  </si>
  <si>
    <t>Előirányzat módosítás 05.31.</t>
  </si>
  <si>
    <t>Módosított előirányzat 05.31.</t>
  </si>
  <si>
    <t>H</t>
  </si>
  <si>
    <t xml:space="preserve">    Volt TSZ iroda tervdokumentáció elkészítése, gázcsatlakozások kiépítése</t>
  </si>
  <si>
    <t xml:space="preserve">    Egészségügy részére informatikai eszközök beszerzése</t>
  </si>
  <si>
    <t>I</t>
  </si>
  <si>
    <t xml:space="preserve">    Családsegítő irodába bútorok beszerzése</t>
  </si>
  <si>
    <t>5,b melléklet</t>
  </si>
  <si>
    <t>041237</t>
  </si>
  <si>
    <t>Közfoglalkoztatási mintaprogram</t>
  </si>
  <si>
    <t xml:space="preserve">    Járda építése, felújítása, kapubejárók helyreállítása, utak felújítása</t>
  </si>
  <si>
    <t>ebből: Közművelődési érdekeltségnövelő támogatáshoz kapcsolódó beruházás</t>
  </si>
  <si>
    <t>ebből: Közművelődési érdekeltségnövelő támogatáshoz kapcsolódó beruházás áfája</t>
  </si>
  <si>
    <t xml:space="preserve">    Közművelődési érdekeltségnövelő támogatás</t>
  </si>
  <si>
    <t xml:space="preserve"> Közművelődési érdekeltségnövelő támogatáshoz kapcsolódó beruházás</t>
  </si>
  <si>
    <t>Előirányzat módosítás 08.31.</t>
  </si>
  <si>
    <t>Módosított előirányzat 08.31.</t>
  </si>
  <si>
    <t>B53.</t>
  </si>
  <si>
    <t>Egyéb tárgyi eszközök értékesítése</t>
  </si>
  <si>
    <t>K1106.</t>
  </si>
  <si>
    <t>Jubileumi jutalom</t>
  </si>
  <si>
    <t>K352.</t>
  </si>
  <si>
    <t xml:space="preserve">Fizetendő áfa </t>
  </si>
  <si>
    <t>Előzetesen felszámított áfa</t>
  </si>
  <si>
    <t>J</t>
  </si>
  <si>
    <t>L</t>
  </si>
  <si>
    <t>Sor-szám</t>
  </si>
  <si>
    <t>104037</t>
  </si>
  <si>
    <t>016020</t>
  </si>
  <si>
    <t>Orzságos és helyi népszavazással kapcsolatos tevékenységek</t>
  </si>
  <si>
    <t>Országos és helyi népszavazással összefüggő tevékenységek</t>
  </si>
  <si>
    <t xml:space="preserve">   Közfoglalkoztatási programhoz vásárolt kerékpár és utánfutó</t>
  </si>
  <si>
    <t xml:space="preserve">   JTT-687 rendszámú gépjármű értékesítése</t>
  </si>
  <si>
    <t>B52.</t>
  </si>
  <si>
    <t>Ingatlanok (földterületek) értékesítése</t>
  </si>
  <si>
    <t>ebből: Iparűzési adó (állandó jellegű)</t>
  </si>
  <si>
    <t xml:space="preserve">   Termőföld értékesítése</t>
  </si>
  <si>
    <t>Csesztreg Község Önkormányzata által adott közvetett támogatások 2016. évben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</si>
  <si>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</si>
  <si>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</si>
  <si>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</si>
  <si>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</si>
  <si>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</si>
  <si>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</si>
  <si>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</si>
  <si>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</si>
  <si>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</si>
  <si>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</si>
  <si>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</si>
  <si>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</si>
  <si>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</si>
  <si>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</si>
  <si>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</si>
  <si>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</si>
  <si>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</si>
  <si>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</si>
  <si>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</si>
  <si>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</si>
  <si>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Módosított előirányzat 10.31.</t>
  </si>
  <si>
    <t>Előirányzat módosítás 10.31.</t>
  </si>
  <si>
    <t>B411.</t>
  </si>
  <si>
    <t>Biztosító által fizetett kártérítés</t>
  </si>
  <si>
    <t>Beruházások             K6</t>
  </si>
  <si>
    <t>Szabadidős park, fürdő és strandszolgáltatás</t>
  </si>
  <si>
    <t>Intézményen kívüli gyermekétkeztetés</t>
  </si>
  <si>
    <t>7. számú melléklet</t>
  </si>
  <si>
    <t>Módosított előirányzat 12.31.</t>
  </si>
  <si>
    <t>Előirányzat módosítás 12.31.</t>
  </si>
  <si>
    <t>B8123.</t>
  </si>
  <si>
    <t>Befektetési célú belföldi értékpapírok beváltása, értékesítése</t>
  </si>
  <si>
    <t>K63.</t>
  </si>
  <si>
    <t>Informatikai eszközök beszerzése, létesítése</t>
  </si>
  <si>
    <t>K89.</t>
  </si>
  <si>
    <t>Egyéb felhalmozási célú támogatások áht-n kívülre</t>
  </si>
  <si>
    <t>B1.- B8.</t>
  </si>
  <si>
    <t xml:space="preserve">    Háziorvosi rendelő bútorzata és egyéb eszközök</t>
  </si>
  <si>
    <t xml:space="preserve">    Művelődési Házba vasaló, csepegtető, mosogató, falipolc és tároló vitrin beszerzés</t>
  </si>
  <si>
    <t xml:space="preserve">   Fejlesztési célú támogatás nyújtása a Csesztregi Községi Sportegyesületnek</t>
  </si>
  <si>
    <t xml:space="preserve">    Kazán, fagyasztóláda és notebook beszerzés konyhára</t>
  </si>
  <si>
    <t xml:space="preserve">    Telenor Zrt-től kapott 2016. évi bérleti díj</t>
  </si>
  <si>
    <t xml:space="preserve">     iPad tok beszerzés védőnő részére</t>
  </si>
  <si>
    <t>CSESZTREG KÖZSÉG ÖNKORMÁNYZATÁNAK ÁLLAMI HOZZÁJÁRULÁSA 2016. ÉVBEN</t>
  </si>
  <si>
    <t>Hozzájárulás jogcíme</t>
  </si>
  <si>
    <t>2015.évi</t>
  </si>
  <si>
    <t>mutató/  létszám</t>
  </si>
  <si>
    <t>Támogatás</t>
  </si>
  <si>
    <t>Hozzájárulás</t>
  </si>
  <si>
    <t>Ft/fő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</si>
  <si>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</si>
  <si>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</si>
  <si>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</si>
  <si>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</si>
  <si>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</si>
  <si>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</si>
  <si>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</si>
  <si>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</si>
  <si>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</si>
  <si>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</si>
  <si>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</si>
  <si>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</si>
  <si>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</si>
  <si>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</si>
  <si>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</si>
  <si>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</si>
  <si>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</si>
  <si>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</si>
  <si>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</si>
  <si>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</si>
  <si>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</si>
  <si>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A 2015.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</si>
  <si>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</si>
  <si>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</si>
  <si>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</si>
  <si>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</si>
  <si>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</si>
  <si>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</si>
  <si>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</si>
  <si>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</si>
  <si>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</si>
  <si>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</si>
  <si>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</si>
  <si>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</si>
  <si>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</si>
  <si>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</si>
  <si>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</si>
  <si>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</si>
  <si>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</si>
  <si>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</si>
  <si>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Bérkompenzáció:</t>
  </si>
  <si>
    <t>Szociális ágazati pótlék</t>
  </si>
  <si>
    <t>Kiegészítő szociális ágazati pótlék</t>
  </si>
  <si>
    <t>Állami támogatás összesen:</t>
  </si>
  <si>
    <t>CSESZTREG KÖZSÉG ÖNKORMÁNYZATA 2016. ÉVI TARTALÉKAI</t>
  </si>
  <si>
    <t>Sorszám.</t>
  </si>
  <si>
    <t>Feladat / cél</t>
  </si>
  <si>
    <t>2016.évi előirányzat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</si>
  <si>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</si>
  <si>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</si>
  <si>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</si>
  <si>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</si>
  <si>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</si>
  <si>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>Polgármester</t>
  </si>
  <si>
    <t xml:space="preserve">Tartalékok mindösszesen </t>
  </si>
  <si>
    <t>Csesztreg Község Önkormányzata többéves kihatással járó döntések számszerűsítése évenkénti bontásban és összesítve célok szerint</t>
  </si>
  <si>
    <t>11. számú melléklet</t>
  </si>
  <si>
    <t>Kötelezettség jogcíme</t>
  </si>
  <si>
    <t>Köt. váll.
 éve</t>
  </si>
  <si>
    <t>2016. előtti kifizetések</t>
  </si>
  <si>
    <t>Kiadás vonzata évenként</t>
  </si>
  <si>
    <t>2017.</t>
  </si>
  <si>
    <t>2018.</t>
  </si>
  <si>
    <t>I=(D+E+F+G)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</si>
  <si>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</si>
  <si>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</si>
  <si>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</si>
  <si>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 xml:space="preserve">    lásd: 5. tábla</t>
  </si>
  <si>
    <t>Felújítási kiadások felújításonként</t>
  </si>
  <si>
    <t xml:space="preserve">   lásd: 5. tábla</t>
  </si>
  <si>
    <t>Egyéb (Pl.: garancia és kezességvállalás, stb.)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</si>
  <si>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</si>
  <si>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</si>
  <si>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 xml:space="preserve">   Államháztartáson belüli megelőgezések visszafizetése</t>
  </si>
  <si>
    <t>Összesen (1+4+7+9+11)</t>
  </si>
  <si>
    <t>Csesztreg Község Önkormányzata adósságot keletkeztető 2016. évi fejlesztési céljai, az ügyletekből és kezességvállalásokból fennálló kötelezettségei, valamint azok fedezetéül szolgáló saját bevételek</t>
  </si>
  <si>
    <t>12. számú melléklet</t>
  </si>
  <si>
    <t>1, 2016.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</si>
  <si>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</si>
  <si>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</si>
  <si>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</si>
  <si>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</si>
  <si>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</si>
  <si>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</si>
  <si>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</si>
  <si>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</si>
  <si>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2019.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</si>
  <si>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</si>
  <si>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</si>
  <si>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</si>
  <si>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2016. évi eredeti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</si>
  <si>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</si>
  <si>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</si>
  <si>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</si>
  <si>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</si>
  <si>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</si>
  <si>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</si>
  <si>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</si>
  <si>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</si>
  <si>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5. számú melléklet</t>
  </si>
  <si>
    <t>6,a melléklet</t>
  </si>
  <si>
    <t>6,b melléklet</t>
  </si>
  <si>
    <t>8, a melléklet</t>
  </si>
  <si>
    <t>8, b melléklet</t>
  </si>
  <si>
    <t>9. számú melléklet</t>
  </si>
  <si>
    <t>10. számú melléklet</t>
  </si>
  <si>
    <t>Támogatási célú finanszírozási műveletek</t>
  </si>
  <si>
    <t>Áht-n belüli megelőlegezések B814</t>
  </si>
  <si>
    <t>Támogatási célú finanszírozási művetelk</t>
  </si>
  <si>
    <t>2016. évi várható támogatás</t>
  </si>
  <si>
    <t>5. c, Rászoruló gyermekek intézményen kívüli szünidei étkeztetésének támogatása</t>
  </si>
  <si>
    <t>1.10. Befektetési célú belföldi értékpapírok beváltása, értékesítése</t>
  </si>
  <si>
    <t>1.11. Államháztartáson belüli megelőlegezések</t>
  </si>
  <si>
    <t>2.1. Működési célú támogatás aht-n belül</t>
  </si>
  <si>
    <t xml:space="preserve">2.2. Működési bevételek </t>
  </si>
  <si>
    <t>2.3. Felhalmozási bevételek</t>
  </si>
  <si>
    <t xml:space="preserve">2.4. Előző évi költségvetési maradvány 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</si>
  <si>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</si>
  <si>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</si>
  <si>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</si>
  <si>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</si>
  <si>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</si>
  <si>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Befektetési célú belföldi értékpapírok vásárlása</t>
  </si>
  <si>
    <t>2.6. Beruházási kiadás</t>
  </si>
  <si>
    <t>Ft</t>
  </si>
  <si>
    <t>Eltérés (tény -terv)</t>
  </si>
  <si>
    <t>2016.évi terv (októberi módosítás)</t>
  </si>
  <si>
    <t>Befektetési célú értékpapírok értékesítése</t>
  </si>
  <si>
    <t xml:space="preserve">Államháztartáson belüli megelőlegezések </t>
  </si>
  <si>
    <t>Felhalmozási célú pénzeszköz átadás</t>
  </si>
  <si>
    <t>Befektetési célú értékpapírok vásárlása</t>
  </si>
  <si>
    <t>3/2016. (II. 15.) önkormányzati rendelet 1. melléklete</t>
  </si>
  <si>
    <t>1/2017. (I. 30.) önkormányzati rendelet 1. melléklete</t>
  </si>
  <si>
    <t>1/2017. (I. 30.) önkormányzati rendelet 2. melléklete</t>
  </si>
  <si>
    <t>3/2016. (II. 15.) önkormányzati rendelet 2,a. melléklete</t>
  </si>
  <si>
    <t>1/2017. (I. 30.) önkormányzati rendelet 3. melléklete</t>
  </si>
  <si>
    <t>3/2016. (II. 15.) önkormányzati rendelet 2,b. melléklete</t>
  </si>
  <si>
    <t>1/2017. (I. 30.) önkormányzati rendelet 4. melléklete</t>
  </si>
  <si>
    <t>3/2016. (II. 15.) önkormányzati rendelet 3. melléklete</t>
  </si>
  <si>
    <t>1/2017. (I. 30.) önkormányzati rendelet 5. melléklete</t>
  </si>
  <si>
    <t>3/2016. (II. 15.) önkormányzati rendelet 5. melléklete</t>
  </si>
  <si>
    <t>3/2016. (II. 15.) önkormányzati rendelet 4. melléklete</t>
  </si>
  <si>
    <t>1/2017. (I. 30.) önkormányzati rendelet 6. melléklete</t>
  </si>
  <si>
    <t>1/2017. (I. 30.) önkormányzati rendelet 7. melléklete</t>
  </si>
  <si>
    <t>3/2016. (II. 15.) önkormányzati rendelet 6,a. melléklete</t>
  </si>
  <si>
    <t>1/2017. (I. 30.) önkormányzati rendelet 8. melléklete</t>
  </si>
  <si>
    <t>3/2016. (II. 15.) önkormányzati rendelet 6,b. melléklete</t>
  </si>
  <si>
    <t>1/2017. (I. 30.) önkormányzati rendelet 9. melléklete</t>
  </si>
  <si>
    <t>3/2016. (II. 15.) önkormányzati rendelet 7. melléklete</t>
  </si>
  <si>
    <t>1/2017. (I. 30.) önkormányzati rendelet 10. melléklete</t>
  </si>
  <si>
    <t>3/2016. (II. 15.) önkormányzati rendelet 8,a. melléklete</t>
  </si>
  <si>
    <t>1/2017. (I. 30.) önkormányzati rendelet 11. melléklete</t>
  </si>
  <si>
    <t>3/2016. (II. 15.) önkormányzati rendelet 8,b. melléklete</t>
  </si>
  <si>
    <t>1/2017. (I. 30.) önkormányzati rendelet 12. melléklete</t>
  </si>
  <si>
    <t>3/2016. (II. 15.) önkormányzati rendelet 9. melléklete</t>
  </si>
  <si>
    <t>1/2017. (I. 30.) önkormányzati rendelet 13. melléklete</t>
  </si>
  <si>
    <t>3/2016. (II. 15.) önkormányzati rendelet 10. melléklete</t>
  </si>
  <si>
    <t>1/2017. (I. 30.) önkormányzati rendelet 14. melléklete</t>
  </si>
  <si>
    <t>3/2016. (II. 15.) önkormányzati rendelet 11. melléklete</t>
  </si>
  <si>
    <t>1/2017. (I. 30.) önkormányzati rendelet 15. melléklete</t>
  </si>
  <si>
    <t>3/2016. (II. 15.)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</si>
</sst>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Garamond"/>
      <family val="1"/>
    </font>
    <font>
      <sz val="14"/>
      <name val="Arial"/>
      <family val="2"/>
    </font>
    <font>
      <sz val="12"/>
      <name val="Times New Roman CE"/>
      <family val="0"/>
    </font>
    <font>
      <b/>
      <sz val="9"/>
      <color indexed="8"/>
      <name val="Times New Roman"/>
      <family val="1"/>
    </font>
    <font>
      <b/>
      <sz val="13"/>
      <name val="Times New Roman CE"/>
      <family val="0"/>
    </font>
    <font>
      <b/>
      <sz val="9"/>
      <name val="Times New Roman"/>
      <family val="1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2">
      <alignment/>
      <protection/>
    </xf>
    <xf numFmtId="0" fontId="16" fillId="0" borderId="0" xfId="102" applyFont="1" applyBorder="1" applyAlignment="1">
      <alignment horizontal="center"/>
      <protection/>
    </xf>
    <xf numFmtId="0" fontId="27" fillId="0" borderId="10" xfId="102" applyFont="1" applyBorder="1" applyAlignment="1">
      <alignment vertical="center" wrapText="1"/>
      <protection/>
    </xf>
    <xf numFmtId="0" fontId="27" fillId="0" borderId="11" xfId="102" applyFont="1" applyBorder="1" applyAlignment="1">
      <alignment horizontal="center" vertical="center" wrapText="1"/>
      <protection/>
    </xf>
    <xf numFmtId="49" fontId="16" fillId="0" borderId="12" xfId="102" applyNumberFormat="1" applyFont="1" applyBorder="1" applyAlignment="1">
      <alignment horizontal="right"/>
      <protection/>
    </xf>
    <xf numFmtId="49" fontId="16" fillId="0" borderId="13" xfId="102" applyNumberFormat="1" applyFont="1" applyBorder="1" applyAlignment="1">
      <alignment horizontal="right"/>
      <protection/>
    </xf>
    <xf numFmtId="180" fontId="16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2" applyFont="1" applyBorder="1">
      <alignment/>
      <protection/>
    </xf>
    <xf numFmtId="0" fontId="16" fillId="0" borderId="12" xfId="102" applyBorder="1">
      <alignment/>
      <protection/>
    </xf>
    <xf numFmtId="0" fontId="16" fillId="0" borderId="14" xfId="102" applyFont="1" applyBorder="1" applyAlignment="1">
      <alignment vertical="center" wrapText="1"/>
      <protection/>
    </xf>
    <xf numFmtId="0" fontId="16" fillId="0" borderId="15" xfId="102" applyFont="1" applyBorder="1">
      <alignment/>
      <protection/>
    </xf>
    <xf numFmtId="49" fontId="16" fillId="0" borderId="16" xfId="102" applyNumberFormat="1" applyBorder="1">
      <alignment/>
      <protection/>
    </xf>
    <xf numFmtId="49" fontId="16" fillId="0" borderId="17" xfId="102" applyNumberFormat="1" applyBorder="1">
      <alignment/>
      <protection/>
    </xf>
    <xf numFmtId="0" fontId="27" fillId="0" borderId="18" xfId="102" applyFont="1" applyBorder="1" applyAlignment="1">
      <alignment horizontal="left"/>
      <protection/>
    </xf>
    <xf numFmtId="0" fontId="27" fillId="0" borderId="19" xfId="102" applyFont="1" applyBorder="1" applyAlignment="1">
      <alignment horizontal="left"/>
      <protection/>
    </xf>
    <xf numFmtId="0" fontId="27" fillId="0" borderId="20" xfId="102" applyFont="1" applyBorder="1" applyAlignment="1">
      <alignment horizontal="left"/>
      <protection/>
    </xf>
    <xf numFmtId="0" fontId="15" fillId="0" borderId="0" xfId="109" applyBorder="1" applyAlignment="1" applyProtection="1">
      <alignment horizontal="right"/>
      <protection locked="0"/>
    </xf>
    <xf numFmtId="0" fontId="15" fillId="0" borderId="0" xfId="109" applyFont="1" applyBorder="1" applyAlignment="1" applyProtection="1">
      <alignment horizontal="right"/>
      <protection locked="0"/>
    </xf>
    <xf numFmtId="0" fontId="15" fillId="0" borderId="0" xfId="109">
      <alignment/>
      <protection/>
    </xf>
    <xf numFmtId="0" fontId="30" fillId="0" borderId="0" xfId="109" applyFont="1" applyBorder="1" applyAlignment="1" applyProtection="1">
      <alignment horizontal="center" vertical="center"/>
      <protection locked="0"/>
    </xf>
    <xf numFmtId="0" fontId="15" fillId="0" borderId="0" xfId="109" applyBorder="1" applyAlignment="1" applyProtection="1">
      <alignment horizontal="centerContinuous" vertical="top"/>
      <protection locked="0"/>
    </xf>
    <xf numFmtId="0" fontId="31" fillId="0" borderId="0" xfId="109" applyFont="1" applyBorder="1" applyAlignment="1" applyProtection="1">
      <alignment horizontal="centerContinuous" vertical="top"/>
      <protection locked="0"/>
    </xf>
    <xf numFmtId="0" fontId="15" fillId="0" borderId="0" xfId="109" applyAlignment="1" applyProtection="1">
      <alignment horizontal="centerContinuous" vertical="top"/>
      <protection locked="0"/>
    </xf>
    <xf numFmtId="0" fontId="31" fillId="0" borderId="21" xfId="109" applyFont="1" applyBorder="1" applyAlignment="1" applyProtection="1">
      <alignment horizontal="centerContinuous" vertical="top"/>
      <protection locked="0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109" applyFont="1">
      <alignment/>
      <protection/>
    </xf>
    <xf numFmtId="0" fontId="48" fillId="0" borderId="0" xfId="109" applyFont="1" applyBorder="1">
      <alignment/>
      <protection/>
    </xf>
    <xf numFmtId="3" fontId="48" fillId="0" borderId="0" xfId="109" applyNumberFormat="1" applyFont="1" applyBorder="1">
      <alignment/>
      <protection/>
    </xf>
    <xf numFmtId="0" fontId="1" fillId="0" borderId="22" xfId="109" applyFont="1" applyBorder="1" applyProtection="1">
      <alignment/>
      <protection locked="0"/>
    </xf>
    <xf numFmtId="0" fontId="37" fillId="0" borderId="0" xfId="0" applyFont="1" applyBorder="1" applyAlignment="1">
      <alignment wrapText="1"/>
    </xf>
    <xf numFmtId="0" fontId="1" fillId="0" borderId="23" xfId="109" applyFont="1" applyBorder="1">
      <alignment/>
      <protection/>
    </xf>
    <xf numFmtId="0" fontId="48" fillId="0" borderId="23" xfId="109" applyFont="1" applyBorder="1">
      <alignment/>
      <protection/>
    </xf>
    <xf numFmtId="0" fontId="35" fillId="0" borderId="22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0" fontId="52" fillId="0" borderId="0" xfId="102" applyFont="1" applyAlignment="1">
      <alignment horizontal="center"/>
      <protection/>
    </xf>
    <xf numFmtId="0" fontId="16" fillId="0" borderId="0" xfId="102" applyFont="1" applyBorder="1" applyAlignment="1">
      <alignment horizontal="right"/>
      <protection/>
    </xf>
    <xf numFmtId="3" fontId="16" fillId="0" borderId="13" xfId="102" applyNumberFormat="1" applyFont="1" applyBorder="1">
      <alignment/>
      <protection/>
    </xf>
    <xf numFmtId="3" fontId="16" fillId="0" borderId="17" xfId="102" applyNumberFormat="1" applyFont="1" applyBorder="1">
      <alignment/>
      <protection/>
    </xf>
    <xf numFmtId="3" fontId="27" fillId="0" borderId="19" xfId="102" applyNumberFormat="1" applyFont="1" applyBorder="1">
      <alignment/>
      <protection/>
    </xf>
    <xf numFmtId="3" fontId="16" fillId="0" borderId="13" xfId="102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7" fillId="0" borderId="13" xfId="0" applyNumberFormat="1" applyFont="1" applyBorder="1" applyAlignment="1">
      <alignment horizontal="right" wrapText="1"/>
    </xf>
    <xf numFmtId="3" fontId="37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3" fillId="0" borderId="26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3" fontId="33" fillId="0" borderId="27" xfId="0" applyNumberFormat="1" applyFont="1" applyBorder="1" applyAlignment="1">
      <alignment horizontal="right" wrapText="1"/>
    </xf>
    <xf numFmtId="0" fontId="34" fillId="0" borderId="29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4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5" fillId="0" borderId="12" xfId="102" applyFont="1" applyBorder="1" applyAlignment="1">
      <alignment horizontal="center"/>
      <protection/>
    </xf>
    <xf numFmtId="0" fontId="55" fillId="0" borderId="13" xfId="102" applyFont="1" applyBorder="1" applyAlignment="1">
      <alignment horizontal="center"/>
      <protection/>
    </xf>
    <xf numFmtId="0" fontId="55" fillId="0" borderId="14" xfId="102" applyFont="1" applyBorder="1" applyAlignment="1">
      <alignment horizontal="center"/>
      <protection/>
    </xf>
    <xf numFmtId="0" fontId="55" fillId="0" borderId="0" xfId="102" applyFont="1">
      <alignment/>
      <protection/>
    </xf>
    <xf numFmtId="0" fontId="29" fillId="0" borderId="0" xfId="109" applyFont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6" fillId="0" borderId="36" xfId="0" applyFont="1" applyFill="1" applyBorder="1" applyAlignment="1" applyProtection="1">
      <alignment horizontal="left" vertical="center"/>
      <protection/>
    </xf>
    <xf numFmtId="180" fontId="16" fillId="0" borderId="0" xfId="108" applyNumberFormat="1" applyFill="1" applyAlignment="1" applyProtection="1">
      <alignment vertical="center" wrapText="1"/>
      <protection/>
    </xf>
    <xf numFmtId="180" fontId="57" fillId="0" borderId="0" xfId="108" applyNumberFormat="1" applyFont="1" applyFill="1" applyAlignment="1" applyProtection="1">
      <alignment horizontal="centerContinuous" vertical="center" wrapText="1"/>
      <protection/>
    </xf>
    <xf numFmtId="180" fontId="16" fillId="0" borderId="0" xfId="108" applyNumberFormat="1" applyFill="1" applyAlignment="1" applyProtection="1">
      <alignment horizontal="centerContinuous" vertical="center"/>
      <protection/>
    </xf>
    <xf numFmtId="180" fontId="16" fillId="0" borderId="0" xfId="108" applyNumberFormat="1" applyFill="1" applyAlignment="1" applyProtection="1">
      <alignment horizontal="center" vertical="center" wrapText="1"/>
      <protection/>
    </xf>
    <xf numFmtId="180" fontId="59" fillId="0" borderId="36" xfId="108" applyNumberFormat="1" applyFont="1" applyFill="1" applyBorder="1" applyAlignment="1" applyProtection="1">
      <alignment horizontal="center" vertical="center" wrapText="1"/>
      <protection/>
    </xf>
    <xf numFmtId="180" fontId="59" fillId="0" borderId="37" xfId="108" applyNumberFormat="1" applyFont="1" applyFill="1" applyBorder="1" applyAlignment="1" applyProtection="1">
      <alignment horizontal="center" vertical="center" wrapText="1"/>
      <protection/>
    </xf>
    <xf numFmtId="180" fontId="59" fillId="0" borderId="38" xfId="108" applyNumberFormat="1" applyFont="1" applyFill="1" applyBorder="1" applyAlignment="1" applyProtection="1">
      <alignment horizontal="center" vertical="center" wrapText="1"/>
      <protection/>
    </xf>
    <xf numFmtId="180" fontId="27" fillId="0" borderId="0" xfId="108" applyNumberFormat="1" applyFont="1" applyFill="1" applyAlignment="1" applyProtection="1">
      <alignment horizontal="center" vertical="center" wrapText="1"/>
      <protection/>
    </xf>
    <xf numFmtId="180" fontId="55" fillId="0" borderId="39" xfId="108" applyNumberFormat="1" applyFont="1" applyFill="1" applyBorder="1" applyAlignment="1" applyProtection="1">
      <alignment horizontal="center" vertical="center" wrapText="1"/>
      <protection/>
    </xf>
    <xf numFmtId="180" fontId="55" fillId="0" borderId="36" xfId="108" applyNumberFormat="1" applyFont="1" applyFill="1" applyBorder="1" applyAlignment="1" applyProtection="1">
      <alignment horizontal="center" vertical="center" wrapText="1"/>
      <protection/>
    </xf>
    <xf numFmtId="180" fontId="55" fillId="0" borderId="37" xfId="108" applyNumberFormat="1" applyFont="1" applyFill="1" applyBorder="1" applyAlignment="1" applyProtection="1">
      <alignment horizontal="center" vertical="center" wrapText="1"/>
      <protection/>
    </xf>
    <xf numFmtId="180" fontId="55" fillId="0" borderId="38" xfId="108" applyNumberFormat="1" applyFont="1" applyFill="1" applyBorder="1" applyAlignment="1" applyProtection="1">
      <alignment horizontal="center" vertical="center" wrapText="1"/>
      <protection/>
    </xf>
    <xf numFmtId="180" fontId="55" fillId="0" borderId="0" xfId="108" applyNumberFormat="1" applyFont="1" applyFill="1" applyAlignment="1" applyProtection="1">
      <alignment horizontal="center" vertical="center" wrapText="1"/>
      <protection/>
    </xf>
    <xf numFmtId="180" fontId="16" fillId="0" borderId="40" xfId="108" applyNumberFormat="1" applyFill="1" applyBorder="1" applyAlignment="1" applyProtection="1">
      <alignment horizontal="left" vertical="center" wrapText="1" indent="1"/>
      <protection/>
    </xf>
    <xf numFmtId="180" fontId="60" fillId="0" borderId="30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1" xfId="108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8" applyNumberFormat="1" applyFill="1" applyBorder="1" applyAlignment="1" applyProtection="1">
      <alignment horizontal="lef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4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45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8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36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37" xfId="108" applyNumberFormat="1" applyFont="1" applyFill="1" applyBorder="1" applyAlignment="1" applyProtection="1">
      <alignment horizontal="right" vertical="center" wrapText="1" indent="1"/>
      <protection/>
    </xf>
    <xf numFmtId="180" fontId="55" fillId="0" borderId="38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8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8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8" applyNumberFormat="1" applyFont="1" applyFill="1" applyBorder="1" applyAlignment="1" applyProtection="1">
      <alignment horizontal="right" vertical="center" wrapText="1" indent="1"/>
      <protection/>
    </xf>
    <xf numFmtId="180" fontId="61" fillId="0" borderId="47" xfId="108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41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8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8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30" xfId="108" applyNumberFormat="1" applyFont="1" applyFill="1" applyBorder="1" applyAlignment="1" applyProtection="1">
      <alignment horizontal="left" vertical="center" wrapText="1" indent="2"/>
      <protection/>
    </xf>
    <xf numFmtId="180" fontId="60" fillId="0" borderId="16" xfId="108" applyNumberFormat="1" applyFont="1" applyFill="1" applyBorder="1" applyAlignment="1" applyProtection="1">
      <alignment horizontal="left" vertical="center" wrapText="1" indent="2"/>
      <protection/>
    </xf>
    <xf numFmtId="3" fontId="63" fillId="0" borderId="13" xfId="0" applyNumberFormat="1" applyFont="1" applyBorder="1" applyAlignment="1">
      <alignment horizontal="right" wrapText="1"/>
    </xf>
    <xf numFmtId="3" fontId="51" fillId="0" borderId="13" xfId="109" applyNumberFormat="1" applyFont="1" applyBorder="1">
      <alignment/>
      <protection/>
    </xf>
    <xf numFmtId="3" fontId="1" fillId="0" borderId="13" xfId="109" applyNumberFormat="1" applyFont="1" applyBorder="1">
      <alignment/>
      <protection/>
    </xf>
    <xf numFmtId="3" fontId="48" fillId="0" borderId="25" xfId="109" applyNumberFormat="1" applyFont="1" applyBorder="1">
      <alignment/>
      <protection/>
    </xf>
    <xf numFmtId="3" fontId="1" fillId="0" borderId="13" xfId="109" applyNumberFormat="1" applyFont="1" applyFill="1" applyBorder="1">
      <alignment/>
      <protection/>
    </xf>
    <xf numFmtId="3" fontId="42" fillId="0" borderId="13" xfId="109" applyNumberFormat="1" applyFont="1" applyFill="1" applyBorder="1">
      <alignment/>
      <protection/>
    </xf>
    <xf numFmtId="0" fontId="15" fillId="0" borderId="0" xfId="111">
      <alignment/>
      <protection/>
    </xf>
    <xf numFmtId="0" fontId="66" fillId="0" borderId="0" xfId="111" applyFont="1">
      <alignment/>
      <protection/>
    </xf>
    <xf numFmtId="0" fontId="15" fillId="0" borderId="0" xfId="111" applyBorder="1">
      <alignment/>
      <protection/>
    </xf>
    <xf numFmtId="0" fontId="40" fillId="0" borderId="48" xfId="111" applyFont="1" applyFill="1" applyBorder="1" applyAlignment="1">
      <alignment horizontal="left" vertical="center"/>
      <protection/>
    </xf>
    <xf numFmtId="0" fontId="40" fillId="0" borderId="14" xfId="111" applyFont="1" applyFill="1" applyBorder="1" applyAlignment="1">
      <alignment horizontal="left" vertical="center"/>
      <protection/>
    </xf>
    <xf numFmtId="0" fontId="48" fillId="0" borderId="13" xfId="111" applyFont="1" applyBorder="1" applyAlignment="1">
      <alignment horizontal="left" vertical="center"/>
      <protection/>
    </xf>
    <xf numFmtId="0" fontId="48" fillId="0" borderId="13" xfId="111" applyFont="1" applyFill="1" applyBorder="1">
      <alignment/>
      <protection/>
    </xf>
    <xf numFmtId="0" fontId="67" fillId="0" borderId="13" xfId="111" applyFont="1" applyBorder="1" applyAlignment="1">
      <alignment horizontal="left" vertical="center"/>
      <protection/>
    </xf>
    <xf numFmtId="0" fontId="68" fillId="0" borderId="14" xfId="104" applyFont="1" applyBorder="1" applyAlignment="1">
      <alignment horizontal="center"/>
      <protection/>
    </xf>
    <xf numFmtId="0" fontId="47" fillId="0" borderId="14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left" vertical="center"/>
      <protection/>
    </xf>
    <xf numFmtId="0" fontId="47" fillId="0" borderId="13" xfId="111" applyFont="1" applyBorder="1" applyAlignment="1">
      <alignment horizontal="left" vertical="center"/>
      <protection/>
    </xf>
    <xf numFmtId="3" fontId="48" fillId="0" borderId="13" xfId="111" applyNumberFormat="1" applyFont="1" applyBorder="1" applyAlignment="1">
      <alignment vertical="center"/>
      <protection/>
    </xf>
    <xf numFmtId="0" fontId="68" fillId="0" borderId="14" xfId="111" applyFont="1" applyBorder="1" applyAlignment="1">
      <alignment horizontal="center" vertical="center"/>
      <protection/>
    </xf>
    <xf numFmtId="0" fontId="48" fillId="0" borderId="14" xfId="111" applyFont="1" applyBorder="1" applyAlignment="1">
      <alignment vertical="center"/>
      <protection/>
    </xf>
    <xf numFmtId="0" fontId="47" fillId="0" borderId="13" xfId="111" applyFont="1" applyFill="1" applyBorder="1" applyAlignment="1">
      <alignment horizontal="left" vertical="center"/>
      <protection/>
    </xf>
    <xf numFmtId="0" fontId="40" fillId="0" borderId="14" xfId="111" applyFont="1" applyBorder="1" applyAlignment="1">
      <alignment vertical="center"/>
      <protection/>
    </xf>
    <xf numFmtId="16" fontId="47" fillId="0" borderId="14" xfId="111" applyNumberFormat="1" applyFont="1" applyBorder="1" applyAlignment="1">
      <alignment horizontal="left" vertical="center"/>
      <protection/>
    </xf>
    <xf numFmtId="0" fontId="47" fillId="0" borderId="13" xfId="104" applyFont="1" applyBorder="1" applyAlignment="1">
      <alignment horizontal="left"/>
      <protection/>
    </xf>
    <xf numFmtId="3" fontId="68" fillId="0" borderId="13" xfId="111" applyNumberFormat="1" applyFont="1" applyBorder="1" applyAlignment="1">
      <alignment horizontal="right" vertical="center"/>
      <protection/>
    </xf>
    <xf numFmtId="0" fontId="68" fillId="0" borderId="14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left"/>
      <protection/>
    </xf>
    <xf numFmtId="0" fontId="15" fillId="0" borderId="13" xfId="111" applyBorder="1">
      <alignment/>
      <protection/>
    </xf>
    <xf numFmtId="0" fontId="68" fillId="0" borderId="13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center"/>
      <protection/>
    </xf>
    <xf numFmtId="0" fontId="48" fillId="0" borderId="48" xfId="111" applyFont="1" applyBorder="1" applyAlignment="1">
      <alignment horizontal="left"/>
      <protection/>
    </xf>
    <xf numFmtId="0" fontId="48" fillId="0" borderId="48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center" vertical="center"/>
      <protection/>
    </xf>
    <xf numFmtId="0" fontId="40" fillId="0" borderId="14" xfId="111" applyFont="1" applyBorder="1" applyAlignment="1">
      <alignment horizontal="center" vertical="center"/>
      <protection/>
    </xf>
    <xf numFmtId="3" fontId="47" fillId="0" borderId="43" xfId="111" applyNumberFormat="1" applyFont="1" applyBorder="1" applyAlignment="1">
      <alignment vertical="center"/>
      <protection/>
    </xf>
    <xf numFmtId="3" fontId="47" fillId="0" borderId="43" xfId="104" applyNumberFormat="1" applyFont="1" applyBorder="1" applyAlignment="1">
      <alignment horizontal="right"/>
      <protection/>
    </xf>
    <xf numFmtId="3" fontId="47" fillId="0" borderId="43" xfId="111" applyNumberFormat="1" applyFont="1" applyBorder="1" applyAlignment="1">
      <alignment horizontal="right" vertical="center"/>
      <protection/>
    </xf>
    <xf numFmtId="3" fontId="68" fillId="0" borderId="43" xfId="111" applyNumberFormat="1" applyFont="1" applyBorder="1" applyAlignment="1">
      <alignment horizontal="right" vertical="center"/>
      <protection/>
    </xf>
    <xf numFmtId="3" fontId="67" fillId="0" borderId="43" xfId="111" applyNumberFormat="1" applyFont="1" applyBorder="1" applyAlignment="1">
      <alignment horizontal="right" vertical="center"/>
      <protection/>
    </xf>
    <xf numFmtId="0" fontId="15" fillId="0" borderId="43" xfId="111" applyBorder="1">
      <alignment/>
      <protection/>
    </xf>
    <xf numFmtId="3" fontId="48" fillId="0" borderId="43" xfId="111" applyNumberFormat="1" applyFont="1" applyBorder="1" applyAlignment="1">
      <alignment horizontal="right" vertical="center"/>
      <protection/>
    </xf>
    <xf numFmtId="3" fontId="67" fillId="0" borderId="43" xfId="111" applyNumberFormat="1" applyFont="1" applyFill="1" applyBorder="1" applyAlignment="1">
      <alignment vertical="center"/>
      <protection/>
    </xf>
    <xf numFmtId="3" fontId="48" fillId="0" borderId="43" xfId="111" applyNumberFormat="1" applyFont="1" applyBorder="1" applyAlignment="1">
      <alignment vertical="center"/>
      <protection/>
    </xf>
    <xf numFmtId="3" fontId="68" fillId="0" borderId="43" xfId="111" applyNumberFormat="1" applyFont="1" applyBorder="1" applyAlignment="1">
      <alignment vertical="center"/>
      <protection/>
    </xf>
    <xf numFmtId="0" fontId="39" fillId="0" borderId="13" xfId="111" applyFont="1" applyBorder="1" applyAlignment="1">
      <alignment vertical="center"/>
      <protection/>
    </xf>
    <xf numFmtId="3" fontId="39" fillId="0" borderId="43" xfId="111" applyNumberFormat="1" applyFont="1" applyBorder="1" applyAlignment="1">
      <alignment vertical="center"/>
      <protection/>
    </xf>
    <xf numFmtId="0" fontId="48" fillId="0" borderId="48" xfId="111" applyFont="1" applyBorder="1" applyAlignment="1">
      <alignment horizontal="center" vertical="center"/>
      <protection/>
    </xf>
    <xf numFmtId="3" fontId="68" fillId="0" borderId="43" xfId="111" applyNumberFormat="1" applyFont="1" applyBorder="1">
      <alignment/>
      <protection/>
    </xf>
    <xf numFmtId="0" fontId="68" fillId="0" borderId="13" xfId="111" applyFont="1" applyFill="1" applyBorder="1" applyAlignment="1">
      <alignment horizontal="left" vertical="center"/>
      <protection/>
    </xf>
    <xf numFmtId="0" fontId="47" fillId="0" borderId="49" xfId="11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8" fillId="0" borderId="48" xfId="111" applyFont="1" applyBorder="1" applyAlignment="1">
      <alignment horizontal="center"/>
      <protection/>
    </xf>
    <xf numFmtId="0" fontId="49" fillId="0" borderId="14" xfId="111" applyFont="1" applyBorder="1" applyAlignment="1">
      <alignment vertical="center"/>
      <protection/>
    </xf>
    <xf numFmtId="3" fontId="70" fillId="24" borderId="13" xfId="111" applyNumberFormat="1" applyFont="1" applyFill="1" applyBorder="1" applyAlignment="1">
      <alignment horizontal="right" vertical="center"/>
      <protection/>
    </xf>
    <xf numFmtId="3" fontId="71" fillId="24" borderId="13" xfId="111" applyNumberFormat="1" applyFont="1" applyFill="1" applyBorder="1" applyAlignment="1">
      <alignment vertical="center"/>
      <protection/>
    </xf>
    <xf numFmtId="0" fontId="15" fillId="24" borderId="0" xfId="111" applyFill="1">
      <alignment/>
      <protection/>
    </xf>
    <xf numFmtId="0" fontId="48" fillId="0" borderId="12" xfId="111" applyFont="1" applyBorder="1" applyAlignment="1">
      <alignment horizontal="center" vertical="center"/>
      <protection/>
    </xf>
    <xf numFmtId="0" fontId="68" fillId="0" borderId="50" xfId="111" applyFont="1" applyBorder="1" applyAlignment="1">
      <alignment horizontal="center" vertical="center"/>
      <protection/>
    </xf>
    <xf numFmtId="0" fontId="48" fillId="0" borderId="50" xfId="111" applyFont="1" applyBorder="1" applyAlignment="1">
      <alignment horizontal="left" vertical="center"/>
      <protection/>
    </xf>
    <xf numFmtId="3" fontId="70" fillId="24" borderId="43" xfId="111" applyNumberFormat="1" applyFont="1" applyFill="1" applyBorder="1">
      <alignment/>
      <protection/>
    </xf>
    <xf numFmtId="3" fontId="67" fillId="0" borderId="43" xfId="111" applyNumberFormat="1" applyFont="1" applyFill="1" applyBorder="1">
      <alignment/>
      <protection/>
    </xf>
    <xf numFmtId="0" fontId="47" fillId="0" borderId="12" xfId="111" applyFont="1" applyBorder="1" applyAlignment="1">
      <alignment horizontal="center" vertical="center"/>
      <protection/>
    </xf>
    <xf numFmtId="3" fontId="49" fillId="0" borderId="43" xfId="111" applyNumberFormat="1" applyFont="1" applyBorder="1" applyAlignment="1">
      <alignment vertical="center"/>
      <protection/>
    </xf>
    <xf numFmtId="0" fontId="47" fillId="0" borderId="50" xfId="111" applyFont="1" applyBorder="1" applyAlignment="1">
      <alignment horizontal="center" vertical="center"/>
      <protection/>
    </xf>
    <xf numFmtId="0" fontId="49" fillId="0" borderId="50" xfId="111" applyFont="1" applyBorder="1" applyAlignment="1">
      <alignment vertical="center"/>
      <protection/>
    </xf>
    <xf numFmtId="0" fontId="40" fillId="0" borderId="50" xfId="111" applyFont="1" applyBorder="1" applyAlignment="1">
      <alignment vertical="center"/>
      <protection/>
    </xf>
    <xf numFmtId="0" fontId="48" fillId="0" borderId="50" xfId="111" applyFont="1" applyBorder="1" applyAlignment="1">
      <alignment horizontal="center" vertical="center"/>
      <protection/>
    </xf>
    <xf numFmtId="0" fontId="53" fillId="20" borderId="19" xfId="111" applyFont="1" applyFill="1" applyBorder="1" applyAlignment="1">
      <alignment horizontal="left" vertical="center"/>
      <protection/>
    </xf>
    <xf numFmtId="3" fontId="53" fillId="20" borderId="51" xfId="111" applyNumberFormat="1" applyFont="1" applyFill="1" applyBorder="1" applyAlignment="1">
      <alignment vertical="center"/>
      <protection/>
    </xf>
    <xf numFmtId="0" fontId="53" fillId="20" borderId="20" xfId="111" applyFont="1" applyFill="1" applyBorder="1" applyAlignment="1">
      <alignment horizontal="left" vertical="center"/>
      <protection/>
    </xf>
    <xf numFmtId="0" fontId="65" fillId="0" borderId="0" xfId="111" applyFont="1" applyFill="1" applyBorder="1" applyAlignment="1">
      <alignment vertical="center"/>
      <protection/>
    </xf>
    <xf numFmtId="0" fontId="64" fillId="0" borderId="0" xfId="111" applyFont="1" applyFill="1" applyBorder="1" applyAlignment="1">
      <alignment vertical="center"/>
      <protection/>
    </xf>
    <xf numFmtId="0" fontId="65" fillId="0" borderId="0" xfId="111" applyFont="1" applyFill="1" applyBorder="1">
      <alignment/>
      <protection/>
    </xf>
    <xf numFmtId="0" fontId="65" fillId="0" borderId="0" xfId="111" applyFont="1" applyFill="1" applyBorder="1" applyAlignment="1">
      <alignment horizontal="left" vertical="center"/>
      <protection/>
    </xf>
    <xf numFmtId="0" fontId="72" fillId="0" borderId="0" xfId="111" applyFont="1" applyFill="1" applyBorder="1" applyAlignment="1">
      <alignment horizontal="left" vertical="center"/>
      <protection/>
    </xf>
    <xf numFmtId="3" fontId="65" fillId="0" borderId="0" xfId="111" applyNumberFormat="1" applyFont="1" applyFill="1" applyBorder="1" applyAlignment="1">
      <alignment vertical="center"/>
      <protection/>
    </xf>
    <xf numFmtId="0" fontId="65" fillId="0" borderId="0" xfId="111" applyFont="1" applyFill="1" applyBorder="1" applyAlignment="1">
      <alignment horizontal="right" vertical="center"/>
      <protection/>
    </xf>
    <xf numFmtId="167" fontId="65" fillId="0" borderId="0" xfId="111" applyNumberFormat="1" applyFont="1" applyFill="1" applyBorder="1" applyAlignment="1">
      <alignment vertical="center"/>
      <protection/>
    </xf>
    <xf numFmtId="3" fontId="65" fillId="0" borderId="0" xfId="111" applyNumberFormat="1" applyFont="1" applyFill="1" applyBorder="1" applyAlignment="1">
      <alignment vertical="center"/>
      <protection/>
    </xf>
    <xf numFmtId="0" fontId="64" fillId="0" borderId="0" xfId="111" applyFont="1" applyFill="1" applyBorder="1" applyAlignment="1">
      <alignment horizontal="left"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167" fontId="64" fillId="0" borderId="0" xfId="111" applyNumberFormat="1" applyFont="1" applyFill="1" applyBorder="1" applyAlignment="1">
      <alignment vertical="center"/>
      <protection/>
    </xf>
    <xf numFmtId="167" fontId="64" fillId="0" borderId="0" xfId="111" applyNumberFormat="1" applyFont="1" applyFill="1" applyBorder="1" applyAlignment="1">
      <alignment vertical="center"/>
      <protection/>
    </xf>
    <xf numFmtId="0" fontId="65" fillId="25" borderId="0" xfId="111" applyFont="1" applyFill="1" applyBorder="1" applyAlignment="1">
      <alignment horizontal="left" vertical="center"/>
      <protection/>
    </xf>
    <xf numFmtId="0" fontId="65" fillId="25" borderId="0" xfId="111" applyFont="1" applyFill="1" applyBorder="1">
      <alignment/>
      <protection/>
    </xf>
    <xf numFmtId="3" fontId="65" fillId="25" borderId="0" xfId="111" applyNumberFormat="1" applyFont="1" applyFill="1" applyBorder="1" applyAlignment="1">
      <alignment vertical="center"/>
      <protection/>
    </xf>
    <xf numFmtId="0" fontId="15" fillId="25" borderId="0" xfId="111" applyFill="1">
      <alignment/>
      <protection/>
    </xf>
    <xf numFmtId="0" fontId="65" fillId="25" borderId="0" xfId="111" applyFont="1" applyFill="1" applyBorder="1" applyAlignment="1">
      <alignment horizontal="right" vertical="center"/>
      <protection/>
    </xf>
    <xf numFmtId="167" fontId="65" fillId="25" borderId="0" xfId="111" applyNumberFormat="1" applyFont="1" applyFill="1" applyBorder="1" applyAlignment="1">
      <alignment vertical="center"/>
      <protection/>
    </xf>
    <xf numFmtId="3" fontId="64" fillId="25" borderId="0" xfId="111" applyNumberFormat="1" applyFont="1" applyFill="1" applyBorder="1" applyAlignment="1">
      <alignment vertical="center"/>
      <protection/>
    </xf>
    <xf numFmtId="0" fontId="15" fillId="25" borderId="0" xfId="111" applyFill="1" applyBorder="1">
      <alignment/>
      <protection/>
    </xf>
    <xf numFmtId="0" fontId="64" fillId="0" borderId="0" xfId="111" applyFont="1" applyFill="1" applyBorder="1">
      <alignment/>
      <protection/>
    </xf>
    <xf numFmtId="0" fontId="15" fillId="0" borderId="0" xfId="111" applyFill="1">
      <alignment/>
      <protection/>
    </xf>
    <xf numFmtId="3" fontId="65" fillId="25" borderId="0" xfId="111" applyNumberFormat="1" applyFont="1" applyFill="1" applyBorder="1" applyAlignment="1">
      <alignment vertical="center"/>
      <protection/>
    </xf>
    <xf numFmtId="0" fontId="73" fillId="0" borderId="0" xfId="111" applyFont="1">
      <alignment/>
      <protection/>
    </xf>
    <xf numFmtId="0" fontId="15" fillId="0" borderId="0" xfId="111" applyAlignment="1">
      <alignment/>
      <protection/>
    </xf>
    <xf numFmtId="0" fontId="1" fillId="0" borderId="13" xfId="111" applyFont="1" applyBorder="1">
      <alignment/>
      <protection/>
    </xf>
    <xf numFmtId="0" fontId="48" fillId="0" borderId="13" xfId="111" applyFont="1" applyBorder="1">
      <alignment/>
      <protection/>
    </xf>
    <xf numFmtId="3" fontId="48" fillId="0" borderId="13" xfId="111" applyNumberFormat="1" applyFont="1" applyBorder="1" applyAlignment="1">
      <alignment horizontal="center" vertical="center"/>
      <protection/>
    </xf>
    <xf numFmtId="3" fontId="48" fillId="25" borderId="13" xfId="111" applyNumberFormat="1" applyFont="1" applyFill="1" applyBorder="1" applyAlignment="1">
      <alignment horizontal="center" vertical="center"/>
      <protection/>
    </xf>
    <xf numFmtId="3" fontId="68" fillId="25" borderId="13" xfId="111" applyNumberFormat="1" applyFont="1" applyFill="1" applyBorder="1" applyAlignment="1">
      <alignment horizontal="center" vertical="center"/>
      <protection/>
    </xf>
    <xf numFmtId="0" fontId="76" fillId="25" borderId="0" xfId="111" applyFont="1" applyFill="1" applyBorder="1" applyAlignment="1">
      <alignment horizontal="center" vertical="center"/>
      <protection/>
    </xf>
    <xf numFmtId="0" fontId="77" fillId="25" borderId="0" xfId="111" applyFont="1" applyFill="1">
      <alignment/>
      <protection/>
    </xf>
    <xf numFmtId="3" fontId="70" fillId="25" borderId="13" xfId="111" applyNumberFormat="1" applyFont="1" applyFill="1" applyBorder="1" applyAlignment="1">
      <alignment horizontal="center" vertical="center"/>
      <protection/>
    </xf>
    <xf numFmtId="0" fontId="77" fillId="25" borderId="0" xfId="111" applyFont="1" applyFill="1" applyBorder="1" applyAlignment="1">
      <alignment horizontal="left" vertical="center"/>
      <protection/>
    </xf>
    <xf numFmtId="0" fontId="76" fillId="25" borderId="0" xfId="111" applyFont="1" applyFill="1" applyBorder="1" applyAlignment="1">
      <alignment horizontal="left" vertical="center"/>
      <protection/>
    </xf>
    <xf numFmtId="3" fontId="76" fillId="25" borderId="0" xfId="111" applyNumberFormat="1" applyFont="1" applyFill="1" applyBorder="1" applyAlignment="1">
      <alignment vertical="center"/>
      <protection/>
    </xf>
    <xf numFmtId="167" fontId="77" fillId="25" borderId="0" xfId="111" applyNumberFormat="1" applyFont="1" applyFill="1" applyBorder="1" applyAlignment="1">
      <alignment vertical="center"/>
      <protection/>
    </xf>
    <xf numFmtId="3" fontId="76" fillId="25" borderId="0" xfId="111" applyNumberFormat="1" applyFont="1" applyFill="1" applyBorder="1" applyAlignment="1">
      <alignment vertical="center"/>
      <protection/>
    </xf>
    <xf numFmtId="167" fontId="76" fillId="25" borderId="0" xfId="111" applyNumberFormat="1" applyFont="1" applyFill="1" applyBorder="1" applyAlignment="1">
      <alignment vertical="center"/>
      <protection/>
    </xf>
    <xf numFmtId="167" fontId="76" fillId="25" borderId="0" xfId="111" applyNumberFormat="1" applyFont="1" applyFill="1" applyBorder="1" applyAlignment="1">
      <alignment vertical="center"/>
      <protection/>
    </xf>
    <xf numFmtId="0" fontId="77" fillId="25" borderId="0" xfId="111" applyFont="1" applyFill="1" applyBorder="1" applyAlignment="1">
      <alignment horizontal="right" vertical="center"/>
      <protection/>
    </xf>
    <xf numFmtId="0" fontId="78" fillId="25" borderId="0" xfId="111" applyFont="1" applyFill="1" applyBorder="1" applyAlignment="1">
      <alignment horizontal="left" vertical="center"/>
      <protection/>
    </xf>
    <xf numFmtId="0" fontId="77" fillId="25" borderId="0" xfId="111" applyFont="1" applyFill="1" applyBorder="1">
      <alignment/>
      <protection/>
    </xf>
    <xf numFmtId="3" fontId="77" fillId="25" borderId="0" xfId="111" applyNumberFormat="1" applyFont="1" applyFill="1" applyBorder="1" applyAlignment="1">
      <alignment vertical="center"/>
      <protection/>
    </xf>
    <xf numFmtId="3" fontId="77" fillId="25" borderId="0" xfId="111" applyNumberFormat="1" applyFont="1" applyFill="1" applyBorder="1" applyAlignment="1">
      <alignment vertical="center"/>
      <protection/>
    </xf>
    <xf numFmtId="0" fontId="76" fillId="25" borderId="0" xfId="111" applyFont="1" applyFill="1" applyBorder="1" applyAlignment="1">
      <alignment horizontal="right" vertical="center"/>
      <protection/>
    </xf>
    <xf numFmtId="0" fontId="76" fillId="25" borderId="0" xfId="111" applyFont="1" applyFill="1" applyBorder="1" applyAlignment="1">
      <alignment horizontal="left" vertical="center"/>
      <protection/>
    </xf>
    <xf numFmtId="0" fontId="39" fillId="25" borderId="52" xfId="111" applyFont="1" applyFill="1" applyBorder="1" applyAlignment="1">
      <alignment horizontal="center" vertical="distributed"/>
      <protection/>
    </xf>
    <xf numFmtId="0" fontId="39" fillId="25" borderId="27" xfId="111" applyFont="1" applyFill="1" applyBorder="1" applyAlignment="1">
      <alignment horizontal="right" vertical="distributed"/>
      <protection/>
    </xf>
    <xf numFmtId="0" fontId="39" fillId="25" borderId="27" xfId="111" applyFont="1" applyFill="1" applyBorder="1" applyAlignment="1">
      <alignment horizontal="center" vertical="distributed"/>
      <protection/>
    </xf>
    <xf numFmtId="0" fontId="39" fillId="25" borderId="13" xfId="111" applyFont="1" applyFill="1" applyBorder="1" applyAlignment="1">
      <alignment horizontal="center" vertical="distributed"/>
      <protection/>
    </xf>
    <xf numFmtId="3" fontId="48" fillId="25" borderId="13" xfId="115" applyNumberFormat="1" applyFont="1" applyFill="1" applyBorder="1" applyAlignment="1">
      <alignment horizontal="center" vertical="center"/>
    </xf>
    <xf numFmtId="0" fontId="74" fillId="0" borderId="0" xfId="111" applyFont="1" applyFill="1">
      <alignment/>
      <protection/>
    </xf>
    <xf numFmtId="3" fontId="68" fillId="25" borderId="13" xfId="115" applyNumberFormat="1" applyFont="1" applyFill="1" applyBorder="1" applyAlignment="1">
      <alignment horizontal="center" vertical="center"/>
    </xf>
    <xf numFmtId="0" fontId="74" fillId="0" borderId="0" xfId="111" applyFont="1">
      <alignment/>
      <protection/>
    </xf>
    <xf numFmtId="0" fontId="75" fillId="25" borderId="13" xfId="111" applyFont="1" applyFill="1" applyBorder="1" applyAlignment="1">
      <alignment horizontal="center" vertical="center"/>
      <protection/>
    </xf>
    <xf numFmtId="0" fontId="79" fillId="0" borderId="0" xfId="111" applyFont="1" applyFill="1">
      <alignment/>
      <protection/>
    </xf>
    <xf numFmtId="3" fontId="80" fillId="25" borderId="13" xfId="111" applyNumberFormat="1" applyFont="1" applyFill="1" applyBorder="1" applyAlignment="1">
      <alignment horizontal="center" vertical="center"/>
      <protection/>
    </xf>
    <xf numFmtId="0" fontId="77" fillId="0" borderId="0" xfId="111" applyFont="1">
      <alignment/>
      <protection/>
    </xf>
    <xf numFmtId="0" fontId="0" fillId="0" borderId="0" xfId="101">
      <alignment/>
      <protection/>
    </xf>
    <xf numFmtId="0" fontId="38" fillId="0" borderId="0" xfId="101" applyFont="1">
      <alignment/>
      <protection/>
    </xf>
    <xf numFmtId="0" fontId="48" fillId="0" borderId="0" xfId="108" applyFont="1" applyAlignment="1">
      <alignment horizontal="center" wrapText="1"/>
      <protection/>
    </xf>
    <xf numFmtId="0" fontId="16" fillId="0" borderId="0" xfId="108" applyFill="1" applyAlignment="1">
      <alignment vertical="center" wrapText="1"/>
      <protection/>
    </xf>
    <xf numFmtId="180" fontId="81" fillId="0" borderId="0" xfId="108" applyNumberFormat="1" applyFont="1" applyFill="1" applyAlignment="1">
      <alignment vertical="center" wrapText="1"/>
      <protection/>
    </xf>
    <xf numFmtId="0" fontId="16" fillId="0" borderId="0" xfId="108" applyFont="1" applyFill="1" applyAlignment="1">
      <alignment horizontal="center" vertical="center" wrapText="1"/>
      <protection/>
    </xf>
    <xf numFmtId="0" fontId="45" fillId="0" borderId="0" xfId="108" applyFont="1" applyAlignment="1">
      <alignment horizontal="center" wrapText="1"/>
      <protection/>
    </xf>
    <xf numFmtId="180" fontId="58" fillId="0" borderId="0" xfId="108" applyNumberFormat="1" applyFont="1" applyFill="1" applyAlignment="1">
      <alignment vertical="center" wrapText="1"/>
      <protection/>
    </xf>
    <xf numFmtId="0" fontId="45" fillId="20" borderId="13" xfId="101" applyFont="1" applyFill="1" applyBorder="1" applyAlignment="1">
      <alignment horizontal="center" vertical="center" wrapText="1"/>
      <protection/>
    </xf>
    <xf numFmtId="0" fontId="48" fillId="20" borderId="13" xfId="101" applyFont="1" applyFill="1" applyBorder="1" applyAlignment="1">
      <alignment horizontal="center" vertical="center"/>
      <protection/>
    </xf>
    <xf numFmtId="0" fontId="1" fillId="0" borderId="13" xfId="101" applyFont="1" applyBorder="1">
      <alignment/>
      <protection/>
    </xf>
    <xf numFmtId="0" fontId="48" fillId="0" borderId="13" xfId="101" applyFont="1" applyBorder="1" applyAlignment="1">
      <alignment horizontal="left"/>
      <protection/>
    </xf>
    <xf numFmtId="0" fontId="47" fillId="0" borderId="13" xfId="101" applyFont="1" applyBorder="1">
      <alignment/>
      <protection/>
    </xf>
    <xf numFmtId="3" fontId="47" fillId="0" borderId="13" xfId="101" applyNumberFormat="1" applyFont="1" applyBorder="1">
      <alignment/>
      <protection/>
    </xf>
    <xf numFmtId="0" fontId="1" fillId="0" borderId="13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left" vertical="distributed"/>
      <protection/>
    </xf>
    <xf numFmtId="3" fontId="39" fillId="0" borderId="13" xfId="101" applyNumberFormat="1" applyFont="1" applyBorder="1">
      <alignment/>
      <protection/>
    </xf>
    <xf numFmtId="0" fontId="39" fillId="0" borderId="45" xfId="101" applyFont="1" applyBorder="1" applyAlignment="1">
      <alignment horizontal="left" wrapText="1"/>
      <protection/>
    </xf>
    <xf numFmtId="0" fontId="39" fillId="0" borderId="13" xfId="101" applyFont="1" applyBorder="1">
      <alignment/>
      <protection/>
    </xf>
    <xf numFmtId="0" fontId="47" fillId="0" borderId="13" xfId="101" applyFont="1" applyBorder="1" applyAlignment="1">
      <alignment horizontal="left"/>
      <protection/>
    </xf>
    <xf numFmtId="0" fontId="47" fillId="0" borderId="45" xfId="101" applyFont="1" applyBorder="1" applyAlignment="1">
      <alignment horizontal="left"/>
      <protection/>
    </xf>
    <xf numFmtId="0" fontId="47" fillId="0" borderId="45" xfId="101" applyFont="1" applyBorder="1" applyAlignment="1">
      <alignment horizontal="left" vertical="distributed"/>
      <protection/>
    </xf>
    <xf numFmtId="3" fontId="1" fillId="0" borderId="13" xfId="101" applyNumberFormat="1" applyFont="1" applyBorder="1">
      <alignment/>
      <protection/>
    </xf>
    <xf numFmtId="0" fontId="70" fillId="24" borderId="14" xfId="111" applyFont="1" applyFill="1" applyBorder="1" applyAlignment="1">
      <alignment horizontal="left" vertical="center"/>
      <protection/>
    </xf>
    <xf numFmtId="0" fontId="70" fillId="24" borderId="12" xfId="111" applyFont="1" applyFill="1" applyBorder="1" applyAlignment="1">
      <alignment horizontal="left" vertical="center"/>
      <protection/>
    </xf>
    <xf numFmtId="0" fontId="70" fillId="24" borderId="13" xfId="111" applyFont="1" applyFill="1" applyBorder="1" applyAlignment="1">
      <alignment horizontal="left" vertical="center"/>
      <protection/>
    </xf>
    <xf numFmtId="0" fontId="75" fillId="0" borderId="13" xfId="101" applyFont="1" applyBorder="1" applyAlignment="1">
      <alignment horizontal="center"/>
      <protection/>
    </xf>
    <xf numFmtId="0" fontId="68" fillId="0" borderId="13" xfId="101" applyFont="1" applyBorder="1" applyAlignment="1">
      <alignment horizontal="left"/>
      <protection/>
    </xf>
    <xf numFmtId="3" fontId="49" fillId="0" borderId="13" xfId="101" applyNumberFormat="1" applyFont="1" applyBorder="1">
      <alignment/>
      <protection/>
    </xf>
    <xf numFmtId="0" fontId="82" fillId="0" borderId="0" xfId="101" applyFont="1">
      <alignment/>
      <protection/>
    </xf>
    <xf numFmtId="0" fontId="0" fillId="0" borderId="0" xfId="101" applyFont="1">
      <alignment/>
      <protection/>
    </xf>
    <xf numFmtId="3" fontId="70" fillId="24" borderId="45" xfId="111" applyNumberFormat="1" applyFont="1" applyFill="1" applyBorder="1" applyAlignment="1">
      <alignment horizontal="right" vertical="center"/>
      <protection/>
    </xf>
    <xf numFmtId="0" fontId="1" fillId="0" borderId="0" xfId="111" applyFont="1">
      <alignment/>
      <protection/>
    </xf>
    <xf numFmtId="0" fontId="45" fillId="0" borderId="0" xfId="111" applyFont="1" applyAlignment="1">
      <alignment horizontal="right"/>
      <protection/>
    </xf>
    <xf numFmtId="0" fontId="53" fillId="0" borderId="0" xfId="111" applyFont="1" applyAlignment="1">
      <alignment horizontal="center"/>
      <protection/>
    </xf>
    <xf numFmtId="0" fontId="27" fillId="0" borderId="0" xfId="102" applyFont="1" applyAlignment="1">
      <alignment horizontal="right"/>
      <protection/>
    </xf>
    <xf numFmtId="180" fontId="27" fillId="0" borderId="0" xfId="108" applyNumberFormat="1" applyFont="1" applyFill="1" applyAlignment="1" applyProtection="1">
      <alignment horizontal="centerContinuous" vertical="center"/>
      <protection/>
    </xf>
    <xf numFmtId="180" fontId="60" fillId="0" borderId="0" xfId="108" applyNumberFormat="1" applyFont="1" applyFill="1" applyAlignment="1" applyProtection="1">
      <alignment horizontal="right" vertical="center"/>
      <protection/>
    </xf>
    <xf numFmtId="0" fontId="1" fillId="0" borderId="0" xfId="111" applyFont="1" applyAlignment="1">
      <alignment/>
      <protection/>
    </xf>
    <xf numFmtId="0" fontId="40" fillId="0" borderId="0" xfId="111" applyFont="1">
      <alignment/>
      <protection/>
    </xf>
    <xf numFmtId="0" fontId="48" fillId="0" borderId="0" xfId="111" applyFont="1" applyAlignment="1">
      <alignment/>
      <protection/>
    </xf>
    <xf numFmtId="0" fontId="40" fillId="0" borderId="0" xfId="111" applyFont="1" applyAlignment="1">
      <alignment horizontal="right"/>
      <protection/>
    </xf>
    <xf numFmtId="180" fontId="60" fillId="0" borderId="0" xfId="108" applyNumberFormat="1" applyFont="1" applyFill="1" applyAlignment="1">
      <alignment horizontal="center" vertical="center"/>
      <protection/>
    </xf>
    <xf numFmtId="182" fontId="33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1" fillId="0" borderId="53" xfId="68" applyNumberFormat="1" applyFont="1" applyBorder="1" applyAlignment="1">
      <alignment/>
    </xf>
    <xf numFmtId="3" fontId="51" fillId="0" borderId="13" xfId="68" applyNumberFormat="1" applyFont="1" applyBorder="1" applyAlignment="1">
      <alignment/>
    </xf>
    <xf numFmtId="3" fontId="40" fillId="0" borderId="13" xfId="68" applyNumberFormat="1" applyFont="1" applyBorder="1" applyAlignment="1">
      <alignment/>
    </xf>
    <xf numFmtId="3" fontId="48" fillId="0" borderId="25" xfId="68" applyNumberFormat="1" applyFont="1" applyBorder="1" applyAlignment="1">
      <alignment/>
    </xf>
    <xf numFmtId="3" fontId="1" fillId="0" borderId="0" xfId="109" applyNumberFormat="1" applyFont="1" applyBorder="1">
      <alignment/>
      <protection/>
    </xf>
    <xf numFmtId="3" fontId="1" fillId="0" borderId="23" xfId="109" applyNumberFormat="1" applyFont="1" applyBorder="1">
      <alignment/>
      <protection/>
    </xf>
    <xf numFmtId="0" fontId="42" fillId="25" borderId="13" xfId="111" applyFont="1" applyFill="1" applyBorder="1" applyAlignment="1">
      <alignment horizontal="center" vertical="center" wrapText="1"/>
      <protection/>
    </xf>
    <xf numFmtId="0" fontId="42" fillId="25" borderId="13" xfId="111" applyFont="1" applyFill="1" applyBorder="1" applyAlignment="1">
      <alignment horizontal="distributed" vertical="distributed"/>
      <protection/>
    </xf>
    <xf numFmtId="3" fontId="50" fillId="0" borderId="13" xfId="68" applyNumberFormat="1" applyFont="1" applyBorder="1" applyAlignment="1">
      <alignment horizontal="right" wrapText="1"/>
    </xf>
    <xf numFmtId="3" fontId="50" fillId="0" borderId="53" xfId="68" applyNumberFormat="1" applyFont="1" applyBorder="1" applyAlignment="1">
      <alignment horizontal="right" wrapText="1"/>
    </xf>
    <xf numFmtId="3" fontId="40" fillId="0" borderId="53" xfId="68" applyNumberFormat="1" applyFont="1" applyBorder="1" applyAlignment="1">
      <alignment/>
    </xf>
    <xf numFmtId="3" fontId="51" fillId="0" borderId="53" xfId="68" applyNumberFormat="1" applyFont="1" applyBorder="1" applyAlignment="1">
      <alignment/>
    </xf>
    <xf numFmtId="3" fontId="48" fillId="0" borderId="54" xfId="68" applyNumberFormat="1" applyFont="1" applyBorder="1" applyAlignment="1">
      <alignment/>
    </xf>
    <xf numFmtId="3" fontId="50" fillId="0" borderId="53" xfId="0" applyNumberFormat="1" applyFont="1" applyBorder="1" applyAlignment="1">
      <alignment horizontal="right" wrapText="1"/>
    </xf>
    <xf numFmtId="3" fontId="1" fillId="0" borderId="53" xfId="109" applyNumberFormat="1" applyFont="1" applyBorder="1">
      <alignment/>
      <protection/>
    </xf>
    <xf numFmtId="3" fontId="51" fillId="0" borderId="53" xfId="109" applyNumberFormat="1" applyFont="1" applyBorder="1">
      <alignment/>
      <protection/>
    </xf>
    <xf numFmtId="3" fontId="1" fillId="0" borderId="53" xfId="109" applyNumberFormat="1" applyFont="1" applyFill="1" applyBorder="1">
      <alignment/>
      <protection/>
    </xf>
    <xf numFmtId="3" fontId="42" fillId="0" borderId="53" xfId="109" applyNumberFormat="1" applyFont="1" applyFill="1" applyBorder="1">
      <alignment/>
      <protection/>
    </xf>
    <xf numFmtId="49" fontId="16" fillId="0" borderId="16" xfId="102" applyNumberFormat="1" applyFont="1" applyBorder="1" applyAlignment="1">
      <alignment horizontal="right"/>
      <protection/>
    </xf>
    <xf numFmtId="49" fontId="16" fillId="0" borderId="17" xfId="102" applyNumberFormat="1" applyFont="1" applyBorder="1" applyAlignment="1">
      <alignment horizontal="right"/>
      <protection/>
    </xf>
    <xf numFmtId="180" fontId="16" fillId="0" borderId="17" xfId="102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2" applyNumberFormat="1" applyFont="1" applyFill="1" applyBorder="1" applyAlignment="1" applyProtection="1">
      <alignment vertical="center" wrapText="1"/>
      <protection locked="0"/>
    </xf>
    <xf numFmtId="0" fontId="27" fillId="0" borderId="55" xfId="102" applyFont="1" applyBorder="1" applyAlignment="1">
      <alignment horizontal="center" vertical="center" wrapText="1"/>
      <protection/>
    </xf>
    <xf numFmtId="0" fontId="16" fillId="0" borderId="13" xfId="102" applyFont="1" applyBorder="1" applyAlignment="1">
      <alignment horizontal="left"/>
      <protection/>
    </xf>
    <xf numFmtId="0" fontId="39" fillId="25" borderId="13" xfId="111" applyFont="1" applyFill="1" applyBorder="1" applyAlignment="1">
      <alignment horizontal="center" vertical="center"/>
      <protection/>
    </xf>
    <xf numFmtId="0" fontId="1" fillId="25" borderId="13" xfId="111" applyFont="1" applyFill="1" applyBorder="1" applyAlignment="1">
      <alignment horizontal="center"/>
      <protection/>
    </xf>
    <xf numFmtId="0" fontId="15" fillId="0" borderId="0" xfId="111" applyFont="1">
      <alignment/>
      <protection/>
    </xf>
    <xf numFmtId="0" fontId="45" fillId="0" borderId="0" xfId="109" applyFont="1" applyFill="1" applyAlignment="1">
      <alignment horizontal="right" wrapText="1"/>
      <protection/>
    </xf>
    <xf numFmtId="0" fontId="1" fillId="25" borderId="13" xfId="111" applyFont="1" applyFill="1" applyBorder="1" applyAlignment="1">
      <alignment horizontal="center" vertical="center"/>
      <protection/>
    </xf>
    <xf numFmtId="0" fontId="75" fillId="25" borderId="13" xfId="111" applyFont="1" applyFill="1" applyBorder="1" applyAlignment="1">
      <alignment vertical="center" wrapText="1"/>
      <protection/>
    </xf>
    <xf numFmtId="0" fontId="42" fillId="0" borderId="13" xfId="111" applyFont="1" applyBorder="1" applyAlignment="1">
      <alignment horizontal="left" vertical="center"/>
      <protection/>
    </xf>
    <xf numFmtId="0" fontId="42" fillId="0" borderId="13" xfId="111" applyFont="1" applyBorder="1" applyAlignment="1">
      <alignment vertical="center"/>
      <protection/>
    </xf>
    <xf numFmtId="182" fontId="42" fillId="0" borderId="13" xfId="68" applyNumberFormat="1" applyFont="1" applyBorder="1" applyAlignment="1">
      <alignment vertical="center"/>
    </xf>
    <xf numFmtId="3" fontId="1" fillId="0" borderId="13" xfId="111" applyNumberFormat="1" applyFont="1" applyBorder="1" applyAlignment="1">
      <alignment vertical="center"/>
      <protection/>
    </xf>
    <xf numFmtId="49" fontId="1" fillId="0" borderId="13" xfId="111" applyNumberFormat="1" applyFont="1" applyBorder="1" applyAlignment="1">
      <alignment horizontal="center" vertical="distributed"/>
      <protection/>
    </xf>
    <xf numFmtId="0" fontId="1" fillId="0" borderId="13" xfId="111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11" applyNumberFormat="1" applyFont="1" applyBorder="1" applyAlignment="1">
      <alignment horizontal="center" vertical="center"/>
      <protection/>
    </xf>
    <xf numFmtId="0" fontId="1" fillId="0" borderId="13" xfId="111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2" fillId="25" borderId="13" xfId="111" applyFont="1" applyFill="1" applyBorder="1" applyAlignment="1">
      <alignment horizontal="center"/>
      <protection/>
    </xf>
    <xf numFmtId="0" fontId="42" fillId="25" borderId="13" xfId="111" applyFont="1" applyFill="1" applyBorder="1" applyAlignment="1">
      <alignment horizontal="center" vertical="center"/>
      <protection/>
    </xf>
    <xf numFmtId="182" fontId="42" fillId="25" borderId="13" xfId="68" applyNumberFormat="1" applyFont="1" applyFill="1" applyBorder="1" applyAlignment="1">
      <alignment horizontal="center" vertical="center"/>
    </xf>
    <xf numFmtId="3" fontId="42" fillId="25" borderId="13" xfId="111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5" fillId="0" borderId="13" xfId="111" applyNumberFormat="1" applyFont="1" applyBorder="1" applyAlignment="1">
      <alignment horizontal="center" vertical="center"/>
      <protection/>
    </xf>
    <xf numFmtId="49" fontId="1" fillId="25" borderId="13" xfId="111" applyNumberFormat="1" applyFont="1" applyFill="1" applyBorder="1" applyAlignment="1">
      <alignment horizontal="center" vertical="distributed"/>
      <protection/>
    </xf>
    <xf numFmtId="182" fontId="1" fillId="25" borderId="13" xfId="68" applyNumberFormat="1" applyFont="1" applyFill="1" applyBorder="1" applyAlignment="1">
      <alignment horizontal="center" vertical="center"/>
    </xf>
    <xf numFmtId="3" fontId="1" fillId="25" borderId="13" xfId="111" applyNumberFormat="1" applyFont="1" applyFill="1" applyBorder="1" applyAlignment="1">
      <alignment horizontal="center" vertical="center"/>
      <protection/>
    </xf>
    <xf numFmtId="49" fontId="45" fillId="25" borderId="13" xfId="111" applyNumberFormat="1" applyFont="1" applyFill="1" applyBorder="1" applyAlignment="1">
      <alignment horizontal="center" vertical="distributed"/>
      <protection/>
    </xf>
    <xf numFmtId="0" fontId="45" fillId="25" borderId="13" xfId="111" applyFont="1" applyFill="1" applyBorder="1" applyAlignment="1">
      <alignment horizontal="center" vertical="center"/>
      <protection/>
    </xf>
    <xf numFmtId="3" fontId="45" fillId="25" borderId="13" xfId="111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2" fillId="25" borderId="13" xfId="111" applyNumberFormat="1" applyFont="1" applyFill="1" applyBorder="1" applyAlignment="1">
      <alignment horizontal="center" vertical="distributed"/>
      <protection/>
    </xf>
    <xf numFmtId="181" fontId="42" fillId="25" borderId="13" xfId="68" applyNumberFormat="1" applyFont="1" applyFill="1" applyBorder="1" applyAlignment="1">
      <alignment horizontal="center" vertical="center"/>
    </xf>
    <xf numFmtId="49" fontId="45" fillId="0" borderId="13" xfId="111" applyNumberFormat="1" applyFont="1" applyBorder="1" applyAlignment="1">
      <alignment horizontal="center" vertical="distributed"/>
      <protection/>
    </xf>
    <xf numFmtId="0" fontId="45" fillId="0" borderId="13" xfId="111" applyFont="1" applyBorder="1" applyAlignment="1">
      <alignment horizontal="center" vertical="center"/>
      <protection/>
    </xf>
    <xf numFmtId="182" fontId="45" fillId="0" borderId="13" xfId="68" applyNumberFormat="1" applyFont="1" applyBorder="1" applyAlignment="1">
      <alignment horizontal="center" vertical="center"/>
    </xf>
    <xf numFmtId="0" fontId="1" fillId="0" borderId="13" xfId="111" applyFont="1" applyBorder="1" applyAlignment="1">
      <alignment horizontal="center" vertical="distributed"/>
      <protection/>
    </xf>
    <xf numFmtId="0" fontId="75" fillId="25" borderId="13" xfId="111" applyFont="1" applyFill="1" applyBorder="1">
      <alignment/>
      <protection/>
    </xf>
    <xf numFmtId="0" fontId="42" fillId="0" borderId="13" xfId="111" applyFont="1" applyBorder="1" applyAlignment="1">
      <alignment horizontal="center" vertical="center"/>
      <protection/>
    </xf>
    <xf numFmtId="182" fontId="42" fillId="0" borderId="13" xfId="68" applyNumberFormat="1" applyFont="1" applyBorder="1" applyAlignment="1">
      <alignment horizontal="center" vertical="center"/>
    </xf>
    <xf numFmtId="49" fontId="75" fillId="25" borderId="13" xfId="111" applyNumberFormat="1" applyFont="1" applyFill="1" applyBorder="1" applyAlignment="1">
      <alignment horizontal="center"/>
      <protection/>
    </xf>
    <xf numFmtId="0" fontId="40" fillId="25" borderId="13" xfId="111" applyFont="1" applyFill="1" applyBorder="1" applyAlignment="1">
      <alignment horizontal="center" vertical="distributed"/>
      <protection/>
    </xf>
    <xf numFmtId="0" fontId="40" fillId="25" borderId="52" xfId="111" applyFont="1" applyFill="1" applyBorder="1" applyAlignment="1">
      <alignment horizontal="center" vertical="distributed"/>
      <protection/>
    </xf>
    <xf numFmtId="0" fontId="49" fillId="25" borderId="52" xfId="111" applyFont="1" applyFill="1" applyBorder="1" applyAlignment="1">
      <alignment horizontal="left" vertical="center"/>
      <protection/>
    </xf>
    <xf numFmtId="0" fontId="40" fillId="25" borderId="13" xfId="111" applyFont="1" applyFill="1" applyBorder="1" applyAlignment="1">
      <alignment horizontal="center"/>
      <protection/>
    </xf>
    <xf numFmtId="49" fontId="39" fillId="25" borderId="14" xfId="111" applyNumberFormat="1" applyFont="1" applyFill="1" applyBorder="1" applyAlignment="1">
      <alignment horizontal="center" vertical="center"/>
      <protection/>
    </xf>
    <xf numFmtId="0" fontId="39" fillId="25" borderId="14" xfId="111" applyFont="1" applyFill="1" applyBorder="1" applyAlignment="1">
      <alignment horizontal="center" vertical="center"/>
      <protection/>
    </xf>
    <xf numFmtId="3" fontId="39" fillId="25" borderId="13" xfId="111" applyNumberFormat="1" applyFont="1" applyFill="1" applyBorder="1" applyAlignment="1">
      <alignment horizontal="center" vertical="center"/>
      <protection/>
    </xf>
    <xf numFmtId="49" fontId="39" fillId="25" borderId="13" xfId="111" applyNumberFormat="1" applyFont="1" applyFill="1" applyBorder="1" applyAlignment="1">
      <alignment horizontal="center" vertical="center"/>
      <protection/>
    </xf>
    <xf numFmtId="49" fontId="39" fillId="25" borderId="27" xfId="111" applyNumberFormat="1" applyFont="1" applyFill="1" applyBorder="1" applyAlignment="1">
      <alignment horizontal="center" vertical="center"/>
      <protection/>
    </xf>
    <xf numFmtId="3" fontId="40" fillId="25" borderId="13" xfId="111" applyNumberFormat="1" applyFont="1" applyFill="1" applyBorder="1" applyAlignment="1">
      <alignment horizontal="center" vertical="center"/>
      <protection/>
    </xf>
    <xf numFmtId="49" fontId="39" fillId="25" borderId="52" xfId="111" applyNumberFormat="1" applyFont="1" applyFill="1" applyBorder="1" applyAlignment="1">
      <alignment horizontal="center" vertical="center"/>
      <protection/>
    </xf>
    <xf numFmtId="0" fontId="49" fillId="25" borderId="13" xfId="111" applyFont="1" applyFill="1" applyBorder="1" applyAlignment="1">
      <alignment horizontal="center"/>
      <protection/>
    </xf>
    <xf numFmtId="0" fontId="69" fillId="25" borderId="14" xfId="111" applyFont="1" applyFill="1" applyBorder="1">
      <alignment/>
      <protection/>
    </xf>
    <xf numFmtId="0" fontId="69" fillId="25" borderId="14" xfId="111" applyFont="1" applyFill="1" applyBorder="1" applyAlignment="1">
      <alignment horizontal="center" vertical="distributed"/>
      <protection/>
    </xf>
    <xf numFmtId="0" fontId="49" fillId="25" borderId="13" xfId="111" applyFont="1" applyFill="1" applyBorder="1" applyAlignment="1">
      <alignment vertical="center"/>
      <protection/>
    </xf>
    <xf numFmtId="3" fontId="49" fillId="25" borderId="13" xfId="115" applyNumberFormat="1" applyFont="1" applyFill="1" applyBorder="1" applyAlignment="1">
      <alignment horizontal="center" vertical="center"/>
    </xf>
    <xf numFmtId="0" fontId="39" fillId="25" borderId="14" xfId="111" applyFont="1" applyFill="1" applyBorder="1">
      <alignment/>
      <protection/>
    </xf>
    <xf numFmtId="0" fontId="39" fillId="25" borderId="14" xfId="111" applyFont="1" applyFill="1" applyBorder="1" applyAlignment="1">
      <alignment horizontal="center" vertical="distributed"/>
      <protection/>
    </xf>
    <xf numFmtId="0" fontId="40" fillId="25" borderId="14" xfId="111" applyFont="1" applyFill="1" applyBorder="1" applyAlignment="1">
      <alignment vertical="center"/>
      <protection/>
    </xf>
    <xf numFmtId="3" fontId="40" fillId="25" borderId="13" xfId="115" applyNumberFormat="1" applyFont="1" applyFill="1" applyBorder="1" applyAlignment="1">
      <alignment horizontal="center" vertical="center"/>
    </xf>
    <xf numFmtId="0" fontId="39" fillId="25" borderId="13" xfId="111" applyFont="1" applyFill="1" applyBorder="1">
      <alignment/>
      <protection/>
    </xf>
    <xf numFmtId="0" fontId="49" fillId="25" borderId="13" xfId="111" applyFont="1" applyFill="1" applyBorder="1" applyAlignment="1">
      <alignment horizontal="center" vertical="center"/>
      <protection/>
    </xf>
    <xf numFmtId="0" fontId="69" fillId="25" borderId="13" xfId="111" applyFont="1" applyFill="1" applyBorder="1" applyAlignment="1">
      <alignment horizontal="center" vertical="center"/>
      <protection/>
    </xf>
    <xf numFmtId="0" fontId="69" fillId="25" borderId="0" xfId="111" applyFont="1" applyFill="1" applyAlignment="1">
      <alignment horizontal="center" vertical="center"/>
      <protection/>
    </xf>
    <xf numFmtId="3" fontId="49" fillId="25" borderId="13" xfId="111" applyNumberFormat="1" applyFont="1" applyFill="1" applyBorder="1" applyAlignment="1">
      <alignment horizontal="center" vertical="center"/>
      <protection/>
    </xf>
    <xf numFmtId="0" fontId="39" fillId="25" borderId="0" xfId="111" applyFont="1" applyFill="1" applyBorder="1" applyAlignment="1">
      <alignment horizontal="center" vertical="center"/>
      <protection/>
    </xf>
    <xf numFmtId="0" fontId="69" fillId="25" borderId="14" xfId="111" applyFont="1" applyFill="1" applyBorder="1" applyAlignment="1">
      <alignment horizontal="center" vertical="center"/>
      <protection/>
    </xf>
    <xf numFmtId="0" fontId="40" fillId="25" borderId="13" xfId="111" applyFont="1" applyFill="1" applyBorder="1" applyAlignment="1">
      <alignment horizontal="center" vertical="center"/>
      <protection/>
    </xf>
    <xf numFmtId="0" fontId="40" fillId="25" borderId="14" xfId="111" applyFont="1" applyFill="1" applyBorder="1" applyAlignment="1">
      <alignment horizontal="center" vertical="center"/>
      <protection/>
    </xf>
    <xf numFmtId="49" fontId="49" fillId="25" borderId="13" xfId="111" applyNumberFormat="1" applyFont="1" applyFill="1" applyBorder="1" applyAlignment="1">
      <alignment horizontal="center" vertical="distributed"/>
      <protection/>
    </xf>
    <xf numFmtId="49" fontId="40" fillId="25" borderId="13" xfId="111" applyNumberFormat="1" applyFont="1" applyFill="1" applyBorder="1" applyAlignment="1">
      <alignment horizontal="center" vertical="distributed"/>
      <protection/>
    </xf>
    <xf numFmtId="0" fontId="39" fillId="25" borderId="0" xfId="111" applyFont="1" applyFill="1" applyAlignment="1">
      <alignment horizontal="center" vertical="center"/>
      <protection/>
    </xf>
    <xf numFmtId="0" fontId="39" fillId="25" borderId="14" xfId="111" applyFont="1" applyFill="1" applyBorder="1" applyAlignment="1">
      <alignment horizontal="center" vertical="center" wrapText="1"/>
      <protection/>
    </xf>
    <xf numFmtId="0" fontId="39" fillId="25" borderId="13" xfId="111" applyFont="1" applyFill="1" applyBorder="1" applyAlignment="1">
      <alignment horizontal="center"/>
      <protection/>
    </xf>
    <xf numFmtId="49" fontId="69" fillId="25" borderId="14" xfId="111" applyNumberFormat="1" applyFont="1" applyFill="1" applyBorder="1" applyAlignment="1">
      <alignment horizontal="center" vertical="center"/>
      <protection/>
    </xf>
    <xf numFmtId="0" fontId="69" fillId="25" borderId="0" xfId="111" applyFont="1" applyFill="1" applyBorder="1" applyAlignment="1">
      <alignment horizontal="center" vertical="center"/>
      <protection/>
    </xf>
    <xf numFmtId="0" fontId="49" fillId="25" borderId="14" xfId="111" applyFont="1" applyFill="1" applyBorder="1" applyAlignment="1">
      <alignment horizontal="center" vertical="center"/>
      <protection/>
    </xf>
    <xf numFmtId="0" fontId="49" fillId="25" borderId="14" xfId="111" applyFont="1" applyFill="1" applyBorder="1" applyAlignment="1">
      <alignment horizontal="left" vertical="center"/>
      <protection/>
    </xf>
    <xf numFmtId="0" fontId="69" fillId="25" borderId="13" xfId="111" applyFont="1" applyFill="1" applyBorder="1">
      <alignment/>
      <protection/>
    </xf>
    <xf numFmtId="0" fontId="84" fillId="25" borderId="13" xfId="111" applyFont="1" applyFill="1" applyBorder="1" applyAlignment="1">
      <alignment horizontal="center" vertical="center"/>
      <protection/>
    </xf>
    <xf numFmtId="3" fontId="84" fillId="25" borderId="13" xfId="111" applyNumberFormat="1" applyFont="1" applyFill="1" applyBorder="1" applyAlignment="1">
      <alignment horizontal="center" vertical="center"/>
      <protection/>
    </xf>
    <xf numFmtId="0" fontId="42" fillId="25" borderId="45" xfId="111" applyFont="1" applyFill="1" applyBorder="1" applyAlignment="1">
      <alignment horizontal="center" vertical="center" wrapText="1"/>
      <protection/>
    </xf>
    <xf numFmtId="0" fontId="42" fillId="25" borderId="13" xfId="111" applyFont="1" applyFill="1" applyBorder="1" applyAlignment="1">
      <alignment horizontal="center" vertical="top" wrapText="1"/>
      <protection/>
    </xf>
    <xf numFmtId="0" fontId="42" fillId="25" borderId="27" xfId="111" applyFont="1" applyFill="1" applyBorder="1" applyAlignment="1">
      <alignment horizontal="center" vertical="center" wrapText="1"/>
      <protection/>
    </xf>
    <xf numFmtId="0" fontId="1" fillId="0" borderId="56" xfId="111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3" fillId="0" borderId="23" xfId="0" applyFont="1" applyBorder="1" applyAlignment="1">
      <alignment horizontal="right" wrapText="1"/>
    </xf>
    <xf numFmtId="0" fontId="1" fillId="0" borderId="0" xfId="109" applyFont="1" applyAlignment="1">
      <alignment horizontal="center" wrapText="1"/>
      <protection/>
    </xf>
    <xf numFmtId="3" fontId="48" fillId="0" borderId="13" xfId="68" applyNumberFormat="1" applyFont="1" applyBorder="1" applyAlignment="1">
      <alignment/>
    </xf>
    <xf numFmtId="3" fontId="50" fillId="0" borderId="13" xfId="0" applyNumberFormat="1" applyFont="1" applyBorder="1" applyAlignment="1">
      <alignment horizontal="right" wrapText="1"/>
    </xf>
    <xf numFmtId="0" fontId="1" fillId="0" borderId="0" xfId="111" applyFont="1" applyBorder="1" applyAlignment="1">
      <alignment horizontal="center"/>
      <protection/>
    </xf>
    <xf numFmtId="0" fontId="40" fillId="0" borderId="0" xfId="111" applyFont="1" applyFill="1" applyBorder="1" applyAlignment="1">
      <alignment horizontal="left" vertical="center"/>
      <protection/>
    </xf>
    <xf numFmtId="0" fontId="16" fillId="0" borderId="17" xfId="102" applyFont="1" applyBorder="1" applyAlignment="1">
      <alignment horizontal="left" wrapText="1"/>
      <protection/>
    </xf>
    <xf numFmtId="180" fontId="59" fillId="0" borderId="57" xfId="108" applyNumberFormat="1" applyFont="1" applyFill="1" applyBorder="1" applyAlignment="1" applyProtection="1">
      <alignment horizontal="center" vertical="center" wrapText="1"/>
      <protection/>
    </xf>
    <xf numFmtId="180" fontId="55" fillId="0" borderId="57" xfId="108" applyNumberFormat="1" applyFont="1" applyFill="1" applyBorder="1" applyAlignment="1" applyProtection="1">
      <alignment horizontal="center" vertical="center" wrapText="1"/>
      <protection/>
    </xf>
    <xf numFmtId="180" fontId="60" fillId="0" borderId="58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50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50" xfId="108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57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44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50" xfId="108" applyNumberFormat="1" applyFont="1" applyFill="1" applyBorder="1" applyAlignment="1" applyProtection="1">
      <alignment horizontal="left" vertical="center" wrapText="1" indent="1"/>
      <protection/>
    </xf>
    <xf numFmtId="180" fontId="27" fillId="0" borderId="57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61" fillId="0" borderId="43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59" xfId="108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8" applyNumberFormat="1" applyFill="1" applyAlignment="1" applyProtection="1">
      <alignment horizontal="right" vertical="center"/>
      <protection/>
    </xf>
    <xf numFmtId="180" fontId="60" fillId="0" borderId="50" xfId="108" applyNumberFormat="1" applyFont="1" applyFill="1" applyBorder="1" applyAlignment="1" applyProtection="1" quotePrefix="1">
      <alignment horizontal="left" vertical="center" wrapText="1" indent="6"/>
      <protection locked="0"/>
    </xf>
    <xf numFmtId="180" fontId="60" fillId="0" borderId="58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58" xfId="108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58" xfId="108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0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7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9" xfId="108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36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30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27" xfId="108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8" applyNumberFormat="1" applyFont="1" applyFill="1" applyBorder="1" applyAlignment="1" applyProtection="1">
      <alignment horizontal="right" vertical="center" wrapText="1" indent="1"/>
      <protection/>
    </xf>
    <xf numFmtId="3" fontId="33" fillId="0" borderId="13" xfId="0" applyNumberFormat="1" applyFont="1" applyFill="1" applyBorder="1" applyAlignment="1">
      <alignment horizontal="right" wrapText="1"/>
    </xf>
    <xf numFmtId="0" fontId="47" fillId="0" borderId="13" xfId="101" applyFont="1" applyFill="1" applyBorder="1">
      <alignment/>
      <protection/>
    </xf>
    <xf numFmtId="3" fontId="48" fillId="0" borderId="13" xfId="101" applyNumberFormat="1" applyFont="1" applyFill="1" applyBorder="1">
      <alignment/>
      <protection/>
    </xf>
    <xf numFmtId="3" fontId="68" fillId="0" borderId="13" xfId="101" applyNumberFormat="1" applyFont="1" applyFill="1" applyBorder="1">
      <alignment/>
      <protection/>
    </xf>
    <xf numFmtId="0" fontId="16" fillId="0" borderId="13" xfId="102" applyFont="1" applyBorder="1" applyAlignment="1">
      <alignment horizontal="left" wrapText="1"/>
      <protection/>
    </xf>
    <xf numFmtId="0" fontId="87" fillId="0" borderId="12" xfId="0" applyFont="1" applyBorder="1" applyAlignment="1">
      <alignment wrapText="1"/>
    </xf>
    <xf numFmtId="0" fontId="87" fillId="0" borderId="13" xfId="0" applyFont="1" applyBorder="1" applyAlignment="1">
      <alignment wrapText="1"/>
    </xf>
    <xf numFmtId="3" fontId="87" fillId="0" borderId="27" xfId="0" applyNumberFormat="1" applyFont="1" applyBorder="1" applyAlignment="1">
      <alignment horizontal="right" wrapText="1"/>
    </xf>
    <xf numFmtId="3" fontId="87" fillId="0" borderId="13" xfId="0" applyNumberFormat="1" applyFont="1" applyBorder="1" applyAlignment="1">
      <alignment horizontal="right" wrapText="1"/>
    </xf>
    <xf numFmtId="0" fontId="88" fillId="0" borderId="0" xfId="0" applyFont="1" applyAlignment="1">
      <alignment/>
    </xf>
    <xf numFmtId="3" fontId="33" fillId="0" borderId="13" xfId="0" applyNumberFormat="1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3" xfId="102" applyNumberFormat="1" applyFont="1" applyFill="1" applyBorder="1">
      <alignment/>
      <protection/>
    </xf>
    <xf numFmtId="0" fontId="27" fillId="0" borderId="36" xfId="108" applyFont="1" applyFill="1" applyBorder="1" applyAlignment="1">
      <alignment horizontal="center" vertical="center" wrapText="1"/>
      <protection/>
    </xf>
    <xf numFmtId="0" fontId="27" fillId="0" borderId="37" xfId="108" applyFont="1" applyFill="1" applyBorder="1" applyAlignment="1" applyProtection="1">
      <alignment horizontal="center" vertical="center" wrapText="1"/>
      <protection/>
    </xf>
    <xf numFmtId="0" fontId="27" fillId="0" borderId="38" xfId="108" applyFont="1" applyFill="1" applyBorder="1" applyAlignment="1" applyProtection="1">
      <alignment horizontal="center" vertical="center" wrapText="1"/>
      <protection/>
    </xf>
    <xf numFmtId="0" fontId="27" fillId="0" borderId="0" xfId="108" applyFont="1" applyFill="1" applyAlignment="1">
      <alignment horizontal="center" vertical="center" wrapText="1"/>
      <protection/>
    </xf>
    <xf numFmtId="0" fontId="16" fillId="0" borderId="10" xfId="108" applyFont="1" applyFill="1" applyBorder="1" applyAlignment="1">
      <alignment horizontal="center" vertical="center" wrapText="1"/>
      <protection/>
    </xf>
    <xf numFmtId="0" fontId="1" fillId="0" borderId="52" xfId="108" applyFont="1" applyFill="1" applyBorder="1" applyAlignment="1" applyProtection="1">
      <alignment horizontal="left" vertical="center" wrapText="1" indent="1"/>
      <protection/>
    </xf>
    <xf numFmtId="182" fontId="16" fillId="0" borderId="52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8" applyFont="1" applyFill="1" applyBorder="1" applyAlignment="1">
      <alignment horizontal="center" vertical="center" wrapText="1"/>
      <protection/>
    </xf>
    <xf numFmtId="0" fontId="1" fillId="0" borderId="14" xfId="108" applyFont="1" applyFill="1" applyBorder="1" applyAlignment="1" applyProtection="1">
      <alignment horizontal="left" vertical="center" wrapText="1" indent="1"/>
      <protection/>
    </xf>
    <xf numFmtId="182" fontId="16" fillId="0" borderId="14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8" applyFont="1" applyFill="1" applyBorder="1" applyAlignment="1" applyProtection="1">
      <alignment horizontal="left" vertical="center" wrapText="1" indent="8"/>
      <protection/>
    </xf>
    <xf numFmtId="0" fontId="16" fillId="0" borderId="27" xfId="108" applyFont="1" applyFill="1" applyBorder="1" applyAlignment="1" applyProtection="1">
      <alignment vertical="center" wrapText="1"/>
      <protection locked="0"/>
    </xf>
    <xf numFmtId="180" fontId="16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8" applyFont="1" applyFill="1" applyBorder="1" applyAlignment="1" applyProtection="1">
      <alignment vertical="center" wrapText="1"/>
      <protection locked="0"/>
    </xf>
    <xf numFmtId="0" fontId="27" fillId="0" borderId="36" xfId="108" applyFont="1" applyFill="1" applyBorder="1" applyAlignment="1">
      <alignment horizontal="center" vertical="center" wrapText="1"/>
      <protection/>
    </xf>
    <xf numFmtId="0" fontId="27" fillId="0" borderId="60" xfId="108" applyFont="1" applyFill="1" applyBorder="1" applyAlignment="1" applyProtection="1">
      <alignment vertical="center" wrapText="1"/>
      <protection/>
    </xf>
    <xf numFmtId="180" fontId="27" fillId="0" borderId="60" xfId="108" applyNumberFormat="1" applyFont="1" applyFill="1" applyBorder="1" applyAlignment="1" applyProtection="1">
      <alignment vertical="center" wrapText="1"/>
      <protection/>
    </xf>
    <xf numFmtId="1" fontId="27" fillId="0" borderId="61" xfId="108" applyNumberFormat="1" applyFont="1" applyFill="1" applyBorder="1" applyAlignment="1" applyProtection="1">
      <alignment vertical="center" wrapText="1"/>
      <protection/>
    </xf>
    <xf numFmtId="0" fontId="16" fillId="0" borderId="0" xfId="108" applyFont="1" applyFill="1" applyAlignment="1">
      <alignment horizontal="right" vertical="center" wrapText="1"/>
      <protection/>
    </xf>
    <xf numFmtId="0" fontId="16" fillId="0" borderId="0" xfId="108" applyFont="1" applyFill="1" applyAlignment="1">
      <alignment vertical="center" wrapText="1"/>
      <protection/>
    </xf>
    <xf numFmtId="0" fontId="16" fillId="0" borderId="0" xfId="108" applyFill="1" applyAlignment="1">
      <alignment horizontal="center" vertical="center" wrapText="1"/>
      <protection/>
    </xf>
    <xf numFmtId="180" fontId="59" fillId="0" borderId="62" xfId="108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0" fillId="0" borderId="13" xfId="0" applyFont="1" applyBorder="1" applyAlignment="1">
      <alignment wrapText="1"/>
    </xf>
    <xf numFmtId="0" fontId="1" fillId="0" borderId="13" xfId="109" applyFont="1" applyBorder="1" applyProtection="1">
      <alignment/>
      <protection locked="0"/>
    </xf>
    <xf numFmtId="3" fontId="54" fillId="0" borderId="13" xfId="0" applyNumberFormat="1" applyFont="1" applyBorder="1" applyAlignment="1">
      <alignment horizontal="center" wrapText="1"/>
    </xf>
    <xf numFmtId="3" fontId="54" fillId="0" borderId="53" xfId="0" applyNumberFormat="1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54" fillId="0" borderId="64" xfId="0" applyFont="1" applyBorder="1" applyAlignment="1">
      <alignment horizontal="center" wrapText="1"/>
    </xf>
    <xf numFmtId="3" fontId="63" fillId="0" borderId="19" xfId="0" applyNumberFormat="1" applyFont="1" applyBorder="1" applyAlignment="1">
      <alignment horizontal="right" wrapText="1"/>
    </xf>
    <xf numFmtId="3" fontId="1" fillId="0" borderId="13" xfId="111" applyNumberFormat="1" applyFont="1" applyFill="1" applyBorder="1" applyAlignment="1">
      <alignment horizontal="center" vertical="center"/>
      <protection/>
    </xf>
    <xf numFmtId="3" fontId="42" fillId="0" borderId="13" xfId="111" applyNumberFormat="1" applyFont="1" applyFill="1" applyBorder="1" applyAlignment="1">
      <alignment horizontal="center" vertical="center"/>
      <protection/>
    </xf>
    <xf numFmtId="0" fontId="48" fillId="0" borderId="0" xfId="111" applyFont="1" applyAlignment="1">
      <alignment horizontal="center"/>
      <protection/>
    </xf>
    <xf numFmtId="0" fontId="83" fillId="0" borderId="0" xfId="108" applyFont="1" applyAlignment="1">
      <alignment horizontal="right" wrapText="1"/>
      <protection/>
    </xf>
    <xf numFmtId="0" fontId="26" fillId="0" borderId="65" xfId="0" applyFont="1" applyBorder="1" applyAlignment="1">
      <alignment horizontal="center" wrapText="1"/>
    </xf>
    <xf numFmtId="0" fontId="54" fillId="0" borderId="66" xfId="0" applyFont="1" applyBorder="1" applyAlignment="1">
      <alignment horizontal="center" wrapText="1"/>
    </xf>
    <xf numFmtId="3" fontId="25" fillId="0" borderId="52" xfId="0" applyNumberFormat="1" applyFont="1" applyBorder="1" applyAlignment="1">
      <alignment horizontal="right" wrapText="1"/>
    </xf>
    <xf numFmtId="3" fontId="33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87" fillId="0" borderId="14" xfId="0" applyNumberFormat="1" applyFont="1" applyBorder="1" applyAlignment="1">
      <alignment horizontal="right" wrapText="1"/>
    </xf>
    <xf numFmtId="3" fontId="33" fillId="0" borderId="14" xfId="0" applyNumberFormat="1" applyFont="1" applyBorder="1" applyAlignment="1">
      <alignment wrapText="1"/>
    </xf>
    <xf numFmtId="0" fontId="25" fillId="0" borderId="14" xfId="0" applyFont="1" applyBorder="1" applyAlignment="1">
      <alignment wrapText="1"/>
    </xf>
    <xf numFmtId="3" fontId="37" fillId="0" borderId="14" xfId="0" applyNumberFormat="1" applyFont="1" applyBorder="1" applyAlignment="1">
      <alignment horizontal="right" wrapText="1"/>
    </xf>
    <xf numFmtId="3" fontId="37" fillId="0" borderId="67" xfId="0" applyNumberFormat="1" applyFont="1" applyBorder="1" applyAlignment="1">
      <alignment horizontal="right" wrapText="1"/>
    </xf>
    <xf numFmtId="0" fontId="89" fillId="0" borderId="22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3" fontId="89" fillId="0" borderId="13" xfId="0" applyNumberFormat="1" applyFont="1" applyBorder="1" applyAlignment="1">
      <alignment horizontal="right" wrapText="1"/>
    </xf>
    <xf numFmtId="3" fontId="89" fillId="0" borderId="14" xfId="0" applyNumberFormat="1" applyFont="1" applyBorder="1" applyAlignment="1">
      <alignment horizontal="right" wrapText="1"/>
    </xf>
    <xf numFmtId="0" fontId="26" fillId="0" borderId="68" xfId="0" applyFont="1" applyBorder="1" applyAlignment="1">
      <alignment horizontal="center" wrapText="1"/>
    </xf>
    <xf numFmtId="3" fontId="63" fillId="0" borderId="14" xfId="0" applyNumberFormat="1" applyFont="1" applyBorder="1" applyAlignment="1">
      <alignment horizontal="right" wrapText="1"/>
    </xf>
    <xf numFmtId="3" fontId="63" fillId="0" borderId="20" xfId="0" applyNumberFormat="1" applyFont="1" applyBorder="1" applyAlignment="1">
      <alignment horizontal="right" wrapText="1"/>
    </xf>
    <xf numFmtId="0" fontId="25" fillId="0" borderId="66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3" fontId="50" fillId="0" borderId="14" xfId="68" applyNumberFormat="1" applyFont="1" applyBorder="1" applyAlignment="1">
      <alignment horizontal="right" wrapText="1"/>
    </xf>
    <xf numFmtId="3" fontId="1" fillId="0" borderId="14" xfId="68" applyNumberFormat="1" applyFont="1" applyBorder="1" applyAlignment="1">
      <alignment/>
    </xf>
    <xf numFmtId="3" fontId="40" fillId="0" borderId="14" xfId="68" applyNumberFormat="1" applyFont="1" applyBorder="1" applyAlignment="1">
      <alignment/>
    </xf>
    <xf numFmtId="3" fontId="51" fillId="0" borderId="14" xfId="68" applyNumberFormat="1" applyFont="1" applyBorder="1" applyAlignment="1">
      <alignment/>
    </xf>
    <xf numFmtId="3" fontId="48" fillId="0" borderId="67" xfId="68" applyNumberFormat="1" applyFont="1" applyBorder="1" applyAlignment="1">
      <alignment/>
    </xf>
    <xf numFmtId="3" fontId="54" fillId="0" borderId="14" xfId="0" applyNumberFormat="1" applyFont="1" applyBorder="1" applyAlignment="1">
      <alignment horizontal="center" wrapText="1"/>
    </xf>
    <xf numFmtId="3" fontId="50" fillId="0" borderId="14" xfId="0" applyNumberFormat="1" applyFont="1" applyBorder="1" applyAlignment="1">
      <alignment horizontal="right" wrapText="1"/>
    </xf>
    <xf numFmtId="3" fontId="1" fillId="0" borderId="14" xfId="109" applyNumberFormat="1" applyFont="1" applyBorder="1">
      <alignment/>
      <protection/>
    </xf>
    <xf numFmtId="3" fontId="51" fillId="0" borderId="14" xfId="109" applyNumberFormat="1" applyFont="1" applyBorder="1">
      <alignment/>
      <protection/>
    </xf>
    <xf numFmtId="3" fontId="1" fillId="0" borderId="14" xfId="109" applyNumberFormat="1" applyFont="1" applyFill="1" applyBorder="1">
      <alignment/>
      <protection/>
    </xf>
    <xf numFmtId="3" fontId="42" fillId="0" borderId="14" xfId="109" applyNumberFormat="1" applyFont="1" applyFill="1" applyBorder="1">
      <alignment/>
      <protection/>
    </xf>
    <xf numFmtId="3" fontId="48" fillId="0" borderId="67" xfId="109" applyNumberFormat="1" applyFont="1" applyBorder="1">
      <alignment/>
      <protection/>
    </xf>
    <xf numFmtId="0" fontId="16" fillId="0" borderId="13" xfId="102" applyFont="1" applyFill="1" applyBorder="1" applyAlignment="1">
      <alignment horizontal="left"/>
      <protection/>
    </xf>
    <xf numFmtId="0" fontId="90" fillId="0" borderId="0" xfId="111" applyFont="1">
      <alignment/>
      <protection/>
    </xf>
    <xf numFmtId="0" fontId="83" fillId="0" borderId="0" xfId="111" applyFont="1" applyAlignment="1">
      <alignment horizontal="right"/>
      <protection/>
    </xf>
    <xf numFmtId="0" fontId="39" fillId="0" borderId="0" xfId="111" applyFont="1">
      <alignment/>
      <protection/>
    </xf>
    <xf numFmtId="0" fontId="40" fillId="20" borderId="27" xfId="103" applyFont="1" applyFill="1" applyBorder="1" applyAlignment="1">
      <alignment horizontal="center" vertical="center" wrapText="1"/>
      <protection/>
    </xf>
    <xf numFmtId="0" fontId="40" fillId="20" borderId="52" xfId="103" applyFont="1" applyFill="1" applyBorder="1" applyAlignment="1">
      <alignment horizontal="right" vertical="center" wrapText="1"/>
      <protection/>
    </xf>
    <xf numFmtId="0" fontId="90" fillId="0" borderId="0" xfId="111" applyFont="1" applyAlignment="1">
      <alignment wrapText="1"/>
      <protection/>
    </xf>
    <xf numFmtId="0" fontId="40" fillId="20" borderId="69" xfId="103" applyFont="1" applyFill="1" applyBorder="1" applyAlignment="1">
      <alignment horizontal="center" vertical="center"/>
      <protection/>
    </xf>
    <xf numFmtId="0" fontId="40" fillId="20" borderId="70" xfId="103" applyFont="1" applyFill="1" applyBorder="1" applyAlignment="1">
      <alignment horizontal="right" vertical="center"/>
      <protection/>
    </xf>
    <xf numFmtId="0" fontId="40" fillId="20" borderId="71" xfId="103" applyFont="1" applyFill="1" applyBorder="1" applyAlignment="1">
      <alignment horizontal="center" vertical="center"/>
      <protection/>
    </xf>
    <xf numFmtId="0" fontId="40" fillId="20" borderId="15" xfId="103" applyFont="1" applyFill="1" applyBorder="1" applyAlignment="1">
      <alignment horizontal="center" vertical="center"/>
      <protection/>
    </xf>
    <xf numFmtId="0" fontId="45" fillId="0" borderId="72" xfId="100" applyFont="1" applyBorder="1" applyAlignment="1">
      <alignment vertical="center"/>
      <protection/>
    </xf>
    <xf numFmtId="3" fontId="40" fillId="0" borderId="72" xfId="103" applyNumberFormat="1" applyFont="1" applyFill="1" applyBorder="1">
      <alignment/>
      <protection/>
    </xf>
    <xf numFmtId="3" fontId="40" fillId="0" borderId="73" xfId="103" applyNumberFormat="1" applyFont="1" applyFill="1" applyBorder="1">
      <alignment/>
      <protection/>
    </xf>
    <xf numFmtId="0" fontId="45" fillId="0" borderId="74" xfId="100" applyFont="1" applyBorder="1" applyAlignment="1">
      <alignment vertical="center"/>
      <protection/>
    </xf>
    <xf numFmtId="4" fontId="40" fillId="0" borderId="74" xfId="103" applyNumberFormat="1" applyFont="1" applyFill="1" applyBorder="1">
      <alignment/>
      <protection/>
    </xf>
    <xf numFmtId="3" fontId="40" fillId="0" borderId="74" xfId="103" applyNumberFormat="1" applyFont="1" applyFill="1" applyBorder="1">
      <alignment/>
      <protection/>
    </xf>
    <xf numFmtId="3" fontId="40" fillId="0" borderId="75" xfId="103" applyNumberFormat="1" applyFont="1" applyFill="1" applyBorder="1">
      <alignment/>
      <protection/>
    </xf>
    <xf numFmtId="3" fontId="68" fillId="0" borderId="75" xfId="103" applyNumberFormat="1" applyFont="1" applyFill="1" applyBorder="1">
      <alignment/>
      <protection/>
    </xf>
    <xf numFmtId="0" fontId="1" fillId="0" borderId="74" xfId="100" applyFont="1" applyBorder="1" applyAlignment="1">
      <alignment vertical="center"/>
      <protection/>
    </xf>
    <xf numFmtId="3" fontId="39" fillId="0" borderId="74" xfId="100" applyNumberFormat="1" applyFont="1" applyFill="1" applyBorder="1" applyAlignment="1">
      <alignment horizontal="center" vertical="center"/>
      <protection/>
    </xf>
    <xf numFmtId="4" fontId="39" fillId="0" borderId="74" xfId="100" applyNumberFormat="1" applyFont="1" applyFill="1" applyBorder="1" applyAlignment="1">
      <alignment vertical="center"/>
      <protection/>
    </xf>
    <xf numFmtId="3" fontId="39" fillId="0" borderId="75" xfId="100" applyNumberFormat="1" applyFont="1" applyFill="1" applyBorder="1" applyAlignment="1">
      <alignment vertical="center"/>
      <protection/>
    </xf>
    <xf numFmtId="3" fontId="39" fillId="0" borderId="74" xfId="100" applyNumberFormat="1" applyFont="1" applyFill="1" applyBorder="1" applyAlignment="1">
      <alignment vertical="center"/>
      <protection/>
    </xf>
    <xf numFmtId="3" fontId="40" fillId="0" borderId="74" xfId="100" applyNumberFormat="1" applyFont="1" applyFill="1" applyBorder="1" applyAlignment="1">
      <alignment vertical="center"/>
      <protection/>
    </xf>
    <xf numFmtId="3" fontId="40" fillId="0" borderId="75" xfId="100" applyNumberFormat="1" applyFont="1" applyFill="1" applyBorder="1" applyAlignment="1">
      <alignment vertical="center"/>
      <protection/>
    </xf>
    <xf numFmtId="3" fontId="68" fillId="0" borderId="75" xfId="100" applyNumberFormat="1" applyFont="1" applyFill="1" applyBorder="1" applyAlignment="1">
      <alignment vertical="center"/>
      <protection/>
    </xf>
    <xf numFmtId="0" fontId="40" fillId="21" borderId="74" xfId="100" applyFont="1" applyFill="1" applyBorder="1" applyAlignment="1">
      <alignment vertical="center"/>
      <protection/>
    </xf>
    <xf numFmtId="3" fontId="40" fillId="21" borderId="74" xfId="103" applyNumberFormat="1" applyFont="1" applyFill="1" applyBorder="1">
      <alignment/>
      <protection/>
    </xf>
    <xf numFmtId="3" fontId="40" fillId="21" borderId="75" xfId="103" applyNumberFormat="1" applyFont="1" applyFill="1" applyBorder="1">
      <alignment/>
      <protection/>
    </xf>
    <xf numFmtId="167" fontId="39" fillId="0" borderId="74" xfId="103" applyNumberFormat="1" applyFont="1" applyFill="1" applyBorder="1">
      <alignment/>
      <protection/>
    </xf>
    <xf numFmtId="3" fontId="39" fillId="0" borderId="74" xfId="103" applyNumberFormat="1" applyFont="1" applyFill="1" applyBorder="1">
      <alignment/>
      <protection/>
    </xf>
    <xf numFmtId="3" fontId="39" fillId="0" borderId="75" xfId="103" applyNumberFormat="1" applyFont="1" applyFill="1" applyBorder="1">
      <alignment/>
      <protection/>
    </xf>
    <xf numFmtId="0" fontId="1" fillId="0" borderId="74" xfId="100" applyFont="1" applyBorder="1" applyAlignment="1">
      <alignment vertical="center" wrapText="1"/>
      <protection/>
    </xf>
    <xf numFmtId="0" fontId="1" fillId="0" borderId="76" xfId="100" applyFont="1" applyBorder="1" applyAlignment="1">
      <alignment vertical="center"/>
      <protection/>
    </xf>
    <xf numFmtId="3" fontId="39" fillId="0" borderId="76" xfId="100" applyNumberFormat="1" applyFont="1" applyFill="1" applyBorder="1" applyAlignment="1">
      <alignment vertical="center"/>
      <protection/>
    </xf>
    <xf numFmtId="3" fontId="39" fillId="0" borderId="77" xfId="103" applyNumberFormat="1" applyFont="1" applyFill="1" applyBorder="1">
      <alignment/>
      <protection/>
    </xf>
    <xf numFmtId="0" fontId="1" fillId="0" borderId="13" xfId="100" applyFont="1" applyBorder="1" applyAlignment="1">
      <alignment vertical="center"/>
      <protection/>
    </xf>
    <xf numFmtId="3" fontId="39" fillId="0" borderId="13" xfId="100" applyNumberFormat="1" applyFont="1" applyFill="1" applyBorder="1" applyAlignment="1">
      <alignment vertical="center"/>
      <protection/>
    </xf>
    <xf numFmtId="3" fontId="39" fillId="0" borderId="13" xfId="103" applyNumberFormat="1" applyFont="1" applyFill="1" applyBorder="1">
      <alignment/>
      <protection/>
    </xf>
    <xf numFmtId="0" fontId="40" fillId="21" borderId="13" xfId="100" applyFont="1" applyFill="1" applyBorder="1" applyAlignment="1">
      <alignment vertical="center"/>
      <protection/>
    </xf>
    <xf numFmtId="3" fontId="40" fillId="21" borderId="13" xfId="103" applyNumberFormat="1" applyFont="1" applyFill="1" applyBorder="1">
      <alignment/>
      <protection/>
    </xf>
    <xf numFmtId="0" fontId="45" fillId="0" borderId="78" xfId="100" applyFont="1" applyBorder="1" applyAlignment="1">
      <alignment vertical="center"/>
      <protection/>
    </xf>
    <xf numFmtId="3" fontId="40" fillId="0" borderId="27" xfId="103" applyNumberFormat="1" applyFont="1" applyFill="1" applyBorder="1">
      <alignment/>
      <protection/>
    </xf>
    <xf numFmtId="167" fontId="39" fillId="0" borderId="79" xfId="100" applyNumberFormat="1" applyFont="1" applyBorder="1" applyAlignment="1">
      <alignment vertical="center"/>
      <protection/>
    </xf>
    <xf numFmtId="4" fontId="39" fillId="0" borderId="79" xfId="100" applyNumberFormat="1" applyFont="1" applyFill="1" applyBorder="1" applyAlignment="1">
      <alignment vertical="center"/>
      <protection/>
    </xf>
    <xf numFmtId="3" fontId="39" fillId="0" borderId="79" xfId="100" applyNumberFormat="1" applyFont="1" applyFill="1" applyBorder="1" applyAlignment="1">
      <alignment vertical="center"/>
      <protection/>
    </xf>
    <xf numFmtId="4" fontId="39" fillId="0" borderId="17" xfId="103" applyNumberFormat="1" applyFont="1" applyFill="1" applyBorder="1">
      <alignment/>
      <protection/>
    </xf>
    <xf numFmtId="0" fontId="39" fillId="0" borderId="17" xfId="106" applyFont="1" applyBorder="1">
      <alignment/>
      <protection/>
    </xf>
    <xf numFmtId="167" fontId="40" fillId="21" borderId="13" xfId="103" applyNumberFormat="1" applyFont="1" applyFill="1" applyBorder="1">
      <alignment/>
      <protection/>
    </xf>
    <xf numFmtId="0" fontId="40" fillId="21" borderId="13" xfId="106" applyFont="1" applyFill="1" applyBorder="1">
      <alignment/>
      <protection/>
    </xf>
    <xf numFmtId="3" fontId="40" fillId="21" borderId="13" xfId="100" applyNumberFormat="1" applyFont="1" applyFill="1" applyBorder="1" applyAlignment="1">
      <alignment vertical="center"/>
      <protection/>
    </xf>
    <xf numFmtId="0" fontId="90" fillId="25" borderId="0" xfId="111" applyFont="1" applyFill="1">
      <alignment/>
      <protection/>
    </xf>
    <xf numFmtId="0" fontId="71" fillId="20" borderId="13" xfId="103" applyFont="1" applyFill="1" applyBorder="1">
      <alignment/>
      <protection/>
    </xf>
    <xf numFmtId="3" fontId="71" fillId="20" borderId="13" xfId="103" applyNumberFormat="1" applyFont="1" applyFill="1" applyBorder="1">
      <alignment/>
      <protection/>
    </xf>
    <xf numFmtId="0" fontId="71" fillId="20" borderId="13" xfId="106" applyFont="1" applyFill="1" applyBorder="1">
      <alignment/>
      <protection/>
    </xf>
    <xf numFmtId="3" fontId="71" fillId="20" borderId="13" xfId="100" applyNumberFormat="1" applyFont="1" applyFill="1" applyBorder="1" applyAlignment="1">
      <alignment vertical="center"/>
      <protection/>
    </xf>
    <xf numFmtId="4" fontId="39" fillId="0" borderId="13" xfId="103" applyNumberFormat="1" applyFont="1" applyFill="1" applyBorder="1">
      <alignment/>
      <protection/>
    </xf>
    <xf numFmtId="0" fontId="39" fillId="0" borderId="13" xfId="106" applyFont="1" applyBorder="1">
      <alignment/>
      <protection/>
    </xf>
    <xf numFmtId="0" fontId="53" fillId="20" borderId="13" xfId="103" applyFont="1" applyFill="1" applyBorder="1">
      <alignment/>
      <protection/>
    </xf>
    <xf numFmtId="3" fontId="53" fillId="20" borderId="13" xfId="103" applyNumberFormat="1" applyFont="1" applyFill="1" applyBorder="1">
      <alignment/>
      <protection/>
    </xf>
    <xf numFmtId="0" fontId="53" fillId="20" borderId="13" xfId="106" applyFont="1" applyFill="1" applyBorder="1">
      <alignment/>
      <protection/>
    </xf>
    <xf numFmtId="3" fontId="53" fillId="20" borderId="13" xfId="100" applyNumberFormat="1" applyFont="1" applyFill="1" applyBorder="1" applyAlignment="1">
      <alignment vertical="center"/>
      <protection/>
    </xf>
    <xf numFmtId="0" fontId="93" fillId="0" borderId="0" xfId="111" applyFont="1">
      <alignment/>
      <protection/>
    </xf>
    <xf numFmtId="0" fontId="45" fillId="0" borderId="0" xfId="103" applyFont="1" applyFill="1" applyBorder="1">
      <alignment/>
      <protection/>
    </xf>
    <xf numFmtId="0" fontId="48" fillId="0" borderId="0" xfId="105" applyFont="1" applyAlignment="1">
      <alignment horizontal="center"/>
      <protection/>
    </xf>
    <xf numFmtId="0" fontId="0" fillId="0" borderId="0" xfId="105">
      <alignment/>
      <protection/>
    </xf>
    <xf numFmtId="0" fontId="25" fillId="0" borderId="0" xfId="105" applyFont="1" applyAlignment="1">
      <alignment horizontal="center"/>
      <protection/>
    </xf>
    <xf numFmtId="0" fontId="54" fillId="0" borderId="0" xfId="105" applyFont="1" applyAlignment="1">
      <alignment horizontal="right"/>
      <protection/>
    </xf>
    <xf numFmtId="0" fontId="32" fillId="0" borderId="0" xfId="105" applyFont="1">
      <alignment/>
      <protection/>
    </xf>
    <xf numFmtId="0" fontId="25" fillId="0" borderId="12" xfId="105" applyFont="1" applyBorder="1" applyAlignment="1">
      <alignment horizontal="center"/>
      <protection/>
    </xf>
    <xf numFmtId="0" fontId="25" fillId="0" borderId="69" xfId="105" applyFont="1" applyBorder="1" applyAlignment="1">
      <alignment horizontal="left"/>
      <protection/>
    </xf>
    <xf numFmtId="0" fontId="32" fillId="0" borderId="13" xfId="105" applyFont="1" applyBorder="1" applyAlignment="1">
      <alignment horizontal="right"/>
      <protection/>
    </xf>
    <xf numFmtId="3" fontId="25" fillId="0" borderId="45" xfId="105" applyNumberFormat="1" applyFont="1" applyBorder="1" applyAlignment="1">
      <alignment horizontal="right"/>
      <protection/>
    </xf>
    <xf numFmtId="0" fontId="32" fillId="0" borderId="43" xfId="105" applyFont="1" applyBorder="1" applyAlignment="1">
      <alignment horizontal="center"/>
      <protection/>
    </xf>
    <xf numFmtId="0" fontId="90" fillId="0" borderId="0" xfId="105" applyFont="1">
      <alignment/>
      <protection/>
    </xf>
    <xf numFmtId="0" fontId="25" fillId="0" borderId="17" xfId="105" applyFont="1" applyBorder="1" applyAlignment="1">
      <alignment horizontal="left"/>
      <protection/>
    </xf>
    <xf numFmtId="0" fontId="25" fillId="0" borderId="15" xfId="105" applyFont="1" applyBorder="1" applyAlignment="1">
      <alignment horizontal="right"/>
      <protection/>
    </xf>
    <xf numFmtId="0" fontId="32" fillId="21" borderId="18" xfId="105" applyFont="1" applyFill="1" applyBorder="1" applyAlignment="1">
      <alignment horizontal="center"/>
      <protection/>
    </xf>
    <xf numFmtId="0" fontId="25" fillId="21" borderId="19" xfId="105" applyFont="1" applyFill="1" applyBorder="1" applyAlignment="1">
      <alignment horizontal="left"/>
      <protection/>
    </xf>
    <xf numFmtId="0" fontId="25" fillId="21" borderId="20" xfId="105" applyFont="1" applyFill="1" applyBorder="1" applyAlignment="1">
      <alignment horizontal="right"/>
      <protection/>
    </xf>
    <xf numFmtId="3" fontId="25" fillId="21" borderId="80" xfId="105" applyNumberFormat="1" applyFont="1" applyFill="1" applyBorder="1" applyAlignment="1">
      <alignment horizontal="right"/>
      <protection/>
    </xf>
    <xf numFmtId="0" fontId="32" fillId="21" borderId="51" xfId="105" applyFont="1" applyFill="1" applyBorder="1" applyAlignment="1">
      <alignment horizontal="center"/>
      <protection/>
    </xf>
    <xf numFmtId="0" fontId="39" fillId="0" borderId="0" xfId="105" applyFont="1">
      <alignment/>
      <protection/>
    </xf>
    <xf numFmtId="0" fontId="97" fillId="0" borderId="0" xfId="108" applyFont="1" applyAlignment="1">
      <alignment horizontal="right" wrapText="1"/>
      <protection/>
    </xf>
    <xf numFmtId="0" fontId="83" fillId="0" borderId="0" xfId="108" applyFont="1" applyAlignment="1">
      <alignment wrapText="1"/>
      <protection/>
    </xf>
    <xf numFmtId="180" fontId="59" fillId="0" borderId="81" xfId="108" applyNumberFormat="1" applyFont="1" applyFill="1" applyBorder="1" applyAlignment="1" applyProtection="1">
      <alignment horizontal="center" vertical="center" wrapText="1"/>
      <protection/>
    </xf>
    <xf numFmtId="180" fontId="56" fillId="0" borderId="0" xfId="108" applyNumberFormat="1" applyFont="1" applyFill="1" applyAlignment="1" applyProtection="1">
      <alignment vertical="center"/>
      <protection/>
    </xf>
    <xf numFmtId="180" fontId="59" fillId="0" borderId="13" xfId="108" applyNumberFormat="1" applyFont="1" applyFill="1" applyBorder="1" applyAlignment="1" applyProtection="1">
      <alignment horizontal="center" vertical="center"/>
      <protection/>
    </xf>
    <xf numFmtId="180" fontId="56" fillId="0" borderId="0" xfId="108" applyNumberFormat="1" applyFont="1" applyFill="1" applyAlignment="1" applyProtection="1">
      <alignment horizontal="center" vertical="center"/>
      <protection/>
    </xf>
    <xf numFmtId="180" fontId="55" fillId="0" borderId="12" xfId="108" applyNumberFormat="1" applyFont="1" applyFill="1" applyBorder="1" applyAlignment="1" applyProtection="1">
      <alignment horizontal="center" vertical="center" wrapText="1"/>
      <protection/>
    </xf>
    <xf numFmtId="180" fontId="55" fillId="0" borderId="13" xfId="108" applyNumberFormat="1" applyFont="1" applyFill="1" applyBorder="1" applyAlignment="1" applyProtection="1">
      <alignment horizontal="center" vertical="center" wrapText="1"/>
      <protection/>
    </xf>
    <xf numFmtId="180" fontId="55" fillId="0" borderId="43" xfId="108" applyNumberFormat="1" applyFont="1" applyFill="1" applyBorder="1" applyAlignment="1" applyProtection="1">
      <alignment horizontal="center" vertical="center" wrapText="1"/>
      <protection/>
    </xf>
    <xf numFmtId="180" fontId="56" fillId="0" borderId="0" xfId="108" applyNumberFormat="1" applyFont="1" applyFill="1" applyAlignment="1" applyProtection="1">
      <alignment horizontal="center" vertical="center" wrapText="1"/>
      <protection/>
    </xf>
    <xf numFmtId="180" fontId="55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60" fillId="0" borderId="13" xfId="72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72" applyNumberFormat="1" applyFont="1" applyFill="1" applyBorder="1" applyAlignment="1" applyProtection="1">
      <alignment vertical="center" wrapText="1"/>
      <protection/>
    </xf>
    <xf numFmtId="182" fontId="60" fillId="0" borderId="43" xfId="72" applyNumberFormat="1" applyFont="1" applyFill="1" applyBorder="1" applyAlignment="1" applyProtection="1">
      <alignment vertical="center" wrapText="1"/>
      <protection/>
    </xf>
    <xf numFmtId="182" fontId="16" fillId="0" borderId="13" xfId="72" applyNumberFormat="1" applyFont="1" applyFill="1" applyBorder="1" applyAlignment="1" applyProtection="1">
      <alignment horizontal="center" vertical="center" wrapText="1"/>
      <protection locked="0"/>
    </xf>
    <xf numFmtId="182" fontId="27" fillId="0" borderId="13" xfId="72" applyNumberFormat="1" applyFont="1" applyFill="1" applyBorder="1" applyAlignment="1" applyProtection="1">
      <alignment horizontal="center" vertical="center" wrapText="1"/>
      <protection locked="0"/>
    </xf>
    <xf numFmtId="182" fontId="55" fillId="0" borderId="13" xfId="72" applyNumberFormat="1" applyFont="1" applyFill="1" applyBorder="1" applyAlignment="1" applyProtection="1">
      <alignment vertical="center" wrapText="1"/>
      <protection/>
    </xf>
    <xf numFmtId="182" fontId="55" fillId="0" borderId="43" xfId="72" applyNumberFormat="1" applyFont="1" applyFill="1" applyBorder="1" applyAlignment="1" applyProtection="1">
      <alignment vertical="center" wrapText="1"/>
      <protection/>
    </xf>
    <xf numFmtId="180" fontId="60" fillId="0" borderId="13" xfId="108" applyNumberFormat="1" applyFont="1" applyFill="1" applyBorder="1" applyAlignment="1" applyProtection="1">
      <alignment horizontal="left" vertical="center" wrapText="1" indent="1"/>
      <protection locked="0"/>
    </xf>
    <xf numFmtId="182" fontId="60" fillId="0" borderId="13" xfId="72" applyNumberFormat="1" applyFont="1" applyFill="1" applyBorder="1" applyAlignment="1" applyProtection="1">
      <alignment vertical="center" wrapText="1"/>
      <protection locked="0"/>
    </xf>
    <xf numFmtId="180" fontId="55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2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72" applyNumberFormat="1" applyFont="1" applyFill="1" applyBorder="1" applyAlignment="1" applyProtection="1">
      <alignment vertical="center" wrapText="1"/>
      <protection/>
    </xf>
    <xf numFmtId="182" fontId="60" fillId="0" borderId="43" xfId="72" applyNumberFormat="1" applyFont="1" applyFill="1" applyBorder="1" applyAlignment="1" applyProtection="1">
      <alignment vertical="center" wrapText="1"/>
      <protection/>
    </xf>
    <xf numFmtId="182" fontId="98" fillId="26" borderId="19" xfId="72" applyNumberFormat="1" applyFont="1" applyFill="1" applyBorder="1" applyAlignment="1" applyProtection="1">
      <alignment horizontal="left" vertical="center" wrapText="1" indent="2"/>
      <protection/>
    </xf>
    <xf numFmtId="182" fontId="98" fillId="0" borderId="19" xfId="72" applyNumberFormat="1" applyFont="1" applyFill="1" applyBorder="1" applyAlignment="1" applyProtection="1">
      <alignment vertical="center" wrapText="1"/>
      <protection/>
    </xf>
    <xf numFmtId="182" fontId="98" fillId="0" borderId="51" xfId="72" applyNumberFormat="1" applyFont="1" applyFill="1" applyBorder="1" applyAlignment="1" applyProtection="1">
      <alignment vertical="center" wrapText="1"/>
      <protection/>
    </xf>
    <xf numFmtId="180" fontId="98" fillId="0" borderId="0" xfId="108" applyNumberFormat="1" applyFont="1" applyFill="1" applyAlignment="1" applyProtection="1">
      <alignment vertical="center" wrapText="1"/>
      <protection/>
    </xf>
    <xf numFmtId="0" fontId="94" fillId="0" borderId="0" xfId="107" applyFont="1" applyFill="1">
      <alignment/>
      <protection/>
    </xf>
    <xf numFmtId="180" fontId="60" fillId="0" borderId="0" xfId="108" applyNumberFormat="1" applyFont="1" applyFill="1" applyBorder="1" applyAlignment="1">
      <alignment horizontal="center" vertical="center" wrapText="1"/>
      <protection/>
    </xf>
    <xf numFmtId="0" fontId="99" fillId="0" borderId="0" xfId="108" applyFont="1" applyFill="1" applyBorder="1" applyAlignment="1" applyProtection="1">
      <alignment horizontal="right"/>
      <protection/>
    </xf>
    <xf numFmtId="0" fontId="100" fillId="0" borderId="0" xfId="108" applyFont="1" applyFill="1" applyBorder="1" applyAlignment="1" applyProtection="1">
      <alignment/>
      <protection/>
    </xf>
    <xf numFmtId="0" fontId="101" fillId="0" borderId="0" xfId="107" applyFont="1" applyFill="1">
      <alignment/>
      <protection/>
    </xf>
    <xf numFmtId="180" fontId="56" fillId="0" borderId="0" xfId="107" applyNumberFormat="1" applyFont="1" applyFill="1" applyBorder="1" applyAlignment="1" applyProtection="1">
      <alignment horizontal="centerContinuous" vertical="center"/>
      <protection/>
    </xf>
    <xf numFmtId="0" fontId="100" fillId="0" borderId="0" xfId="108" applyFont="1" applyFill="1" applyBorder="1" applyAlignment="1" applyProtection="1">
      <alignment horizontal="right"/>
      <protection/>
    </xf>
    <xf numFmtId="0" fontId="55" fillId="0" borderId="10" xfId="107" applyFont="1" applyFill="1" applyBorder="1" applyAlignment="1" applyProtection="1">
      <alignment horizontal="center" vertical="center" wrapText="1"/>
      <protection/>
    </xf>
    <xf numFmtId="0" fontId="60" fillId="0" borderId="12" xfId="107" applyFont="1" applyFill="1" applyBorder="1" applyAlignment="1" applyProtection="1">
      <alignment horizontal="center" vertical="center"/>
      <protection/>
    </xf>
    <xf numFmtId="0" fontId="55" fillId="0" borderId="18" xfId="107" applyFont="1" applyFill="1" applyBorder="1" applyAlignment="1" applyProtection="1">
      <alignment horizontal="center" vertical="center"/>
      <protection/>
    </xf>
    <xf numFmtId="0" fontId="55" fillId="0" borderId="0" xfId="107" applyFont="1" applyFill="1" applyBorder="1" applyAlignment="1" applyProtection="1">
      <alignment horizontal="center" vertical="center"/>
      <protection/>
    </xf>
    <xf numFmtId="0" fontId="55" fillId="0" borderId="0" xfId="107" applyFont="1" applyFill="1" applyBorder="1" applyAlignment="1" applyProtection="1">
      <alignment horizontal="center" vertical="center" wrapText="1"/>
      <protection/>
    </xf>
    <xf numFmtId="182" fontId="55" fillId="0" borderId="0" xfId="72" applyNumberFormat="1" applyFont="1" applyFill="1" applyBorder="1" applyAlignment="1" applyProtection="1">
      <alignment horizontal="center"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186" fontId="27" fillId="0" borderId="17" xfId="107" applyNumberFormat="1" applyFont="1" applyFill="1" applyBorder="1" applyAlignment="1">
      <alignment horizontal="center" vertical="center" wrapText="1"/>
      <protection/>
    </xf>
    <xf numFmtId="0" fontId="16" fillId="0" borderId="36" xfId="107" applyFont="1" applyFill="1" applyBorder="1" applyAlignment="1">
      <alignment horizontal="center" vertical="center"/>
      <protection/>
    </xf>
    <xf numFmtId="0" fontId="16" fillId="0" borderId="37" xfId="107" applyFont="1" applyFill="1" applyBorder="1" applyAlignment="1">
      <alignment horizontal="center" vertical="center"/>
      <protection/>
    </xf>
    <xf numFmtId="0" fontId="16" fillId="0" borderId="38" xfId="107" applyFont="1" applyFill="1" applyBorder="1" applyAlignment="1">
      <alignment horizontal="center" vertical="center"/>
      <protection/>
    </xf>
    <xf numFmtId="0" fontId="16" fillId="0" borderId="30" xfId="107" applyFont="1" applyFill="1" applyBorder="1" applyAlignment="1">
      <alignment horizontal="center" vertical="center"/>
      <protection/>
    </xf>
    <xf numFmtId="0" fontId="16" fillId="0" borderId="27" xfId="107" applyFont="1" applyFill="1" applyBorder="1" applyProtection="1">
      <alignment/>
      <protection locked="0"/>
    </xf>
    <xf numFmtId="182" fontId="16" fillId="0" borderId="27" xfId="72" applyNumberFormat="1" applyFont="1" applyFill="1" applyBorder="1" applyAlignment="1" applyProtection="1">
      <alignment/>
      <protection locked="0"/>
    </xf>
    <xf numFmtId="182" fontId="16" fillId="0" borderId="41" xfId="72" applyNumberFormat="1" applyFont="1" applyFill="1" applyBorder="1" applyAlignment="1">
      <alignment/>
    </xf>
    <xf numFmtId="0" fontId="16" fillId="0" borderId="12" xfId="107" applyFont="1" applyFill="1" applyBorder="1" applyAlignment="1">
      <alignment horizontal="center" vertical="center"/>
      <protection/>
    </xf>
    <xf numFmtId="0" fontId="16" fillId="0" borderId="13" xfId="107" applyFont="1" applyFill="1" applyBorder="1" applyProtection="1">
      <alignment/>
      <protection locked="0"/>
    </xf>
    <xf numFmtId="182" fontId="16" fillId="0" borderId="13" xfId="72" applyNumberFormat="1" applyFont="1" applyFill="1" applyBorder="1" applyAlignment="1" applyProtection="1">
      <alignment/>
      <protection locked="0"/>
    </xf>
    <xf numFmtId="182" fontId="16" fillId="0" borderId="43" xfId="72" applyNumberFormat="1" applyFont="1" applyFill="1" applyBorder="1" applyAlignment="1">
      <alignment/>
    </xf>
    <xf numFmtId="0" fontId="27" fillId="0" borderId="36" xfId="107" applyFont="1" applyFill="1" applyBorder="1" applyAlignment="1">
      <alignment horizontal="center" vertical="center"/>
      <protection/>
    </xf>
    <xf numFmtId="0" fontId="27" fillId="0" borderId="37" xfId="107" applyFont="1" applyFill="1" applyBorder="1">
      <alignment/>
      <protection/>
    </xf>
    <xf numFmtId="182" fontId="27" fillId="0" borderId="37" xfId="107" applyNumberFormat="1" applyFont="1" applyFill="1" applyBorder="1">
      <alignment/>
      <protection/>
    </xf>
    <xf numFmtId="182" fontId="27" fillId="0" borderId="38" xfId="107" applyNumberFormat="1" applyFont="1" applyFill="1" applyBorder="1">
      <alignment/>
      <protection/>
    </xf>
    <xf numFmtId="0" fontId="56" fillId="0" borderId="0" xfId="107" applyFont="1" applyFill="1">
      <alignment/>
      <protection/>
    </xf>
    <xf numFmtId="0" fontId="27" fillId="0" borderId="0" xfId="107" applyFont="1" applyFill="1" applyBorder="1" applyAlignment="1">
      <alignment horizontal="center" vertical="center"/>
      <protection/>
    </xf>
    <xf numFmtId="0" fontId="27" fillId="0" borderId="0" xfId="107" applyFont="1" applyFill="1" applyBorder="1">
      <alignment/>
      <protection/>
    </xf>
    <xf numFmtId="182" fontId="27" fillId="0" borderId="0" xfId="107" applyNumberFormat="1" applyFont="1" applyFill="1" applyBorder="1">
      <alignment/>
      <protection/>
    </xf>
    <xf numFmtId="0" fontId="101" fillId="0" borderId="0" xfId="107" applyFont="1" applyFill="1" applyAlignment="1">
      <alignment wrapText="1"/>
      <protection/>
    </xf>
    <xf numFmtId="0" fontId="55" fillId="0" borderId="39" xfId="107" applyFont="1" applyFill="1" applyBorder="1" applyAlignment="1" applyProtection="1">
      <alignment horizontal="center" vertical="center" wrapText="1"/>
      <protection/>
    </xf>
    <xf numFmtId="0" fontId="60" fillId="0" borderId="82" xfId="107" applyFont="1" applyFill="1" applyBorder="1" applyAlignment="1" applyProtection="1">
      <alignment horizontal="center" vertical="center"/>
      <protection/>
    </xf>
    <xf numFmtId="0" fontId="60" fillId="0" borderId="42" xfId="107" applyFont="1" applyFill="1" applyBorder="1" applyAlignment="1" applyProtection="1">
      <alignment horizontal="center" vertical="center"/>
      <protection/>
    </xf>
    <xf numFmtId="182" fontId="60" fillId="0" borderId="42" xfId="72" applyNumberFormat="1" applyFont="1" applyFill="1" applyBorder="1" applyAlignment="1" applyProtection="1">
      <alignment/>
      <protection locked="0"/>
    </xf>
    <xf numFmtId="0" fontId="60" fillId="0" borderId="83" xfId="107" applyFont="1" applyFill="1" applyBorder="1" applyAlignment="1" applyProtection="1">
      <alignment horizontal="center" vertical="center"/>
      <protection/>
    </xf>
    <xf numFmtId="0" fontId="59" fillId="0" borderId="84" xfId="107" applyFont="1" applyFill="1" applyBorder="1" applyAlignment="1" applyProtection="1">
      <alignment/>
      <protection/>
    </xf>
    <xf numFmtId="0" fontId="59" fillId="0" borderId="80" xfId="107" applyFont="1" applyFill="1" applyBorder="1" applyAlignment="1" applyProtection="1">
      <alignment/>
      <protection/>
    </xf>
    <xf numFmtId="0" fontId="59" fillId="0" borderId="85" xfId="107" applyFont="1" applyFill="1" applyBorder="1" applyAlignment="1" applyProtection="1">
      <alignment/>
      <protection/>
    </xf>
    <xf numFmtId="182" fontId="55" fillId="0" borderId="83" xfId="72" applyNumberFormat="1" applyFont="1" applyFill="1" applyBorder="1" applyAlignment="1" applyProtection="1">
      <alignment/>
      <protection/>
    </xf>
    <xf numFmtId="3" fontId="39" fillId="0" borderId="79" xfId="100" applyNumberFormat="1" applyFont="1" applyBorder="1" applyAlignment="1">
      <alignment vertical="center"/>
      <protection/>
    </xf>
    <xf numFmtId="0" fontId="39" fillId="0" borderId="13" xfId="111" applyFont="1" applyBorder="1" applyAlignment="1">
      <alignment vertical="center" wrapText="1"/>
      <protection/>
    </xf>
    <xf numFmtId="0" fontId="47" fillId="0" borderId="14" xfId="111" applyFont="1" applyBorder="1" applyAlignment="1">
      <alignment horizontal="left" vertical="center" wrapText="1"/>
      <protection/>
    </xf>
    <xf numFmtId="182" fontId="68" fillId="0" borderId="14" xfId="68" applyNumberFormat="1" applyFont="1" applyBorder="1" applyAlignment="1">
      <alignment horizontal="right" vertical="center"/>
    </xf>
    <xf numFmtId="0" fontId="91" fillId="0" borderId="70" xfId="111" applyFont="1" applyBorder="1" applyAlignment="1">
      <alignment/>
      <protection/>
    </xf>
    <xf numFmtId="180" fontId="60" fillId="0" borderId="14" xfId="108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62" xfId="108" applyNumberFormat="1" applyFont="1" applyFill="1" applyBorder="1" applyAlignment="1" applyProtection="1">
      <alignment horizontal="left" vertical="center" wrapText="1" indent="1"/>
      <protection/>
    </xf>
    <xf numFmtId="180" fontId="61" fillId="0" borderId="14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4" xfId="108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62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59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86" xfId="108" applyNumberFormat="1" applyFont="1" applyFill="1" applyBorder="1" applyAlignment="1" applyProtection="1">
      <alignment horizontal="center" vertical="center" wrapText="1"/>
      <protection/>
    </xf>
    <xf numFmtId="180" fontId="59" fillId="0" borderId="87" xfId="108" applyNumberFormat="1" applyFont="1" applyFill="1" applyBorder="1" applyAlignment="1" applyProtection="1">
      <alignment horizontal="center" vertical="center" wrapText="1"/>
      <protection/>
    </xf>
    <xf numFmtId="180" fontId="59" fillId="0" borderId="88" xfId="108" applyNumberFormat="1" applyFont="1" applyFill="1" applyBorder="1" applyAlignment="1" applyProtection="1">
      <alignment horizontal="center" vertical="center" wrapText="1"/>
      <protection/>
    </xf>
    <xf numFmtId="180" fontId="60" fillId="0" borderId="52" xfId="108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35" xfId="10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3" fillId="0" borderId="30" xfId="0" applyFont="1" applyBorder="1" applyAlignment="1">
      <alignment wrapText="1"/>
    </xf>
    <xf numFmtId="3" fontId="48" fillId="0" borderId="53" xfId="68" applyNumberFormat="1" applyFont="1" applyBorder="1" applyAlignment="1">
      <alignment/>
    </xf>
    <xf numFmtId="0" fontId="40" fillId="0" borderId="70" xfId="111" applyFont="1" applyFill="1" applyBorder="1" applyAlignment="1">
      <alignment horizontal="left" vertical="center"/>
      <protection/>
    </xf>
    <xf numFmtId="0" fontId="48" fillId="20" borderId="57" xfId="111" applyFont="1" applyFill="1" applyBorder="1" applyAlignment="1">
      <alignment horizontal="center" vertical="center"/>
      <protection/>
    </xf>
    <xf numFmtId="0" fontId="48" fillId="20" borderId="37" xfId="111" applyFont="1" applyFill="1" applyBorder="1" applyAlignment="1">
      <alignment horizontal="center" vertical="center"/>
      <protection/>
    </xf>
    <xf numFmtId="0" fontId="48" fillId="20" borderId="38" xfId="111" applyFont="1" applyFill="1" applyBorder="1" applyAlignment="1">
      <alignment horizontal="center" vertical="center" wrapText="1"/>
      <protection/>
    </xf>
    <xf numFmtId="0" fontId="48" fillId="20" borderId="62" xfId="111" applyFont="1" applyFill="1" applyBorder="1" applyAlignment="1">
      <alignment horizontal="center" vertical="center"/>
      <protection/>
    </xf>
    <xf numFmtId="0" fontId="40" fillId="20" borderId="52" xfId="103" applyFont="1" applyFill="1" applyBorder="1" applyAlignment="1">
      <alignment horizontal="center" vertical="center" wrapText="1"/>
      <protection/>
    </xf>
    <xf numFmtId="0" fontId="47" fillId="0" borderId="0" xfId="111" applyFont="1" applyAlignment="1">
      <alignment horizontal="left"/>
      <protection/>
    </xf>
    <xf numFmtId="0" fontId="45" fillId="0" borderId="0" xfId="111" applyFont="1" applyAlignment="1">
      <alignment horizontal="right"/>
      <protection/>
    </xf>
    <xf numFmtId="0" fontId="53" fillId="0" borderId="0" xfId="111" applyFont="1" applyAlignment="1">
      <alignment horizontal="center"/>
      <protection/>
    </xf>
    <xf numFmtId="0" fontId="68" fillId="0" borderId="50" xfId="111" applyFont="1" applyBorder="1" applyAlignment="1">
      <alignment horizontal="left" vertical="center"/>
      <protection/>
    </xf>
    <xf numFmtId="0" fontId="68" fillId="0" borderId="14" xfId="111" applyFont="1" applyBorder="1" applyAlignment="1">
      <alignment horizontal="left" vertical="center"/>
      <protection/>
    </xf>
    <xf numFmtId="0" fontId="40" fillId="0" borderId="14" xfId="111" applyFont="1" applyFill="1" applyBorder="1" applyAlignment="1">
      <alignment horizontal="left" vertical="center"/>
      <protection/>
    </xf>
    <xf numFmtId="0" fontId="69" fillId="0" borderId="13" xfId="111" applyFont="1" applyFill="1" applyBorder="1" applyAlignment="1">
      <alignment horizontal="left" vertical="center"/>
      <protection/>
    </xf>
    <xf numFmtId="0" fontId="68" fillId="0" borderId="48" xfId="111" applyFont="1" applyBorder="1" applyAlignment="1">
      <alignment horizontal="left"/>
      <protection/>
    </xf>
    <xf numFmtId="0" fontId="68" fillId="0" borderId="14" xfId="111" applyFont="1" applyBorder="1" applyAlignment="1">
      <alignment horizontal="left"/>
      <protection/>
    </xf>
    <xf numFmtId="0" fontId="40" fillId="0" borderId="12" xfId="111" applyFont="1" applyFill="1" applyBorder="1" applyAlignment="1">
      <alignment horizontal="left" vertical="center"/>
      <protection/>
    </xf>
    <xf numFmtId="0" fontId="40" fillId="0" borderId="13" xfId="111" applyFont="1" applyFill="1" applyBorder="1" applyAlignment="1">
      <alignment horizontal="left" vertical="center"/>
      <protection/>
    </xf>
    <xf numFmtId="0" fontId="40" fillId="0" borderId="58" xfId="111" applyFont="1" applyFill="1" applyBorder="1" applyAlignment="1">
      <alignment horizontal="left" vertical="center"/>
      <protection/>
    </xf>
    <xf numFmtId="0" fontId="40" fillId="0" borderId="70" xfId="111" applyFont="1" applyFill="1" applyBorder="1" applyAlignment="1">
      <alignment horizontal="left" vertical="center"/>
      <protection/>
    </xf>
    <xf numFmtId="0" fontId="40" fillId="0" borderId="89" xfId="111" applyFont="1" applyFill="1" applyBorder="1" applyAlignment="1">
      <alignment horizontal="left" vertical="center"/>
      <protection/>
    </xf>
    <xf numFmtId="0" fontId="68" fillId="0" borderId="48" xfId="111" applyFont="1" applyBorder="1" applyAlignment="1">
      <alignment horizontal="left" vertical="center"/>
      <protection/>
    </xf>
    <xf numFmtId="0" fontId="53" fillId="20" borderId="18" xfId="111" applyFont="1" applyFill="1" applyBorder="1" applyAlignment="1">
      <alignment horizontal="left" vertical="center"/>
      <protection/>
    </xf>
    <xf numFmtId="0" fontId="53" fillId="20" borderId="19" xfId="111" applyFont="1" applyFill="1" applyBorder="1" applyAlignment="1">
      <alignment horizontal="left" vertical="center"/>
      <protection/>
    </xf>
    <xf numFmtId="0" fontId="70" fillId="24" borderId="50" xfId="111" applyFont="1" applyFill="1" applyBorder="1" applyAlignment="1">
      <alignment horizontal="left" vertical="center"/>
      <protection/>
    </xf>
    <xf numFmtId="0" fontId="70" fillId="24" borderId="14" xfId="111" applyFont="1" applyFill="1" applyBorder="1" applyAlignment="1">
      <alignment horizontal="left" vertical="center"/>
      <protection/>
    </xf>
    <xf numFmtId="0" fontId="70" fillId="24" borderId="12" xfId="111" applyFont="1" applyFill="1" applyBorder="1" applyAlignment="1">
      <alignment horizontal="left" vertical="center"/>
      <protection/>
    </xf>
    <xf numFmtId="0" fontId="70" fillId="24" borderId="13" xfId="111" applyFont="1" applyFill="1" applyBorder="1" applyAlignment="1">
      <alignment horizontal="left" vertical="center"/>
      <protection/>
    </xf>
    <xf numFmtId="0" fontId="49" fillId="0" borderId="14" xfId="111" applyFont="1" applyFill="1" applyBorder="1" applyAlignment="1">
      <alignment horizontal="left" vertical="center"/>
      <protection/>
    </xf>
    <xf numFmtId="0" fontId="49" fillId="0" borderId="13" xfId="111" applyFont="1" applyFill="1" applyBorder="1" applyAlignment="1">
      <alignment horizontal="left" vertical="center"/>
      <protection/>
    </xf>
    <xf numFmtId="0" fontId="40" fillId="0" borderId="48" xfId="111" applyFont="1" applyFill="1" applyBorder="1" applyAlignment="1">
      <alignment horizontal="left" vertical="center"/>
      <protection/>
    </xf>
    <xf numFmtId="0" fontId="70" fillId="24" borderId="45" xfId="111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09" applyFont="1" applyBorder="1" applyAlignment="1" applyProtection="1">
      <alignment horizontal="center" vertical="center" wrapText="1"/>
      <protection locked="0"/>
    </xf>
    <xf numFmtId="0" fontId="40" fillId="20" borderId="17" xfId="103" applyFont="1" applyFill="1" applyBorder="1" applyAlignment="1">
      <alignment horizontal="center" vertical="center" wrapText="1"/>
      <protection/>
    </xf>
    <xf numFmtId="0" fontId="40" fillId="20" borderId="27" xfId="103" applyFont="1" applyFill="1" applyBorder="1" applyAlignment="1">
      <alignment horizontal="center" vertical="center" wrapText="1"/>
      <protection/>
    </xf>
    <xf numFmtId="0" fontId="91" fillId="0" borderId="70" xfId="111" applyFont="1" applyBorder="1" applyAlignment="1">
      <alignment horizontal="center"/>
      <protection/>
    </xf>
    <xf numFmtId="0" fontId="48" fillId="0" borderId="0" xfId="111" applyFont="1" applyAlignment="1">
      <alignment horizontal="center"/>
      <protection/>
    </xf>
    <xf numFmtId="0" fontId="40" fillId="20" borderId="45" xfId="103" applyFont="1" applyFill="1" applyBorder="1" applyAlignment="1">
      <alignment horizontal="center" vertical="center"/>
      <protection/>
    </xf>
    <xf numFmtId="0" fontId="40" fillId="20" borderId="48" xfId="103" applyFont="1" applyFill="1" applyBorder="1" applyAlignment="1">
      <alignment horizontal="center" vertical="center"/>
      <protection/>
    </xf>
    <xf numFmtId="0" fontId="40" fillId="20" borderId="14" xfId="103" applyFont="1" applyFill="1" applyBorder="1" applyAlignment="1">
      <alignment horizontal="center" vertical="center"/>
      <protection/>
    </xf>
    <xf numFmtId="0" fontId="40" fillId="20" borderId="17" xfId="103" applyFont="1" applyFill="1" applyBorder="1" applyAlignment="1">
      <alignment horizontal="center" vertical="center"/>
      <protection/>
    </xf>
    <xf numFmtId="0" fontId="40" fillId="20" borderId="27" xfId="103" applyFont="1" applyFill="1" applyBorder="1" applyAlignment="1">
      <alignment horizontal="center" vertical="center"/>
      <protection/>
    </xf>
    <xf numFmtId="0" fontId="52" fillId="0" borderId="0" xfId="102" applyFont="1" applyAlignment="1">
      <alignment horizontal="center"/>
      <protection/>
    </xf>
    <xf numFmtId="180" fontId="59" fillId="0" borderId="91" xfId="108" applyNumberFormat="1" applyFont="1" applyFill="1" applyBorder="1" applyAlignment="1" applyProtection="1">
      <alignment horizontal="center" vertical="center" wrapText="1"/>
      <protection/>
    </xf>
    <xf numFmtId="180" fontId="59" fillId="0" borderId="92" xfId="108" applyNumberFormat="1" applyFont="1" applyFill="1" applyBorder="1" applyAlignment="1" applyProtection="1">
      <alignment horizontal="center" vertical="center" wrapText="1"/>
      <protection/>
    </xf>
    <xf numFmtId="180" fontId="58" fillId="0" borderId="0" xfId="108" applyNumberFormat="1" applyFont="1" applyFill="1" applyAlignment="1" applyProtection="1">
      <alignment horizontal="center" textRotation="180" wrapText="1"/>
      <protection/>
    </xf>
    <xf numFmtId="180" fontId="62" fillId="0" borderId="93" xfId="108" applyNumberFormat="1" applyFont="1" applyFill="1" applyBorder="1" applyAlignment="1" applyProtection="1">
      <alignment horizontal="center" vertical="center" wrapText="1"/>
      <protection/>
    </xf>
    <xf numFmtId="180" fontId="59" fillId="0" borderId="57" xfId="108" applyNumberFormat="1" applyFont="1" applyFill="1" applyBorder="1" applyAlignment="1" applyProtection="1">
      <alignment horizontal="center" vertical="center" wrapText="1"/>
      <protection/>
    </xf>
    <xf numFmtId="180" fontId="59" fillId="0" borderId="62" xfId="108" applyNumberFormat="1" applyFont="1" applyFill="1" applyBorder="1" applyAlignment="1" applyProtection="1">
      <alignment horizontal="center" vertical="center" wrapText="1"/>
      <protection/>
    </xf>
    <xf numFmtId="180" fontId="59" fillId="0" borderId="46" xfId="108" applyNumberFormat="1" applyFont="1" applyFill="1" applyBorder="1" applyAlignment="1" applyProtection="1">
      <alignment horizontal="center" vertical="center" wrapText="1"/>
      <protection/>
    </xf>
    <xf numFmtId="180" fontId="59" fillId="0" borderId="82" xfId="108" applyNumberFormat="1" applyFont="1" applyFill="1" applyBorder="1" applyAlignment="1" applyProtection="1">
      <alignment horizontal="center" vertical="center" wrapText="1"/>
      <protection/>
    </xf>
    <xf numFmtId="180" fontId="59" fillId="0" borderId="83" xfId="108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Font="1" applyAlignment="1">
      <alignment horizontal="center"/>
      <protection/>
    </xf>
    <xf numFmtId="0" fontId="95" fillId="0" borderId="39" xfId="105" applyFont="1" applyFill="1" applyBorder="1" applyAlignment="1">
      <alignment horizontal="center" vertical="center" wrapText="1"/>
      <protection/>
    </xf>
    <xf numFmtId="0" fontId="25" fillId="25" borderId="39" xfId="105" applyFont="1" applyFill="1" applyBorder="1" applyAlignment="1">
      <alignment horizontal="center" vertical="center" wrapText="1"/>
      <protection/>
    </xf>
    <xf numFmtId="0" fontId="25" fillId="25" borderId="91" xfId="105" applyFont="1" applyFill="1" applyBorder="1" applyAlignment="1">
      <alignment horizontal="center" vertical="center" wrapText="1"/>
      <protection/>
    </xf>
    <xf numFmtId="0" fontId="25" fillId="25" borderId="94" xfId="105" applyFont="1" applyFill="1" applyBorder="1" applyAlignment="1">
      <alignment horizontal="center" vertical="center" wrapText="1"/>
      <protection/>
    </xf>
    <xf numFmtId="0" fontId="25" fillId="25" borderId="92" xfId="105" applyFont="1" applyFill="1" applyBorder="1" applyAlignment="1">
      <alignment horizontal="center" vertical="center" wrapText="1"/>
      <protection/>
    </xf>
    <xf numFmtId="0" fontId="45" fillId="25" borderId="13" xfId="111" applyFont="1" applyFill="1" applyBorder="1" applyAlignment="1">
      <alignment horizontal="center" vertical="center" wrapText="1"/>
      <protection/>
    </xf>
    <xf numFmtId="0" fontId="1" fillId="25" borderId="13" xfId="111" applyFont="1" applyFill="1" applyBorder="1" applyAlignment="1">
      <alignment horizontal="center" vertical="center" wrapText="1"/>
      <protection/>
    </xf>
    <xf numFmtId="0" fontId="1" fillId="25" borderId="13" xfId="111" applyFont="1" applyFill="1" applyBorder="1" applyAlignment="1">
      <alignment horizontal="center" vertical="center"/>
      <protection/>
    </xf>
    <xf numFmtId="0" fontId="1" fillId="0" borderId="70" xfId="111" applyFont="1" applyBorder="1" applyAlignment="1">
      <alignment horizontal="center"/>
      <protection/>
    </xf>
    <xf numFmtId="0" fontId="76" fillId="25" borderId="0" xfId="111" applyFont="1" applyFill="1" applyBorder="1" applyAlignment="1">
      <alignment horizontal="center" vertical="center"/>
      <protection/>
    </xf>
    <xf numFmtId="0" fontId="45" fillId="25" borderId="17" xfId="111" applyFont="1" applyFill="1" applyBorder="1" applyAlignment="1">
      <alignment horizontal="center" vertical="center" wrapText="1"/>
      <protection/>
    </xf>
    <xf numFmtId="0" fontId="45" fillId="25" borderId="27" xfId="111" applyFont="1" applyFill="1" applyBorder="1" applyAlignment="1">
      <alignment horizontal="center" vertical="center" wrapText="1"/>
      <protection/>
    </xf>
    <xf numFmtId="0" fontId="45" fillId="25" borderId="17" xfId="111" applyFont="1" applyFill="1" applyBorder="1" applyAlignment="1">
      <alignment horizontal="center" vertical="center"/>
      <protection/>
    </xf>
    <xf numFmtId="0" fontId="45" fillId="25" borderId="27" xfId="111" applyFont="1" applyFill="1" applyBorder="1" applyAlignment="1">
      <alignment horizontal="center" vertical="center"/>
      <protection/>
    </xf>
    <xf numFmtId="0" fontId="48" fillId="25" borderId="17" xfId="111" applyFont="1" applyFill="1" applyBorder="1" applyAlignment="1">
      <alignment horizontal="center" vertical="distributed"/>
      <protection/>
    </xf>
    <xf numFmtId="0" fontId="48" fillId="25" borderId="27" xfId="111" applyFont="1" applyFill="1" applyBorder="1" applyAlignment="1">
      <alignment horizontal="center" vertical="distributed"/>
      <protection/>
    </xf>
    <xf numFmtId="0" fontId="45" fillId="25" borderId="45" xfId="111" applyFont="1" applyFill="1" applyBorder="1" applyAlignment="1">
      <alignment horizontal="center" vertical="center" wrapText="1"/>
      <protection/>
    </xf>
    <xf numFmtId="0" fontId="45" fillId="25" borderId="14" xfId="111" applyFont="1" applyFill="1" applyBorder="1" applyAlignment="1">
      <alignment horizontal="center" vertical="center" wrapText="1"/>
      <protection/>
    </xf>
    <xf numFmtId="0" fontId="48" fillId="0" borderId="0" xfId="108" applyFont="1" applyAlignment="1">
      <alignment horizontal="center" wrapText="1"/>
      <protection/>
    </xf>
    <xf numFmtId="0" fontId="83" fillId="0" borderId="0" xfId="108" applyFont="1" applyAlignment="1">
      <alignment horizontal="right" wrapText="1"/>
      <protection/>
    </xf>
    <xf numFmtId="0" fontId="16" fillId="0" borderId="93" xfId="108" applyFont="1" applyFill="1" applyBorder="1" applyAlignment="1">
      <alignment horizontal="justify" vertical="center" wrapText="1"/>
      <protection/>
    </xf>
    <xf numFmtId="180" fontId="59" fillId="0" borderId="81" xfId="108" applyNumberFormat="1" applyFont="1" applyFill="1" applyBorder="1" applyAlignment="1" applyProtection="1">
      <alignment horizontal="center" vertical="center" wrapText="1"/>
      <protection/>
    </xf>
    <xf numFmtId="180" fontId="59" fillId="0" borderId="27" xfId="108" applyNumberFormat="1" applyFont="1" applyFill="1" applyBorder="1" applyAlignment="1" applyProtection="1">
      <alignment horizontal="center" vertical="center" wrapText="1"/>
      <protection/>
    </xf>
    <xf numFmtId="180" fontId="59" fillId="0" borderId="11" xfId="108" applyNumberFormat="1" applyFont="1" applyFill="1" applyBorder="1" applyAlignment="1" applyProtection="1">
      <alignment horizontal="center" vertical="center"/>
      <protection/>
    </xf>
    <xf numFmtId="180" fontId="59" fillId="0" borderId="95" xfId="108" applyNumberFormat="1" applyFont="1" applyFill="1" applyBorder="1" applyAlignment="1" applyProtection="1">
      <alignment horizontal="center" vertical="center"/>
      <protection/>
    </xf>
    <xf numFmtId="180" fontId="59" fillId="0" borderId="43" xfId="108" applyNumberFormat="1" applyFont="1" applyFill="1" applyBorder="1" applyAlignment="1" applyProtection="1">
      <alignment horizontal="center" vertical="center"/>
      <protection/>
    </xf>
    <xf numFmtId="180" fontId="58" fillId="0" borderId="44" xfId="108" applyNumberFormat="1" applyFont="1" applyFill="1" applyBorder="1" applyAlignment="1" applyProtection="1">
      <alignment horizontal="center" textRotation="180" wrapText="1"/>
      <protection/>
    </xf>
    <xf numFmtId="180" fontId="98" fillId="0" borderId="18" xfId="108" applyNumberFormat="1" applyFont="1" applyFill="1" applyBorder="1" applyAlignment="1" applyProtection="1">
      <alignment horizontal="left" vertical="center" wrapText="1" indent="2"/>
      <protection/>
    </xf>
    <xf numFmtId="180" fontId="98" fillId="0" borderId="19" xfId="108" applyNumberFormat="1" applyFont="1" applyFill="1" applyBorder="1" applyAlignment="1" applyProtection="1">
      <alignment horizontal="left" vertical="center" wrapText="1" indent="2"/>
      <protection/>
    </xf>
    <xf numFmtId="180" fontId="96" fillId="0" borderId="0" xfId="108" applyNumberFormat="1" applyFont="1" applyFill="1" applyAlignment="1" applyProtection="1">
      <alignment horizontal="center" vertical="center" wrapText="1"/>
      <protection/>
    </xf>
    <xf numFmtId="0" fontId="97" fillId="0" borderId="0" xfId="108" applyFont="1" applyAlignment="1">
      <alignment horizontal="right" wrapText="1"/>
      <protection/>
    </xf>
    <xf numFmtId="180" fontId="60" fillId="0" borderId="56" xfId="108" applyNumberFormat="1" applyFont="1" applyFill="1" applyBorder="1" applyAlignment="1">
      <alignment horizontal="center" vertical="center" wrapText="1"/>
      <protection/>
    </xf>
    <xf numFmtId="180" fontId="59" fillId="0" borderId="10" xfId="108" applyNumberFormat="1" applyFont="1" applyFill="1" applyBorder="1" applyAlignment="1" applyProtection="1">
      <alignment horizontal="center" vertical="center" wrapText="1"/>
      <protection/>
    </xf>
    <xf numFmtId="180" fontId="59" fillId="0" borderId="12" xfId="108" applyNumberFormat="1" applyFont="1" applyFill="1" applyBorder="1" applyAlignment="1" applyProtection="1">
      <alignment horizontal="center" vertical="center" wrapText="1"/>
      <protection/>
    </xf>
    <xf numFmtId="180" fontId="59" fillId="0" borderId="13" xfId="108" applyNumberFormat="1" applyFont="1" applyFill="1" applyBorder="1" applyAlignment="1" applyProtection="1">
      <alignment horizontal="center" vertical="center"/>
      <protection/>
    </xf>
    <xf numFmtId="180" fontId="59" fillId="0" borderId="11" xfId="108" applyNumberFormat="1" applyFont="1" applyFill="1" applyBorder="1" applyAlignment="1" applyProtection="1">
      <alignment horizontal="center" vertical="center" wrapText="1"/>
      <protection/>
    </xf>
    <xf numFmtId="180" fontId="57" fillId="0" borderId="0" xfId="107" applyNumberFormat="1" applyFont="1" applyFill="1" applyBorder="1" applyAlignment="1" applyProtection="1">
      <alignment horizontal="center" vertical="center" wrapText="1"/>
      <protection/>
    </xf>
    <xf numFmtId="180" fontId="60" fillId="0" borderId="0" xfId="108" applyNumberFormat="1" applyFont="1" applyFill="1" applyBorder="1" applyAlignment="1">
      <alignment horizontal="right" vertical="center" wrapText="1"/>
      <protection/>
    </xf>
    <xf numFmtId="180" fontId="98" fillId="0" borderId="0" xfId="107" applyNumberFormat="1" applyFont="1" applyFill="1" applyBorder="1" applyAlignment="1" applyProtection="1">
      <alignment horizontal="left" vertical="center"/>
      <protection/>
    </xf>
    <xf numFmtId="0" fontId="27" fillId="0" borderId="11" xfId="107" applyFont="1" applyFill="1" applyBorder="1" applyAlignment="1" applyProtection="1">
      <alignment horizontal="center" vertical="center" wrapText="1"/>
      <protection/>
    </xf>
    <xf numFmtId="0" fontId="55" fillId="0" borderId="11" xfId="107" applyFont="1" applyFill="1" applyBorder="1" applyAlignment="1" applyProtection="1">
      <alignment horizontal="center" vertical="center" wrapText="1"/>
      <protection/>
    </xf>
    <xf numFmtId="0" fontId="55" fillId="0" borderId="95" xfId="10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0" fillId="0" borderId="13" xfId="107" applyFont="1" applyFill="1" applyBorder="1" applyAlignment="1" applyProtection="1">
      <alignment horizontal="center" vertical="center"/>
      <protection/>
    </xf>
    <xf numFmtId="0" fontId="60" fillId="0" borderId="43" xfId="107" applyFont="1" applyFill="1" applyBorder="1" applyAlignment="1" applyProtection="1">
      <alignment horizontal="center" vertical="center"/>
      <protection/>
    </xf>
    <xf numFmtId="0" fontId="60" fillId="0" borderId="13" xfId="107" applyFont="1" applyFill="1" applyBorder="1" applyAlignment="1" applyProtection="1">
      <alignment horizontal="center"/>
      <protection locked="0"/>
    </xf>
    <xf numFmtId="182" fontId="60" fillId="0" borderId="13" xfId="72" applyNumberFormat="1" applyFont="1" applyFill="1" applyBorder="1" applyAlignment="1" applyProtection="1">
      <alignment horizontal="center"/>
      <protection locked="0"/>
    </xf>
    <xf numFmtId="182" fontId="60" fillId="0" borderId="43" xfId="72" applyNumberFormat="1" applyFont="1" applyFill="1" applyBorder="1" applyAlignment="1" applyProtection="1">
      <alignment horizontal="center"/>
      <protection locked="0"/>
    </xf>
    <xf numFmtId="0" fontId="55" fillId="0" borderId="19" xfId="107" applyFont="1" applyFill="1" applyBorder="1" applyAlignment="1" applyProtection="1">
      <alignment horizontal="center" vertical="center" wrapText="1"/>
      <protection/>
    </xf>
    <xf numFmtId="182" fontId="55" fillId="0" borderId="19" xfId="72" applyNumberFormat="1" applyFont="1" applyFill="1" applyBorder="1" applyAlignment="1" applyProtection="1">
      <alignment horizontal="center"/>
      <protection/>
    </xf>
    <xf numFmtId="182" fontId="55" fillId="0" borderId="51" xfId="72" applyNumberFormat="1" applyFont="1" applyFill="1" applyBorder="1" applyAlignment="1" applyProtection="1">
      <alignment horizontal="center"/>
      <protection/>
    </xf>
    <xf numFmtId="0" fontId="27" fillId="0" borderId="10" xfId="107" applyFont="1" applyFill="1" applyBorder="1" applyAlignment="1">
      <alignment horizontal="center" vertical="center" wrapText="1"/>
      <protection/>
    </xf>
    <xf numFmtId="0" fontId="27" fillId="0" borderId="16" xfId="107" applyFont="1" applyFill="1" applyBorder="1" applyAlignment="1">
      <alignment horizontal="center" vertical="center" wrapText="1"/>
      <protection/>
    </xf>
    <xf numFmtId="0" fontId="27" fillId="0" borderId="11" xfId="107" applyFont="1" applyFill="1" applyBorder="1" applyAlignment="1">
      <alignment horizontal="center" vertical="center" wrapText="1"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0" fontId="27" fillId="0" borderId="96" xfId="107" applyFont="1" applyFill="1" applyBorder="1" applyAlignment="1">
      <alignment horizontal="center" vertical="center" wrapText="1"/>
      <protection/>
    </xf>
    <xf numFmtId="0" fontId="27" fillId="0" borderId="97" xfId="107" applyFont="1" applyFill="1" applyBorder="1" applyAlignment="1">
      <alignment horizontal="center" vertical="center" wrapText="1"/>
      <protection/>
    </xf>
    <xf numFmtId="0" fontId="27" fillId="0" borderId="55" xfId="107" applyFont="1" applyFill="1" applyBorder="1" applyAlignment="1">
      <alignment horizontal="center" vertical="center" wrapText="1"/>
      <protection/>
    </xf>
    <xf numFmtId="0" fontId="27" fillId="0" borderId="95" xfId="107" applyFont="1" applyFill="1" applyBorder="1" applyAlignment="1">
      <alignment horizontal="center" vertical="center" wrapText="1"/>
      <protection/>
    </xf>
    <xf numFmtId="0" fontId="27" fillId="0" borderId="98" xfId="107" applyFont="1" applyFill="1" applyBorder="1" applyAlignment="1">
      <alignment horizontal="center" vertical="center" wrapText="1"/>
      <protection/>
    </xf>
    <xf numFmtId="0" fontId="91" fillId="0" borderId="14" xfId="108" applyFont="1" applyBorder="1" applyAlignment="1">
      <alignment horizontal="left" wrapText="1"/>
      <protection/>
    </xf>
    <xf numFmtId="0" fontId="91" fillId="0" borderId="13" xfId="108" applyFont="1" applyBorder="1" applyAlignment="1">
      <alignment horizontal="left" wrapText="1"/>
      <protection/>
    </xf>
    <xf numFmtId="0" fontId="91" fillId="0" borderId="45" xfId="108" applyFont="1" applyBorder="1" applyAlignment="1">
      <alignment horizontal="left" wrapText="1"/>
      <protection/>
    </xf>
    <xf numFmtId="0" fontId="91" fillId="0" borderId="48" xfId="108" applyFont="1" applyBorder="1" applyAlignment="1">
      <alignment horizontal="left" wrapText="1"/>
      <protection/>
    </xf>
    <xf numFmtId="0" fontId="60" fillId="0" borderId="93" xfId="107" applyFont="1" applyFill="1" applyBorder="1" applyAlignment="1">
      <alignment horizontal="center" vertical="center" wrapText="1"/>
      <protection/>
    </xf>
    <xf numFmtId="0" fontId="98" fillId="0" borderId="0" xfId="107" applyFont="1" applyFill="1" applyAlignment="1">
      <alignment horizontal="left" wrapText="1"/>
      <protection/>
    </xf>
    <xf numFmtId="0" fontId="55" fillId="0" borderId="46" xfId="107" applyFont="1" applyFill="1" applyBorder="1" applyAlignment="1" applyProtection="1">
      <alignment horizontal="center" vertical="center" wrapText="1"/>
      <protection/>
    </xf>
    <xf numFmtId="0" fontId="55" fillId="0" borderId="39" xfId="107" applyFont="1" applyFill="1" applyBorder="1" applyAlignment="1" applyProtection="1">
      <alignment horizontal="center" vertical="center" wrapText="1"/>
      <protection/>
    </xf>
    <xf numFmtId="0" fontId="60" fillId="0" borderId="99" xfId="107" applyFont="1" applyFill="1" applyBorder="1" applyAlignment="1" applyProtection="1">
      <alignment horizontal="center" vertical="center"/>
      <protection/>
    </xf>
    <xf numFmtId="0" fontId="60" fillId="0" borderId="82" xfId="107" applyFont="1" applyFill="1" applyBorder="1" applyAlignment="1" applyProtection="1">
      <alignment horizontal="center" vertical="center"/>
      <protection/>
    </xf>
    <xf numFmtId="0" fontId="60" fillId="0" borderId="100" xfId="107" applyFont="1" applyFill="1" applyBorder="1" applyAlignment="1" applyProtection="1">
      <alignment horizontal="center" vertical="center"/>
      <protection/>
    </xf>
    <xf numFmtId="0" fontId="60" fillId="0" borderId="50" xfId="107" applyFont="1" applyFill="1" applyBorder="1" applyAlignment="1" applyProtection="1">
      <alignment horizontal="left"/>
      <protection/>
    </xf>
    <xf numFmtId="0" fontId="60" fillId="0" borderId="48" xfId="107" applyFont="1" applyFill="1" applyBorder="1" applyAlignment="1" applyProtection="1">
      <alignment horizontal="left"/>
      <protection/>
    </xf>
    <xf numFmtId="0" fontId="60" fillId="0" borderId="101" xfId="107" applyFont="1" applyFill="1" applyBorder="1" applyAlignment="1" applyProtection="1">
      <alignment horizontal="left"/>
      <protection/>
    </xf>
  </cellXfs>
  <cellStyles count="11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5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  3   _2010.évi állami" xfId="100"/>
    <cellStyle name="Normál_11szm" xfId="101"/>
    <cellStyle name="Normál_12.sz.mell.2013.évi fejlesztés" xfId="102"/>
    <cellStyle name="Normál_2004.évi normatívák" xfId="103"/>
    <cellStyle name="Normál_3aszm" xfId="104"/>
    <cellStyle name="Normál_7szm" xfId="105"/>
    <cellStyle name="Normál_költségvetés módosítás I." xfId="106"/>
    <cellStyle name="Normál_KVRENMUNKA" xfId="107"/>
    <cellStyle name="Normál_Másolat eredetijeKVIREND" xfId="108"/>
    <cellStyle name="Normál_Táblák 01-08 08.31." xfId="109"/>
    <cellStyle name="Normal_tanusitv" xfId="110"/>
    <cellStyle name="Normál_Zalakaros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Százalék 2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3"/>
  <sheetViews>
    <sheetView tabSelected="1" zoomScale="90" zoomScaleNormal="90" zoomScaleSheetLayoutView="100" zoomScalePageLayoutView="90" workbookViewId="0" topLeftCell="A1">
      <selection activeCell="A3" sqref="A3:A4"/>
    </sheetView>
  </sheetViews>
  <sheetFormatPr defaultColWidth="9.140625" defaultRowHeight="12.75"/>
  <cols>
    <col min="1" max="1" width="4.57421875" style="140" customWidth="1"/>
    <col min="2" max="2" width="40.7109375" style="140" customWidth="1"/>
    <col min="3" max="3" width="15.140625" style="140" customWidth="1"/>
    <col min="4" max="4" width="16.28125" style="140" hidden="1" customWidth="1"/>
    <col min="5" max="5" width="16.8515625" style="140" hidden="1" customWidth="1"/>
    <col min="6" max="6" width="16.28125" style="140" hidden="1" customWidth="1"/>
    <col min="7" max="7" width="16.8515625" style="140" hidden="1" customWidth="1"/>
    <col min="8" max="8" width="16.28125" style="140" hidden="1" customWidth="1"/>
    <col min="9" max="9" width="16.28125" style="140" customWidth="1"/>
    <col min="10" max="10" width="15.421875" style="140" customWidth="1"/>
    <col min="11" max="11" width="15.00390625" style="140" customWidth="1"/>
    <col min="12" max="12" width="5.7109375" style="140" customWidth="1"/>
    <col min="13" max="13" width="40.7109375" style="140" customWidth="1"/>
    <col min="14" max="14" width="15.57421875" style="140" customWidth="1"/>
    <col min="15" max="19" width="15.57421875" style="140" hidden="1" customWidth="1"/>
    <col min="20" max="22" width="15.57421875" style="140" customWidth="1"/>
    <col min="23" max="16384" width="9.140625" style="140" customWidth="1"/>
  </cols>
  <sheetData>
    <row r="1" spans="1:22" ht="18.75">
      <c r="A1" s="731" t="s">
        <v>506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301"/>
      <c r="V1" s="301"/>
    </row>
    <row r="2" spans="1:22" ht="18.75">
      <c r="A2" s="731" t="s">
        <v>538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301"/>
      <c r="V2" s="301"/>
    </row>
    <row r="3" spans="1:22" ht="18.75">
      <c r="A3" s="729" t="s">
        <v>778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0"/>
      <c r="O3" s="730"/>
      <c r="P3" s="730"/>
      <c r="Q3" s="730"/>
      <c r="R3" s="730"/>
      <c r="S3" s="730"/>
      <c r="T3" s="730"/>
      <c r="U3" s="730"/>
      <c r="V3" s="730"/>
    </row>
    <row r="4" spans="1:22" ht="16.5" thickBot="1">
      <c r="A4" s="729" t="s">
        <v>777</v>
      </c>
      <c r="N4" s="419"/>
      <c r="O4" s="419"/>
      <c r="P4" s="425"/>
      <c r="Q4" s="419"/>
      <c r="R4" s="425"/>
      <c r="S4" s="419"/>
      <c r="T4" s="425"/>
      <c r="U4" s="419"/>
      <c r="V4" s="425" t="s">
        <v>509</v>
      </c>
    </row>
    <row r="5" spans="1:22" ht="47.25" customHeight="1" thickBot="1">
      <c r="A5" s="724"/>
      <c r="B5" s="725" t="s">
        <v>318</v>
      </c>
      <c r="C5" s="726" t="s">
        <v>508</v>
      </c>
      <c r="D5" s="726" t="s">
        <v>558</v>
      </c>
      <c r="E5" s="726" t="s">
        <v>559</v>
      </c>
      <c r="F5" s="726" t="s">
        <v>573</v>
      </c>
      <c r="G5" s="726" t="s">
        <v>574</v>
      </c>
      <c r="H5" s="726" t="s">
        <v>617</v>
      </c>
      <c r="I5" s="726" t="s">
        <v>616</v>
      </c>
      <c r="J5" s="726" t="s">
        <v>625</v>
      </c>
      <c r="K5" s="726" t="s">
        <v>624</v>
      </c>
      <c r="L5" s="727"/>
      <c r="M5" s="725" t="s">
        <v>318</v>
      </c>
      <c r="N5" s="726" t="s">
        <v>508</v>
      </c>
      <c r="O5" s="726" t="s">
        <v>558</v>
      </c>
      <c r="P5" s="726" t="s">
        <v>559</v>
      </c>
      <c r="Q5" s="726" t="s">
        <v>573</v>
      </c>
      <c r="R5" s="726" t="s">
        <v>574</v>
      </c>
      <c r="S5" s="726" t="s">
        <v>617</v>
      </c>
      <c r="T5" s="726" t="s">
        <v>616</v>
      </c>
      <c r="U5" s="726" t="s">
        <v>625</v>
      </c>
      <c r="V5" s="726" t="s">
        <v>624</v>
      </c>
    </row>
    <row r="6" spans="1:22" ht="15" customHeight="1">
      <c r="A6" s="740" t="s">
        <v>319</v>
      </c>
      <c r="B6" s="741"/>
      <c r="C6" s="742"/>
      <c r="D6" s="723"/>
      <c r="E6" s="723"/>
      <c r="F6" s="723"/>
      <c r="G6" s="723"/>
      <c r="H6" s="723"/>
      <c r="I6" s="723"/>
      <c r="J6" s="723"/>
      <c r="K6" s="723"/>
      <c r="L6" s="741" t="s">
        <v>320</v>
      </c>
      <c r="M6" s="741"/>
      <c r="N6" s="742"/>
      <c r="O6" s="426"/>
      <c r="P6" s="426"/>
      <c r="Q6" s="426"/>
      <c r="R6" s="426"/>
      <c r="S6" s="426"/>
      <c r="T6" s="426"/>
      <c r="U6" s="426"/>
      <c r="V6" s="426"/>
    </row>
    <row r="7" spans="1:22" ht="15" customHeight="1">
      <c r="A7" s="192" t="s">
        <v>97</v>
      </c>
      <c r="B7" s="145" t="s">
        <v>321</v>
      </c>
      <c r="C7" s="169"/>
      <c r="D7" s="169"/>
      <c r="E7" s="169"/>
      <c r="F7" s="169"/>
      <c r="G7" s="169"/>
      <c r="H7" s="169"/>
      <c r="I7" s="169"/>
      <c r="J7" s="169"/>
      <c r="K7" s="169"/>
      <c r="L7" s="164" t="s">
        <v>97</v>
      </c>
      <c r="M7" s="146" t="s">
        <v>321</v>
      </c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5" customHeight="1">
      <c r="A8" s="192"/>
      <c r="B8" s="151" t="s">
        <v>322</v>
      </c>
      <c r="C8" s="170">
        <v>160777558</v>
      </c>
      <c r="D8" s="170">
        <v>142500</v>
      </c>
      <c r="E8" s="170">
        <f>C8+D8</f>
        <v>160920058</v>
      </c>
      <c r="F8" s="170">
        <v>1641820</v>
      </c>
      <c r="G8" s="170">
        <f>E8+F8</f>
        <v>162561878</v>
      </c>
      <c r="H8" s="170">
        <v>1823145</v>
      </c>
      <c r="I8" s="170">
        <f>G8+H8</f>
        <v>164385023</v>
      </c>
      <c r="J8" s="170">
        <v>817521</v>
      </c>
      <c r="K8" s="170">
        <f>I8+J8</f>
        <v>165202544</v>
      </c>
      <c r="L8" s="148"/>
      <c r="M8" s="151" t="s">
        <v>356</v>
      </c>
      <c r="N8" s="169">
        <v>56062080</v>
      </c>
      <c r="O8" s="169">
        <v>113200</v>
      </c>
      <c r="P8" s="169">
        <f aca="true" t="shared" si="0" ref="P8:P13">N8+O8</f>
        <v>56175280</v>
      </c>
      <c r="Q8" s="169">
        <v>1062299</v>
      </c>
      <c r="R8" s="169">
        <f aca="true" t="shared" si="1" ref="R8:R13">P8+Q8</f>
        <v>57237579</v>
      </c>
      <c r="S8" s="169">
        <v>550000</v>
      </c>
      <c r="T8" s="169">
        <f aca="true" t="shared" si="2" ref="T8:T13">R8+S8</f>
        <v>57787579</v>
      </c>
      <c r="U8" s="169">
        <v>2799958</v>
      </c>
      <c r="V8" s="169">
        <f aca="true" t="shared" si="3" ref="V8:V13">T8+U8</f>
        <v>60587537</v>
      </c>
    </row>
    <row r="9" spans="1:22" ht="27" customHeight="1">
      <c r="A9" s="192"/>
      <c r="B9" s="158" t="s">
        <v>323</v>
      </c>
      <c r="C9" s="171">
        <v>81460000</v>
      </c>
      <c r="D9" s="171">
        <v>0</v>
      </c>
      <c r="E9" s="170">
        <f>C9+D9</f>
        <v>81460000</v>
      </c>
      <c r="F9" s="171">
        <v>3330634</v>
      </c>
      <c r="G9" s="170">
        <f>E9+F9</f>
        <v>84790634</v>
      </c>
      <c r="H9" s="171">
        <v>0</v>
      </c>
      <c r="I9" s="170">
        <f>G9+H9</f>
        <v>84790634</v>
      </c>
      <c r="J9" s="171">
        <v>-1355737</v>
      </c>
      <c r="K9" s="170">
        <f>I9+J9</f>
        <v>83434897</v>
      </c>
      <c r="L9" s="164"/>
      <c r="M9" s="184" t="s">
        <v>357</v>
      </c>
      <c r="N9" s="169">
        <v>14800000</v>
      </c>
      <c r="O9" s="169">
        <v>0</v>
      </c>
      <c r="P9" s="169">
        <f t="shared" si="0"/>
        <v>14800000</v>
      </c>
      <c r="Q9" s="169">
        <v>258874</v>
      </c>
      <c r="R9" s="169">
        <f t="shared" si="1"/>
        <v>15058874</v>
      </c>
      <c r="S9" s="169">
        <v>0</v>
      </c>
      <c r="T9" s="169">
        <f t="shared" si="2"/>
        <v>15058874</v>
      </c>
      <c r="U9" s="169">
        <v>360203</v>
      </c>
      <c r="V9" s="169">
        <f t="shared" si="3"/>
        <v>15419077</v>
      </c>
    </row>
    <row r="10" spans="1:22" ht="15" customHeight="1">
      <c r="A10" s="192"/>
      <c r="B10" s="151" t="s">
        <v>324</v>
      </c>
      <c r="C10" s="171">
        <v>28888730</v>
      </c>
      <c r="D10" s="171">
        <v>1250000</v>
      </c>
      <c r="E10" s="170">
        <f>C10+D10</f>
        <v>30138730</v>
      </c>
      <c r="F10" s="171">
        <v>1865000</v>
      </c>
      <c r="G10" s="170">
        <f>E10+F10</f>
        <v>32003730</v>
      </c>
      <c r="H10" s="171">
        <v>1048000</v>
      </c>
      <c r="I10" s="170">
        <f>G10+H10</f>
        <v>33051730</v>
      </c>
      <c r="J10" s="171">
        <v>-2520684</v>
      </c>
      <c r="K10" s="170">
        <f>I10+J10</f>
        <v>30531046</v>
      </c>
      <c r="L10" s="164"/>
      <c r="M10" s="151" t="s">
        <v>358</v>
      </c>
      <c r="N10" s="169">
        <v>66766700</v>
      </c>
      <c r="O10" s="169">
        <v>1055036</v>
      </c>
      <c r="P10" s="169">
        <f t="shared" si="0"/>
        <v>67821736</v>
      </c>
      <c r="Q10" s="169">
        <v>3284051</v>
      </c>
      <c r="R10" s="169">
        <f t="shared" si="1"/>
        <v>71105787</v>
      </c>
      <c r="S10" s="169">
        <v>215365</v>
      </c>
      <c r="T10" s="169">
        <f t="shared" si="2"/>
        <v>71321152</v>
      </c>
      <c r="U10" s="169">
        <v>-1463352</v>
      </c>
      <c r="V10" s="169">
        <f t="shared" si="3"/>
        <v>69857800</v>
      </c>
    </row>
    <row r="11" spans="1:22" ht="15" customHeight="1">
      <c r="A11" s="192"/>
      <c r="B11" s="151" t="s">
        <v>325</v>
      </c>
      <c r="C11" s="171">
        <v>50000</v>
      </c>
      <c r="D11" s="171">
        <v>1350000</v>
      </c>
      <c r="E11" s="170">
        <f>C11+D11</f>
        <v>1400000</v>
      </c>
      <c r="F11" s="171">
        <v>0</v>
      </c>
      <c r="G11" s="170">
        <f>E11+F11</f>
        <v>1400000</v>
      </c>
      <c r="H11" s="171">
        <v>0</v>
      </c>
      <c r="I11" s="170">
        <f>G11+H11</f>
        <v>1400000</v>
      </c>
      <c r="J11" s="171">
        <v>0</v>
      </c>
      <c r="K11" s="170">
        <f>I11+J11</f>
        <v>1400000</v>
      </c>
      <c r="L11" s="164"/>
      <c r="M11" s="151" t="s">
        <v>359</v>
      </c>
      <c r="N11" s="169">
        <v>5300000</v>
      </c>
      <c r="O11" s="169">
        <v>0</v>
      </c>
      <c r="P11" s="169">
        <f t="shared" si="0"/>
        <v>5300000</v>
      </c>
      <c r="Q11" s="169">
        <v>0</v>
      </c>
      <c r="R11" s="169">
        <f t="shared" si="1"/>
        <v>5300000</v>
      </c>
      <c r="S11" s="169">
        <v>2113780</v>
      </c>
      <c r="T11" s="169">
        <f t="shared" si="2"/>
        <v>7413780</v>
      </c>
      <c r="U11" s="169">
        <v>0</v>
      </c>
      <c r="V11" s="169">
        <f t="shared" si="3"/>
        <v>7413780</v>
      </c>
    </row>
    <row r="12" spans="1:22" ht="15" customHeight="1">
      <c r="A12" s="192"/>
      <c r="B12" s="160"/>
      <c r="C12" s="172"/>
      <c r="D12" s="172"/>
      <c r="E12" s="172"/>
      <c r="F12" s="172"/>
      <c r="G12" s="172"/>
      <c r="H12" s="172"/>
      <c r="I12" s="172"/>
      <c r="J12" s="172"/>
      <c r="K12" s="172"/>
      <c r="L12" s="164"/>
      <c r="M12" s="151" t="s">
        <v>360</v>
      </c>
      <c r="N12" s="169">
        <f>59615946-2000000</f>
        <v>57615946</v>
      </c>
      <c r="O12" s="169">
        <v>85600</v>
      </c>
      <c r="P12" s="169">
        <f t="shared" si="0"/>
        <v>57701546</v>
      </c>
      <c r="Q12" s="169">
        <v>4950000</v>
      </c>
      <c r="R12" s="169">
        <f t="shared" si="1"/>
        <v>62651546</v>
      </c>
      <c r="S12" s="169">
        <v>0</v>
      </c>
      <c r="T12" s="169">
        <f t="shared" si="2"/>
        <v>62651546</v>
      </c>
      <c r="U12" s="169">
        <v>-7166448</v>
      </c>
      <c r="V12" s="169">
        <f t="shared" si="3"/>
        <v>55485098</v>
      </c>
    </row>
    <row r="13" spans="1:22" ht="15" customHeight="1">
      <c r="A13" s="192"/>
      <c r="B13" s="150"/>
      <c r="C13" s="171"/>
      <c r="D13" s="171"/>
      <c r="E13" s="171"/>
      <c r="F13" s="171"/>
      <c r="G13" s="171"/>
      <c r="H13" s="171"/>
      <c r="I13" s="171"/>
      <c r="J13" s="171"/>
      <c r="K13" s="171"/>
      <c r="L13" s="164"/>
      <c r="M13" s="151" t="s">
        <v>327</v>
      </c>
      <c r="N13" s="169">
        <v>0</v>
      </c>
      <c r="O13" s="169">
        <v>0</v>
      </c>
      <c r="P13" s="169">
        <f t="shared" si="0"/>
        <v>0</v>
      </c>
      <c r="Q13" s="169">
        <v>0</v>
      </c>
      <c r="R13" s="169">
        <f t="shared" si="1"/>
        <v>0</v>
      </c>
      <c r="S13" s="169">
        <v>0</v>
      </c>
      <c r="T13" s="169">
        <f t="shared" si="2"/>
        <v>0</v>
      </c>
      <c r="U13" s="169">
        <v>0</v>
      </c>
      <c r="V13" s="169">
        <f t="shared" si="3"/>
        <v>0</v>
      </c>
    </row>
    <row r="14" spans="1:22" ht="15" customHeight="1">
      <c r="A14" s="192"/>
      <c r="B14" s="147"/>
      <c r="C14" s="173"/>
      <c r="D14" s="173"/>
      <c r="E14" s="173"/>
      <c r="F14" s="173"/>
      <c r="G14" s="173"/>
      <c r="H14" s="173"/>
      <c r="I14" s="173"/>
      <c r="J14" s="173"/>
      <c r="K14" s="173"/>
      <c r="L14" s="164"/>
      <c r="M14" s="151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5" customHeight="1">
      <c r="A15" s="192"/>
      <c r="B15" s="160" t="s">
        <v>326</v>
      </c>
      <c r="C15" s="172">
        <f aca="true" t="shared" si="4" ref="C15:I15">SUM(C8:C11)</f>
        <v>271176288</v>
      </c>
      <c r="D15" s="172">
        <f t="shared" si="4"/>
        <v>2742500</v>
      </c>
      <c r="E15" s="172">
        <f t="shared" si="4"/>
        <v>273918788</v>
      </c>
      <c r="F15" s="172">
        <f t="shared" si="4"/>
        <v>6837454</v>
      </c>
      <c r="G15" s="172">
        <f t="shared" si="4"/>
        <v>280756242</v>
      </c>
      <c r="H15" s="172">
        <f t="shared" si="4"/>
        <v>2871145</v>
      </c>
      <c r="I15" s="172">
        <f t="shared" si="4"/>
        <v>283627387</v>
      </c>
      <c r="J15" s="172">
        <f>SUM(J8:J11)</f>
        <v>-3058900</v>
      </c>
      <c r="K15" s="172">
        <f>SUM(K8:K11)</f>
        <v>280568487</v>
      </c>
      <c r="L15" s="164"/>
      <c r="M15" s="163" t="s">
        <v>326</v>
      </c>
      <c r="N15" s="178">
        <f aca="true" t="shared" si="5" ref="N15:T15">SUM(N8:N14)</f>
        <v>200544726</v>
      </c>
      <c r="O15" s="178">
        <f t="shared" si="5"/>
        <v>1253836</v>
      </c>
      <c r="P15" s="178">
        <f t="shared" si="5"/>
        <v>201798562</v>
      </c>
      <c r="Q15" s="178">
        <f t="shared" si="5"/>
        <v>9555224</v>
      </c>
      <c r="R15" s="178">
        <f t="shared" si="5"/>
        <v>211353786</v>
      </c>
      <c r="S15" s="178">
        <f t="shared" si="5"/>
        <v>2879145</v>
      </c>
      <c r="T15" s="178">
        <f t="shared" si="5"/>
        <v>214232931</v>
      </c>
      <c r="U15" s="178">
        <f>SUM(U8:U14)</f>
        <v>-5469639</v>
      </c>
      <c r="V15" s="178">
        <f>SUM(V8:V14)</f>
        <v>208763292</v>
      </c>
    </row>
    <row r="16" spans="1:22" ht="15" customHeight="1">
      <c r="A16" s="192"/>
      <c r="B16" s="160"/>
      <c r="C16" s="172"/>
      <c r="D16" s="172"/>
      <c r="E16" s="172"/>
      <c r="F16" s="172"/>
      <c r="G16" s="172"/>
      <c r="H16" s="172"/>
      <c r="I16" s="172"/>
      <c r="J16" s="172"/>
      <c r="K16" s="172"/>
      <c r="L16" s="164"/>
      <c r="M16" s="163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ht="15" customHeight="1">
      <c r="A17" s="192" t="s">
        <v>98</v>
      </c>
      <c r="B17" s="150" t="s">
        <v>328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64" t="s">
        <v>98</v>
      </c>
      <c r="M17" s="145" t="s">
        <v>328</v>
      </c>
      <c r="N17" s="169"/>
      <c r="O17" s="169"/>
      <c r="P17" s="169"/>
      <c r="Q17" s="169"/>
      <c r="R17" s="169"/>
      <c r="S17" s="169"/>
      <c r="T17" s="169"/>
      <c r="U17" s="169"/>
      <c r="V17" s="169"/>
    </row>
    <row r="18" spans="1:22" ht="15" customHeight="1">
      <c r="A18" s="192"/>
      <c r="B18" s="151" t="s">
        <v>759</v>
      </c>
      <c r="C18" s="170">
        <v>2563740</v>
      </c>
      <c r="D18" s="170">
        <v>0</v>
      </c>
      <c r="E18" s="170">
        <f>C18+D18</f>
        <v>2563740</v>
      </c>
      <c r="F18" s="170">
        <v>2428897</v>
      </c>
      <c r="G18" s="170">
        <f>E18+F18</f>
        <v>4992637</v>
      </c>
      <c r="H18" s="170">
        <v>78061</v>
      </c>
      <c r="I18" s="170">
        <f>G18+H18</f>
        <v>5070698</v>
      </c>
      <c r="J18" s="170">
        <v>593648</v>
      </c>
      <c r="K18" s="170">
        <f>I18+J18</f>
        <v>5664346</v>
      </c>
      <c r="L18" s="148"/>
      <c r="M18" s="151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ht="15" customHeight="1">
      <c r="A19" s="192"/>
      <c r="B19" s="151" t="s">
        <v>760</v>
      </c>
      <c r="C19" s="171">
        <v>20000</v>
      </c>
      <c r="D19" s="171">
        <v>106000</v>
      </c>
      <c r="E19" s="170">
        <f>C19+D19</f>
        <v>126000</v>
      </c>
      <c r="F19" s="171">
        <v>150000</v>
      </c>
      <c r="G19" s="170">
        <f>E19+F19</f>
        <v>276000</v>
      </c>
      <c r="H19" s="171">
        <v>0</v>
      </c>
      <c r="I19" s="170">
        <f>G19+H19</f>
        <v>276000</v>
      </c>
      <c r="J19" s="171">
        <v>-145000</v>
      </c>
      <c r="K19" s="170">
        <f>I19+J19</f>
        <v>131000</v>
      </c>
      <c r="L19" s="164"/>
      <c r="M19" s="151" t="s">
        <v>362</v>
      </c>
      <c r="N19" s="169">
        <v>30612573</v>
      </c>
      <c r="O19" s="169">
        <v>0</v>
      </c>
      <c r="P19" s="169">
        <f>N19+O19</f>
        <v>30612573</v>
      </c>
      <c r="Q19" s="169">
        <v>1686000</v>
      </c>
      <c r="R19" s="169">
        <f>P19+Q19</f>
        <v>32298573</v>
      </c>
      <c r="S19" s="169">
        <v>161288</v>
      </c>
      <c r="T19" s="169">
        <f>R19+S19</f>
        <v>32459861</v>
      </c>
      <c r="U19" s="169">
        <v>553100</v>
      </c>
      <c r="V19" s="169">
        <f>T19+U19</f>
        <v>33012961</v>
      </c>
    </row>
    <row r="20" spans="1:22" ht="15" customHeight="1">
      <c r="A20" s="192"/>
      <c r="B20" s="160"/>
      <c r="C20" s="159"/>
      <c r="D20" s="159"/>
      <c r="E20" s="159"/>
      <c r="F20" s="159"/>
      <c r="G20" s="159"/>
      <c r="H20" s="159"/>
      <c r="I20" s="159"/>
      <c r="J20" s="159"/>
      <c r="K20" s="159"/>
      <c r="L20" s="164"/>
      <c r="M20" s="184" t="s">
        <v>363</v>
      </c>
      <c r="N20" s="169">
        <v>8556643</v>
      </c>
      <c r="O20" s="169">
        <v>0</v>
      </c>
      <c r="P20" s="169">
        <f>N20+O20</f>
        <v>8556643</v>
      </c>
      <c r="Q20" s="169">
        <v>469290</v>
      </c>
      <c r="R20" s="169">
        <f>P20+Q20</f>
        <v>9025933</v>
      </c>
      <c r="S20" s="169">
        <v>11675</v>
      </c>
      <c r="T20" s="169">
        <f>R20+S20</f>
        <v>9037608</v>
      </c>
      <c r="U20" s="169">
        <v>0</v>
      </c>
      <c r="V20" s="169">
        <f>T20+U20</f>
        <v>9037608</v>
      </c>
    </row>
    <row r="21" spans="1:22" ht="15" customHeight="1">
      <c r="A21" s="192"/>
      <c r="B21" s="162"/>
      <c r="C21" s="174"/>
      <c r="D21" s="174"/>
      <c r="E21" s="174"/>
      <c r="F21" s="174"/>
      <c r="G21" s="174"/>
      <c r="H21" s="174"/>
      <c r="I21" s="174"/>
      <c r="J21" s="174"/>
      <c r="K21" s="174"/>
      <c r="L21" s="164"/>
      <c r="M21" s="151" t="s">
        <v>364</v>
      </c>
      <c r="N21" s="169">
        <v>7361437</v>
      </c>
      <c r="O21" s="169">
        <v>-23740</v>
      </c>
      <c r="P21" s="169">
        <f>N21+O21</f>
        <v>7337697</v>
      </c>
      <c r="Q21" s="169">
        <v>423607</v>
      </c>
      <c r="R21" s="169">
        <f>P21+Q21</f>
        <v>7761304</v>
      </c>
      <c r="S21" s="169">
        <v>-170771</v>
      </c>
      <c r="T21" s="169">
        <f>R21+S21</f>
        <v>7590533</v>
      </c>
      <c r="U21" s="169">
        <v>-194930</v>
      </c>
      <c r="V21" s="169">
        <f>T21+U21</f>
        <v>7395603</v>
      </c>
    </row>
    <row r="22" spans="1:22" ht="15" customHeight="1">
      <c r="A22" s="192"/>
      <c r="B22" s="160"/>
      <c r="C22" s="172"/>
      <c r="D22" s="172"/>
      <c r="E22" s="172"/>
      <c r="F22" s="172"/>
      <c r="G22" s="172"/>
      <c r="H22" s="172"/>
      <c r="I22" s="172"/>
      <c r="J22" s="172"/>
      <c r="K22" s="172"/>
      <c r="L22" s="164"/>
      <c r="M22" s="151" t="s">
        <v>540</v>
      </c>
      <c r="N22" s="169">
        <v>0</v>
      </c>
      <c r="O22" s="169">
        <v>0</v>
      </c>
      <c r="P22" s="169">
        <f>N22+O22</f>
        <v>0</v>
      </c>
      <c r="Q22" s="169">
        <v>0</v>
      </c>
      <c r="R22" s="169">
        <f>P22+Q22</f>
        <v>0</v>
      </c>
      <c r="S22" s="169">
        <v>75869</v>
      </c>
      <c r="T22" s="169">
        <f>R22+S22</f>
        <v>75869</v>
      </c>
      <c r="U22" s="169">
        <v>0</v>
      </c>
      <c r="V22" s="169">
        <f>T22+U22</f>
        <v>75869</v>
      </c>
    </row>
    <row r="23" spans="1:22" ht="15" customHeight="1">
      <c r="A23" s="192"/>
      <c r="B23" s="150"/>
      <c r="C23" s="707"/>
      <c r="D23" s="707"/>
      <c r="E23" s="707"/>
      <c r="F23" s="707"/>
      <c r="G23" s="707"/>
      <c r="H23" s="707"/>
      <c r="I23" s="707"/>
      <c r="J23" s="707"/>
      <c r="K23" s="707"/>
      <c r="L23" s="164"/>
      <c r="M23" s="151" t="s">
        <v>541</v>
      </c>
      <c r="N23" s="169">
        <v>0</v>
      </c>
      <c r="O23" s="169">
        <v>0</v>
      </c>
      <c r="P23" s="169">
        <f>N23+O23</f>
        <v>0</v>
      </c>
      <c r="Q23" s="169">
        <v>0</v>
      </c>
      <c r="R23" s="169">
        <f>P23+Q23</f>
        <v>0</v>
      </c>
      <c r="S23" s="169">
        <v>0</v>
      </c>
      <c r="T23" s="169">
        <f>R23+S23</f>
        <v>0</v>
      </c>
      <c r="U23" s="169">
        <v>0</v>
      </c>
      <c r="V23" s="169">
        <f>T23+U23</f>
        <v>0</v>
      </c>
    </row>
    <row r="24" spans="1:22" ht="15" customHeight="1">
      <c r="A24" s="192"/>
      <c r="B24" s="160" t="s">
        <v>329</v>
      </c>
      <c r="C24" s="172">
        <f>SUM(C18:C22)</f>
        <v>2583740</v>
      </c>
      <c r="D24" s="172">
        <f aca="true" t="shared" si="6" ref="D24:K24">SUM(D18:D22)</f>
        <v>106000</v>
      </c>
      <c r="E24" s="172">
        <f t="shared" si="6"/>
        <v>2689740</v>
      </c>
      <c r="F24" s="172">
        <f t="shared" si="6"/>
        <v>2578897</v>
      </c>
      <c r="G24" s="172">
        <f t="shared" si="6"/>
        <v>5268637</v>
      </c>
      <c r="H24" s="172">
        <f t="shared" si="6"/>
        <v>78061</v>
      </c>
      <c r="I24" s="172">
        <f t="shared" si="6"/>
        <v>5346698</v>
      </c>
      <c r="J24" s="172">
        <f t="shared" si="6"/>
        <v>448648</v>
      </c>
      <c r="K24" s="172">
        <f t="shared" si="6"/>
        <v>5795346</v>
      </c>
      <c r="L24" s="164"/>
      <c r="M24" s="163" t="s">
        <v>329</v>
      </c>
      <c r="N24" s="178">
        <f aca="true" t="shared" si="7" ref="N24:T24">SUM(N19:N23)</f>
        <v>46530653</v>
      </c>
      <c r="O24" s="178">
        <f t="shared" si="7"/>
        <v>-23740</v>
      </c>
      <c r="P24" s="178">
        <f t="shared" si="7"/>
        <v>46506913</v>
      </c>
      <c r="Q24" s="178">
        <f t="shared" si="7"/>
        <v>2578897</v>
      </c>
      <c r="R24" s="178">
        <f t="shared" si="7"/>
        <v>49085810</v>
      </c>
      <c r="S24" s="178">
        <f t="shared" si="7"/>
        <v>78061</v>
      </c>
      <c r="T24" s="178">
        <f t="shared" si="7"/>
        <v>49163871</v>
      </c>
      <c r="U24" s="178">
        <f>SUM(U19:U23)</f>
        <v>358170</v>
      </c>
      <c r="V24" s="178">
        <f>SUM(V19:V23)</f>
        <v>49522041</v>
      </c>
    </row>
    <row r="25" spans="1:22" ht="15" customHeight="1">
      <c r="A25" s="193"/>
      <c r="B25" s="153"/>
      <c r="C25" s="175"/>
      <c r="D25" s="175"/>
      <c r="E25" s="175"/>
      <c r="F25" s="175"/>
      <c r="G25" s="175"/>
      <c r="H25" s="175"/>
      <c r="I25" s="175"/>
      <c r="J25" s="175"/>
      <c r="K25" s="175"/>
      <c r="L25" s="187"/>
      <c r="M25" s="160"/>
      <c r="N25" s="178"/>
      <c r="O25" s="178"/>
      <c r="P25" s="178"/>
      <c r="Q25" s="178"/>
      <c r="R25" s="178"/>
      <c r="S25" s="178"/>
      <c r="T25" s="178"/>
      <c r="U25" s="178"/>
      <c r="V25" s="178"/>
    </row>
    <row r="26" spans="1:22" ht="15" customHeight="1">
      <c r="A26" s="732" t="s">
        <v>330</v>
      </c>
      <c r="B26" s="733"/>
      <c r="C26" s="172">
        <f>C15+C24</f>
        <v>273760028</v>
      </c>
      <c r="D26" s="172">
        <f aca="true" t="shared" si="8" ref="D26:K26">D15+D24</f>
        <v>2848500</v>
      </c>
      <c r="E26" s="172">
        <f t="shared" si="8"/>
        <v>276608528</v>
      </c>
      <c r="F26" s="172">
        <f t="shared" si="8"/>
        <v>9416351</v>
      </c>
      <c r="G26" s="172">
        <f t="shared" si="8"/>
        <v>286024879</v>
      </c>
      <c r="H26" s="172">
        <f t="shared" si="8"/>
        <v>2949206</v>
      </c>
      <c r="I26" s="172">
        <f t="shared" si="8"/>
        <v>288974085</v>
      </c>
      <c r="J26" s="172">
        <f t="shared" si="8"/>
        <v>-2610252</v>
      </c>
      <c r="K26" s="172">
        <f t="shared" si="8"/>
        <v>286363833</v>
      </c>
      <c r="L26" s="736" t="s">
        <v>331</v>
      </c>
      <c r="M26" s="737"/>
      <c r="N26" s="178">
        <f aca="true" t="shared" si="9" ref="N26:T26">N15+N24</f>
        <v>247075379</v>
      </c>
      <c r="O26" s="178">
        <f t="shared" si="9"/>
        <v>1230096</v>
      </c>
      <c r="P26" s="178">
        <f t="shared" si="9"/>
        <v>248305475</v>
      </c>
      <c r="Q26" s="178">
        <f t="shared" si="9"/>
        <v>12134121</v>
      </c>
      <c r="R26" s="178">
        <f t="shared" si="9"/>
        <v>260439596</v>
      </c>
      <c r="S26" s="178">
        <f t="shared" si="9"/>
        <v>2957206</v>
      </c>
      <c r="T26" s="178">
        <f t="shared" si="9"/>
        <v>263396802</v>
      </c>
      <c r="U26" s="178">
        <f>U15+U24</f>
        <v>-5111469</v>
      </c>
      <c r="V26" s="178">
        <f>V15+V24</f>
        <v>258285333</v>
      </c>
    </row>
    <row r="27" spans="1:22" ht="15" customHeight="1">
      <c r="A27" s="193"/>
      <c r="B27" s="153"/>
      <c r="C27" s="175"/>
      <c r="D27" s="175"/>
      <c r="E27" s="175"/>
      <c r="F27" s="175"/>
      <c r="G27" s="175"/>
      <c r="H27" s="175"/>
      <c r="I27" s="175"/>
      <c r="J27" s="175"/>
      <c r="K27" s="175"/>
      <c r="L27" s="165"/>
      <c r="M27" s="161"/>
      <c r="N27" s="177"/>
      <c r="O27" s="177"/>
      <c r="P27" s="177"/>
      <c r="Q27" s="177"/>
      <c r="R27" s="177"/>
      <c r="S27" s="177"/>
      <c r="T27" s="177"/>
      <c r="U27" s="177"/>
      <c r="V27" s="177"/>
    </row>
    <row r="28" spans="1:22" ht="15" customHeight="1">
      <c r="A28" s="732" t="s">
        <v>349</v>
      </c>
      <c r="B28" s="733"/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743" t="s">
        <v>355</v>
      </c>
      <c r="M28" s="733"/>
      <c r="N28" s="178">
        <v>4110757</v>
      </c>
      <c r="O28" s="178">
        <v>0</v>
      </c>
      <c r="P28" s="178">
        <f>N28+O28</f>
        <v>4110757</v>
      </c>
      <c r="Q28" s="178">
        <v>0</v>
      </c>
      <c r="R28" s="178">
        <f>P28+Q28</f>
        <v>4110757</v>
      </c>
      <c r="S28" s="178">
        <v>0</v>
      </c>
      <c r="T28" s="178">
        <f>R28+S28</f>
        <v>4110757</v>
      </c>
      <c r="U28" s="178">
        <v>0</v>
      </c>
      <c r="V28" s="178">
        <f>T28+U28</f>
        <v>4110757</v>
      </c>
    </row>
    <row r="29" spans="1:22" ht="15" customHeight="1">
      <c r="A29" s="194"/>
      <c r="B29" s="150"/>
      <c r="C29" s="171"/>
      <c r="D29" s="171"/>
      <c r="E29" s="171"/>
      <c r="F29" s="171"/>
      <c r="G29" s="171"/>
      <c r="H29" s="171"/>
      <c r="I29" s="171"/>
      <c r="J29" s="171"/>
      <c r="K29" s="171"/>
      <c r="L29" s="166"/>
      <c r="M29" s="150"/>
      <c r="N29" s="177"/>
      <c r="O29" s="177"/>
      <c r="P29" s="177"/>
      <c r="Q29" s="177"/>
      <c r="R29" s="177"/>
      <c r="S29" s="177"/>
      <c r="T29" s="177"/>
      <c r="U29" s="177"/>
      <c r="V29" s="177"/>
    </row>
    <row r="30" spans="1:22" ht="15" customHeight="1">
      <c r="A30" s="748" t="s">
        <v>332</v>
      </c>
      <c r="B30" s="749"/>
      <c r="C30" s="189">
        <f aca="true" t="shared" si="10" ref="C30:I30">C26+C28</f>
        <v>273760028</v>
      </c>
      <c r="D30" s="189">
        <f t="shared" si="10"/>
        <v>2848500</v>
      </c>
      <c r="E30" s="189">
        <f t="shared" si="10"/>
        <v>276608528</v>
      </c>
      <c r="F30" s="189">
        <f t="shared" si="10"/>
        <v>9416351</v>
      </c>
      <c r="G30" s="189">
        <f t="shared" si="10"/>
        <v>286024879</v>
      </c>
      <c r="H30" s="189">
        <f t="shared" si="10"/>
        <v>2949206</v>
      </c>
      <c r="I30" s="189">
        <f t="shared" si="10"/>
        <v>288974085</v>
      </c>
      <c r="J30" s="189">
        <f>J26+J28</f>
        <v>-2610252</v>
      </c>
      <c r="K30" s="189">
        <f>K26+K28</f>
        <v>286363833</v>
      </c>
      <c r="L30" s="747" t="s">
        <v>333</v>
      </c>
      <c r="M30" s="749" t="s">
        <v>333</v>
      </c>
      <c r="N30" s="195">
        <f aca="true" t="shared" si="11" ref="N30:T30">N26+N28</f>
        <v>251186136</v>
      </c>
      <c r="O30" s="195">
        <f t="shared" si="11"/>
        <v>1230096</v>
      </c>
      <c r="P30" s="195">
        <f t="shared" si="11"/>
        <v>252416232</v>
      </c>
      <c r="Q30" s="195">
        <f t="shared" si="11"/>
        <v>12134121</v>
      </c>
      <c r="R30" s="195">
        <f t="shared" si="11"/>
        <v>264550353</v>
      </c>
      <c r="S30" s="195">
        <f t="shared" si="11"/>
        <v>2957206</v>
      </c>
      <c r="T30" s="195">
        <f t="shared" si="11"/>
        <v>267507559</v>
      </c>
      <c r="U30" s="195">
        <f>U26+U28</f>
        <v>-5111469</v>
      </c>
      <c r="V30" s="195">
        <f>V26+V28</f>
        <v>262396090</v>
      </c>
    </row>
    <row r="31" spans="1:22" ht="15" customHeight="1">
      <c r="A31" s="291"/>
      <c r="B31" s="292"/>
      <c r="C31" s="298"/>
      <c r="D31" s="298"/>
      <c r="E31" s="298"/>
      <c r="F31" s="298"/>
      <c r="G31" s="298"/>
      <c r="H31" s="298"/>
      <c r="I31" s="298"/>
      <c r="J31" s="298"/>
      <c r="K31" s="298"/>
      <c r="L31" s="290"/>
      <c r="M31" s="292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22" ht="15" customHeight="1">
      <c r="A32" s="738" t="s">
        <v>334</v>
      </c>
      <c r="B32" s="735"/>
      <c r="C32" s="176"/>
      <c r="D32" s="176"/>
      <c r="E32" s="176"/>
      <c r="F32" s="176"/>
      <c r="G32" s="176"/>
      <c r="H32" s="176"/>
      <c r="I32" s="176"/>
      <c r="J32" s="176"/>
      <c r="K32" s="176"/>
      <c r="L32" s="734" t="s">
        <v>348</v>
      </c>
      <c r="M32" s="735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2" ht="15" customHeight="1">
      <c r="A33" s="738" t="s">
        <v>335</v>
      </c>
      <c r="B33" s="739"/>
      <c r="C33" s="176"/>
      <c r="D33" s="176"/>
      <c r="E33" s="176"/>
      <c r="F33" s="176"/>
      <c r="G33" s="176"/>
      <c r="H33" s="176"/>
      <c r="I33" s="176"/>
      <c r="J33" s="176"/>
      <c r="K33" s="176"/>
      <c r="L33" s="734" t="s">
        <v>336</v>
      </c>
      <c r="M33" s="739"/>
      <c r="N33" s="196"/>
      <c r="O33" s="196"/>
      <c r="P33" s="196"/>
      <c r="Q33" s="196"/>
      <c r="R33" s="196"/>
      <c r="S33" s="196"/>
      <c r="T33" s="196"/>
      <c r="U33" s="196"/>
      <c r="V33" s="196"/>
    </row>
    <row r="34" spans="1:22" ht="15" customHeight="1">
      <c r="A34" s="192" t="s">
        <v>97</v>
      </c>
      <c r="B34" s="154" t="s">
        <v>321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7" t="s">
        <v>97</v>
      </c>
      <c r="M34" s="146" t="s">
        <v>321</v>
      </c>
      <c r="N34" s="169"/>
      <c r="O34" s="169"/>
      <c r="P34" s="169"/>
      <c r="Q34" s="169"/>
      <c r="R34" s="169"/>
      <c r="S34" s="169"/>
      <c r="T34" s="169"/>
      <c r="U34" s="169"/>
      <c r="V34" s="169"/>
    </row>
    <row r="35" spans="1:22" ht="15" customHeight="1">
      <c r="A35" s="197"/>
      <c r="B35" s="149" t="s">
        <v>337</v>
      </c>
      <c r="C35" s="169">
        <v>0</v>
      </c>
      <c r="D35" s="169">
        <v>3703700</v>
      </c>
      <c r="E35" s="169">
        <f>C35+D35</f>
        <v>3703700</v>
      </c>
      <c r="F35" s="169">
        <v>-3512700</v>
      </c>
      <c r="G35" s="169">
        <f>E35+F35</f>
        <v>191000</v>
      </c>
      <c r="H35" s="169">
        <v>0</v>
      </c>
      <c r="I35" s="169">
        <f>G35+H35</f>
        <v>191000</v>
      </c>
      <c r="J35" s="169">
        <v>0</v>
      </c>
      <c r="K35" s="169">
        <f>I35+J35</f>
        <v>191000</v>
      </c>
      <c r="L35" s="167"/>
      <c r="M35" s="151" t="s">
        <v>763</v>
      </c>
      <c r="N35" s="169">
        <v>26458831</v>
      </c>
      <c r="O35" s="169">
        <v>2264200</v>
      </c>
      <c r="P35" s="169">
        <f>N35+O35</f>
        <v>28723031</v>
      </c>
      <c r="Q35" s="169">
        <v>-6260470</v>
      </c>
      <c r="R35" s="169">
        <f>P35+Q35</f>
        <v>22462561</v>
      </c>
      <c r="S35" s="169">
        <v>0</v>
      </c>
      <c r="T35" s="169">
        <f>R35+S35</f>
        <v>22462561</v>
      </c>
      <c r="U35" s="169">
        <v>2776500</v>
      </c>
      <c r="V35" s="169">
        <f>T35+U35</f>
        <v>25239061</v>
      </c>
    </row>
    <row r="36" spans="1:22" ht="15" customHeight="1">
      <c r="A36" s="197"/>
      <c r="B36" s="149" t="s">
        <v>338</v>
      </c>
      <c r="C36" s="169">
        <v>0</v>
      </c>
      <c r="D36" s="169">
        <v>0</v>
      </c>
      <c r="E36" s="169">
        <f>C36+D36</f>
        <v>0</v>
      </c>
      <c r="F36" s="169">
        <v>2900000</v>
      </c>
      <c r="G36" s="169">
        <f>E36+F36</f>
        <v>2900000</v>
      </c>
      <c r="H36" s="169">
        <v>8000</v>
      </c>
      <c r="I36" s="169">
        <f>G36+H36</f>
        <v>2908000</v>
      </c>
      <c r="J36" s="169">
        <v>0</v>
      </c>
      <c r="K36" s="169">
        <f>I36+J36</f>
        <v>2908000</v>
      </c>
      <c r="L36" s="167"/>
      <c r="M36" s="155" t="s">
        <v>764</v>
      </c>
      <c r="N36" s="169">
        <v>5307800</v>
      </c>
      <c r="O36" s="169">
        <v>3430000</v>
      </c>
      <c r="P36" s="169">
        <f>N36+O36</f>
        <v>8737800</v>
      </c>
      <c r="Q36" s="169">
        <v>3430000</v>
      </c>
      <c r="R36" s="169">
        <f>P36+Q36</f>
        <v>12167800</v>
      </c>
      <c r="S36" s="169">
        <v>0</v>
      </c>
      <c r="T36" s="169">
        <f>R36+S36</f>
        <v>12167800</v>
      </c>
      <c r="U36" s="169">
        <v>139825</v>
      </c>
      <c r="V36" s="169">
        <f>T36+U36</f>
        <v>12307625</v>
      </c>
    </row>
    <row r="37" spans="1:22" ht="15" customHeight="1">
      <c r="A37" s="197"/>
      <c r="B37" s="149" t="s">
        <v>339</v>
      </c>
      <c r="C37" s="169">
        <v>0</v>
      </c>
      <c r="D37" s="169">
        <v>0</v>
      </c>
      <c r="E37" s="169">
        <f>C37+D37</f>
        <v>0</v>
      </c>
      <c r="F37" s="169">
        <v>0</v>
      </c>
      <c r="G37" s="169">
        <f>E37+F37</f>
        <v>0</v>
      </c>
      <c r="H37" s="169">
        <v>0</v>
      </c>
      <c r="I37" s="169">
        <f>G37+H37</f>
        <v>0</v>
      </c>
      <c r="J37" s="169">
        <v>0</v>
      </c>
      <c r="K37" s="169">
        <f>I37+J37</f>
        <v>0</v>
      </c>
      <c r="L37" s="167"/>
      <c r="M37" s="155" t="s">
        <v>765</v>
      </c>
      <c r="N37" s="169">
        <v>0</v>
      </c>
      <c r="O37" s="169">
        <v>0</v>
      </c>
      <c r="P37" s="169">
        <f>N37+O37</f>
        <v>0</v>
      </c>
      <c r="Q37" s="169">
        <v>0</v>
      </c>
      <c r="R37" s="169">
        <f>P37+Q37</f>
        <v>0</v>
      </c>
      <c r="S37" s="169">
        <v>0</v>
      </c>
      <c r="T37" s="169">
        <f>R37+S37</f>
        <v>0</v>
      </c>
      <c r="U37" s="169">
        <v>4300000</v>
      </c>
      <c r="V37" s="169">
        <f>T37+U37</f>
        <v>4300000</v>
      </c>
    </row>
    <row r="38" spans="1:22" ht="15" customHeight="1">
      <c r="A38" s="197"/>
      <c r="B38" s="149" t="s">
        <v>340</v>
      </c>
      <c r="C38" s="169">
        <v>0</v>
      </c>
      <c r="D38" s="169">
        <v>0</v>
      </c>
      <c r="E38" s="169">
        <f>C38+D38</f>
        <v>0</v>
      </c>
      <c r="F38" s="169">
        <v>0</v>
      </c>
      <c r="G38" s="169">
        <f>E38+F38</f>
        <v>0</v>
      </c>
      <c r="H38" s="169">
        <v>0</v>
      </c>
      <c r="I38" s="169">
        <f>G38+H38</f>
        <v>0</v>
      </c>
      <c r="J38" s="169">
        <v>0</v>
      </c>
      <c r="K38" s="169">
        <f>I38+J38</f>
        <v>0</v>
      </c>
      <c r="L38" s="167"/>
      <c r="M38" s="151" t="s">
        <v>766</v>
      </c>
      <c r="N38" s="169">
        <v>0</v>
      </c>
      <c r="O38" s="169">
        <v>0</v>
      </c>
      <c r="P38" s="169">
        <f>N38+O38</f>
        <v>0</v>
      </c>
      <c r="Q38" s="169">
        <v>0</v>
      </c>
      <c r="R38" s="169">
        <f>P38+Q38</f>
        <v>0</v>
      </c>
      <c r="S38" s="169">
        <v>0</v>
      </c>
      <c r="T38" s="169">
        <f>R38+S38</f>
        <v>0</v>
      </c>
      <c r="U38" s="169">
        <v>0</v>
      </c>
      <c r="V38" s="169">
        <f>T38+U38</f>
        <v>0</v>
      </c>
    </row>
    <row r="39" spans="1:22" ht="15" customHeight="1">
      <c r="A39" s="197"/>
      <c r="B39" s="163"/>
      <c r="C39" s="182"/>
      <c r="D39" s="182"/>
      <c r="E39" s="182"/>
      <c r="F39" s="182"/>
      <c r="G39" s="182"/>
      <c r="H39" s="182"/>
      <c r="I39" s="182"/>
      <c r="J39" s="182"/>
      <c r="K39" s="182"/>
      <c r="L39" s="167"/>
      <c r="M39" s="151" t="s">
        <v>767</v>
      </c>
      <c r="N39" s="169">
        <v>2000000</v>
      </c>
      <c r="O39" s="169">
        <v>-500000</v>
      </c>
      <c r="P39" s="169">
        <f>N39+O39</f>
        <v>1500000</v>
      </c>
      <c r="Q39" s="169">
        <v>-500000</v>
      </c>
      <c r="R39" s="169">
        <f>P39+Q39</f>
        <v>1000000</v>
      </c>
      <c r="S39" s="169">
        <v>0</v>
      </c>
      <c r="T39" s="169">
        <f>R39+S39</f>
        <v>1000000</v>
      </c>
      <c r="U39" s="169">
        <v>-1000000</v>
      </c>
      <c r="V39" s="169">
        <f>T39+U39</f>
        <v>0</v>
      </c>
    </row>
    <row r="40" spans="1:22" s="141" customFormat="1" ht="15.75">
      <c r="A40" s="197"/>
      <c r="B40" s="163" t="s">
        <v>326</v>
      </c>
      <c r="C40" s="182">
        <f aca="true" t="shared" si="12" ref="C40:I40">SUM(C35:C38)</f>
        <v>0</v>
      </c>
      <c r="D40" s="182">
        <f t="shared" si="12"/>
        <v>3703700</v>
      </c>
      <c r="E40" s="182">
        <f t="shared" si="12"/>
        <v>3703700</v>
      </c>
      <c r="F40" s="182">
        <f t="shared" si="12"/>
        <v>-612700</v>
      </c>
      <c r="G40" s="182">
        <f t="shared" si="12"/>
        <v>3091000</v>
      </c>
      <c r="H40" s="182">
        <f t="shared" si="12"/>
        <v>8000</v>
      </c>
      <c r="I40" s="182">
        <f t="shared" si="12"/>
        <v>3099000</v>
      </c>
      <c r="J40" s="182">
        <f>SUM(J35:J38)</f>
        <v>0</v>
      </c>
      <c r="K40" s="182">
        <f>SUM(K35:K38)</f>
        <v>3099000</v>
      </c>
      <c r="L40" s="168"/>
      <c r="M40" s="163" t="s">
        <v>326</v>
      </c>
      <c r="N40" s="198">
        <f aca="true" t="shared" si="13" ref="N40:T40">SUM(N35:N39)</f>
        <v>33766631</v>
      </c>
      <c r="O40" s="198">
        <f t="shared" si="13"/>
        <v>5194200</v>
      </c>
      <c r="P40" s="198">
        <f t="shared" si="13"/>
        <v>38960831</v>
      </c>
      <c r="Q40" s="198">
        <f t="shared" si="13"/>
        <v>-3330470</v>
      </c>
      <c r="R40" s="198">
        <f t="shared" si="13"/>
        <v>35630361</v>
      </c>
      <c r="S40" s="198">
        <f t="shared" si="13"/>
        <v>0</v>
      </c>
      <c r="T40" s="198">
        <f t="shared" si="13"/>
        <v>35630361</v>
      </c>
      <c r="U40" s="198">
        <f>SUM(U35:U39)</f>
        <v>6216325</v>
      </c>
      <c r="V40" s="198">
        <f>SUM(V35:V39)</f>
        <v>41846686</v>
      </c>
    </row>
    <row r="41" spans="1:22" s="141" customFormat="1" ht="15.75">
      <c r="A41" s="197"/>
      <c r="B41" s="163"/>
      <c r="C41" s="182"/>
      <c r="D41" s="182"/>
      <c r="E41" s="182"/>
      <c r="F41" s="182"/>
      <c r="G41" s="182"/>
      <c r="H41" s="182"/>
      <c r="I41" s="182"/>
      <c r="J41" s="182"/>
      <c r="K41" s="182"/>
      <c r="L41" s="168"/>
      <c r="M41" s="163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1:22" s="141" customFormat="1" ht="15.75">
      <c r="A42" s="192" t="s">
        <v>98</v>
      </c>
      <c r="B42" s="145" t="s">
        <v>328</v>
      </c>
      <c r="C42" s="177"/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77"/>
      <c r="J42" s="177"/>
      <c r="K42" s="177"/>
      <c r="L42" s="167" t="s">
        <v>98</v>
      </c>
      <c r="M42" s="145" t="s">
        <v>328</v>
      </c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2" s="141" customFormat="1" ht="15.75">
      <c r="A43" s="197"/>
      <c r="B43" s="157" t="s">
        <v>761</v>
      </c>
      <c r="C43" s="169">
        <v>0</v>
      </c>
      <c r="D43" s="169"/>
      <c r="E43" s="169"/>
      <c r="F43" s="169"/>
      <c r="G43" s="169"/>
      <c r="H43" s="169"/>
      <c r="I43" s="169">
        <v>0</v>
      </c>
      <c r="J43" s="169">
        <v>7000</v>
      </c>
      <c r="K43" s="169">
        <f>I43+J43</f>
        <v>7000</v>
      </c>
      <c r="L43" s="167"/>
      <c r="M43" s="155" t="s">
        <v>769</v>
      </c>
      <c r="N43" s="169">
        <v>1457165</v>
      </c>
      <c r="O43" s="169">
        <v>131000</v>
      </c>
      <c r="P43" s="169">
        <f>N43+O43</f>
        <v>1588165</v>
      </c>
      <c r="Q43" s="169">
        <v>0</v>
      </c>
      <c r="R43" s="169">
        <f>P43+Q43</f>
        <v>1588165</v>
      </c>
      <c r="S43" s="169">
        <v>0</v>
      </c>
      <c r="T43" s="169">
        <f>R43+S43</f>
        <v>1588165</v>
      </c>
      <c r="U43" s="169">
        <v>81000</v>
      </c>
      <c r="V43" s="169">
        <f>T43+U43</f>
        <v>1669165</v>
      </c>
    </row>
    <row r="44" spans="1:22" s="141" customFormat="1" ht="15.75">
      <c r="A44" s="197"/>
      <c r="B44" s="160" t="s">
        <v>329</v>
      </c>
      <c r="C44" s="178">
        <f aca="true" t="shared" si="14" ref="C44:I44">C43</f>
        <v>0</v>
      </c>
      <c r="D44" s="178">
        <f t="shared" si="14"/>
        <v>0</v>
      </c>
      <c r="E44" s="178">
        <f t="shared" si="14"/>
        <v>0</v>
      </c>
      <c r="F44" s="178">
        <f t="shared" si="14"/>
        <v>0</v>
      </c>
      <c r="G44" s="178">
        <f t="shared" si="14"/>
        <v>0</v>
      </c>
      <c r="H44" s="178">
        <f t="shared" si="14"/>
        <v>0</v>
      </c>
      <c r="I44" s="178">
        <f t="shared" si="14"/>
        <v>0</v>
      </c>
      <c r="J44" s="178">
        <f>J43</f>
        <v>7000</v>
      </c>
      <c r="K44" s="178">
        <f>K43</f>
        <v>7000</v>
      </c>
      <c r="L44" s="167"/>
      <c r="M44" s="183" t="s">
        <v>464</v>
      </c>
      <c r="N44" s="178">
        <f aca="true" t="shared" si="15" ref="N44:T44">SUM(N43)</f>
        <v>1457165</v>
      </c>
      <c r="O44" s="178">
        <f t="shared" si="15"/>
        <v>131000</v>
      </c>
      <c r="P44" s="178">
        <f t="shared" si="15"/>
        <v>1588165</v>
      </c>
      <c r="Q44" s="178">
        <f t="shared" si="15"/>
        <v>0</v>
      </c>
      <c r="R44" s="178">
        <f t="shared" si="15"/>
        <v>1588165</v>
      </c>
      <c r="S44" s="178">
        <f t="shared" si="15"/>
        <v>0</v>
      </c>
      <c r="T44" s="178">
        <f t="shared" si="15"/>
        <v>1588165</v>
      </c>
      <c r="U44" s="178">
        <f>SUM(U43)</f>
        <v>81000</v>
      </c>
      <c r="V44" s="178">
        <f>SUM(V43)</f>
        <v>1669165</v>
      </c>
    </row>
    <row r="45" spans="1:22" s="141" customFormat="1" ht="15.75">
      <c r="A45" s="199"/>
      <c r="B45" s="160"/>
      <c r="C45" s="178"/>
      <c r="D45" s="178"/>
      <c r="E45" s="178"/>
      <c r="F45" s="178"/>
      <c r="G45" s="178"/>
      <c r="H45" s="178"/>
      <c r="I45" s="178"/>
      <c r="J45" s="178"/>
      <c r="K45" s="178"/>
      <c r="L45" s="167"/>
      <c r="M45" s="183"/>
      <c r="N45" s="178"/>
      <c r="O45" s="178"/>
      <c r="P45" s="178"/>
      <c r="Q45" s="178"/>
      <c r="R45" s="178"/>
      <c r="S45" s="178"/>
      <c r="T45" s="178"/>
      <c r="U45" s="178"/>
      <c r="V45" s="178"/>
    </row>
    <row r="46" spans="1:22" ht="15" customHeight="1">
      <c r="A46" s="200" t="s">
        <v>341</v>
      </c>
      <c r="B46" s="188"/>
      <c r="C46" s="172">
        <f aca="true" t="shared" si="16" ref="C46:I46">C40+C44</f>
        <v>0</v>
      </c>
      <c r="D46" s="172">
        <f t="shared" si="16"/>
        <v>3703700</v>
      </c>
      <c r="E46" s="172">
        <f t="shared" si="16"/>
        <v>3703700</v>
      </c>
      <c r="F46" s="172">
        <f t="shared" si="16"/>
        <v>-612700</v>
      </c>
      <c r="G46" s="172">
        <f t="shared" si="16"/>
        <v>3091000</v>
      </c>
      <c r="H46" s="172">
        <f t="shared" si="16"/>
        <v>8000</v>
      </c>
      <c r="I46" s="172">
        <f t="shared" si="16"/>
        <v>3099000</v>
      </c>
      <c r="J46" s="172">
        <f>J40+J44</f>
        <v>7000</v>
      </c>
      <c r="K46" s="172">
        <f>K40+K44</f>
        <v>3106000</v>
      </c>
      <c r="L46" s="750" t="s">
        <v>342</v>
      </c>
      <c r="M46" s="751"/>
      <c r="N46" s="178">
        <f aca="true" t="shared" si="17" ref="N46:T46">N40+N44</f>
        <v>35223796</v>
      </c>
      <c r="O46" s="178">
        <f t="shared" si="17"/>
        <v>5325200</v>
      </c>
      <c r="P46" s="178">
        <f t="shared" si="17"/>
        <v>40548996</v>
      </c>
      <c r="Q46" s="178">
        <f t="shared" si="17"/>
        <v>-3330470</v>
      </c>
      <c r="R46" s="178">
        <f t="shared" si="17"/>
        <v>37218526</v>
      </c>
      <c r="S46" s="178">
        <f t="shared" si="17"/>
        <v>0</v>
      </c>
      <c r="T46" s="178">
        <f t="shared" si="17"/>
        <v>37218526</v>
      </c>
      <c r="U46" s="178">
        <f>U40+U44</f>
        <v>6297325</v>
      </c>
      <c r="V46" s="178">
        <f>V40+V44</f>
        <v>43515851</v>
      </c>
    </row>
    <row r="47" spans="1:22" ht="15" customHeight="1">
      <c r="A47" s="201"/>
      <c r="B47" s="156"/>
      <c r="C47" s="175"/>
      <c r="D47" s="175"/>
      <c r="E47" s="175"/>
      <c r="F47" s="175"/>
      <c r="G47" s="175"/>
      <c r="H47" s="175"/>
      <c r="I47" s="175"/>
      <c r="J47" s="175"/>
      <c r="K47" s="175"/>
      <c r="L47" s="143"/>
      <c r="M47" s="144"/>
      <c r="N47" s="177"/>
      <c r="O47" s="177"/>
      <c r="P47" s="177"/>
      <c r="Q47" s="177"/>
      <c r="R47" s="177"/>
      <c r="S47" s="177"/>
      <c r="T47" s="177"/>
      <c r="U47" s="177"/>
      <c r="V47" s="177"/>
    </row>
    <row r="48" spans="1:22" ht="15" customHeight="1">
      <c r="A48" s="201" t="s">
        <v>350</v>
      </c>
      <c r="B48" s="156"/>
      <c r="C48" s="175"/>
      <c r="D48" s="175"/>
      <c r="E48" s="175"/>
      <c r="F48" s="175"/>
      <c r="G48" s="175"/>
      <c r="H48" s="175"/>
      <c r="I48" s="175"/>
      <c r="J48" s="175"/>
      <c r="K48" s="175"/>
      <c r="L48" s="752" t="s">
        <v>343</v>
      </c>
      <c r="M48" s="734"/>
      <c r="N48" s="177"/>
      <c r="O48" s="177"/>
      <c r="P48" s="177"/>
      <c r="Q48" s="177"/>
      <c r="R48" s="177"/>
      <c r="S48" s="177"/>
      <c r="T48" s="177"/>
      <c r="U48" s="177"/>
      <c r="V48" s="177"/>
    </row>
    <row r="49" spans="1:22" ht="15" customHeight="1">
      <c r="A49" s="192" t="s">
        <v>97</v>
      </c>
      <c r="B49" s="154" t="s">
        <v>321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67" t="s">
        <v>97</v>
      </c>
      <c r="M49" s="154" t="s">
        <v>321</v>
      </c>
      <c r="N49" s="152"/>
      <c r="O49" s="152"/>
      <c r="P49" s="152"/>
      <c r="Q49" s="152"/>
      <c r="R49" s="152"/>
      <c r="S49" s="152"/>
      <c r="T49" s="152"/>
      <c r="U49" s="152"/>
      <c r="V49" s="152"/>
    </row>
    <row r="50" spans="1:22" ht="31.5" customHeight="1">
      <c r="A50" s="197"/>
      <c r="B50" s="179" t="s">
        <v>351</v>
      </c>
      <c r="C50" s="180">
        <v>12611164</v>
      </c>
      <c r="D50" s="180">
        <v>1836</v>
      </c>
      <c r="E50" s="180">
        <f>C50+D50</f>
        <v>12613000</v>
      </c>
      <c r="F50" s="180">
        <v>0</v>
      </c>
      <c r="G50" s="180">
        <f>E50+F50</f>
        <v>12613000</v>
      </c>
      <c r="H50" s="180">
        <v>0</v>
      </c>
      <c r="I50" s="180">
        <f>G50+H50</f>
        <v>12613000</v>
      </c>
      <c r="J50" s="180">
        <v>0</v>
      </c>
      <c r="K50" s="180">
        <f>I50+J50</f>
        <v>12613000</v>
      </c>
      <c r="L50" s="167"/>
      <c r="M50" s="706" t="s">
        <v>768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5000000</v>
      </c>
      <c r="V50" s="169">
        <f>T50+U50</f>
        <v>5000000</v>
      </c>
    </row>
    <row r="51" spans="1:22" ht="33.75" customHeight="1">
      <c r="A51" s="197"/>
      <c r="B51" s="705" t="s">
        <v>757</v>
      </c>
      <c r="C51" s="180">
        <v>0</v>
      </c>
      <c r="D51" s="180"/>
      <c r="E51" s="180"/>
      <c r="F51" s="180"/>
      <c r="G51" s="180"/>
      <c r="H51" s="180"/>
      <c r="I51" s="180">
        <v>0</v>
      </c>
      <c r="J51" s="180">
        <v>5000000</v>
      </c>
      <c r="K51" s="180">
        <f>I51+J51</f>
        <v>5000000</v>
      </c>
      <c r="L51" s="167"/>
      <c r="M51" s="706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 ht="15" customHeight="1">
      <c r="A52" s="197"/>
      <c r="B52" s="179" t="s">
        <v>758</v>
      </c>
      <c r="C52" s="180">
        <v>0</v>
      </c>
      <c r="D52" s="180">
        <v>0</v>
      </c>
      <c r="E52" s="180">
        <f>C52+D52</f>
        <v>0</v>
      </c>
      <c r="F52" s="180">
        <v>0</v>
      </c>
      <c r="G52" s="180">
        <f>E52+F52</f>
        <v>0</v>
      </c>
      <c r="H52" s="180">
        <v>0</v>
      </c>
      <c r="I52" s="180">
        <v>0</v>
      </c>
      <c r="J52" s="180">
        <v>3789108</v>
      </c>
      <c r="K52" s="180">
        <f>I52+J52</f>
        <v>3789108</v>
      </c>
      <c r="L52" s="167"/>
      <c r="M52" s="149"/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</row>
    <row r="53" spans="1:22" s="141" customFormat="1" ht="15.75">
      <c r="A53" s="197"/>
      <c r="B53" s="163" t="s">
        <v>326</v>
      </c>
      <c r="C53" s="182">
        <f>SUM(C50:C52)</f>
        <v>12611164</v>
      </c>
      <c r="D53" s="182">
        <f aca="true" t="shared" si="18" ref="D53:K53">SUM(D50:D52)</f>
        <v>1836</v>
      </c>
      <c r="E53" s="182">
        <f t="shared" si="18"/>
        <v>12613000</v>
      </c>
      <c r="F53" s="182">
        <f t="shared" si="18"/>
        <v>0</v>
      </c>
      <c r="G53" s="182">
        <f t="shared" si="18"/>
        <v>12613000</v>
      </c>
      <c r="H53" s="182">
        <f t="shared" si="18"/>
        <v>0</v>
      </c>
      <c r="I53" s="182">
        <f t="shared" si="18"/>
        <v>12613000</v>
      </c>
      <c r="J53" s="182">
        <f t="shared" si="18"/>
        <v>8789108</v>
      </c>
      <c r="K53" s="182">
        <f t="shared" si="18"/>
        <v>21402108</v>
      </c>
      <c r="L53" s="168"/>
      <c r="M53" s="163" t="s">
        <v>326</v>
      </c>
      <c r="N53" s="198">
        <f>SUM(N50:N52)</f>
        <v>0</v>
      </c>
      <c r="O53" s="198">
        <f aca="true" t="shared" si="19" ref="O53:V53">SUM(O50:O52)</f>
        <v>0</v>
      </c>
      <c r="P53" s="198">
        <f t="shared" si="19"/>
        <v>0</v>
      </c>
      <c r="Q53" s="198">
        <f t="shared" si="19"/>
        <v>0</v>
      </c>
      <c r="R53" s="198">
        <f t="shared" si="19"/>
        <v>0</v>
      </c>
      <c r="S53" s="198">
        <f t="shared" si="19"/>
        <v>0</v>
      </c>
      <c r="T53" s="198">
        <f t="shared" si="19"/>
        <v>0</v>
      </c>
      <c r="U53" s="198">
        <f t="shared" si="19"/>
        <v>5000000</v>
      </c>
      <c r="V53" s="198">
        <f t="shared" si="19"/>
        <v>5000000</v>
      </c>
    </row>
    <row r="54" spans="1:22" ht="15" customHeight="1">
      <c r="A54" s="192" t="s">
        <v>98</v>
      </c>
      <c r="B54" s="150" t="s">
        <v>328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67" t="s">
        <v>98</v>
      </c>
      <c r="M54" s="150" t="s">
        <v>328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</row>
    <row r="55" spans="1:22" ht="15" customHeight="1">
      <c r="A55" s="197"/>
      <c r="B55" s="157" t="s">
        <v>762</v>
      </c>
      <c r="C55" s="171">
        <v>38740</v>
      </c>
      <c r="D55" s="171">
        <v>1260</v>
      </c>
      <c r="E55" s="171">
        <f>C55+D55</f>
        <v>40000</v>
      </c>
      <c r="F55" s="171">
        <v>0</v>
      </c>
      <c r="G55" s="171">
        <f>E55+F55</f>
        <v>40000</v>
      </c>
      <c r="H55" s="171">
        <v>0</v>
      </c>
      <c r="I55" s="171">
        <f>G55+H55</f>
        <v>40000</v>
      </c>
      <c r="J55" s="171">
        <v>0</v>
      </c>
      <c r="K55" s="171">
        <f>I55+J55</f>
        <v>40000</v>
      </c>
      <c r="L55" s="167"/>
      <c r="M55" s="150"/>
      <c r="N55" s="169"/>
      <c r="O55" s="169"/>
      <c r="P55" s="169"/>
      <c r="Q55" s="169"/>
      <c r="R55" s="169"/>
      <c r="S55" s="169"/>
      <c r="T55" s="169"/>
      <c r="U55" s="169"/>
      <c r="V55" s="169"/>
    </row>
    <row r="56" spans="1:22" s="141" customFormat="1" ht="15.75">
      <c r="A56" s="197"/>
      <c r="B56" s="160" t="s">
        <v>329</v>
      </c>
      <c r="C56" s="178">
        <f>SUM(C55)</f>
        <v>38740</v>
      </c>
      <c r="D56" s="178">
        <f aca="true" t="shared" si="20" ref="D56:K56">SUM(D55)</f>
        <v>1260</v>
      </c>
      <c r="E56" s="178">
        <f t="shared" si="20"/>
        <v>40000</v>
      </c>
      <c r="F56" s="178">
        <f t="shared" si="20"/>
        <v>0</v>
      </c>
      <c r="G56" s="178">
        <f t="shared" si="20"/>
        <v>40000</v>
      </c>
      <c r="H56" s="178">
        <f t="shared" si="20"/>
        <v>0</v>
      </c>
      <c r="I56" s="178">
        <f t="shared" si="20"/>
        <v>40000</v>
      </c>
      <c r="J56" s="178">
        <f t="shared" si="20"/>
        <v>0</v>
      </c>
      <c r="K56" s="178">
        <f t="shared" si="20"/>
        <v>40000</v>
      </c>
      <c r="L56" s="167"/>
      <c r="M56" s="183" t="s">
        <v>464</v>
      </c>
      <c r="N56" s="178">
        <f aca="true" t="shared" si="21" ref="N56:V56">SUM(N55)</f>
        <v>0</v>
      </c>
      <c r="O56" s="178">
        <f t="shared" si="21"/>
        <v>0</v>
      </c>
      <c r="P56" s="178">
        <f t="shared" si="21"/>
        <v>0</v>
      </c>
      <c r="Q56" s="178">
        <f t="shared" si="21"/>
        <v>0</v>
      </c>
      <c r="R56" s="178">
        <f t="shared" si="21"/>
        <v>0</v>
      </c>
      <c r="S56" s="178">
        <f t="shared" si="21"/>
        <v>0</v>
      </c>
      <c r="T56" s="178">
        <f t="shared" si="21"/>
        <v>0</v>
      </c>
      <c r="U56" s="178">
        <f t="shared" si="21"/>
        <v>0</v>
      </c>
      <c r="V56" s="178">
        <f t="shared" si="21"/>
        <v>0</v>
      </c>
    </row>
    <row r="57" spans="1:27" ht="15" customHeight="1">
      <c r="A57" s="732" t="s">
        <v>344</v>
      </c>
      <c r="B57" s="733"/>
      <c r="C57" s="172">
        <f>C53+C56</f>
        <v>12649904</v>
      </c>
      <c r="D57" s="172">
        <f aca="true" t="shared" si="22" ref="D57:K57">D53+D56</f>
        <v>3096</v>
      </c>
      <c r="E57" s="172">
        <f t="shared" si="22"/>
        <v>12653000</v>
      </c>
      <c r="F57" s="172">
        <f t="shared" si="22"/>
        <v>0</v>
      </c>
      <c r="G57" s="172">
        <f t="shared" si="22"/>
        <v>12653000</v>
      </c>
      <c r="H57" s="172">
        <f t="shared" si="22"/>
        <v>0</v>
      </c>
      <c r="I57" s="172">
        <f t="shared" si="22"/>
        <v>12653000</v>
      </c>
      <c r="J57" s="172">
        <f t="shared" si="22"/>
        <v>8789108</v>
      </c>
      <c r="K57" s="172">
        <f t="shared" si="22"/>
        <v>21442108</v>
      </c>
      <c r="L57" s="732" t="s">
        <v>343</v>
      </c>
      <c r="M57" s="733"/>
      <c r="N57" s="178">
        <f>N53+N56</f>
        <v>0</v>
      </c>
      <c r="O57" s="178">
        <f aca="true" t="shared" si="23" ref="O57:V57">O53+O56</f>
        <v>0</v>
      </c>
      <c r="P57" s="178">
        <f t="shared" si="23"/>
        <v>0</v>
      </c>
      <c r="Q57" s="178">
        <f t="shared" si="23"/>
        <v>0</v>
      </c>
      <c r="R57" s="178">
        <f t="shared" si="23"/>
        <v>0</v>
      </c>
      <c r="S57" s="178">
        <f t="shared" si="23"/>
        <v>0</v>
      </c>
      <c r="T57" s="178">
        <f t="shared" si="23"/>
        <v>0</v>
      </c>
      <c r="U57" s="178">
        <f t="shared" si="23"/>
        <v>5000000</v>
      </c>
      <c r="V57" s="178">
        <f t="shared" si="23"/>
        <v>5000000</v>
      </c>
      <c r="W57" s="229"/>
      <c r="X57" s="229"/>
      <c r="Y57" s="229"/>
      <c r="Z57" s="229"/>
      <c r="AA57" s="229"/>
    </row>
    <row r="58" spans="1:27" ht="15" customHeight="1">
      <c r="A58" s="202"/>
      <c r="B58" s="167"/>
      <c r="C58" s="175"/>
      <c r="D58" s="175"/>
      <c r="E58" s="175"/>
      <c r="F58" s="175"/>
      <c r="G58" s="175"/>
      <c r="H58" s="175"/>
      <c r="I58" s="175"/>
      <c r="J58" s="175"/>
      <c r="K58" s="175"/>
      <c r="L58" s="181"/>
      <c r="M58" s="181"/>
      <c r="N58" s="177"/>
      <c r="O58" s="177"/>
      <c r="P58" s="177"/>
      <c r="Q58" s="177"/>
      <c r="R58" s="177"/>
      <c r="S58" s="177"/>
      <c r="T58" s="177"/>
      <c r="U58" s="177"/>
      <c r="V58" s="177"/>
      <c r="W58" s="229"/>
      <c r="X58" s="229"/>
      <c r="Y58" s="229"/>
      <c r="Z58" s="229"/>
      <c r="AA58" s="229"/>
    </row>
    <row r="59" spans="1:27" s="191" customFormat="1" ht="15" customHeight="1">
      <c r="A59" s="746" t="s">
        <v>345</v>
      </c>
      <c r="B59" s="747"/>
      <c r="C59" s="190">
        <f aca="true" t="shared" si="24" ref="C59:I59">C46+C57</f>
        <v>12649904</v>
      </c>
      <c r="D59" s="190">
        <f t="shared" si="24"/>
        <v>3706796</v>
      </c>
      <c r="E59" s="190">
        <f t="shared" si="24"/>
        <v>16356700</v>
      </c>
      <c r="F59" s="190">
        <f t="shared" si="24"/>
        <v>-612700</v>
      </c>
      <c r="G59" s="190">
        <f t="shared" si="24"/>
        <v>15744000</v>
      </c>
      <c r="H59" s="190">
        <f t="shared" si="24"/>
        <v>8000</v>
      </c>
      <c r="I59" s="190">
        <f t="shared" si="24"/>
        <v>15752000</v>
      </c>
      <c r="J59" s="190">
        <f>J46+J57</f>
        <v>8796108</v>
      </c>
      <c r="K59" s="190">
        <f>K46+K57</f>
        <v>24548108</v>
      </c>
      <c r="L59" s="753" t="s">
        <v>354</v>
      </c>
      <c r="M59" s="747"/>
      <c r="N59" s="195">
        <f aca="true" t="shared" si="25" ref="N59:T59">N46+N57</f>
        <v>35223796</v>
      </c>
      <c r="O59" s="195">
        <f t="shared" si="25"/>
        <v>5325200</v>
      </c>
      <c r="P59" s="195">
        <f t="shared" si="25"/>
        <v>40548996</v>
      </c>
      <c r="Q59" s="195">
        <f t="shared" si="25"/>
        <v>-3330470</v>
      </c>
      <c r="R59" s="195">
        <f t="shared" si="25"/>
        <v>37218526</v>
      </c>
      <c r="S59" s="195">
        <f t="shared" si="25"/>
        <v>0</v>
      </c>
      <c r="T59" s="195">
        <f t="shared" si="25"/>
        <v>37218526</v>
      </c>
      <c r="U59" s="195">
        <f>U46+U57</f>
        <v>11297325</v>
      </c>
      <c r="V59" s="195">
        <f>V46+V57</f>
        <v>48515851</v>
      </c>
      <c r="W59" s="229"/>
      <c r="X59" s="229"/>
      <c r="Y59" s="229"/>
      <c r="Z59" s="229"/>
      <c r="AA59" s="229"/>
    </row>
    <row r="60" spans="1:27" ht="15" customHeight="1">
      <c r="A60" s="202"/>
      <c r="B60" s="167"/>
      <c r="C60" s="175"/>
      <c r="D60" s="175"/>
      <c r="E60" s="175"/>
      <c r="F60" s="175"/>
      <c r="G60" s="175"/>
      <c r="H60" s="175"/>
      <c r="I60" s="175"/>
      <c r="J60" s="175"/>
      <c r="K60" s="175"/>
      <c r="L60" s="181"/>
      <c r="M60" s="181"/>
      <c r="N60" s="177"/>
      <c r="O60" s="177"/>
      <c r="P60" s="177"/>
      <c r="Q60" s="177"/>
      <c r="R60" s="177"/>
      <c r="S60" s="177"/>
      <c r="T60" s="177"/>
      <c r="U60" s="177"/>
      <c r="V60" s="177"/>
      <c r="W60" s="229"/>
      <c r="X60" s="229"/>
      <c r="Y60" s="229"/>
      <c r="Z60" s="229"/>
      <c r="AA60" s="229"/>
    </row>
    <row r="61" spans="1:22" ht="15" customHeight="1" thickBot="1">
      <c r="A61" s="744" t="s">
        <v>346</v>
      </c>
      <c r="B61" s="745"/>
      <c r="C61" s="204">
        <f aca="true" t="shared" si="26" ref="C61:I61">C30+C59</f>
        <v>286409932</v>
      </c>
      <c r="D61" s="204">
        <f t="shared" si="26"/>
        <v>6555296</v>
      </c>
      <c r="E61" s="204">
        <f t="shared" si="26"/>
        <v>292965228</v>
      </c>
      <c r="F61" s="204">
        <f t="shared" si="26"/>
        <v>8803651</v>
      </c>
      <c r="G61" s="204">
        <f t="shared" si="26"/>
        <v>301768879</v>
      </c>
      <c r="H61" s="204">
        <f t="shared" si="26"/>
        <v>2957206</v>
      </c>
      <c r="I61" s="204">
        <f t="shared" si="26"/>
        <v>304726085</v>
      </c>
      <c r="J61" s="204">
        <f>J30+J59</f>
        <v>6185856</v>
      </c>
      <c r="K61" s="204">
        <f>K30+K59</f>
        <v>310911941</v>
      </c>
      <c r="L61" s="205"/>
      <c r="M61" s="203" t="s">
        <v>347</v>
      </c>
      <c r="N61" s="204">
        <f aca="true" t="shared" si="27" ref="N61:T61">N30+N59</f>
        <v>286409932</v>
      </c>
      <c r="O61" s="204">
        <f t="shared" si="27"/>
        <v>6555296</v>
      </c>
      <c r="P61" s="204">
        <f t="shared" si="27"/>
        <v>292965228</v>
      </c>
      <c r="Q61" s="204">
        <f t="shared" si="27"/>
        <v>8803651</v>
      </c>
      <c r="R61" s="204">
        <f t="shared" si="27"/>
        <v>301768879</v>
      </c>
      <c r="S61" s="204">
        <f t="shared" si="27"/>
        <v>2957206</v>
      </c>
      <c r="T61" s="204">
        <f t="shared" si="27"/>
        <v>304726085</v>
      </c>
      <c r="U61" s="204">
        <f>U30+U59</f>
        <v>6185856</v>
      </c>
      <c r="V61" s="204">
        <f>V30+V59</f>
        <v>310911941</v>
      </c>
    </row>
    <row r="62" s="142" customFormat="1" ht="12.75"/>
    <row r="63" spans="1:244" ht="15" customHeight="1">
      <c r="A63" s="185"/>
      <c r="B63" s="186" t="s">
        <v>361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185"/>
      <c r="GF63" s="185"/>
      <c r="GG63" s="185"/>
      <c r="GH63" s="185"/>
      <c r="GI63" s="185"/>
      <c r="GJ63" s="185"/>
      <c r="GK63" s="185"/>
      <c r="GL63" s="185"/>
      <c r="GM63" s="185"/>
      <c r="GN63" s="185"/>
      <c r="GO63" s="185"/>
      <c r="GP63" s="185"/>
      <c r="GQ63" s="185"/>
      <c r="GR63" s="185"/>
      <c r="GS63" s="185"/>
      <c r="GT63" s="185"/>
      <c r="GU63" s="185"/>
      <c r="GV63" s="185"/>
      <c r="GW63" s="185"/>
      <c r="GX63" s="185"/>
      <c r="GY63" s="185"/>
      <c r="GZ63" s="185"/>
      <c r="HA63" s="185"/>
      <c r="HB63" s="185"/>
      <c r="HC63" s="185"/>
      <c r="HD63" s="185"/>
      <c r="HE63" s="185"/>
      <c r="HF63" s="185"/>
      <c r="HG63" s="185"/>
      <c r="HH63" s="185"/>
      <c r="HI63" s="185"/>
      <c r="HJ63" s="185"/>
      <c r="HK63" s="185"/>
      <c r="HL63" s="185"/>
      <c r="HM63" s="185"/>
      <c r="HN63" s="185"/>
      <c r="HO63" s="185"/>
      <c r="HP63" s="185"/>
      <c r="HQ63" s="185"/>
      <c r="HR63" s="185"/>
      <c r="HS63" s="185"/>
      <c r="HT63" s="185"/>
      <c r="HU63" s="185"/>
      <c r="HV63" s="185"/>
      <c r="HW63" s="185"/>
      <c r="HX63" s="185"/>
      <c r="HY63" s="185"/>
      <c r="HZ63" s="185"/>
      <c r="IA63" s="185"/>
      <c r="IB63" s="185"/>
      <c r="IC63" s="185"/>
      <c r="ID63" s="185"/>
      <c r="IE63" s="185"/>
      <c r="IF63" s="185"/>
      <c r="IG63" s="185"/>
      <c r="IH63" s="185"/>
      <c r="II63" s="185"/>
      <c r="IJ63" s="185"/>
    </row>
    <row r="64" s="142" customFormat="1" ht="12.75"/>
    <row r="65" s="142" customFormat="1" ht="12.75"/>
  </sheetData>
  <sheetProtection/>
  <mergeCells count="25">
    <mergeCell ref="A61:B61"/>
    <mergeCell ref="A59:B59"/>
    <mergeCell ref="A30:B30"/>
    <mergeCell ref="L30:M30"/>
    <mergeCell ref="A33:B33"/>
    <mergeCell ref="A57:B57"/>
    <mergeCell ref="L46:M46"/>
    <mergeCell ref="L48:M48"/>
    <mergeCell ref="L59:M59"/>
    <mergeCell ref="S3:T3"/>
    <mergeCell ref="Q3:R3"/>
    <mergeCell ref="A6:C6"/>
    <mergeCell ref="L6:N6"/>
    <mergeCell ref="O3:P3"/>
    <mergeCell ref="L28:M28"/>
    <mergeCell ref="U3:V3"/>
    <mergeCell ref="A1:T1"/>
    <mergeCell ref="A2:T2"/>
    <mergeCell ref="L57:M57"/>
    <mergeCell ref="L32:M32"/>
    <mergeCell ref="A26:B26"/>
    <mergeCell ref="A28:B28"/>
    <mergeCell ref="L26:M26"/>
    <mergeCell ref="A32:B32"/>
    <mergeCell ref="L33:M33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54" r:id="rId1"/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view="pageBreakPreview" zoomScale="70" zoomScaleNormal="80" zoomScaleSheetLayoutView="70" zoomScalePageLayoutView="0" workbookViewId="0" topLeftCell="C1">
      <selection activeCell="C2" sqref="C2:C3"/>
    </sheetView>
  </sheetViews>
  <sheetFormatPr defaultColWidth="9.140625" defaultRowHeight="12.75"/>
  <cols>
    <col min="1" max="1" width="11.140625" style="140" customWidth="1"/>
    <col min="2" max="2" width="51.00390625" style="140" customWidth="1"/>
    <col min="3" max="3" width="7.421875" style="232" customWidth="1"/>
    <col min="4" max="4" width="9.57421875" style="232" customWidth="1"/>
    <col min="5" max="5" width="11.8515625" style="232" customWidth="1"/>
    <col min="6" max="6" width="12.140625" style="140" customWidth="1"/>
    <col min="7" max="7" width="13.421875" style="140" customWidth="1"/>
    <col min="8" max="8" width="12.7109375" style="140" customWidth="1"/>
    <col min="9" max="9" width="11.8515625" style="140" customWidth="1"/>
    <col min="10" max="10" width="12.7109375" style="140" customWidth="1"/>
    <col min="11" max="11" width="12.421875" style="140" customWidth="1"/>
    <col min="12" max="12" width="10.421875" style="140" customWidth="1"/>
    <col min="13" max="13" width="13.28125" style="140" customWidth="1"/>
    <col min="14" max="14" width="11.140625" style="140" customWidth="1"/>
    <col min="15" max="15" width="13.28125" style="140" customWidth="1"/>
    <col min="16" max="16" width="11.8515625" style="140" customWidth="1"/>
    <col min="17" max="17" width="10.7109375" style="140" customWidth="1"/>
    <col min="18" max="18" width="10.8515625" style="140" customWidth="1"/>
    <col min="19" max="19" width="10.57421875" style="140" customWidth="1"/>
    <col min="20" max="20" width="15.00390625" style="140" customWidth="1"/>
    <col min="21" max="21" width="18.140625" style="140" customWidth="1"/>
    <col min="22" max="22" width="6.140625" style="140" customWidth="1"/>
    <col min="23" max="23" width="6.7109375" style="140" customWidth="1"/>
    <col min="24" max="24" width="45.140625" style="140" customWidth="1"/>
    <col min="25" max="25" width="10.7109375" style="140" customWidth="1"/>
    <col min="26" max="26" width="12.8515625" style="140" customWidth="1"/>
    <col min="27" max="30" width="10.7109375" style="140" customWidth="1"/>
    <col min="31" max="33" width="12.57421875" style="140" customWidth="1"/>
    <col min="34" max="35" width="6.8515625" style="140" customWidth="1"/>
    <col min="36" max="36" width="8.57421875" style="140" customWidth="1"/>
    <col min="37" max="16384" width="9.140625" style="140" customWidth="1"/>
  </cols>
  <sheetData>
    <row r="1" spans="1:21" s="299" customFormat="1" ht="15.75">
      <c r="A1" s="763" t="s">
        <v>543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</row>
    <row r="2" spans="3:21" s="299" customFormat="1" ht="15.75">
      <c r="C2" s="729" t="s">
        <v>795</v>
      </c>
      <c r="D2" s="305"/>
      <c r="E2" s="305"/>
      <c r="U2" s="306" t="s">
        <v>748</v>
      </c>
    </row>
    <row r="3" spans="3:21" s="299" customFormat="1" ht="15.75">
      <c r="C3" s="729" t="s">
        <v>796</v>
      </c>
      <c r="D3" s="305"/>
      <c r="E3" s="305"/>
      <c r="T3" s="788" t="s">
        <v>509</v>
      </c>
      <c r="U3" s="788"/>
    </row>
    <row r="4" spans="1:36" s="239" customFormat="1" ht="40.5" customHeight="1">
      <c r="A4" s="786" t="s">
        <v>105</v>
      </c>
      <c r="B4" s="787" t="s">
        <v>212</v>
      </c>
      <c r="C4" s="341" t="s">
        <v>466</v>
      </c>
      <c r="D4" s="785" t="s">
        <v>500</v>
      </c>
      <c r="E4" s="785" t="s">
        <v>525</v>
      </c>
      <c r="F4" s="785" t="s">
        <v>440</v>
      </c>
      <c r="G4" s="785" t="s">
        <v>441</v>
      </c>
      <c r="H4" s="785" t="s">
        <v>553</v>
      </c>
      <c r="I4" s="785" t="s">
        <v>365</v>
      </c>
      <c r="J4" s="785" t="s">
        <v>449</v>
      </c>
      <c r="K4" s="785"/>
      <c r="L4" s="785"/>
      <c r="M4" s="785"/>
      <c r="N4" s="785"/>
      <c r="O4" s="785" t="s">
        <v>620</v>
      </c>
      <c r="P4" s="785" t="s">
        <v>366</v>
      </c>
      <c r="Q4" s="785" t="s">
        <v>442</v>
      </c>
      <c r="R4" s="785"/>
      <c r="S4" s="785"/>
      <c r="T4" s="785" t="s">
        <v>452</v>
      </c>
      <c r="U4" s="785" t="s">
        <v>95</v>
      </c>
      <c r="V4" s="238"/>
      <c r="W4" s="238"/>
      <c r="X4" s="238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</row>
    <row r="5" spans="1:36" s="239" customFormat="1" ht="63" customHeight="1">
      <c r="A5" s="786"/>
      <c r="B5" s="787"/>
      <c r="C5" s="341" t="s">
        <v>465</v>
      </c>
      <c r="D5" s="785"/>
      <c r="E5" s="785"/>
      <c r="F5" s="785"/>
      <c r="G5" s="785"/>
      <c r="H5" s="785"/>
      <c r="I5" s="785"/>
      <c r="J5" s="318" t="s">
        <v>367</v>
      </c>
      <c r="K5" s="319" t="s">
        <v>444</v>
      </c>
      <c r="L5" s="319" t="s">
        <v>443</v>
      </c>
      <c r="M5" s="319" t="s">
        <v>446</v>
      </c>
      <c r="N5" s="319" t="s">
        <v>368</v>
      </c>
      <c r="O5" s="785"/>
      <c r="P5" s="785"/>
      <c r="Q5" s="319" t="s">
        <v>445</v>
      </c>
      <c r="R5" s="319" t="s">
        <v>447</v>
      </c>
      <c r="S5" s="319" t="s">
        <v>448</v>
      </c>
      <c r="T5" s="785"/>
      <c r="U5" s="785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</row>
    <row r="6" spans="1:36" ht="18" customHeight="1">
      <c r="A6" s="233"/>
      <c r="B6" s="342" t="s">
        <v>467</v>
      </c>
      <c r="C6" s="343"/>
      <c r="D6" s="344"/>
      <c r="E6" s="344"/>
      <c r="F6" s="345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06"/>
      <c r="W6" s="206"/>
      <c r="X6" s="207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</row>
    <row r="7" spans="1:36" ht="19.5" customHeight="1">
      <c r="A7" s="346" t="s">
        <v>371</v>
      </c>
      <c r="B7" s="347" t="s">
        <v>372</v>
      </c>
      <c r="C7" s="347" t="s">
        <v>208</v>
      </c>
      <c r="D7" s="348">
        <v>1</v>
      </c>
      <c r="E7" s="348">
        <v>1</v>
      </c>
      <c r="F7" s="349">
        <v>11976400</v>
      </c>
      <c r="G7" s="349">
        <v>3120704</v>
      </c>
      <c r="H7" s="349">
        <v>4782428</v>
      </c>
      <c r="I7" s="349"/>
      <c r="J7" s="349"/>
      <c r="K7" s="349"/>
      <c r="L7" s="349"/>
      <c r="M7" s="349"/>
      <c r="N7" s="349"/>
      <c r="O7" s="349">
        <v>1497000</v>
      </c>
      <c r="P7" s="349"/>
      <c r="Q7" s="349"/>
      <c r="R7" s="349"/>
      <c r="S7" s="349"/>
      <c r="T7" s="349"/>
      <c r="U7" s="235">
        <f aca="true" t="shared" si="0" ref="U7:U12">SUM(F7:T7)</f>
        <v>21376532</v>
      </c>
      <c r="V7" s="209"/>
      <c r="W7" s="209"/>
      <c r="X7" s="210"/>
      <c r="Y7" s="208"/>
      <c r="Z7" s="208"/>
      <c r="AA7" s="208"/>
      <c r="AB7" s="211"/>
      <c r="AC7" s="211"/>
      <c r="AD7" s="211"/>
      <c r="AE7" s="211"/>
      <c r="AF7" s="211"/>
      <c r="AG7" s="211"/>
      <c r="AH7" s="211"/>
      <c r="AI7" s="211"/>
      <c r="AJ7" s="211"/>
    </row>
    <row r="8" spans="1:36" ht="19.5" customHeight="1">
      <c r="A8" s="346" t="s">
        <v>373</v>
      </c>
      <c r="B8" s="350" t="s">
        <v>374</v>
      </c>
      <c r="C8" s="347" t="s">
        <v>208</v>
      </c>
      <c r="D8" s="348">
        <v>0</v>
      </c>
      <c r="E8" s="348">
        <v>0</v>
      </c>
      <c r="F8" s="349"/>
      <c r="G8" s="349"/>
      <c r="H8" s="349">
        <v>386000</v>
      </c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235">
        <f t="shared" si="0"/>
        <v>386000</v>
      </c>
      <c r="V8" s="209"/>
      <c r="W8" s="209"/>
      <c r="X8" s="215"/>
      <c r="Y8" s="216"/>
      <c r="Z8" s="216"/>
      <c r="AA8" s="213"/>
      <c r="AB8" s="216"/>
      <c r="AC8" s="216"/>
      <c r="AD8" s="213"/>
      <c r="AE8" s="217"/>
      <c r="AF8" s="217"/>
      <c r="AG8" s="218"/>
      <c r="AH8" s="219"/>
      <c r="AI8" s="219"/>
      <c r="AJ8" s="213"/>
    </row>
    <row r="9" spans="1:36" ht="19.5" customHeight="1">
      <c r="A9" s="346" t="s">
        <v>112</v>
      </c>
      <c r="B9" s="350" t="s">
        <v>450</v>
      </c>
      <c r="C9" s="347" t="s">
        <v>208</v>
      </c>
      <c r="D9" s="348">
        <v>0</v>
      </c>
      <c r="E9" s="348">
        <v>0</v>
      </c>
      <c r="F9" s="349"/>
      <c r="G9" s="349"/>
      <c r="H9" s="349">
        <v>63500</v>
      </c>
      <c r="I9" s="349"/>
      <c r="J9" s="349"/>
      <c r="K9" s="349"/>
      <c r="L9" s="349"/>
      <c r="M9" s="349"/>
      <c r="N9" s="349"/>
      <c r="O9" s="349">
        <v>2480000</v>
      </c>
      <c r="P9" s="349"/>
      <c r="Q9" s="349"/>
      <c r="R9" s="349"/>
      <c r="S9" s="349"/>
      <c r="T9" s="349"/>
      <c r="U9" s="235">
        <f t="shared" si="0"/>
        <v>2543500</v>
      </c>
      <c r="V9" s="209"/>
      <c r="W9" s="209"/>
      <c r="X9" s="215"/>
      <c r="Y9" s="216"/>
      <c r="Z9" s="216"/>
      <c r="AA9" s="213"/>
      <c r="AB9" s="216"/>
      <c r="AC9" s="216"/>
      <c r="AD9" s="213"/>
      <c r="AE9" s="217"/>
      <c r="AF9" s="217"/>
      <c r="AG9" s="218"/>
      <c r="AH9" s="219"/>
      <c r="AI9" s="219"/>
      <c r="AJ9" s="213"/>
    </row>
    <row r="10" spans="1:36" ht="19.5" customHeight="1">
      <c r="A10" s="346" t="s">
        <v>544</v>
      </c>
      <c r="B10" s="350" t="s">
        <v>545</v>
      </c>
      <c r="C10" s="347" t="s">
        <v>208</v>
      </c>
      <c r="D10" s="351">
        <v>0.25</v>
      </c>
      <c r="E10" s="348">
        <v>0</v>
      </c>
      <c r="F10" s="349">
        <v>360000</v>
      </c>
      <c r="G10" s="349">
        <v>98000</v>
      </c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235">
        <f t="shared" si="0"/>
        <v>458000</v>
      </c>
      <c r="V10" s="209"/>
      <c r="W10" s="209"/>
      <c r="X10" s="215"/>
      <c r="Y10" s="216"/>
      <c r="Z10" s="216"/>
      <c r="AA10" s="213"/>
      <c r="AB10" s="216"/>
      <c r="AC10" s="216"/>
      <c r="AD10" s="213"/>
      <c r="AE10" s="217"/>
      <c r="AF10" s="217"/>
      <c r="AG10" s="218"/>
      <c r="AH10" s="219"/>
      <c r="AI10" s="219"/>
      <c r="AJ10" s="213"/>
    </row>
    <row r="11" spans="1:36" ht="19.5" customHeight="1">
      <c r="A11" s="346" t="s">
        <v>408</v>
      </c>
      <c r="B11" s="350" t="s">
        <v>409</v>
      </c>
      <c r="C11" s="347" t="s">
        <v>208</v>
      </c>
      <c r="D11" s="351">
        <v>0</v>
      </c>
      <c r="E11" s="348">
        <v>0</v>
      </c>
      <c r="F11" s="349"/>
      <c r="G11" s="349"/>
      <c r="H11" s="349">
        <v>5715000</v>
      </c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235">
        <f t="shared" si="0"/>
        <v>5715000</v>
      </c>
      <c r="V11" s="209"/>
      <c r="W11" s="209"/>
      <c r="X11" s="215"/>
      <c r="Y11" s="216"/>
      <c r="Z11" s="216"/>
      <c r="AA11" s="213"/>
      <c r="AB11" s="216"/>
      <c r="AC11" s="216"/>
      <c r="AD11" s="213"/>
      <c r="AE11" s="217"/>
      <c r="AF11" s="217"/>
      <c r="AG11" s="218"/>
      <c r="AH11" s="219"/>
      <c r="AI11" s="219"/>
      <c r="AJ11" s="213"/>
    </row>
    <row r="12" spans="1:36" ht="19.5" customHeight="1">
      <c r="A12" s="346" t="s">
        <v>431</v>
      </c>
      <c r="B12" s="350" t="s">
        <v>451</v>
      </c>
      <c r="C12" s="347" t="s">
        <v>208</v>
      </c>
      <c r="D12" s="348">
        <v>0</v>
      </c>
      <c r="E12" s="348">
        <v>0</v>
      </c>
      <c r="F12" s="349"/>
      <c r="G12" s="349"/>
      <c r="H12" s="349"/>
      <c r="I12" s="349"/>
      <c r="J12" s="349">
        <v>300000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>
        <v>4110757</v>
      </c>
      <c r="U12" s="235">
        <f t="shared" si="0"/>
        <v>4410757</v>
      </c>
      <c r="V12" s="209"/>
      <c r="W12" s="209"/>
      <c r="X12" s="215"/>
      <c r="Y12" s="216"/>
      <c r="Z12" s="216"/>
      <c r="AA12" s="213"/>
      <c r="AB12" s="216"/>
      <c r="AC12" s="216"/>
      <c r="AD12" s="213"/>
      <c r="AE12" s="217"/>
      <c r="AF12" s="217"/>
      <c r="AG12" s="218"/>
      <c r="AH12" s="219"/>
      <c r="AI12" s="219"/>
      <c r="AJ12" s="213"/>
    </row>
    <row r="13" spans="1:36" ht="19.5" customHeight="1">
      <c r="A13" s="346" t="s">
        <v>375</v>
      </c>
      <c r="B13" s="350" t="s">
        <v>752</v>
      </c>
      <c r="C13" s="347" t="s">
        <v>208</v>
      </c>
      <c r="D13" s="348">
        <v>0</v>
      </c>
      <c r="E13" s="348">
        <v>0</v>
      </c>
      <c r="F13" s="349"/>
      <c r="G13" s="349"/>
      <c r="H13" s="349"/>
      <c r="I13" s="349"/>
      <c r="J13" s="349"/>
      <c r="K13" s="349">
        <v>47299602</v>
      </c>
      <c r="L13" s="349"/>
      <c r="M13" s="349"/>
      <c r="N13" s="349"/>
      <c r="O13" s="349"/>
      <c r="P13" s="349"/>
      <c r="Q13" s="349"/>
      <c r="R13" s="349"/>
      <c r="S13" s="349"/>
      <c r="T13" s="349"/>
      <c r="U13" s="235">
        <f>SUM(F13:T13)</f>
        <v>47299602</v>
      </c>
      <c r="V13" s="209"/>
      <c r="W13" s="209"/>
      <c r="X13" s="215"/>
      <c r="Y13" s="216"/>
      <c r="Z13" s="216"/>
      <c r="AA13" s="213"/>
      <c r="AB13" s="216"/>
      <c r="AC13" s="216"/>
      <c r="AD13" s="213"/>
      <c r="AE13" s="217"/>
      <c r="AF13" s="217"/>
      <c r="AG13" s="218"/>
      <c r="AH13" s="219"/>
      <c r="AI13" s="219"/>
      <c r="AJ13" s="213"/>
    </row>
    <row r="14" spans="1:36" s="239" customFormat="1" ht="19.5" customHeight="1">
      <c r="A14" s="352" t="s">
        <v>369</v>
      </c>
      <c r="B14" s="353" t="s">
        <v>370</v>
      </c>
      <c r="C14" s="263"/>
      <c r="D14" s="354">
        <f>SUM(D7:D12)</f>
        <v>1.25</v>
      </c>
      <c r="E14" s="354">
        <f>SUM(E7:E12)</f>
        <v>1</v>
      </c>
      <c r="F14" s="355">
        <f>SUM(F7:F13)</f>
        <v>12336400</v>
      </c>
      <c r="G14" s="355">
        <f aca="true" t="shared" si="1" ref="G14:T14">SUM(G7:G13)</f>
        <v>3218704</v>
      </c>
      <c r="H14" s="355">
        <f t="shared" si="1"/>
        <v>10946928</v>
      </c>
      <c r="I14" s="355">
        <f t="shared" si="1"/>
        <v>0</v>
      </c>
      <c r="J14" s="355">
        <f t="shared" si="1"/>
        <v>300000</v>
      </c>
      <c r="K14" s="355">
        <f t="shared" si="1"/>
        <v>47299602</v>
      </c>
      <c r="L14" s="355">
        <f t="shared" si="1"/>
        <v>0</v>
      </c>
      <c r="M14" s="355">
        <f t="shared" si="1"/>
        <v>0</v>
      </c>
      <c r="N14" s="355">
        <f t="shared" si="1"/>
        <v>0</v>
      </c>
      <c r="O14" s="355">
        <f t="shared" si="1"/>
        <v>3977000</v>
      </c>
      <c r="P14" s="355">
        <f t="shared" si="1"/>
        <v>0</v>
      </c>
      <c r="Q14" s="355">
        <f t="shared" si="1"/>
        <v>0</v>
      </c>
      <c r="R14" s="355">
        <f t="shared" si="1"/>
        <v>0</v>
      </c>
      <c r="S14" s="355">
        <f t="shared" si="1"/>
        <v>0</v>
      </c>
      <c r="T14" s="355">
        <f t="shared" si="1"/>
        <v>4110757</v>
      </c>
      <c r="U14" s="240">
        <f>SUM(U7:U13)</f>
        <v>82189391</v>
      </c>
      <c r="V14" s="241"/>
      <c r="W14" s="241"/>
      <c r="X14" s="242"/>
      <c r="Y14" s="243"/>
      <c r="Z14" s="243"/>
      <c r="AA14" s="244"/>
      <c r="AB14" s="243"/>
      <c r="AC14" s="243"/>
      <c r="AD14" s="244"/>
      <c r="AE14" s="245"/>
      <c r="AF14" s="245"/>
      <c r="AG14" s="246"/>
      <c r="AH14" s="247"/>
      <c r="AI14" s="247"/>
      <c r="AJ14" s="244"/>
    </row>
    <row r="15" spans="1:36" ht="9" customHeight="1">
      <c r="A15" s="346"/>
      <c r="B15" s="350"/>
      <c r="C15" s="350"/>
      <c r="D15" s="356"/>
      <c r="E15" s="356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235"/>
      <c r="V15" s="209"/>
      <c r="W15" s="209"/>
      <c r="X15" s="215"/>
      <c r="Y15" s="216"/>
      <c r="Z15" s="216"/>
      <c r="AA15" s="213"/>
      <c r="AB15" s="216"/>
      <c r="AC15" s="216"/>
      <c r="AD15" s="213"/>
      <c r="AE15" s="217"/>
      <c r="AF15" s="217"/>
      <c r="AG15" s="218"/>
      <c r="AH15" s="219"/>
      <c r="AI15" s="219"/>
      <c r="AJ15" s="213"/>
    </row>
    <row r="16" spans="1:60" ht="19.5" customHeight="1">
      <c r="A16" s="358" t="s">
        <v>379</v>
      </c>
      <c r="B16" s="340" t="s">
        <v>380</v>
      </c>
      <c r="C16" s="347" t="s">
        <v>208</v>
      </c>
      <c r="D16" s="348">
        <v>7</v>
      </c>
      <c r="E16" s="348">
        <v>0</v>
      </c>
      <c r="F16" s="349">
        <v>5330425</v>
      </c>
      <c r="G16" s="349">
        <v>676133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235">
        <f>SUM(F16:T16)</f>
        <v>6006558</v>
      </c>
      <c r="V16" s="212"/>
      <c r="W16" s="212"/>
      <c r="X16" s="209"/>
      <c r="Y16" s="208"/>
      <c r="Z16" s="208"/>
      <c r="AA16" s="213"/>
      <c r="AB16" s="211"/>
      <c r="AC16" s="211"/>
      <c r="AD16" s="213"/>
      <c r="AE16" s="211"/>
      <c r="AF16" s="217"/>
      <c r="AG16" s="213"/>
      <c r="AH16" s="211"/>
      <c r="AI16" s="211"/>
      <c r="AJ16" s="213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60" ht="19.5" customHeight="1">
      <c r="A17" s="358" t="s">
        <v>566</v>
      </c>
      <c r="B17" s="340" t="s">
        <v>567</v>
      </c>
      <c r="C17" s="347" t="s">
        <v>208</v>
      </c>
      <c r="D17" s="348">
        <v>5</v>
      </c>
      <c r="E17" s="348">
        <v>0</v>
      </c>
      <c r="F17" s="349">
        <v>3540975</v>
      </c>
      <c r="G17" s="349">
        <v>480867</v>
      </c>
      <c r="H17" s="349">
        <v>1236000</v>
      </c>
      <c r="I17" s="349"/>
      <c r="J17" s="349"/>
      <c r="K17" s="349"/>
      <c r="L17" s="349"/>
      <c r="M17" s="349"/>
      <c r="N17" s="349"/>
      <c r="O17" s="349">
        <v>157500</v>
      </c>
      <c r="P17" s="349"/>
      <c r="Q17" s="349"/>
      <c r="R17" s="349"/>
      <c r="S17" s="349"/>
      <c r="T17" s="349"/>
      <c r="U17" s="235">
        <f>SUM(F17:T17)</f>
        <v>5415342</v>
      </c>
      <c r="V17" s="212"/>
      <c r="W17" s="212"/>
      <c r="X17" s="209"/>
      <c r="Y17" s="208"/>
      <c r="Z17" s="208"/>
      <c r="AA17" s="213"/>
      <c r="AB17" s="211"/>
      <c r="AC17" s="211"/>
      <c r="AD17" s="213"/>
      <c r="AE17" s="211"/>
      <c r="AF17" s="217"/>
      <c r="AG17" s="213"/>
      <c r="AH17" s="211"/>
      <c r="AI17" s="211"/>
      <c r="AJ17" s="213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</row>
    <row r="18" spans="1:36" ht="19.5" customHeight="1">
      <c r="A18" s="346" t="s">
        <v>107</v>
      </c>
      <c r="B18" s="347" t="s">
        <v>381</v>
      </c>
      <c r="C18" s="347" t="s">
        <v>208</v>
      </c>
      <c r="D18" s="348">
        <v>0</v>
      </c>
      <c r="E18" s="348">
        <v>0</v>
      </c>
      <c r="F18" s="349"/>
      <c r="G18" s="349"/>
      <c r="H18" s="349">
        <v>3250000</v>
      </c>
      <c r="I18" s="349"/>
      <c r="J18" s="349"/>
      <c r="K18" s="349"/>
      <c r="L18" s="349"/>
      <c r="M18" s="349"/>
      <c r="N18" s="349"/>
      <c r="O18" s="349">
        <v>6877000</v>
      </c>
      <c r="P18" s="349">
        <v>7862500</v>
      </c>
      <c r="Q18" s="349"/>
      <c r="R18" s="349"/>
      <c r="S18" s="349"/>
      <c r="T18" s="349"/>
      <c r="U18" s="235">
        <f>SUM(F18:T18)</f>
        <v>17989500</v>
      </c>
      <c r="V18" s="212"/>
      <c r="W18" s="212"/>
      <c r="X18" s="209"/>
      <c r="Y18" s="208"/>
      <c r="Z18" s="208"/>
      <c r="AA18" s="213"/>
      <c r="AB18" s="211"/>
      <c r="AC18" s="211"/>
      <c r="AD18" s="213"/>
      <c r="AE18" s="211"/>
      <c r="AF18" s="214"/>
      <c r="AG18" s="213"/>
      <c r="AH18" s="211"/>
      <c r="AI18" s="211"/>
      <c r="AJ18" s="213"/>
    </row>
    <row r="19" spans="1:36" s="239" customFormat="1" ht="19.5" customHeight="1">
      <c r="A19" s="353" t="s">
        <v>377</v>
      </c>
      <c r="B19" s="353" t="s">
        <v>378</v>
      </c>
      <c r="C19" s="263"/>
      <c r="D19" s="354">
        <f aca="true" t="shared" si="2" ref="D19:S19">SUM(D16:D18)</f>
        <v>12</v>
      </c>
      <c r="E19" s="354">
        <f t="shared" si="2"/>
        <v>0</v>
      </c>
      <c r="F19" s="355">
        <f t="shared" si="2"/>
        <v>8871400</v>
      </c>
      <c r="G19" s="355">
        <f t="shared" si="2"/>
        <v>1157000</v>
      </c>
      <c r="H19" s="355">
        <f t="shared" si="2"/>
        <v>4486000</v>
      </c>
      <c r="I19" s="355">
        <f t="shared" si="2"/>
        <v>0</v>
      </c>
      <c r="J19" s="355">
        <f t="shared" si="2"/>
        <v>0</v>
      </c>
      <c r="K19" s="355">
        <f t="shared" si="2"/>
        <v>0</v>
      </c>
      <c r="L19" s="355">
        <f t="shared" si="2"/>
        <v>0</v>
      </c>
      <c r="M19" s="355">
        <f t="shared" si="2"/>
        <v>0</v>
      </c>
      <c r="N19" s="355">
        <f t="shared" si="2"/>
        <v>0</v>
      </c>
      <c r="O19" s="355">
        <f t="shared" si="2"/>
        <v>7034500</v>
      </c>
      <c r="P19" s="355">
        <f t="shared" si="2"/>
        <v>7862500</v>
      </c>
      <c r="Q19" s="355">
        <f t="shared" si="2"/>
        <v>0</v>
      </c>
      <c r="R19" s="355">
        <f t="shared" si="2"/>
        <v>0</v>
      </c>
      <c r="S19" s="355">
        <f t="shared" si="2"/>
        <v>0</v>
      </c>
      <c r="T19" s="355">
        <v>0</v>
      </c>
      <c r="U19" s="240">
        <f>SUM(U16:U18)</f>
        <v>29411400</v>
      </c>
      <c r="V19" s="248"/>
      <c r="W19" s="248"/>
      <c r="X19" s="249"/>
      <c r="Y19" s="250"/>
      <c r="Z19" s="250"/>
      <c r="AA19" s="244"/>
      <c r="AB19" s="250"/>
      <c r="AC19" s="250"/>
      <c r="AD19" s="244"/>
      <c r="AE19" s="251"/>
      <c r="AF19" s="251"/>
      <c r="AG19" s="244"/>
      <c r="AH19" s="250"/>
      <c r="AI19" s="250"/>
      <c r="AJ19" s="244"/>
    </row>
    <row r="20" spans="1:36" ht="11.25" customHeight="1">
      <c r="A20" s="346"/>
      <c r="B20" s="347"/>
      <c r="C20" s="347"/>
      <c r="D20" s="348"/>
      <c r="E20" s="348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235"/>
      <c r="V20" s="212"/>
      <c r="W20" s="212"/>
      <c r="X20" s="210"/>
      <c r="Y20" s="208"/>
      <c r="Z20" s="208"/>
      <c r="AA20" s="213"/>
      <c r="AB20" s="208"/>
      <c r="AC20" s="208"/>
      <c r="AD20" s="213"/>
      <c r="AE20" s="211"/>
      <c r="AF20" s="211"/>
      <c r="AG20" s="213"/>
      <c r="AH20" s="208"/>
      <c r="AI20" s="208"/>
      <c r="AJ20" s="213"/>
    </row>
    <row r="21" spans="1:60" s="223" customFormat="1" ht="19.5" customHeight="1">
      <c r="A21" s="358" t="s">
        <v>113</v>
      </c>
      <c r="B21" s="340" t="s">
        <v>453</v>
      </c>
      <c r="C21" s="340" t="s">
        <v>208</v>
      </c>
      <c r="D21" s="359"/>
      <c r="E21" s="359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>
        <v>4445125</v>
      </c>
      <c r="Q21" s="360"/>
      <c r="R21" s="360"/>
      <c r="S21" s="360"/>
      <c r="T21" s="360"/>
      <c r="U21" s="236">
        <f>SUM(F21:T21)</f>
        <v>4445125</v>
      </c>
      <c r="V21" s="224"/>
      <c r="W21" s="224"/>
      <c r="X21" s="220"/>
      <c r="Y21" s="221"/>
      <c r="Z21" s="221"/>
      <c r="AA21" s="225"/>
      <c r="AB21" s="222"/>
      <c r="AC21" s="222"/>
      <c r="AD21" s="225"/>
      <c r="AE21" s="222"/>
      <c r="AF21" s="226"/>
      <c r="AG21" s="225"/>
      <c r="AH21" s="222"/>
      <c r="AI21" s="222"/>
      <c r="AJ21" s="225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</row>
    <row r="22" spans="1:60" s="223" customFormat="1" ht="19.5" customHeight="1">
      <c r="A22" s="361" t="s">
        <v>382</v>
      </c>
      <c r="B22" s="362" t="s">
        <v>383</v>
      </c>
      <c r="C22" s="340"/>
      <c r="D22" s="354">
        <v>0</v>
      </c>
      <c r="E22" s="354">
        <v>0</v>
      </c>
      <c r="F22" s="363">
        <f aca="true" t="shared" si="3" ref="F22:S22">SUM(F21:F21)</f>
        <v>0</v>
      </c>
      <c r="G22" s="363">
        <f t="shared" si="3"/>
        <v>0</v>
      </c>
      <c r="H22" s="363">
        <f t="shared" si="3"/>
        <v>0</v>
      </c>
      <c r="I22" s="363">
        <f t="shared" si="3"/>
        <v>0</v>
      </c>
      <c r="J22" s="363">
        <f t="shared" si="3"/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3">
        <f t="shared" si="3"/>
        <v>4445125</v>
      </c>
      <c r="Q22" s="363">
        <f t="shared" si="3"/>
        <v>0</v>
      </c>
      <c r="R22" s="363">
        <f t="shared" si="3"/>
        <v>0</v>
      </c>
      <c r="S22" s="363">
        <f t="shared" si="3"/>
        <v>0</v>
      </c>
      <c r="T22" s="363">
        <v>0</v>
      </c>
      <c r="U22" s="237">
        <f>SUM(U21:U21)</f>
        <v>4445125</v>
      </c>
      <c r="V22" s="224"/>
      <c r="W22" s="224"/>
      <c r="X22" s="220"/>
      <c r="Y22" s="221"/>
      <c r="Z22" s="221"/>
      <c r="AA22" s="225"/>
      <c r="AB22" s="222"/>
      <c r="AC22" s="222"/>
      <c r="AD22" s="225"/>
      <c r="AE22" s="222"/>
      <c r="AF22" s="226"/>
      <c r="AG22" s="225"/>
      <c r="AH22" s="222"/>
      <c r="AI22" s="222"/>
      <c r="AJ22" s="225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</row>
    <row r="23" spans="1:36" ht="12.75" customHeight="1">
      <c r="A23" s="346"/>
      <c r="B23" s="347"/>
      <c r="C23" s="347"/>
      <c r="D23" s="348"/>
      <c r="E23" s="348"/>
      <c r="F23" s="357"/>
      <c r="G23" s="357"/>
      <c r="H23" s="349"/>
      <c r="I23" s="349"/>
      <c r="J23" s="349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235"/>
      <c r="V23" s="215"/>
      <c r="W23" s="215"/>
      <c r="X23" s="228"/>
      <c r="Y23" s="216"/>
      <c r="Z23" s="216"/>
      <c r="AA23" s="213"/>
      <c r="AB23" s="216"/>
      <c r="AC23" s="216"/>
      <c r="AD23" s="213"/>
      <c r="AE23" s="217"/>
      <c r="AF23" s="217"/>
      <c r="AG23" s="218"/>
      <c r="AH23" s="216"/>
      <c r="AI23" s="216"/>
      <c r="AJ23" s="213"/>
    </row>
    <row r="24" spans="1:36" ht="19.5" customHeight="1">
      <c r="A24" s="346" t="s">
        <v>386</v>
      </c>
      <c r="B24" s="347" t="s">
        <v>387</v>
      </c>
      <c r="C24" s="347" t="s">
        <v>208</v>
      </c>
      <c r="D24" s="348">
        <v>0</v>
      </c>
      <c r="E24" s="348">
        <v>0</v>
      </c>
      <c r="F24" s="349"/>
      <c r="G24" s="349"/>
      <c r="H24" s="349">
        <v>2600000</v>
      </c>
      <c r="I24" s="349"/>
      <c r="J24" s="349"/>
      <c r="K24" s="349"/>
      <c r="L24" s="349"/>
      <c r="M24" s="349"/>
      <c r="N24" s="349"/>
      <c r="O24" s="349">
        <v>2270500</v>
      </c>
      <c r="P24" s="349"/>
      <c r="Q24" s="349"/>
      <c r="R24" s="349"/>
      <c r="S24" s="349"/>
      <c r="T24" s="349"/>
      <c r="U24" s="235">
        <f>SUM(F24:T24)</f>
        <v>4870500</v>
      </c>
      <c r="V24" s="212"/>
      <c r="W24" s="212"/>
      <c r="X24" s="210"/>
      <c r="Y24" s="208"/>
      <c r="Z24" s="208"/>
      <c r="AA24" s="213"/>
      <c r="AB24" s="211"/>
      <c r="AC24" s="211"/>
      <c r="AD24" s="213"/>
      <c r="AE24" s="211"/>
      <c r="AF24" s="211"/>
      <c r="AG24" s="213"/>
      <c r="AH24" s="211"/>
      <c r="AI24" s="211"/>
      <c r="AJ24" s="213"/>
    </row>
    <row r="25" spans="1:60" ht="19.5" customHeight="1">
      <c r="A25" s="346" t="s">
        <v>388</v>
      </c>
      <c r="B25" s="347" t="s">
        <v>389</v>
      </c>
      <c r="C25" s="347" t="s">
        <v>208</v>
      </c>
      <c r="D25" s="348">
        <v>1</v>
      </c>
      <c r="E25" s="348">
        <v>1</v>
      </c>
      <c r="F25" s="349">
        <v>1982940</v>
      </c>
      <c r="G25" s="349">
        <v>554000</v>
      </c>
      <c r="H25" s="349">
        <v>2036000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235">
        <f>SUM(F25:T25)</f>
        <v>4572940</v>
      </c>
      <c r="V25" s="212"/>
      <c r="W25" s="212"/>
      <c r="X25" s="209"/>
      <c r="Y25" s="208"/>
      <c r="Z25" s="208"/>
      <c r="AA25" s="213"/>
      <c r="AB25" s="211"/>
      <c r="AC25" s="211"/>
      <c r="AD25" s="213"/>
      <c r="AE25" s="211"/>
      <c r="AF25" s="217"/>
      <c r="AG25" s="213"/>
      <c r="AH25" s="211"/>
      <c r="AI25" s="211"/>
      <c r="AJ25" s="213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</row>
    <row r="26" spans="1:36" ht="19.5" customHeight="1">
      <c r="A26" s="346" t="s">
        <v>110</v>
      </c>
      <c r="B26" s="347" t="s">
        <v>390</v>
      </c>
      <c r="C26" s="347" t="s">
        <v>208</v>
      </c>
      <c r="D26" s="364">
        <v>0.5</v>
      </c>
      <c r="E26" s="348">
        <v>0</v>
      </c>
      <c r="F26" s="349">
        <v>1426818</v>
      </c>
      <c r="G26" s="349">
        <v>360000</v>
      </c>
      <c r="H26" s="349">
        <v>5838200</v>
      </c>
      <c r="I26" s="349"/>
      <c r="J26" s="349"/>
      <c r="K26" s="349"/>
      <c r="L26" s="349"/>
      <c r="M26" s="349">
        <v>363081</v>
      </c>
      <c r="N26" s="349"/>
      <c r="O26" s="349">
        <v>7182031</v>
      </c>
      <c r="P26" s="349"/>
      <c r="Q26" s="349"/>
      <c r="R26" s="349"/>
      <c r="S26" s="349"/>
      <c r="T26" s="349"/>
      <c r="U26" s="235">
        <f>SUM(F26:T26)</f>
        <v>15170130</v>
      </c>
      <c r="V26" s="212"/>
      <c r="W26" s="212"/>
      <c r="X26" s="209"/>
      <c r="Y26" s="208"/>
      <c r="Z26" s="208"/>
      <c r="AA26" s="213"/>
      <c r="AB26" s="211"/>
      <c r="AC26" s="211"/>
      <c r="AD26" s="213"/>
      <c r="AE26" s="211"/>
      <c r="AF26" s="214"/>
      <c r="AG26" s="213"/>
      <c r="AH26" s="211"/>
      <c r="AI26" s="211"/>
      <c r="AJ26" s="213"/>
    </row>
    <row r="27" spans="1:36" s="239" customFormat="1" ht="19.5" customHeight="1">
      <c r="A27" s="365" t="s">
        <v>384</v>
      </c>
      <c r="B27" s="353" t="s">
        <v>385</v>
      </c>
      <c r="C27" s="263"/>
      <c r="D27" s="354">
        <v>1</v>
      </c>
      <c r="E27" s="354">
        <v>1</v>
      </c>
      <c r="F27" s="355">
        <f>SUM(F24:F26)</f>
        <v>3409758</v>
      </c>
      <c r="G27" s="355">
        <f aca="true" t="shared" si="4" ref="G27:S27">SUM(G24:G26)</f>
        <v>914000</v>
      </c>
      <c r="H27" s="355">
        <f t="shared" si="4"/>
        <v>10474200</v>
      </c>
      <c r="I27" s="355">
        <f t="shared" si="4"/>
        <v>0</v>
      </c>
      <c r="J27" s="355">
        <f t="shared" si="4"/>
        <v>0</v>
      </c>
      <c r="K27" s="355">
        <f t="shared" si="4"/>
        <v>0</v>
      </c>
      <c r="L27" s="355">
        <f t="shared" si="4"/>
        <v>0</v>
      </c>
      <c r="M27" s="355">
        <f t="shared" si="4"/>
        <v>363081</v>
      </c>
      <c r="N27" s="355">
        <f t="shared" si="4"/>
        <v>0</v>
      </c>
      <c r="O27" s="355">
        <f t="shared" si="4"/>
        <v>9452531</v>
      </c>
      <c r="P27" s="355">
        <f t="shared" si="4"/>
        <v>0</v>
      </c>
      <c r="Q27" s="355">
        <f t="shared" si="4"/>
        <v>0</v>
      </c>
      <c r="R27" s="355">
        <f t="shared" si="4"/>
        <v>0</v>
      </c>
      <c r="S27" s="355">
        <f t="shared" si="4"/>
        <v>0</v>
      </c>
      <c r="T27" s="355">
        <v>0</v>
      </c>
      <c r="U27" s="240">
        <f>SUM(U24:U26)</f>
        <v>24613570</v>
      </c>
      <c r="V27" s="248"/>
      <c r="W27" s="248"/>
      <c r="X27" s="241"/>
      <c r="Y27" s="250"/>
      <c r="Z27" s="250"/>
      <c r="AA27" s="244"/>
      <c r="AB27" s="251"/>
      <c r="AC27" s="251"/>
      <c r="AD27" s="244"/>
      <c r="AE27" s="251"/>
      <c r="AF27" s="252"/>
      <c r="AG27" s="244"/>
      <c r="AH27" s="251"/>
      <c r="AI27" s="251"/>
      <c r="AJ27" s="244"/>
    </row>
    <row r="28" spans="1:36" ht="8.25" customHeight="1">
      <c r="A28" s="346"/>
      <c r="B28" s="347"/>
      <c r="C28" s="347"/>
      <c r="D28" s="348"/>
      <c r="E28" s="348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235"/>
      <c r="V28" s="212"/>
      <c r="W28" s="212"/>
      <c r="X28" s="209"/>
      <c r="Y28" s="208"/>
      <c r="Z28" s="208"/>
      <c r="AA28" s="213"/>
      <c r="AB28" s="211"/>
      <c r="AC28" s="211"/>
      <c r="AD28" s="213"/>
      <c r="AE28" s="211"/>
      <c r="AF28" s="214"/>
      <c r="AG28" s="213"/>
      <c r="AH28" s="211"/>
      <c r="AI28" s="211"/>
      <c r="AJ28" s="213"/>
    </row>
    <row r="29" spans="1:36" ht="19.5" customHeight="1">
      <c r="A29" s="346" t="s">
        <v>393</v>
      </c>
      <c r="B29" s="347" t="s">
        <v>394</v>
      </c>
      <c r="C29" s="347" t="s">
        <v>208</v>
      </c>
      <c r="D29" s="348">
        <v>4</v>
      </c>
      <c r="E29" s="348">
        <v>4</v>
      </c>
      <c r="F29" s="349">
        <v>11770000</v>
      </c>
      <c r="G29" s="349">
        <v>3200000</v>
      </c>
      <c r="H29" s="349">
        <v>4200000</v>
      </c>
      <c r="I29" s="349"/>
      <c r="J29" s="349"/>
      <c r="K29" s="349"/>
      <c r="L29" s="349"/>
      <c r="M29" s="349"/>
      <c r="N29" s="349"/>
      <c r="O29" s="349">
        <v>679300</v>
      </c>
      <c r="P29" s="349"/>
      <c r="Q29" s="349"/>
      <c r="R29" s="349"/>
      <c r="S29" s="349"/>
      <c r="T29" s="349"/>
      <c r="U29" s="235">
        <f>SUM(F29:T29)</f>
        <v>19849300</v>
      </c>
      <c r="V29" s="212"/>
      <c r="W29" s="212"/>
      <c r="X29" s="209"/>
      <c r="Y29" s="211"/>
      <c r="Z29" s="211"/>
      <c r="AA29" s="213"/>
      <c r="AB29" s="211"/>
      <c r="AC29" s="211"/>
      <c r="AD29" s="213"/>
      <c r="AE29" s="211"/>
      <c r="AF29" s="214"/>
      <c r="AG29" s="213"/>
      <c r="AH29" s="211"/>
      <c r="AI29" s="211"/>
      <c r="AJ29" s="213"/>
    </row>
    <row r="30" spans="1:36" ht="19.5" customHeight="1">
      <c r="A30" s="346" t="s">
        <v>395</v>
      </c>
      <c r="B30" s="347" t="s">
        <v>396</v>
      </c>
      <c r="C30" s="347" t="s">
        <v>208</v>
      </c>
      <c r="D30" s="364">
        <v>0.5</v>
      </c>
      <c r="E30" s="348">
        <v>0</v>
      </c>
      <c r="F30" s="349">
        <v>546000</v>
      </c>
      <c r="G30" s="349">
        <v>150000</v>
      </c>
      <c r="H30" s="349">
        <v>5602300</v>
      </c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235">
        <f>SUM(F30:T30)</f>
        <v>6298300</v>
      </c>
      <c r="V30" s="212"/>
      <c r="W30" s="212"/>
      <c r="X30" s="209"/>
      <c r="Y30" s="211"/>
      <c r="Z30" s="211"/>
      <c r="AA30" s="213"/>
      <c r="AB30" s="211"/>
      <c r="AC30" s="211"/>
      <c r="AD30" s="213"/>
      <c r="AE30" s="211"/>
      <c r="AF30" s="214"/>
      <c r="AG30" s="213"/>
      <c r="AH30" s="211"/>
      <c r="AI30" s="211"/>
      <c r="AJ30" s="213"/>
    </row>
    <row r="31" spans="1:36" ht="19.5" customHeight="1">
      <c r="A31" s="346" t="s">
        <v>395</v>
      </c>
      <c r="B31" s="347" t="s">
        <v>454</v>
      </c>
      <c r="C31" s="347" t="s">
        <v>208</v>
      </c>
      <c r="D31" s="348">
        <v>0</v>
      </c>
      <c r="E31" s="348">
        <v>0</v>
      </c>
      <c r="F31" s="349"/>
      <c r="G31" s="349"/>
      <c r="H31" s="349">
        <v>55000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235">
        <f>SUM(F31:T31)</f>
        <v>55000</v>
      </c>
      <c r="V31" s="209"/>
      <c r="W31" s="209"/>
      <c r="X31" s="209"/>
      <c r="Y31" s="211"/>
      <c r="Z31" s="211"/>
      <c r="AA31" s="213"/>
      <c r="AB31" s="211"/>
      <c r="AC31" s="211"/>
      <c r="AD31" s="213"/>
      <c r="AE31" s="211"/>
      <c r="AF31" s="214"/>
      <c r="AG31" s="213"/>
      <c r="AH31" s="211"/>
      <c r="AI31" s="211"/>
      <c r="AJ31" s="213"/>
    </row>
    <row r="32" spans="1:36" ht="19.5" customHeight="1">
      <c r="A32" s="346" t="s">
        <v>397</v>
      </c>
      <c r="B32" s="347" t="s">
        <v>398</v>
      </c>
      <c r="C32" s="347" t="s">
        <v>208</v>
      </c>
      <c r="D32" s="348">
        <v>1</v>
      </c>
      <c r="E32" s="348">
        <v>1</v>
      </c>
      <c r="F32" s="349">
        <v>3453190</v>
      </c>
      <c r="G32" s="349">
        <v>925000</v>
      </c>
      <c r="H32" s="349">
        <v>540000</v>
      </c>
      <c r="I32" s="349"/>
      <c r="J32" s="349"/>
      <c r="K32" s="349"/>
      <c r="L32" s="349"/>
      <c r="M32" s="349"/>
      <c r="N32" s="349"/>
      <c r="O32" s="349">
        <v>26500</v>
      </c>
      <c r="P32" s="349"/>
      <c r="Q32" s="349"/>
      <c r="R32" s="349"/>
      <c r="S32" s="349"/>
      <c r="T32" s="349"/>
      <c r="U32" s="235">
        <f>SUM(F32:T32)</f>
        <v>4944690</v>
      </c>
      <c r="V32" s="212"/>
      <c r="W32" s="212"/>
      <c r="X32" s="209"/>
      <c r="Y32" s="211"/>
      <c r="Z32" s="211"/>
      <c r="AA32" s="213"/>
      <c r="AB32" s="211"/>
      <c r="AC32" s="211"/>
      <c r="AD32" s="213"/>
      <c r="AE32" s="211"/>
      <c r="AF32" s="214"/>
      <c r="AG32" s="213"/>
      <c r="AH32" s="211"/>
      <c r="AI32" s="211"/>
      <c r="AJ32" s="213"/>
    </row>
    <row r="33" spans="1:36" s="239" customFormat="1" ht="19.5" customHeight="1">
      <c r="A33" s="365" t="s">
        <v>391</v>
      </c>
      <c r="B33" s="353" t="s">
        <v>392</v>
      </c>
      <c r="C33" s="263"/>
      <c r="D33" s="354">
        <f aca="true" t="shared" si="5" ref="D33:S33">SUM(D29:D32)</f>
        <v>5.5</v>
      </c>
      <c r="E33" s="354">
        <f t="shared" si="5"/>
        <v>5</v>
      </c>
      <c r="F33" s="355">
        <f t="shared" si="5"/>
        <v>15769190</v>
      </c>
      <c r="G33" s="355">
        <f t="shared" si="5"/>
        <v>4275000</v>
      </c>
      <c r="H33" s="355">
        <f t="shared" si="5"/>
        <v>10397300</v>
      </c>
      <c r="I33" s="355">
        <f t="shared" si="5"/>
        <v>0</v>
      </c>
      <c r="J33" s="355">
        <f t="shared" si="5"/>
        <v>0</v>
      </c>
      <c r="K33" s="355">
        <f t="shared" si="5"/>
        <v>0</v>
      </c>
      <c r="L33" s="355">
        <f t="shared" si="5"/>
        <v>0</v>
      </c>
      <c r="M33" s="355">
        <f t="shared" si="5"/>
        <v>0</v>
      </c>
      <c r="N33" s="355">
        <f t="shared" si="5"/>
        <v>0</v>
      </c>
      <c r="O33" s="355">
        <f t="shared" si="5"/>
        <v>705800</v>
      </c>
      <c r="P33" s="355">
        <f t="shared" si="5"/>
        <v>0</v>
      </c>
      <c r="Q33" s="355">
        <f t="shared" si="5"/>
        <v>0</v>
      </c>
      <c r="R33" s="355">
        <f t="shared" si="5"/>
        <v>0</v>
      </c>
      <c r="S33" s="355">
        <f t="shared" si="5"/>
        <v>0</v>
      </c>
      <c r="T33" s="355">
        <v>0</v>
      </c>
      <c r="U33" s="240">
        <f>SUM(U29:U32)</f>
        <v>31147290</v>
      </c>
      <c r="V33" s="241"/>
      <c r="W33" s="241"/>
      <c r="X33" s="241"/>
      <c r="Y33" s="251"/>
      <c r="Z33" s="251"/>
      <c r="AA33" s="244"/>
      <c r="AB33" s="251"/>
      <c r="AC33" s="251"/>
      <c r="AD33" s="244"/>
      <c r="AE33" s="251"/>
      <c r="AF33" s="252"/>
      <c r="AG33" s="244"/>
      <c r="AH33" s="251"/>
      <c r="AI33" s="251"/>
      <c r="AJ33" s="244"/>
    </row>
    <row r="34" spans="1:36" ht="11.25" customHeight="1">
      <c r="A34" s="346"/>
      <c r="B34" s="347"/>
      <c r="C34" s="347"/>
      <c r="D34" s="348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235"/>
      <c r="V34" s="209"/>
      <c r="W34" s="209"/>
      <c r="X34" s="209"/>
      <c r="Y34" s="211"/>
      <c r="Z34" s="211"/>
      <c r="AA34" s="213"/>
      <c r="AB34" s="211"/>
      <c r="AC34" s="211"/>
      <c r="AD34" s="213"/>
      <c r="AE34" s="211"/>
      <c r="AF34" s="214"/>
      <c r="AG34" s="213"/>
      <c r="AH34" s="211"/>
      <c r="AI34" s="211"/>
      <c r="AJ34" s="213"/>
    </row>
    <row r="35" spans="1:36" ht="19.5" customHeight="1">
      <c r="A35" s="346" t="s">
        <v>117</v>
      </c>
      <c r="B35" s="347" t="s">
        <v>401</v>
      </c>
      <c r="C35" s="347" t="s">
        <v>208</v>
      </c>
      <c r="D35" s="348">
        <v>0</v>
      </c>
      <c r="E35" s="348">
        <v>0</v>
      </c>
      <c r="F35" s="349"/>
      <c r="G35" s="349"/>
      <c r="H35" s="349">
        <v>2492800</v>
      </c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235">
        <f aca="true" t="shared" si="6" ref="U35:U40">SUM(F35:T35)</f>
        <v>2492800</v>
      </c>
      <c r="V35" s="212"/>
      <c r="W35" s="212"/>
      <c r="X35" s="209"/>
      <c r="Y35" s="208"/>
      <c r="Z35" s="208"/>
      <c r="AA35" s="213"/>
      <c r="AB35" s="211"/>
      <c r="AC35" s="211"/>
      <c r="AD35" s="213"/>
      <c r="AE35" s="211"/>
      <c r="AF35" s="214"/>
      <c r="AG35" s="213"/>
      <c r="AH35" s="211"/>
      <c r="AI35" s="211"/>
      <c r="AJ35" s="213"/>
    </row>
    <row r="36" spans="1:36" ht="19.5" customHeight="1">
      <c r="A36" s="346" t="s">
        <v>455</v>
      </c>
      <c r="B36" s="347" t="s">
        <v>456</v>
      </c>
      <c r="C36" s="347" t="s">
        <v>208</v>
      </c>
      <c r="D36" s="348">
        <v>0</v>
      </c>
      <c r="E36" s="348">
        <v>0</v>
      </c>
      <c r="F36" s="349"/>
      <c r="G36" s="349"/>
      <c r="H36" s="349">
        <v>1601000</v>
      </c>
      <c r="I36" s="349"/>
      <c r="J36" s="349"/>
      <c r="K36" s="349"/>
      <c r="L36" s="349"/>
      <c r="M36" s="349"/>
      <c r="N36" s="349"/>
      <c r="O36" s="349">
        <v>1270000</v>
      </c>
      <c r="P36" s="349"/>
      <c r="Q36" s="349"/>
      <c r="R36" s="349"/>
      <c r="S36" s="349"/>
      <c r="T36" s="349"/>
      <c r="U36" s="235">
        <f t="shared" si="6"/>
        <v>2871000</v>
      </c>
      <c r="V36" s="212"/>
      <c r="W36" s="212"/>
      <c r="X36" s="209"/>
      <c r="Y36" s="208"/>
      <c r="Z36" s="208"/>
      <c r="AA36" s="213"/>
      <c r="AB36" s="211"/>
      <c r="AC36" s="211"/>
      <c r="AD36" s="213"/>
      <c r="AE36" s="211"/>
      <c r="AF36" s="214"/>
      <c r="AG36" s="213"/>
      <c r="AH36" s="211"/>
      <c r="AI36" s="211"/>
      <c r="AJ36" s="213"/>
    </row>
    <row r="37" spans="1:36" ht="19.5" customHeight="1">
      <c r="A37" s="346" t="s">
        <v>410</v>
      </c>
      <c r="B37" s="347" t="s">
        <v>411</v>
      </c>
      <c r="C37" s="347" t="s">
        <v>208</v>
      </c>
      <c r="D37" s="348">
        <v>0</v>
      </c>
      <c r="E37" s="348">
        <v>0</v>
      </c>
      <c r="F37" s="349"/>
      <c r="G37" s="349"/>
      <c r="H37" s="349">
        <v>206200</v>
      </c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235">
        <f t="shared" si="6"/>
        <v>206200</v>
      </c>
      <c r="V37" s="212"/>
      <c r="W37" s="212"/>
      <c r="X37" s="209"/>
      <c r="Y37" s="208"/>
      <c r="Z37" s="208"/>
      <c r="AA37" s="213"/>
      <c r="AB37" s="211"/>
      <c r="AC37" s="211"/>
      <c r="AD37" s="213"/>
      <c r="AE37" s="211"/>
      <c r="AF37" s="214"/>
      <c r="AG37" s="213"/>
      <c r="AH37" s="211"/>
      <c r="AI37" s="211"/>
      <c r="AJ37" s="213"/>
    </row>
    <row r="38" spans="1:36" ht="19.5" customHeight="1">
      <c r="A38" s="346" t="s">
        <v>457</v>
      </c>
      <c r="B38" s="347" t="s">
        <v>458</v>
      </c>
      <c r="C38" s="347" t="s">
        <v>208</v>
      </c>
      <c r="D38" s="348">
        <v>0</v>
      </c>
      <c r="E38" s="348">
        <v>0</v>
      </c>
      <c r="F38" s="349"/>
      <c r="G38" s="349"/>
      <c r="H38" s="349">
        <v>160000</v>
      </c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235">
        <f t="shared" si="6"/>
        <v>160000</v>
      </c>
      <c r="V38" s="212"/>
      <c r="W38" s="212"/>
      <c r="X38" s="209"/>
      <c r="Y38" s="208"/>
      <c r="Z38" s="208"/>
      <c r="AA38" s="213"/>
      <c r="AB38" s="211"/>
      <c r="AC38" s="211"/>
      <c r="AD38" s="213"/>
      <c r="AE38" s="211"/>
      <c r="AF38" s="214"/>
      <c r="AG38" s="213"/>
      <c r="AH38" s="211"/>
      <c r="AI38" s="211"/>
      <c r="AJ38" s="213"/>
    </row>
    <row r="39" spans="1:36" ht="19.5" customHeight="1">
      <c r="A39" s="346" t="s">
        <v>115</v>
      </c>
      <c r="B39" s="347" t="s">
        <v>459</v>
      </c>
      <c r="C39" s="347" t="s">
        <v>208</v>
      </c>
      <c r="D39" s="364">
        <v>2.5</v>
      </c>
      <c r="E39" s="364">
        <v>2.5</v>
      </c>
      <c r="F39" s="349">
        <v>4886000</v>
      </c>
      <c r="G39" s="349">
        <v>1400000</v>
      </c>
      <c r="H39" s="349">
        <v>5171500</v>
      </c>
      <c r="I39" s="349"/>
      <c r="J39" s="349"/>
      <c r="K39" s="349"/>
      <c r="L39" s="349"/>
      <c r="M39" s="349"/>
      <c r="N39" s="349"/>
      <c r="O39" s="349">
        <v>1204730</v>
      </c>
      <c r="P39" s="349"/>
      <c r="Q39" s="349"/>
      <c r="R39" s="349"/>
      <c r="S39" s="349"/>
      <c r="T39" s="349"/>
      <c r="U39" s="235">
        <f t="shared" si="6"/>
        <v>12662230</v>
      </c>
      <c r="V39" s="212"/>
      <c r="W39" s="212"/>
      <c r="X39" s="209"/>
      <c r="Y39" s="208"/>
      <c r="Z39" s="208"/>
      <c r="AA39" s="213"/>
      <c r="AB39" s="211"/>
      <c r="AC39" s="211"/>
      <c r="AD39" s="213"/>
      <c r="AE39" s="211"/>
      <c r="AF39" s="214"/>
      <c r="AG39" s="213"/>
      <c r="AH39" s="211"/>
      <c r="AI39" s="211"/>
      <c r="AJ39" s="213"/>
    </row>
    <row r="40" spans="1:36" ht="19.5" customHeight="1">
      <c r="A40" s="346" t="s">
        <v>460</v>
      </c>
      <c r="B40" s="347" t="s">
        <v>461</v>
      </c>
      <c r="C40" s="347" t="s">
        <v>208</v>
      </c>
      <c r="D40" s="348">
        <v>0</v>
      </c>
      <c r="E40" s="348">
        <v>0</v>
      </c>
      <c r="F40" s="349"/>
      <c r="G40" s="349"/>
      <c r="H40" s="349"/>
      <c r="I40" s="349"/>
      <c r="J40" s="349"/>
      <c r="K40" s="349"/>
      <c r="L40" s="349">
        <v>3000000</v>
      </c>
      <c r="M40" s="349">
        <v>4422415</v>
      </c>
      <c r="N40" s="349"/>
      <c r="O40" s="349"/>
      <c r="P40" s="349"/>
      <c r="Q40" s="349"/>
      <c r="R40" s="349"/>
      <c r="S40" s="349">
        <v>4300000</v>
      </c>
      <c r="T40" s="349"/>
      <c r="U40" s="235">
        <f t="shared" si="6"/>
        <v>11722415</v>
      </c>
      <c r="V40" s="212"/>
      <c r="W40" s="212"/>
      <c r="X40" s="209"/>
      <c r="Y40" s="208"/>
      <c r="Z40" s="208"/>
      <c r="AA40" s="213"/>
      <c r="AB40" s="211"/>
      <c r="AC40" s="211"/>
      <c r="AD40" s="213"/>
      <c r="AE40" s="211"/>
      <c r="AF40" s="214"/>
      <c r="AG40" s="213"/>
      <c r="AH40" s="211"/>
      <c r="AI40" s="211"/>
      <c r="AJ40" s="213"/>
    </row>
    <row r="41" spans="1:36" s="239" customFormat="1" ht="19.5" customHeight="1">
      <c r="A41" s="365" t="s">
        <v>399</v>
      </c>
      <c r="B41" s="353" t="s">
        <v>400</v>
      </c>
      <c r="C41" s="263"/>
      <c r="D41" s="366">
        <f>D39</f>
        <v>2.5</v>
      </c>
      <c r="E41" s="366">
        <f>E39</f>
        <v>2.5</v>
      </c>
      <c r="F41" s="355">
        <f>SUM(F35:F39)</f>
        <v>4886000</v>
      </c>
      <c r="G41" s="355">
        <f>SUM(G35:G39)</f>
        <v>1400000</v>
      </c>
      <c r="H41" s="355">
        <f>SUM(H35:H39)</f>
        <v>9631500</v>
      </c>
      <c r="I41" s="355">
        <f>SUM(I35:I39)</f>
        <v>0</v>
      </c>
      <c r="J41" s="355">
        <f>SUM(J35:J39)</f>
        <v>0</v>
      </c>
      <c r="K41" s="355">
        <f>K40</f>
        <v>0</v>
      </c>
      <c r="L41" s="355">
        <f>SUM(L35:L39)</f>
        <v>0</v>
      </c>
      <c r="M41" s="355">
        <f>M40</f>
        <v>4422415</v>
      </c>
      <c r="N41" s="355">
        <f aca="true" t="shared" si="7" ref="N41:S41">SUM(N35:N39)</f>
        <v>0</v>
      </c>
      <c r="O41" s="355">
        <f t="shared" si="7"/>
        <v>2474730</v>
      </c>
      <c r="P41" s="355">
        <f t="shared" si="7"/>
        <v>0</v>
      </c>
      <c r="Q41" s="355">
        <f t="shared" si="7"/>
        <v>0</v>
      </c>
      <c r="R41" s="355">
        <f t="shared" si="7"/>
        <v>0</v>
      </c>
      <c r="S41" s="355">
        <f t="shared" si="7"/>
        <v>0</v>
      </c>
      <c r="T41" s="355"/>
      <c r="U41" s="240">
        <f>SUM(U35:U40)</f>
        <v>30114645</v>
      </c>
      <c r="V41" s="248"/>
      <c r="W41" s="248"/>
      <c r="X41" s="242"/>
      <c r="Y41" s="243"/>
      <c r="Z41" s="243"/>
      <c r="AA41" s="244"/>
      <c r="AB41" s="243"/>
      <c r="AC41" s="243"/>
      <c r="AD41" s="244"/>
      <c r="AE41" s="245"/>
      <c r="AF41" s="245"/>
      <c r="AG41" s="244"/>
      <c r="AH41" s="247"/>
      <c r="AI41" s="247"/>
      <c r="AJ41" s="244"/>
    </row>
    <row r="42" spans="1:36" ht="12.75" customHeight="1">
      <c r="A42" s="367"/>
      <c r="B42" s="368"/>
      <c r="C42" s="368"/>
      <c r="D42" s="369"/>
      <c r="E42" s="36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235"/>
      <c r="V42" s="212"/>
      <c r="W42" s="212"/>
      <c r="X42" s="209"/>
      <c r="Y42" s="208"/>
      <c r="Z42" s="208"/>
      <c r="AA42" s="213"/>
      <c r="AB42" s="211"/>
      <c r="AC42" s="211"/>
      <c r="AD42" s="213"/>
      <c r="AE42" s="211"/>
      <c r="AF42" s="214"/>
      <c r="AG42" s="213"/>
      <c r="AH42" s="211"/>
      <c r="AI42" s="211"/>
      <c r="AJ42" s="213"/>
    </row>
    <row r="43" spans="1:36" ht="19.5" customHeight="1">
      <c r="A43" s="346" t="s">
        <v>546</v>
      </c>
      <c r="B43" s="347" t="s">
        <v>547</v>
      </c>
      <c r="C43" s="347" t="s">
        <v>208</v>
      </c>
      <c r="D43" s="364">
        <v>0.5</v>
      </c>
      <c r="E43" s="364">
        <v>0.5</v>
      </c>
      <c r="F43" s="349">
        <v>1147789</v>
      </c>
      <c r="G43" s="349">
        <v>354170</v>
      </c>
      <c r="H43" s="349">
        <v>685055</v>
      </c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235">
        <f>SUM(F43:T43)</f>
        <v>2187014</v>
      </c>
      <c r="V43" s="212"/>
      <c r="W43" s="212"/>
      <c r="X43" s="209"/>
      <c r="Y43" s="208"/>
      <c r="Z43" s="208"/>
      <c r="AA43" s="213"/>
      <c r="AB43" s="211"/>
      <c r="AC43" s="211"/>
      <c r="AD43" s="213"/>
      <c r="AE43" s="211"/>
      <c r="AF43" s="214"/>
      <c r="AG43" s="213"/>
      <c r="AH43" s="211"/>
      <c r="AI43" s="211"/>
      <c r="AJ43" s="213"/>
    </row>
    <row r="44" spans="1:36" ht="19.5" customHeight="1">
      <c r="A44" s="346" t="s">
        <v>412</v>
      </c>
      <c r="B44" s="347" t="s">
        <v>462</v>
      </c>
      <c r="C44" s="347" t="s">
        <v>208</v>
      </c>
      <c r="D44" s="364">
        <v>4.75</v>
      </c>
      <c r="E44" s="364">
        <v>4.8</v>
      </c>
      <c r="F44" s="349">
        <v>9507000</v>
      </c>
      <c r="G44" s="349">
        <v>2800203</v>
      </c>
      <c r="H44" s="349">
        <v>21285817</v>
      </c>
      <c r="I44" s="349"/>
      <c r="J44" s="349"/>
      <c r="K44" s="349"/>
      <c r="L44" s="349"/>
      <c r="M44" s="349"/>
      <c r="N44" s="349"/>
      <c r="O44" s="349">
        <v>1157500</v>
      </c>
      <c r="P44" s="349"/>
      <c r="Q44" s="349"/>
      <c r="R44" s="349"/>
      <c r="S44" s="349"/>
      <c r="T44" s="349"/>
      <c r="U44" s="235">
        <f>SUM(F44:T44)</f>
        <v>34750520</v>
      </c>
      <c r="V44" s="212"/>
      <c r="W44" s="212"/>
      <c r="X44" s="209"/>
      <c r="Y44" s="208"/>
      <c r="Z44" s="208"/>
      <c r="AA44" s="213"/>
      <c r="AB44" s="211"/>
      <c r="AC44" s="211"/>
      <c r="AD44" s="213"/>
      <c r="AE44" s="211"/>
      <c r="AF44" s="214"/>
      <c r="AG44" s="213"/>
      <c r="AH44" s="211"/>
      <c r="AI44" s="211"/>
      <c r="AJ44" s="213"/>
    </row>
    <row r="45" spans="1:36" s="239" customFormat="1" ht="19.5" customHeight="1">
      <c r="A45" s="365" t="s">
        <v>433</v>
      </c>
      <c r="B45" s="353" t="s">
        <v>434</v>
      </c>
      <c r="C45" s="263"/>
      <c r="D45" s="354">
        <f>D44</f>
        <v>4.75</v>
      </c>
      <c r="E45" s="354">
        <f>E44</f>
        <v>4.8</v>
      </c>
      <c r="F45" s="355">
        <f>SUM(F43:F44)</f>
        <v>10654789</v>
      </c>
      <c r="G45" s="355">
        <f aca="true" t="shared" si="8" ref="G45:T45">SUM(G43:G44)</f>
        <v>3154373</v>
      </c>
      <c r="H45" s="355">
        <f t="shared" si="8"/>
        <v>21970872</v>
      </c>
      <c r="I45" s="355">
        <f t="shared" si="8"/>
        <v>0</v>
      </c>
      <c r="J45" s="355">
        <f t="shared" si="8"/>
        <v>0</v>
      </c>
      <c r="K45" s="355">
        <f t="shared" si="8"/>
        <v>0</v>
      </c>
      <c r="L45" s="355">
        <f t="shared" si="8"/>
        <v>0</v>
      </c>
      <c r="M45" s="355">
        <f t="shared" si="8"/>
        <v>0</v>
      </c>
      <c r="N45" s="355">
        <f t="shared" si="8"/>
        <v>0</v>
      </c>
      <c r="O45" s="355">
        <f t="shared" si="8"/>
        <v>1157500</v>
      </c>
      <c r="P45" s="355">
        <f t="shared" si="8"/>
        <v>0</v>
      </c>
      <c r="Q45" s="355">
        <f t="shared" si="8"/>
        <v>0</v>
      </c>
      <c r="R45" s="355">
        <f t="shared" si="8"/>
        <v>0</v>
      </c>
      <c r="S45" s="355">
        <f t="shared" si="8"/>
        <v>0</v>
      </c>
      <c r="T45" s="355">
        <f t="shared" si="8"/>
        <v>0</v>
      </c>
      <c r="U45" s="240">
        <f>SUM(U43:U44)</f>
        <v>36937534</v>
      </c>
      <c r="V45" s="248"/>
      <c r="W45" s="248"/>
      <c r="X45" s="242"/>
      <c r="Y45" s="243"/>
      <c r="Z45" s="243"/>
      <c r="AA45" s="244"/>
      <c r="AB45" s="243"/>
      <c r="AC45" s="243"/>
      <c r="AD45" s="244"/>
      <c r="AE45" s="245"/>
      <c r="AF45" s="245"/>
      <c r="AG45" s="244"/>
      <c r="AH45" s="247"/>
      <c r="AI45" s="247"/>
      <c r="AJ45" s="244"/>
    </row>
    <row r="46" spans="1:36" ht="14.25" customHeight="1">
      <c r="A46" s="346"/>
      <c r="B46" s="347"/>
      <c r="C46" s="347"/>
      <c r="D46" s="348"/>
      <c r="E46" s="348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235"/>
      <c r="V46" s="212"/>
      <c r="W46" s="212"/>
      <c r="X46" s="209"/>
      <c r="Y46" s="208"/>
      <c r="Z46" s="208"/>
      <c r="AA46" s="213"/>
      <c r="AB46" s="211"/>
      <c r="AC46" s="211"/>
      <c r="AD46" s="213"/>
      <c r="AE46" s="211"/>
      <c r="AF46" s="214"/>
      <c r="AG46" s="213"/>
      <c r="AH46" s="211"/>
      <c r="AI46" s="211"/>
      <c r="AJ46" s="213"/>
    </row>
    <row r="47" spans="1:36" ht="19.5" customHeight="1">
      <c r="A47" s="346" t="s">
        <v>585</v>
      </c>
      <c r="B47" s="347" t="s">
        <v>548</v>
      </c>
      <c r="C47" s="347" t="s">
        <v>208</v>
      </c>
      <c r="D47" s="348">
        <v>0</v>
      </c>
      <c r="E47" s="348">
        <v>0</v>
      </c>
      <c r="F47" s="349"/>
      <c r="G47" s="349"/>
      <c r="H47" s="349">
        <v>264000</v>
      </c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235">
        <f>SUM(F47:T47)</f>
        <v>264000</v>
      </c>
      <c r="V47" s="212"/>
      <c r="W47" s="212"/>
      <c r="X47" s="209"/>
      <c r="Y47" s="208"/>
      <c r="Z47" s="208"/>
      <c r="AA47" s="213"/>
      <c r="AB47" s="211"/>
      <c r="AC47" s="211"/>
      <c r="AD47" s="213"/>
      <c r="AE47" s="211"/>
      <c r="AF47" s="214"/>
      <c r="AG47" s="213"/>
      <c r="AH47" s="211"/>
      <c r="AI47" s="211"/>
      <c r="AJ47" s="213"/>
    </row>
    <row r="48" spans="1:36" ht="19.5" customHeight="1">
      <c r="A48" s="346" t="s">
        <v>555</v>
      </c>
      <c r="B48" s="347" t="s">
        <v>556</v>
      </c>
      <c r="C48" s="347" t="s">
        <v>208</v>
      </c>
      <c r="D48" s="348">
        <v>2</v>
      </c>
      <c r="E48" s="348">
        <v>2</v>
      </c>
      <c r="F48" s="349">
        <v>4660000</v>
      </c>
      <c r="G48" s="349">
        <v>1300000</v>
      </c>
      <c r="H48" s="349">
        <v>916000</v>
      </c>
      <c r="I48" s="349"/>
      <c r="J48" s="349"/>
      <c r="K48" s="349"/>
      <c r="L48" s="349"/>
      <c r="M48" s="349"/>
      <c r="N48" s="349"/>
      <c r="O48" s="349">
        <v>437000</v>
      </c>
      <c r="P48" s="349"/>
      <c r="Q48" s="349"/>
      <c r="R48" s="349"/>
      <c r="S48" s="349"/>
      <c r="T48" s="349"/>
      <c r="U48" s="235">
        <f>SUM(F48:T48)</f>
        <v>7313000</v>
      </c>
      <c r="V48" s="212"/>
      <c r="W48" s="212"/>
      <c r="X48" s="209"/>
      <c r="Y48" s="208"/>
      <c r="Z48" s="208"/>
      <c r="AA48" s="213"/>
      <c r="AB48" s="211"/>
      <c r="AC48" s="211"/>
      <c r="AD48" s="213"/>
      <c r="AE48" s="211"/>
      <c r="AF48" s="214"/>
      <c r="AG48" s="213"/>
      <c r="AH48" s="211"/>
      <c r="AI48" s="211"/>
      <c r="AJ48" s="213"/>
    </row>
    <row r="49" spans="1:36" ht="19.5" customHeight="1">
      <c r="A49" s="346" t="s">
        <v>403</v>
      </c>
      <c r="B49" s="347" t="s">
        <v>463</v>
      </c>
      <c r="C49" s="347" t="s">
        <v>208</v>
      </c>
      <c r="D49" s="348">
        <v>0</v>
      </c>
      <c r="E49" s="348">
        <v>0</v>
      </c>
      <c r="F49" s="349"/>
      <c r="G49" s="349"/>
      <c r="H49" s="349"/>
      <c r="I49" s="349">
        <v>377000</v>
      </c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235">
        <f>SUM(F49:T49)</f>
        <v>377000</v>
      </c>
      <c r="V49" s="212"/>
      <c r="W49" s="212"/>
      <c r="X49" s="209"/>
      <c r="Y49" s="208"/>
      <c r="Z49" s="208"/>
      <c r="AA49" s="213"/>
      <c r="AB49" s="211"/>
      <c r="AC49" s="211"/>
      <c r="AD49" s="213"/>
      <c r="AE49" s="211"/>
      <c r="AF49" s="214"/>
      <c r="AG49" s="213"/>
      <c r="AH49" s="211"/>
      <c r="AI49" s="211"/>
      <c r="AJ49" s="213"/>
    </row>
    <row r="50" spans="1:36" ht="19.5" customHeight="1">
      <c r="A50" s="370">
        <v>107051</v>
      </c>
      <c r="B50" s="347" t="s">
        <v>404</v>
      </c>
      <c r="C50" s="347" t="s">
        <v>208</v>
      </c>
      <c r="D50" s="348">
        <v>0</v>
      </c>
      <c r="E50" s="348">
        <v>0</v>
      </c>
      <c r="F50" s="349"/>
      <c r="G50" s="349"/>
      <c r="H50" s="349">
        <v>670000</v>
      </c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235">
        <f>SUM(F50:T50)</f>
        <v>670000</v>
      </c>
      <c r="V50" s="212"/>
      <c r="W50" s="212"/>
      <c r="X50" s="209"/>
      <c r="Y50" s="211"/>
      <c r="Z50" s="211"/>
      <c r="AA50" s="213"/>
      <c r="AB50" s="211"/>
      <c r="AC50" s="211"/>
      <c r="AD50" s="213"/>
      <c r="AE50" s="211"/>
      <c r="AF50" s="214"/>
      <c r="AG50" s="213"/>
      <c r="AH50" s="213"/>
      <c r="AI50" s="213"/>
      <c r="AJ50" s="213"/>
    </row>
    <row r="51" spans="1:36" s="223" customFormat="1" ht="19.5" customHeight="1">
      <c r="A51" s="337">
        <v>107060</v>
      </c>
      <c r="B51" s="347" t="s">
        <v>405</v>
      </c>
      <c r="C51" s="340" t="s">
        <v>208</v>
      </c>
      <c r="D51" s="359">
        <v>0</v>
      </c>
      <c r="E51" s="359">
        <v>0</v>
      </c>
      <c r="F51" s="360"/>
      <c r="G51" s="360"/>
      <c r="H51" s="360">
        <v>101000</v>
      </c>
      <c r="I51" s="360">
        <v>7036780</v>
      </c>
      <c r="J51" s="360"/>
      <c r="K51" s="360"/>
      <c r="L51" s="360">
        <v>100000</v>
      </c>
      <c r="M51" s="360"/>
      <c r="N51" s="360"/>
      <c r="O51" s="360"/>
      <c r="P51" s="360"/>
      <c r="Q51" s="360"/>
      <c r="R51" s="360"/>
      <c r="S51" s="360"/>
      <c r="T51" s="360"/>
      <c r="U51" s="235">
        <f>SUM(F51:T51)</f>
        <v>7237780</v>
      </c>
      <c r="V51" s="220"/>
      <c r="W51" s="220"/>
      <c r="X51" s="220"/>
      <c r="Y51" s="222"/>
      <c r="Z51" s="222"/>
      <c r="AA51" s="225"/>
      <c r="AB51" s="222"/>
      <c r="AC51" s="222"/>
      <c r="AD51" s="225"/>
      <c r="AE51" s="222"/>
      <c r="AF51" s="230"/>
      <c r="AG51" s="225"/>
      <c r="AH51" s="222"/>
      <c r="AI51" s="222"/>
      <c r="AJ51" s="225"/>
    </row>
    <row r="52" spans="1:36" s="239" customFormat="1" ht="19.5" customHeight="1">
      <c r="A52" s="365" t="s">
        <v>220</v>
      </c>
      <c r="B52" s="353" t="s">
        <v>402</v>
      </c>
      <c r="C52" s="263"/>
      <c r="D52" s="354">
        <f>SUM(D48:D51)</f>
        <v>2</v>
      </c>
      <c r="E52" s="354">
        <f>SUM(E48:E51)</f>
        <v>2</v>
      </c>
      <c r="F52" s="355">
        <f>SUM(F47:F51)</f>
        <v>4660000</v>
      </c>
      <c r="G52" s="355">
        <f aca="true" t="shared" si="9" ref="G52:T52">SUM(G47:G51)</f>
        <v>1300000</v>
      </c>
      <c r="H52" s="355">
        <f t="shared" si="9"/>
        <v>1951000</v>
      </c>
      <c r="I52" s="355">
        <f>SUM(I47:I51)</f>
        <v>7413780</v>
      </c>
      <c r="J52" s="355">
        <f t="shared" si="9"/>
        <v>0</v>
      </c>
      <c r="K52" s="355">
        <f t="shared" si="9"/>
        <v>0</v>
      </c>
      <c r="L52" s="355">
        <f t="shared" si="9"/>
        <v>100000</v>
      </c>
      <c r="M52" s="355">
        <f t="shared" si="9"/>
        <v>0</v>
      </c>
      <c r="N52" s="355">
        <f t="shared" si="9"/>
        <v>0</v>
      </c>
      <c r="O52" s="355">
        <f t="shared" si="9"/>
        <v>437000</v>
      </c>
      <c r="P52" s="355">
        <f t="shared" si="9"/>
        <v>0</v>
      </c>
      <c r="Q52" s="355">
        <f t="shared" si="9"/>
        <v>0</v>
      </c>
      <c r="R52" s="355">
        <f t="shared" si="9"/>
        <v>0</v>
      </c>
      <c r="S52" s="355">
        <f t="shared" si="9"/>
        <v>0</v>
      </c>
      <c r="T52" s="355">
        <f t="shared" si="9"/>
        <v>0</v>
      </c>
      <c r="U52" s="240">
        <f>SUM(U47:U51)</f>
        <v>15861780</v>
      </c>
      <c r="V52" s="241"/>
      <c r="W52" s="241"/>
      <c r="X52" s="241"/>
      <c r="Y52" s="251"/>
      <c r="Z52" s="251"/>
      <c r="AA52" s="244"/>
      <c r="AB52" s="251"/>
      <c r="AC52" s="251"/>
      <c r="AD52" s="244"/>
      <c r="AE52" s="251"/>
      <c r="AF52" s="252"/>
      <c r="AG52" s="244"/>
      <c r="AH52" s="251"/>
      <c r="AI52" s="251"/>
      <c r="AJ52" s="244"/>
    </row>
    <row r="53" spans="1:36" ht="9.75" customHeight="1">
      <c r="A53" s="346"/>
      <c r="B53" s="347"/>
      <c r="C53" s="347"/>
      <c r="D53" s="348"/>
      <c r="E53" s="348"/>
      <c r="F53" s="512"/>
      <c r="G53" s="512"/>
      <c r="H53" s="512"/>
      <c r="I53" s="512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235"/>
      <c r="V53" s="212"/>
      <c r="W53" s="212"/>
      <c r="X53" s="209"/>
      <c r="Y53" s="208"/>
      <c r="Z53" s="208"/>
      <c r="AA53" s="213"/>
      <c r="AB53" s="211"/>
      <c r="AC53" s="211"/>
      <c r="AD53" s="213"/>
      <c r="AE53" s="211"/>
      <c r="AF53" s="214"/>
      <c r="AG53" s="213"/>
      <c r="AH53" s="211"/>
      <c r="AI53" s="211"/>
      <c r="AJ53" s="213"/>
    </row>
    <row r="54" spans="1:36" s="239" customFormat="1" ht="19.5" customHeight="1">
      <c r="A54" s="371"/>
      <c r="B54" s="353" t="s">
        <v>406</v>
      </c>
      <c r="C54" s="353"/>
      <c r="D54" s="354">
        <f aca="true" t="shared" si="10" ref="D54:U54">D14+D19+D22+D27+D33+D41+D45+D52</f>
        <v>29</v>
      </c>
      <c r="E54" s="354">
        <f t="shared" si="10"/>
        <v>16.3</v>
      </c>
      <c r="F54" s="513">
        <f t="shared" si="10"/>
        <v>60587537</v>
      </c>
      <c r="G54" s="513">
        <f t="shared" si="10"/>
        <v>15419077</v>
      </c>
      <c r="H54" s="513">
        <f t="shared" si="10"/>
        <v>69857800</v>
      </c>
      <c r="I54" s="513">
        <f t="shared" si="10"/>
        <v>7413780</v>
      </c>
      <c r="J54" s="355">
        <f t="shared" si="10"/>
        <v>300000</v>
      </c>
      <c r="K54" s="355">
        <f t="shared" si="10"/>
        <v>47299602</v>
      </c>
      <c r="L54" s="355">
        <f t="shared" si="10"/>
        <v>100000</v>
      </c>
      <c r="M54" s="355">
        <f t="shared" si="10"/>
        <v>4785496</v>
      </c>
      <c r="N54" s="355">
        <f t="shared" si="10"/>
        <v>0</v>
      </c>
      <c r="O54" s="355">
        <f t="shared" si="10"/>
        <v>25239061</v>
      </c>
      <c r="P54" s="355">
        <f t="shared" si="10"/>
        <v>12307625</v>
      </c>
      <c r="Q54" s="355">
        <f t="shared" si="10"/>
        <v>0</v>
      </c>
      <c r="R54" s="355">
        <f t="shared" si="10"/>
        <v>0</v>
      </c>
      <c r="S54" s="355">
        <f t="shared" si="10"/>
        <v>0</v>
      </c>
      <c r="T54" s="355">
        <f t="shared" si="10"/>
        <v>4110757</v>
      </c>
      <c r="U54" s="355">
        <f t="shared" si="10"/>
        <v>254720735</v>
      </c>
      <c r="V54" s="241"/>
      <c r="W54" s="241"/>
      <c r="X54" s="249"/>
      <c r="Y54" s="250"/>
      <c r="Z54" s="250"/>
      <c r="AA54" s="250"/>
      <c r="AB54" s="251"/>
      <c r="AC54" s="251"/>
      <c r="AD54" s="251"/>
      <c r="AE54" s="251"/>
      <c r="AF54" s="251"/>
      <c r="AG54" s="251"/>
      <c r="AH54" s="251"/>
      <c r="AI54" s="251"/>
      <c r="AJ54" s="251"/>
    </row>
    <row r="55" spans="1:36" ht="13.5" customHeight="1">
      <c r="A55" s="233"/>
      <c r="B55" s="368"/>
      <c r="C55" s="368"/>
      <c r="D55" s="369"/>
      <c r="E55" s="369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235"/>
      <c r="V55" s="209"/>
      <c r="W55" s="209"/>
      <c r="X55" s="210"/>
      <c r="Y55" s="208"/>
      <c r="Z55" s="208"/>
      <c r="AA55" s="208"/>
      <c r="AB55" s="211"/>
      <c r="AC55" s="211"/>
      <c r="AD55" s="211"/>
      <c r="AE55" s="211"/>
      <c r="AF55" s="211"/>
      <c r="AG55" s="211"/>
      <c r="AH55" s="211"/>
      <c r="AI55" s="211"/>
      <c r="AJ55" s="211"/>
    </row>
    <row r="56" spans="1:36" ht="19.5" customHeight="1">
      <c r="A56" s="233"/>
      <c r="B56" s="342" t="s">
        <v>468</v>
      </c>
      <c r="C56" s="372"/>
      <c r="D56" s="373"/>
      <c r="E56" s="373"/>
      <c r="F56" s="357"/>
      <c r="G56" s="357"/>
      <c r="H56" s="357"/>
      <c r="I56" s="349"/>
      <c r="J56" s="349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235"/>
      <c r="V56" s="209"/>
      <c r="W56" s="209"/>
      <c r="X56" s="210"/>
      <c r="Y56" s="208"/>
      <c r="Z56" s="208"/>
      <c r="AA56" s="208"/>
      <c r="AB56" s="211"/>
      <c r="AC56" s="211"/>
      <c r="AD56" s="211"/>
      <c r="AE56" s="211"/>
      <c r="AF56" s="211"/>
      <c r="AG56" s="211"/>
      <c r="AH56" s="211"/>
      <c r="AI56" s="211"/>
      <c r="AJ56" s="211"/>
    </row>
    <row r="57" spans="1:36" ht="19.5" customHeight="1">
      <c r="A57" s="346" t="s">
        <v>371</v>
      </c>
      <c r="B57" s="347" t="s">
        <v>372</v>
      </c>
      <c r="C57" s="347" t="s">
        <v>208</v>
      </c>
      <c r="D57" s="348">
        <v>13</v>
      </c>
      <c r="E57" s="348">
        <v>13</v>
      </c>
      <c r="F57" s="349">
        <v>31385673</v>
      </c>
      <c r="G57" s="349">
        <v>8556643</v>
      </c>
      <c r="H57" s="349">
        <v>7069382</v>
      </c>
      <c r="I57" s="349"/>
      <c r="J57" s="349"/>
      <c r="K57" s="349"/>
      <c r="L57" s="349"/>
      <c r="M57" s="349"/>
      <c r="N57" s="349"/>
      <c r="O57" s="349">
        <v>1669165</v>
      </c>
      <c r="P57" s="349"/>
      <c r="Q57" s="349"/>
      <c r="R57" s="349"/>
      <c r="S57" s="349"/>
      <c r="T57" s="349"/>
      <c r="U57" s="235">
        <f>SUM(F57:T57)</f>
        <v>48680863</v>
      </c>
      <c r="V57" s="209"/>
      <c r="W57" s="209"/>
      <c r="X57" s="210"/>
      <c r="Y57" s="208"/>
      <c r="Z57" s="208"/>
      <c r="AA57" s="208"/>
      <c r="AB57" s="211"/>
      <c r="AC57" s="211"/>
      <c r="AD57" s="211"/>
      <c r="AE57" s="211"/>
      <c r="AF57" s="211"/>
      <c r="AG57" s="211"/>
      <c r="AH57" s="211"/>
      <c r="AI57" s="211"/>
      <c r="AJ57" s="211"/>
    </row>
    <row r="58" spans="1:36" ht="19.5" customHeight="1">
      <c r="A58" s="346" t="s">
        <v>586</v>
      </c>
      <c r="B58" s="347" t="s">
        <v>587</v>
      </c>
      <c r="C58" s="347" t="s">
        <v>208</v>
      </c>
      <c r="D58" s="348">
        <v>0</v>
      </c>
      <c r="E58" s="348">
        <v>0</v>
      </c>
      <c r="F58" s="349">
        <v>1627288</v>
      </c>
      <c r="G58" s="349">
        <v>480965</v>
      </c>
      <c r="H58" s="349">
        <v>326221</v>
      </c>
      <c r="I58" s="349"/>
      <c r="J58" s="349"/>
      <c r="K58" s="349"/>
      <c r="L58" s="349"/>
      <c r="M58" s="349">
        <v>75869</v>
      </c>
      <c r="N58" s="349"/>
      <c r="O58" s="349"/>
      <c r="P58" s="349"/>
      <c r="Q58" s="349"/>
      <c r="R58" s="349"/>
      <c r="S58" s="349"/>
      <c r="T58" s="349"/>
      <c r="U58" s="235">
        <f>SUM(F58:T58)</f>
        <v>2510343</v>
      </c>
      <c r="V58" s="209"/>
      <c r="W58" s="209"/>
      <c r="X58" s="210"/>
      <c r="Y58" s="208"/>
      <c r="Z58" s="208"/>
      <c r="AA58" s="208"/>
      <c r="AB58" s="211"/>
      <c r="AC58" s="211"/>
      <c r="AD58" s="211"/>
      <c r="AE58" s="211"/>
      <c r="AF58" s="211"/>
      <c r="AG58" s="211"/>
      <c r="AH58" s="211"/>
      <c r="AI58" s="211"/>
      <c r="AJ58" s="211"/>
    </row>
    <row r="59" spans="1:36" s="239" customFormat="1" ht="19.5" customHeight="1">
      <c r="A59" s="371"/>
      <c r="B59" s="353" t="s">
        <v>407</v>
      </c>
      <c r="C59" s="353"/>
      <c r="D59" s="354">
        <f aca="true" t="shared" si="11" ref="D59:S59">SUM(D57:D57)</f>
        <v>13</v>
      </c>
      <c r="E59" s="354">
        <f>SUM(E57:E57)</f>
        <v>13</v>
      </c>
      <c r="F59" s="355">
        <f t="shared" si="11"/>
        <v>31385673</v>
      </c>
      <c r="G59" s="355">
        <f t="shared" si="11"/>
        <v>8556643</v>
      </c>
      <c r="H59" s="355">
        <f t="shared" si="11"/>
        <v>7069382</v>
      </c>
      <c r="I59" s="355">
        <f t="shared" si="11"/>
        <v>0</v>
      </c>
      <c r="J59" s="355">
        <f t="shared" si="11"/>
        <v>0</v>
      </c>
      <c r="K59" s="355">
        <f t="shared" si="11"/>
        <v>0</v>
      </c>
      <c r="L59" s="355">
        <f t="shared" si="11"/>
        <v>0</v>
      </c>
      <c r="M59" s="355">
        <f t="shared" si="11"/>
        <v>0</v>
      </c>
      <c r="N59" s="355">
        <f t="shared" si="11"/>
        <v>0</v>
      </c>
      <c r="O59" s="355">
        <f t="shared" si="11"/>
        <v>1669165</v>
      </c>
      <c r="P59" s="355">
        <f t="shared" si="11"/>
        <v>0</v>
      </c>
      <c r="Q59" s="355">
        <f t="shared" si="11"/>
        <v>0</v>
      </c>
      <c r="R59" s="355">
        <f t="shared" si="11"/>
        <v>0</v>
      </c>
      <c r="S59" s="355">
        <f t="shared" si="11"/>
        <v>0</v>
      </c>
      <c r="T59" s="355"/>
      <c r="U59" s="240">
        <f>SUM(U57:U58)</f>
        <v>51191206</v>
      </c>
      <c r="V59" s="241"/>
      <c r="W59" s="241"/>
      <c r="X59" s="249"/>
      <c r="Y59" s="250"/>
      <c r="Z59" s="250"/>
      <c r="AA59" s="250"/>
      <c r="AB59" s="251"/>
      <c r="AC59" s="251"/>
      <c r="AD59" s="251"/>
      <c r="AE59" s="251"/>
      <c r="AF59" s="251"/>
      <c r="AG59" s="251"/>
      <c r="AH59" s="251"/>
      <c r="AI59" s="251"/>
      <c r="AJ59" s="251"/>
    </row>
    <row r="60" spans="1:36" ht="19.5" customHeight="1">
      <c r="A60" s="233"/>
      <c r="B60" s="368"/>
      <c r="C60" s="368"/>
      <c r="D60" s="369"/>
      <c r="E60" s="369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235"/>
      <c r="V60" s="209"/>
      <c r="W60" s="209"/>
      <c r="X60" s="210"/>
      <c r="Y60" s="208"/>
      <c r="Z60" s="208"/>
      <c r="AA60" s="208"/>
      <c r="AB60" s="211"/>
      <c r="AC60" s="211"/>
      <c r="AD60" s="211"/>
      <c r="AE60" s="211"/>
      <c r="AF60" s="211"/>
      <c r="AG60" s="211"/>
      <c r="AH60" s="211"/>
      <c r="AI60" s="211"/>
      <c r="AJ60" s="211"/>
    </row>
    <row r="61" spans="1:36" s="239" customFormat="1" ht="24.75" customHeight="1">
      <c r="A61" s="374"/>
      <c r="B61" s="353" t="s">
        <v>415</v>
      </c>
      <c r="C61" s="353"/>
      <c r="D61" s="366">
        <f aca="true" t="shared" si="12" ref="D61:T61">D54+D59</f>
        <v>42</v>
      </c>
      <c r="E61" s="366">
        <f>E54+E59</f>
        <v>29.3</v>
      </c>
      <c r="F61" s="355">
        <f t="shared" si="12"/>
        <v>91973210</v>
      </c>
      <c r="G61" s="355">
        <f t="shared" si="12"/>
        <v>23975720</v>
      </c>
      <c r="H61" s="355">
        <f t="shared" si="12"/>
        <v>76927182</v>
      </c>
      <c r="I61" s="355">
        <f t="shared" si="12"/>
        <v>7413780</v>
      </c>
      <c r="J61" s="355">
        <f t="shared" si="12"/>
        <v>300000</v>
      </c>
      <c r="K61" s="355">
        <f t="shared" si="12"/>
        <v>47299602</v>
      </c>
      <c r="L61" s="355">
        <f t="shared" si="12"/>
        <v>100000</v>
      </c>
      <c r="M61" s="355">
        <f t="shared" si="12"/>
        <v>4785496</v>
      </c>
      <c r="N61" s="355">
        <f t="shared" si="12"/>
        <v>0</v>
      </c>
      <c r="O61" s="355">
        <f t="shared" si="12"/>
        <v>26908226</v>
      </c>
      <c r="P61" s="355">
        <f t="shared" si="12"/>
        <v>12307625</v>
      </c>
      <c r="Q61" s="355">
        <f t="shared" si="12"/>
        <v>0</v>
      </c>
      <c r="R61" s="355">
        <f t="shared" si="12"/>
        <v>0</v>
      </c>
      <c r="S61" s="355">
        <f t="shared" si="12"/>
        <v>0</v>
      </c>
      <c r="T61" s="355">
        <f t="shared" si="12"/>
        <v>4110757</v>
      </c>
      <c r="U61" s="240">
        <f>U54+U59</f>
        <v>305911941</v>
      </c>
      <c r="V61" s="253"/>
      <c r="W61" s="253"/>
      <c r="X61" s="254"/>
      <c r="Y61" s="245"/>
      <c r="Z61" s="245"/>
      <c r="AA61" s="246"/>
      <c r="AB61" s="245"/>
      <c r="AC61" s="245"/>
      <c r="AD61" s="246"/>
      <c r="AE61" s="245"/>
      <c r="AF61" s="245"/>
      <c r="AG61" s="246"/>
      <c r="AH61" s="246"/>
      <c r="AI61" s="245"/>
      <c r="AJ61" s="246"/>
    </row>
    <row r="62" ht="13.5" customHeight="1"/>
    <row r="63" ht="13.5" customHeight="1"/>
    <row r="64" ht="13.5" customHeight="1"/>
  </sheetData>
  <sheetProtection/>
  <mergeCells count="20">
    <mergeCell ref="A1:U1"/>
    <mergeCell ref="T3:U3"/>
    <mergeCell ref="AH4:AJ4"/>
    <mergeCell ref="AB4:AD4"/>
    <mergeCell ref="AE4:AG4"/>
    <mergeCell ref="U4:U5"/>
    <mergeCell ref="Y4:AA4"/>
    <mergeCell ref="O4:O5"/>
    <mergeCell ref="Q4:S4"/>
    <mergeCell ref="P4:P5"/>
    <mergeCell ref="T4:T5"/>
    <mergeCell ref="J4:N4"/>
    <mergeCell ref="I4:I5"/>
    <mergeCell ref="A4:A5"/>
    <mergeCell ref="B4:B5"/>
    <mergeCell ref="F4:F5"/>
    <mergeCell ref="G4:G5"/>
    <mergeCell ref="H4:H5"/>
    <mergeCell ref="D4:D5"/>
    <mergeCell ref="E4:E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7"/>
  <sheetViews>
    <sheetView zoomScale="70" zoomScaleNormal="70" zoomScaleSheetLayoutView="71" zoomScalePageLayoutView="0" workbookViewId="0" topLeftCell="A1">
      <selection activeCell="A2" sqref="A2:A3"/>
    </sheetView>
  </sheetViews>
  <sheetFormatPr defaultColWidth="9.140625" defaultRowHeight="12.75"/>
  <cols>
    <col min="1" max="1" width="5.8515625" style="140" customWidth="1"/>
    <col min="2" max="2" width="11.140625" style="140" customWidth="1"/>
    <col min="3" max="3" width="0.13671875" style="140" hidden="1" customWidth="1"/>
    <col min="4" max="4" width="53.140625" style="140" customWidth="1"/>
    <col min="5" max="5" width="14.140625" style="140" customWidth="1"/>
    <col min="6" max="6" width="13.421875" style="140" customWidth="1"/>
    <col min="7" max="7" width="13.57421875" style="140" customWidth="1"/>
    <col min="8" max="8" width="12.28125" style="140" customWidth="1"/>
    <col min="9" max="9" width="13.421875" style="140" customWidth="1"/>
    <col min="10" max="10" width="11.421875" style="140" customWidth="1"/>
    <col min="11" max="11" width="14.140625" style="140" customWidth="1"/>
    <col min="12" max="12" width="12.8515625" style="140" customWidth="1"/>
    <col min="13" max="13" width="14.00390625" style="140" customWidth="1"/>
    <col min="14" max="14" width="12.8515625" style="140" customWidth="1"/>
    <col min="15" max="15" width="12.7109375" style="140" customWidth="1"/>
    <col min="16" max="16" width="15.421875" style="140" customWidth="1"/>
    <col min="17" max="17" width="18.00390625" style="140" customWidth="1"/>
    <col min="18" max="16384" width="9.140625" style="140" customWidth="1"/>
  </cols>
  <sheetData>
    <row r="1" spans="1:21" s="299" customFormat="1" ht="15.75">
      <c r="A1" s="763" t="s">
        <v>549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</row>
    <row r="2" spans="1:17" s="299" customFormat="1" ht="15.75">
      <c r="A2" s="729" t="s">
        <v>797</v>
      </c>
      <c r="C2" s="305"/>
      <c r="D2" s="305"/>
      <c r="Q2" s="306" t="s">
        <v>749</v>
      </c>
    </row>
    <row r="3" spans="1:17" s="299" customFormat="1" ht="15.75">
      <c r="A3" s="729" t="s">
        <v>798</v>
      </c>
      <c r="C3" s="305"/>
      <c r="D3" s="305"/>
      <c r="O3" s="788" t="s">
        <v>505</v>
      </c>
      <c r="P3" s="788"/>
      <c r="Q3" s="788"/>
    </row>
    <row r="4" spans="1:17" s="231" customFormat="1" ht="45" customHeight="1">
      <c r="A4" s="790" t="s">
        <v>96</v>
      </c>
      <c r="B4" s="790" t="s">
        <v>105</v>
      </c>
      <c r="C4" s="790" t="s">
        <v>416</v>
      </c>
      <c r="D4" s="792" t="s">
        <v>212</v>
      </c>
      <c r="E4" s="796" t="s">
        <v>417</v>
      </c>
      <c r="F4" s="797"/>
      <c r="G4" s="790" t="s">
        <v>418</v>
      </c>
      <c r="H4" s="790" t="s">
        <v>419</v>
      </c>
      <c r="I4" s="790" t="s">
        <v>420</v>
      </c>
      <c r="J4" s="790" t="s">
        <v>421</v>
      </c>
      <c r="K4" s="796" t="s">
        <v>422</v>
      </c>
      <c r="L4" s="797"/>
      <c r="M4" s="785" t="s">
        <v>423</v>
      </c>
      <c r="N4" s="785"/>
      <c r="O4" s="790" t="s">
        <v>424</v>
      </c>
      <c r="P4" s="790" t="s">
        <v>753</v>
      </c>
      <c r="Q4" s="794" t="s">
        <v>425</v>
      </c>
    </row>
    <row r="5" spans="1:17" s="231" customFormat="1" ht="67.5">
      <c r="A5" s="791"/>
      <c r="B5" s="791"/>
      <c r="C5" s="791"/>
      <c r="D5" s="793"/>
      <c r="E5" s="416" t="s">
        <v>470</v>
      </c>
      <c r="F5" s="318" t="s">
        <v>471</v>
      </c>
      <c r="G5" s="791"/>
      <c r="H5" s="791"/>
      <c r="I5" s="791"/>
      <c r="J5" s="791"/>
      <c r="K5" s="417" t="s">
        <v>426</v>
      </c>
      <c r="L5" s="417" t="s">
        <v>427</v>
      </c>
      <c r="M5" s="418" t="s">
        <v>428</v>
      </c>
      <c r="N5" s="418" t="s">
        <v>429</v>
      </c>
      <c r="O5" s="791"/>
      <c r="P5" s="791"/>
      <c r="Q5" s="795"/>
    </row>
    <row r="6" spans="1:17" ht="24.75" customHeight="1">
      <c r="A6" s="375"/>
      <c r="B6" s="376"/>
      <c r="C6" s="255"/>
      <c r="D6" s="377" t="s">
        <v>467</v>
      </c>
      <c r="E6" s="256"/>
      <c r="F6" s="257"/>
      <c r="G6" s="257"/>
      <c r="H6" s="258"/>
      <c r="I6" s="258"/>
      <c r="J6" s="257"/>
      <c r="K6" s="258"/>
      <c r="L6" s="258"/>
      <c r="M6" s="258"/>
      <c r="N6" s="257"/>
      <c r="O6" s="257"/>
      <c r="P6" s="257"/>
      <c r="Q6" s="257"/>
    </row>
    <row r="7" spans="1:17" ht="21.75" customHeight="1">
      <c r="A7" s="378"/>
      <c r="B7" s="379" t="s">
        <v>371</v>
      </c>
      <c r="C7" s="380"/>
      <c r="D7" s="380" t="s">
        <v>372</v>
      </c>
      <c r="E7" s="381"/>
      <c r="F7" s="381"/>
      <c r="G7" s="381"/>
      <c r="H7" s="381"/>
      <c r="I7" s="381">
        <v>103952</v>
      </c>
      <c r="J7" s="381"/>
      <c r="K7" s="381"/>
      <c r="L7" s="381"/>
      <c r="M7" s="381"/>
      <c r="N7" s="381"/>
      <c r="O7" s="381"/>
      <c r="P7" s="381"/>
      <c r="Q7" s="236">
        <f>SUM(E7:O7)</f>
        <v>103952</v>
      </c>
    </row>
    <row r="8" spans="1:17" ht="21.75" customHeight="1">
      <c r="A8" s="378"/>
      <c r="B8" s="382" t="s">
        <v>373</v>
      </c>
      <c r="C8" s="336">
        <v>960302</v>
      </c>
      <c r="D8" s="380" t="s">
        <v>430</v>
      </c>
      <c r="E8" s="381"/>
      <c r="F8" s="381"/>
      <c r="G8" s="381"/>
      <c r="H8" s="381"/>
      <c r="I8" s="381">
        <v>108500</v>
      </c>
      <c r="J8" s="381"/>
      <c r="K8" s="381"/>
      <c r="L8" s="381"/>
      <c r="M8" s="381"/>
      <c r="N8" s="381"/>
      <c r="O8" s="381"/>
      <c r="P8" s="381"/>
      <c r="Q8" s="236">
        <f>SUM(E8:O8)</f>
        <v>108500</v>
      </c>
    </row>
    <row r="9" spans="1:17" ht="21.75" customHeight="1">
      <c r="A9" s="378"/>
      <c r="B9" s="383" t="s">
        <v>112</v>
      </c>
      <c r="C9" s="336"/>
      <c r="D9" s="336" t="s">
        <v>450</v>
      </c>
      <c r="E9" s="381"/>
      <c r="F9" s="381"/>
      <c r="G9" s="381"/>
      <c r="H9" s="381"/>
      <c r="I9" s="381">
        <v>930200</v>
      </c>
      <c r="J9" s="381"/>
      <c r="K9" s="381"/>
      <c r="L9" s="381"/>
      <c r="M9" s="381"/>
      <c r="N9" s="381"/>
      <c r="O9" s="381"/>
      <c r="P9" s="381"/>
      <c r="Q9" s="236">
        <f>SUM(E9:O9)</f>
        <v>930200</v>
      </c>
    </row>
    <row r="10" spans="1:17" ht="21.75" customHeight="1">
      <c r="A10" s="378"/>
      <c r="B10" s="383" t="s">
        <v>408</v>
      </c>
      <c r="C10" s="336"/>
      <c r="D10" s="336" t="s">
        <v>409</v>
      </c>
      <c r="E10" s="381"/>
      <c r="F10" s="381"/>
      <c r="G10" s="381"/>
      <c r="H10" s="381"/>
      <c r="I10" s="381">
        <v>9570019</v>
      </c>
      <c r="J10" s="381"/>
      <c r="K10" s="381"/>
      <c r="L10" s="381"/>
      <c r="M10" s="381"/>
      <c r="N10" s="381"/>
      <c r="O10" s="381"/>
      <c r="P10" s="381"/>
      <c r="Q10" s="236">
        <f>SUM(E10:O10)</f>
        <v>9570019</v>
      </c>
    </row>
    <row r="11" spans="1:17" ht="21.75" customHeight="1">
      <c r="A11" s="378"/>
      <c r="B11" s="379" t="s">
        <v>431</v>
      </c>
      <c r="C11" s="380"/>
      <c r="D11" s="380" t="s">
        <v>432</v>
      </c>
      <c r="E11" s="381">
        <v>120696567</v>
      </c>
      <c r="F11" s="381"/>
      <c r="G11" s="381">
        <v>191000</v>
      </c>
      <c r="H11" s="384"/>
      <c r="I11" s="384"/>
      <c r="J11" s="384"/>
      <c r="K11" s="384"/>
      <c r="L11" s="384"/>
      <c r="M11" s="384"/>
      <c r="N11" s="384"/>
      <c r="O11" s="384"/>
      <c r="P11" s="381">
        <v>3789108</v>
      </c>
      <c r="Q11" s="236">
        <f>SUM(E11:P11)</f>
        <v>124676675</v>
      </c>
    </row>
    <row r="12" spans="1:17" ht="21.75" customHeight="1">
      <c r="A12" s="378"/>
      <c r="B12" s="385" t="s">
        <v>375</v>
      </c>
      <c r="C12" s="380"/>
      <c r="D12" s="380" t="s">
        <v>376</v>
      </c>
      <c r="E12" s="381"/>
      <c r="F12" s="381">
        <v>964392</v>
      </c>
      <c r="G12" s="384"/>
      <c r="H12" s="384"/>
      <c r="I12" s="381"/>
      <c r="J12" s="384"/>
      <c r="K12" s="384"/>
      <c r="L12" s="384"/>
      <c r="M12" s="384"/>
      <c r="N12" s="384"/>
      <c r="O12" s="381">
        <v>12613000</v>
      </c>
      <c r="P12" s="381"/>
      <c r="Q12" s="236">
        <f>SUM(E12:P12)</f>
        <v>13577392</v>
      </c>
    </row>
    <row r="13" spans="1:17" s="262" customFormat="1" ht="21.75" customHeight="1">
      <c r="A13" s="386" t="s">
        <v>369</v>
      </c>
      <c r="B13" s="387"/>
      <c r="C13" s="388"/>
      <c r="D13" s="389" t="s">
        <v>370</v>
      </c>
      <c r="E13" s="390">
        <f>SUM(E7:E12)</f>
        <v>120696567</v>
      </c>
      <c r="F13" s="390">
        <f aca="true" t="shared" si="0" ref="F13:O13">SUM(F7:F12)</f>
        <v>964392</v>
      </c>
      <c r="G13" s="390">
        <f t="shared" si="0"/>
        <v>191000</v>
      </c>
      <c r="H13" s="390">
        <f t="shared" si="0"/>
        <v>0</v>
      </c>
      <c r="I13" s="390">
        <f t="shared" si="0"/>
        <v>10712671</v>
      </c>
      <c r="J13" s="390">
        <f t="shared" si="0"/>
        <v>0</v>
      </c>
      <c r="K13" s="390">
        <f t="shared" si="0"/>
        <v>0</v>
      </c>
      <c r="L13" s="390">
        <f t="shared" si="0"/>
        <v>0</v>
      </c>
      <c r="M13" s="390">
        <f t="shared" si="0"/>
        <v>0</v>
      </c>
      <c r="N13" s="390">
        <f t="shared" si="0"/>
        <v>0</v>
      </c>
      <c r="O13" s="390">
        <f t="shared" si="0"/>
        <v>12613000</v>
      </c>
      <c r="P13" s="390">
        <f>SUM(P7:P12)</f>
        <v>3789108</v>
      </c>
      <c r="Q13" s="261">
        <f>SUM(Q7:Q12)</f>
        <v>148966738</v>
      </c>
    </row>
    <row r="14" spans="1:17" ht="13.5" customHeight="1">
      <c r="A14" s="378"/>
      <c r="B14" s="391"/>
      <c r="C14" s="392"/>
      <c r="D14" s="393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259"/>
    </row>
    <row r="15" spans="1:17" ht="21.75" customHeight="1">
      <c r="A15" s="395"/>
      <c r="B15" s="379" t="s">
        <v>379</v>
      </c>
      <c r="C15" s="380"/>
      <c r="D15" s="380" t="s">
        <v>380</v>
      </c>
      <c r="E15" s="381"/>
      <c r="F15" s="381">
        <v>5234691</v>
      </c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236">
        <f>SUM(E15:O15)</f>
        <v>5234691</v>
      </c>
    </row>
    <row r="16" spans="1:17" ht="21.75" customHeight="1">
      <c r="A16" s="395"/>
      <c r="B16" s="379" t="s">
        <v>379</v>
      </c>
      <c r="C16" s="380"/>
      <c r="D16" s="380" t="s">
        <v>380</v>
      </c>
      <c r="E16" s="381"/>
      <c r="F16" s="381">
        <v>5842939</v>
      </c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236">
        <f>SUM(E16:O16)</f>
        <v>5842939</v>
      </c>
    </row>
    <row r="17" spans="1:17" s="262" customFormat="1" ht="21.75" customHeight="1">
      <c r="A17" s="396" t="s">
        <v>377</v>
      </c>
      <c r="B17" s="397"/>
      <c r="C17" s="398"/>
      <c r="D17" s="396" t="s">
        <v>378</v>
      </c>
      <c r="E17" s="399">
        <f>SUM(E15:E15)</f>
        <v>0</v>
      </c>
      <c r="F17" s="399">
        <f>SUM(F15:F16)</f>
        <v>11077630</v>
      </c>
      <c r="G17" s="399">
        <f aca="true" t="shared" si="1" ref="G17:Q17">SUM(G15:G16)</f>
        <v>0</v>
      </c>
      <c r="H17" s="399">
        <f t="shared" si="1"/>
        <v>0</v>
      </c>
      <c r="I17" s="399">
        <f t="shared" si="1"/>
        <v>0</v>
      </c>
      <c r="J17" s="399">
        <f t="shared" si="1"/>
        <v>0</v>
      </c>
      <c r="K17" s="399">
        <f t="shared" si="1"/>
        <v>0</v>
      </c>
      <c r="L17" s="399">
        <f t="shared" si="1"/>
        <v>0</v>
      </c>
      <c r="M17" s="399">
        <f t="shared" si="1"/>
        <v>0</v>
      </c>
      <c r="N17" s="399">
        <f t="shared" si="1"/>
        <v>0</v>
      </c>
      <c r="O17" s="399">
        <f t="shared" si="1"/>
        <v>0</v>
      </c>
      <c r="P17" s="399">
        <f>SUM(P15:P16)</f>
        <v>0</v>
      </c>
      <c r="Q17" s="399">
        <f t="shared" si="1"/>
        <v>11077630</v>
      </c>
    </row>
    <row r="18" spans="1:17" ht="12" customHeight="1">
      <c r="A18" s="395"/>
      <c r="B18" s="379"/>
      <c r="C18" s="400"/>
      <c r="D18" s="380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236"/>
    </row>
    <row r="19" spans="1:17" ht="21.75" customHeight="1">
      <c r="A19" s="395"/>
      <c r="B19" s="379" t="s">
        <v>113</v>
      </c>
      <c r="C19" s="380"/>
      <c r="D19" s="380" t="s">
        <v>472</v>
      </c>
      <c r="E19" s="381"/>
      <c r="F19" s="381"/>
      <c r="G19" s="381"/>
      <c r="H19" s="381"/>
      <c r="I19" s="381">
        <v>4141880</v>
      </c>
      <c r="J19" s="381"/>
      <c r="K19" s="381"/>
      <c r="L19" s="381"/>
      <c r="M19" s="381"/>
      <c r="N19" s="381"/>
      <c r="O19" s="381"/>
      <c r="P19" s="381"/>
      <c r="Q19" s="236">
        <f>SUM(E19:O19)</f>
        <v>4141880</v>
      </c>
    </row>
    <row r="20" spans="1:17" s="262" customFormat="1" ht="21.75" customHeight="1">
      <c r="A20" s="396" t="s">
        <v>382</v>
      </c>
      <c r="B20" s="401"/>
      <c r="C20" s="397"/>
      <c r="D20" s="396" t="s">
        <v>383</v>
      </c>
      <c r="E20" s="399">
        <f>SUM(E19:E19)</f>
        <v>0</v>
      </c>
      <c r="F20" s="399"/>
      <c r="G20" s="399">
        <f aca="true" t="shared" si="2" ref="G20:Q20">SUM(G19:G19)</f>
        <v>0</v>
      </c>
      <c r="H20" s="399">
        <f t="shared" si="2"/>
        <v>0</v>
      </c>
      <c r="I20" s="399">
        <f t="shared" si="2"/>
        <v>4141880</v>
      </c>
      <c r="J20" s="399">
        <f t="shared" si="2"/>
        <v>0</v>
      </c>
      <c r="K20" s="399">
        <f t="shared" si="2"/>
        <v>0</v>
      </c>
      <c r="L20" s="399">
        <f t="shared" si="2"/>
        <v>0</v>
      </c>
      <c r="M20" s="399">
        <f t="shared" si="2"/>
        <v>0</v>
      </c>
      <c r="N20" s="399">
        <f t="shared" si="2"/>
        <v>0</v>
      </c>
      <c r="O20" s="399">
        <f t="shared" si="2"/>
        <v>0</v>
      </c>
      <c r="P20" s="399">
        <f>SUM(P19:P19)</f>
        <v>0</v>
      </c>
      <c r="Q20" s="237">
        <f t="shared" si="2"/>
        <v>4141880</v>
      </c>
    </row>
    <row r="21" spans="1:17" ht="18" customHeight="1">
      <c r="A21" s="402"/>
      <c r="B21" s="380"/>
      <c r="C21" s="380"/>
      <c r="D21" s="403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236"/>
    </row>
    <row r="22" spans="1:17" ht="21.75" customHeight="1">
      <c r="A22" s="395"/>
      <c r="B22" s="379" t="s">
        <v>388</v>
      </c>
      <c r="C22" s="380"/>
      <c r="D22" s="380" t="s">
        <v>550</v>
      </c>
      <c r="E22" s="381"/>
      <c r="F22" s="381">
        <v>70485</v>
      </c>
      <c r="G22" s="381"/>
      <c r="H22" s="381"/>
      <c r="I22" s="381">
        <v>7620</v>
      </c>
      <c r="J22" s="381"/>
      <c r="K22" s="381"/>
      <c r="L22" s="381"/>
      <c r="M22" s="381"/>
      <c r="N22" s="381"/>
      <c r="O22" s="381"/>
      <c r="P22" s="381"/>
      <c r="Q22" s="236">
        <f>SUM(E22:O22)</f>
        <v>78105</v>
      </c>
    </row>
    <row r="23" spans="1:17" ht="21.75" customHeight="1">
      <c r="A23" s="395"/>
      <c r="B23" s="379" t="s">
        <v>110</v>
      </c>
      <c r="C23" s="380"/>
      <c r="D23" s="380" t="s">
        <v>390</v>
      </c>
      <c r="E23" s="381">
        <v>142500</v>
      </c>
      <c r="F23" s="381"/>
      <c r="G23" s="381"/>
      <c r="H23" s="381"/>
      <c r="I23" s="381">
        <v>2194330</v>
      </c>
      <c r="J23" s="381">
        <v>408000</v>
      </c>
      <c r="K23" s="381"/>
      <c r="L23" s="381"/>
      <c r="M23" s="381"/>
      <c r="N23" s="381"/>
      <c r="O23" s="381"/>
      <c r="P23" s="381"/>
      <c r="Q23" s="236">
        <f>SUM(E23:O23)</f>
        <v>2744830</v>
      </c>
    </row>
    <row r="24" spans="1:17" s="262" customFormat="1" ht="21.75" customHeight="1">
      <c r="A24" s="404" t="s">
        <v>384</v>
      </c>
      <c r="B24" s="397"/>
      <c r="C24" s="398"/>
      <c r="D24" s="396" t="s">
        <v>385</v>
      </c>
      <c r="E24" s="399">
        <f>SUM(E23:E23)</f>
        <v>142500</v>
      </c>
      <c r="F24" s="399"/>
      <c r="G24" s="399">
        <f>SUM(G23:G23)</f>
        <v>0</v>
      </c>
      <c r="H24" s="399">
        <f>SUM(H23:H23)</f>
        <v>0</v>
      </c>
      <c r="I24" s="399">
        <f>SUM(I22:I23)</f>
        <v>2201950</v>
      </c>
      <c r="J24" s="399">
        <f aca="true" t="shared" si="3" ref="J24:O24">SUM(J22:J23)</f>
        <v>408000</v>
      </c>
      <c r="K24" s="399">
        <f t="shared" si="3"/>
        <v>0</v>
      </c>
      <c r="L24" s="399">
        <f t="shared" si="3"/>
        <v>0</v>
      </c>
      <c r="M24" s="399">
        <f t="shared" si="3"/>
        <v>0</v>
      </c>
      <c r="N24" s="399">
        <f t="shared" si="3"/>
        <v>0</v>
      </c>
      <c r="O24" s="399">
        <f t="shared" si="3"/>
        <v>0</v>
      </c>
      <c r="P24" s="399">
        <f>SUM(P22:P23)</f>
        <v>0</v>
      </c>
      <c r="Q24" s="237">
        <f>SUM(Q22:Q23)</f>
        <v>2822935</v>
      </c>
    </row>
    <row r="25" spans="1:17" ht="12" customHeight="1">
      <c r="A25" s="405"/>
      <c r="B25" s="336"/>
      <c r="C25" s="406"/>
      <c r="D25" s="402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236"/>
    </row>
    <row r="26" spans="1:17" ht="21.75" customHeight="1">
      <c r="A26" s="405"/>
      <c r="B26" s="379" t="s">
        <v>393</v>
      </c>
      <c r="C26" s="406"/>
      <c r="D26" s="407" t="s">
        <v>394</v>
      </c>
      <c r="E26" s="381"/>
      <c r="F26" s="381">
        <v>23121900</v>
      </c>
      <c r="G26" s="381"/>
      <c r="H26" s="381"/>
      <c r="I26" s="381">
        <v>585320</v>
      </c>
      <c r="J26" s="381"/>
      <c r="K26" s="381"/>
      <c r="L26" s="381"/>
      <c r="M26" s="381"/>
      <c r="N26" s="381"/>
      <c r="O26" s="381"/>
      <c r="P26" s="381"/>
      <c r="Q26" s="236">
        <f>SUM(E26:O26)</f>
        <v>23707220</v>
      </c>
    </row>
    <row r="27" spans="1:76" ht="21.75" customHeight="1">
      <c r="A27" s="395"/>
      <c r="B27" s="379" t="s">
        <v>395</v>
      </c>
      <c r="C27" s="380"/>
      <c r="D27" s="407" t="s">
        <v>396</v>
      </c>
      <c r="E27" s="381"/>
      <c r="F27" s="381">
        <v>5100100</v>
      </c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236">
        <f>SUM(E27:O27)</f>
        <v>5100100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</row>
    <row r="28" spans="1:17" ht="21.75" customHeight="1">
      <c r="A28" s="395"/>
      <c r="B28" s="379" t="s">
        <v>397</v>
      </c>
      <c r="C28" s="380"/>
      <c r="D28" s="407" t="s">
        <v>398</v>
      </c>
      <c r="E28" s="381"/>
      <c r="F28" s="381">
        <v>3511000</v>
      </c>
      <c r="G28" s="381"/>
      <c r="H28" s="381"/>
      <c r="I28" s="381">
        <v>19050</v>
      </c>
      <c r="J28" s="381"/>
      <c r="K28" s="381"/>
      <c r="L28" s="381"/>
      <c r="M28" s="381"/>
      <c r="N28" s="381"/>
      <c r="O28" s="381"/>
      <c r="P28" s="381"/>
      <c r="Q28" s="236">
        <f>SUM(E28:O28)</f>
        <v>3530050</v>
      </c>
    </row>
    <row r="29" spans="1:17" s="262" customFormat="1" ht="21.75" customHeight="1">
      <c r="A29" s="404" t="s">
        <v>391</v>
      </c>
      <c r="B29" s="397"/>
      <c r="C29" s="398"/>
      <c r="D29" s="396" t="s">
        <v>392</v>
      </c>
      <c r="E29" s="399">
        <f>SUM(E26:E28)</f>
        <v>0</v>
      </c>
      <c r="F29" s="399">
        <f>SUM(F26:F28)</f>
        <v>31733000</v>
      </c>
      <c r="G29" s="399">
        <f aca="true" t="shared" si="4" ref="G29:Q29">SUM(G26:G28)</f>
        <v>0</v>
      </c>
      <c r="H29" s="399">
        <f t="shared" si="4"/>
        <v>0</v>
      </c>
      <c r="I29" s="399">
        <f t="shared" si="4"/>
        <v>604370</v>
      </c>
      <c r="J29" s="399">
        <f t="shared" si="4"/>
        <v>0</v>
      </c>
      <c r="K29" s="399">
        <f t="shared" si="4"/>
        <v>0</v>
      </c>
      <c r="L29" s="399">
        <f t="shared" si="4"/>
        <v>0</v>
      </c>
      <c r="M29" s="399">
        <f t="shared" si="4"/>
        <v>0</v>
      </c>
      <c r="N29" s="399">
        <f t="shared" si="4"/>
        <v>0</v>
      </c>
      <c r="O29" s="399">
        <f t="shared" si="4"/>
        <v>0</v>
      </c>
      <c r="P29" s="399">
        <f>SUM(P26:P28)</f>
        <v>0</v>
      </c>
      <c r="Q29" s="237">
        <f t="shared" si="4"/>
        <v>32337370</v>
      </c>
    </row>
    <row r="30" spans="1:17" ht="15" customHeight="1">
      <c r="A30" s="405"/>
      <c r="B30" s="336"/>
      <c r="C30" s="406"/>
      <c r="D30" s="407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236"/>
    </row>
    <row r="31" spans="1:17" ht="21.75" customHeight="1">
      <c r="A31" s="395"/>
      <c r="B31" s="379" t="s">
        <v>117</v>
      </c>
      <c r="C31" s="380">
        <v>931102</v>
      </c>
      <c r="D31" s="407" t="s">
        <v>401</v>
      </c>
      <c r="E31" s="381"/>
      <c r="F31" s="381"/>
      <c r="G31" s="381"/>
      <c r="H31" s="381"/>
      <c r="I31" s="381">
        <v>3496906</v>
      </c>
      <c r="J31" s="381"/>
      <c r="K31" s="381"/>
      <c r="L31" s="381"/>
      <c r="M31" s="381"/>
      <c r="N31" s="381"/>
      <c r="O31" s="381"/>
      <c r="P31" s="381"/>
      <c r="Q31" s="236">
        <f>SUM(E31:O31)</f>
        <v>3496906</v>
      </c>
    </row>
    <row r="32" spans="1:17" ht="29.25" customHeight="1">
      <c r="A32" s="395"/>
      <c r="B32" s="379" t="s">
        <v>455</v>
      </c>
      <c r="C32" s="380">
        <v>910110</v>
      </c>
      <c r="D32" s="407" t="s">
        <v>621</v>
      </c>
      <c r="E32" s="381"/>
      <c r="F32" s="381"/>
      <c r="G32" s="381"/>
      <c r="H32" s="381"/>
      <c r="I32" s="381">
        <v>644000</v>
      </c>
      <c r="J32" s="381"/>
      <c r="K32" s="381"/>
      <c r="L32" s="381"/>
      <c r="M32" s="381"/>
      <c r="N32" s="381"/>
      <c r="O32" s="381"/>
      <c r="P32" s="381"/>
      <c r="Q32" s="236">
        <f>SUM(E32:O32)</f>
        <v>644000</v>
      </c>
    </row>
    <row r="33" spans="1:17" ht="26.25" customHeight="1">
      <c r="A33" s="395"/>
      <c r="B33" s="379" t="s">
        <v>115</v>
      </c>
      <c r="C33" s="380">
        <v>910110</v>
      </c>
      <c r="D33" s="407" t="s">
        <v>474</v>
      </c>
      <c r="E33" s="381"/>
      <c r="F33" s="381"/>
      <c r="G33" s="381"/>
      <c r="H33" s="381"/>
      <c r="I33" s="381">
        <v>552106</v>
      </c>
      <c r="J33" s="381"/>
      <c r="K33" s="381"/>
      <c r="L33" s="381"/>
      <c r="M33" s="381"/>
      <c r="N33" s="381"/>
      <c r="O33" s="381"/>
      <c r="P33" s="381"/>
      <c r="Q33" s="236">
        <f>SUM(E33:O33)</f>
        <v>552106</v>
      </c>
    </row>
    <row r="34" spans="1:17" ht="21.75" customHeight="1">
      <c r="A34" s="395"/>
      <c r="B34" s="379" t="s">
        <v>460</v>
      </c>
      <c r="C34" s="380">
        <v>910110</v>
      </c>
      <c r="D34" s="407" t="s">
        <v>461</v>
      </c>
      <c r="E34" s="381"/>
      <c r="F34" s="381"/>
      <c r="G34" s="381"/>
      <c r="H34" s="381"/>
      <c r="I34" s="381"/>
      <c r="J34" s="381"/>
      <c r="K34" s="381">
        <v>1350000</v>
      </c>
      <c r="L34" s="381"/>
      <c r="M34" s="381"/>
      <c r="N34" s="381"/>
      <c r="O34" s="381"/>
      <c r="P34" s="381"/>
      <c r="Q34" s="236">
        <f>SUM(E34:O34)</f>
        <v>1350000</v>
      </c>
    </row>
    <row r="35" spans="1:17" s="262" customFormat="1" ht="21.75" customHeight="1">
      <c r="A35" s="404" t="s">
        <v>399</v>
      </c>
      <c r="B35" s="397"/>
      <c r="C35" s="398"/>
      <c r="D35" s="396" t="s">
        <v>400</v>
      </c>
      <c r="E35" s="399">
        <f>SUM(E31:E34)</f>
        <v>0</v>
      </c>
      <c r="F35" s="399">
        <f aca="true" t="shared" si="5" ref="F35:Q35">SUM(F31:F34)</f>
        <v>0</v>
      </c>
      <c r="G35" s="399">
        <f t="shared" si="5"/>
        <v>0</v>
      </c>
      <c r="H35" s="399">
        <f t="shared" si="5"/>
        <v>0</v>
      </c>
      <c r="I35" s="399">
        <f t="shared" si="5"/>
        <v>4693012</v>
      </c>
      <c r="J35" s="399">
        <f t="shared" si="5"/>
        <v>0</v>
      </c>
      <c r="K35" s="399">
        <f t="shared" si="5"/>
        <v>1350000</v>
      </c>
      <c r="L35" s="399">
        <f t="shared" si="5"/>
        <v>0</v>
      </c>
      <c r="M35" s="399">
        <f t="shared" si="5"/>
        <v>0</v>
      </c>
      <c r="N35" s="399">
        <f t="shared" si="5"/>
        <v>0</v>
      </c>
      <c r="O35" s="399">
        <f t="shared" si="5"/>
        <v>0</v>
      </c>
      <c r="P35" s="399">
        <f>SUM(P31:P34)</f>
        <v>0</v>
      </c>
      <c r="Q35" s="237">
        <f t="shared" si="5"/>
        <v>6043012</v>
      </c>
    </row>
    <row r="36" spans="1:17" ht="10.5" customHeight="1">
      <c r="A36" s="405"/>
      <c r="B36" s="380"/>
      <c r="C36" s="406"/>
      <c r="D36" s="402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236"/>
    </row>
    <row r="37" spans="1:17" ht="21.75" customHeight="1">
      <c r="A37" s="378"/>
      <c r="B37" s="379" t="s">
        <v>546</v>
      </c>
      <c r="C37" s="400"/>
      <c r="D37" s="336" t="s">
        <v>551</v>
      </c>
      <c r="E37" s="381"/>
      <c r="F37" s="381">
        <v>70485</v>
      </c>
      <c r="G37" s="384"/>
      <c r="H37" s="384"/>
      <c r="I37" s="381">
        <v>7620</v>
      </c>
      <c r="J37" s="381">
        <v>2500000</v>
      </c>
      <c r="K37" s="384"/>
      <c r="L37" s="384"/>
      <c r="M37" s="384"/>
      <c r="N37" s="384"/>
      <c r="O37" s="384"/>
      <c r="P37" s="384"/>
      <c r="Q37" s="236">
        <f>SUM(E37:O37)</f>
        <v>2578105</v>
      </c>
    </row>
    <row r="38" spans="1:17" s="338" customFormat="1" ht="21.75" customHeight="1">
      <c r="A38" s="408"/>
      <c r="B38" s="379" t="s">
        <v>412</v>
      </c>
      <c r="C38" s="400"/>
      <c r="D38" s="336" t="s">
        <v>462</v>
      </c>
      <c r="E38" s="381"/>
      <c r="F38" s="381">
        <v>70485</v>
      </c>
      <c r="G38" s="381"/>
      <c r="H38" s="381"/>
      <c r="I38" s="381">
        <v>7444024</v>
      </c>
      <c r="J38" s="381"/>
      <c r="K38" s="381"/>
      <c r="L38" s="381"/>
      <c r="M38" s="381"/>
      <c r="N38" s="381"/>
      <c r="O38" s="381"/>
      <c r="P38" s="381"/>
      <c r="Q38" s="236">
        <f>SUM(E38:O38)</f>
        <v>7514509</v>
      </c>
    </row>
    <row r="39" spans="1:17" s="262" customFormat="1" ht="21.75" customHeight="1">
      <c r="A39" s="404" t="s">
        <v>433</v>
      </c>
      <c r="B39" s="409"/>
      <c r="C39" s="410"/>
      <c r="D39" s="396" t="s">
        <v>434</v>
      </c>
      <c r="E39" s="399">
        <f>SUM(E38:E38)</f>
        <v>0</v>
      </c>
      <c r="F39" s="399">
        <f>SUM(F38:F38)</f>
        <v>70485</v>
      </c>
      <c r="G39" s="399">
        <f>SUM(G38:G38)</f>
        <v>0</v>
      </c>
      <c r="H39" s="399">
        <f>SUM(H38:H38)</f>
        <v>0</v>
      </c>
      <c r="I39" s="399">
        <f>SUM(I37:I38)</f>
        <v>7451644</v>
      </c>
      <c r="J39" s="399">
        <f aca="true" t="shared" si="6" ref="J39:Q39">SUM(J37:J38)</f>
        <v>2500000</v>
      </c>
      <c r="K39" s="399">
        <f t="shared" si="6"/>
        <v>0</v>
      </c>
      <c r="L39" s="399">
        <f t="shared" si="6"/>
        <v>0</v>
      </c>
      <c r="M39" s="399">
        <f t="shared" si="6"/>
        <v>0</v>
      </c>
      <c r="N39" s="399">
        <f t="shared" si="6"/>
        <v>0</v>
      </c>
      <c r="O39" s="399">
        <f t="shared" si="6"/>
        <v>0</v>
      </c>
      <c r="P39" s="399">
        <f>SUM(P37:P38)</f>
        <v>0</v>
      </c>
      <c r="Q39" s="237">
        <f t="shared" si="6"/>
        <v>10092614</v>
      </c>
    </row>
    <row r="40" spans="1:17" ht="10.5" customHeight="1">
      <c r="A40" s="405"/>
      <c r="B40" s="379"/>
      <c r="C40" s="400"/>
      <c r="D40" s="402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236"/>
    </row>
    <row r="41" spans="1:17" ht="21.75" customHeight="1">
      <c r="A41" s="405"/>
      <c r="B41" s="379" t="s">
        <v>585</v>
      </c>
      <c r="C41" s="380">
        <v>889921</v>
      </c>
      <c r="D41" s="380" t="s">
        <v>622</v>
      </c>
      <c r="E41" s="381"/>
      <c r="F41" s="381"/>
      <c r="G41" s="381"/>
      <c r="H41" s="381"/>
      <c r="I41" s="381">
        <v>54614</v>
      </c>
      <c r="J41" s="381"/>
      <c r="K41" s="381"/>
      <c r="L41" s="381"/>
      <c r="M41" s="381"/>
      <c r="N41" s="381"/>
      <c r="O41" s="381"/>
      <c r="P41" s="381"/>
      <c r="Q41" s="236">
        <f>SUM(E41:O41)</f>
        <v>54614</v>
      </c>
    </row>
    <row r="42" spans="1:17" ht="21.75" customHeight="1">
      <c r="A42" s="405"/>
      <c r="B42" s="379" t="s">
        <v>555</v>
      </c>
      <c r="C42" s="380">
        <v>889921</v>
      </c>
      <c r="D42" s="380" t="s">
        <v>557</v>
      </c>
      <c r="E42" s="381"/>
      <c r="F42" s="381"/>
      <c r="G42" s="381"/>
      <c r="H42" s="381"/>
      <c r="I42" s="381">
        <v>15000</v>
      </c>
      <c r="J42" s="381"/>
      <c r="K42" s="381"/>
      <c r="L42" s="381"/>
      <c r="M42" s="381"/>
      <c r="N42" s="381"/>
      <c r="O42" s="381"/>
      <c r="P42" s="381"/>
      <c r="Q42" s="236">
        <f>SUM(E42:O42)</f>
        <v>15000</v>
      </c>
    </row>
    <row r="43" spans="1:17" ht="21.75" customHeight="1">
      <c r="A43" s="405"/>
      <c r="B43" s="379" t="s">
        <v>403</v>
      </c>
      <c r="C43" s="380">
        <v>889921</v>
      </c>
      <c r="D43" s="380" t="s">
        <v>552</v>
      </c>
      <c r="E43" s="381"/>
      <c r="F43" s="381">
        <v>377000</v>
      </c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236">
        <f>SUM(E43:O43)</f>
        <v>377000</v>
      </c>
    </row>
    <row r="44" spans="1:17" ht="21.75" customHeight="1">
      <c r="A44" s="405"/>
      <c r="B44" s="379" t="s">
        <v>436</v>
      </c>
      <c r="C44" s="380">
        <v>889921</v>
      </c>
      <c r="D44" s="380" t="s">
        <v>404</v>
      </c>
      <c r="E44" s="381"/>
      <c r="F44" s="381"/>
      <c r="G44" s="381"/>
      <c r="H44" s="381"/>
      <c r="I44" s="381">
        <v>655905</v>
      </c>
      <c r="J44" s="381"/>
      <c r="K44" s="381"/>
      <c r="L44" s="381"/>
      <c r="M44" s="381"/>
      <c r="N44" s="381"/>
      <c r="O44" s="381"/>
      <c r="P44" s="381"/>
      <c r="Q44" s="236">
        <f>SUM(E44:O44)</f>
        <v>655905</v>
      </c>
    </row>
    <row r="45" spans="1:17" ht="21.75" customHeight="1">
      <c r="A45" s="395"/>
      <c r="B45" s="379" t="s">
        <v>473</v>
      </c>
      <c r="C45" s="380">
        <v>889921</v>
      </c>
      <c r="D45" s="380" t="s">
        <v>475</v>
      </c>
      <c r="E45" s="381"/>
      <c r="F45" s="381"/>
      <c r="G45" s="381"/>
      <c r="H45" s="381"/>
      <c r="I45" s="381"/>
      <c r="J45" s="381"/>
      <c r="K45" s="381">
        <v>50000</v>
      </c>
      <c r="L45" s="381"/>
      <c r="M45" s="381"/>
      <c r="N45" s="381"/>
      <c r="O45" s="381"/>
      <c r="P45" s="381"/>
      <c r="Q45" s="236">
        <f>SUM(E45:O45)</f>
        <v>50000</v>
      </c>
    </row>
    <row r="46" spans="1:17" s="262" customFormat="1" ht="21.75" customHeight="1">
      <c r="A46" s="404" t="s">
        <v>220</v>
      </c>
      <c r="B46" s="397"/>
      <c r="C46" s="398"/>
      <c r="D46" s="396" t="s">
        <v>435</v>
      </c>
      <c r="E46" s="399">
        <f aca="true" t="shared" si="7" ref="E46:O46">SUM(E42:E45)</f>
        <v>0</v>
      </c>
      <c r="F46" s="399">
        <f t="shared" si="7"/>
        <v>377000</v>
      </c>
      <c r="G46" s="399">
        <f t="shared" si="7"/>
        <v>0</v>
      </c>
      <c r="H46" s="399">
        <f t="shared" si="7"/>
        <v>0</v>
      </c>
      <c r="I46" s="399">
        <f>SUM(I41:I45)</f>
        <v>725519</v>
      </c>
      <c r="J46" s="399">
        <f t="shared" si="7"/>
        <v>0</v>
      </c>
      <c r="K46" s="399">
        <f t="shared" si="7"/>
        <v>50000</v>
      </c>
      <c r="L46" s="399">
        <f t="shared" si="7"/>
        <v>0</v>
      </c>
      <c r="M46" s="399">
        <f t="shared" si="7"/>
        <v>0</v>
      </c>
      <c r="N46" s="399">
        <f t="shared" si="7"/>
        <v>0</v>
      </c>
      <c r="O46" s="399">
        <f t="shared" si="7"/>
        <v>0</v>
      </c>
      <c r="P46" s="399">
        <f>SUM(P42:P45)</f>
        <v>0</v>
      </c>
      <c r="Q46" s="237">
        <f>SUM(Q41:Q45)</f>
        <v>1152519</v>
      </c>
    </row>
    <row r="47" spans="1:17" ht="10.5" customHeight="1">
      <c r="A47" s="405"/>
      <c r="B47" s="379"/>
      <c r="C47" s="400"/>
      <c r="D47" s="402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236"/>
    </row>
    <row r="48" spans="1:17" ht="21.75" customHeight="1">
      <c r="A48" s="378"/>
      <c r="B48" s="379" t="s">
        <v>413</v>
      </c>
      <c r="C48" s="380"/>
      <c r="D48" s="380" t="s">
        <v>414</v>
      </c>
      <c r="E48" s="384"/>
      <c r="F48" s="384"/>
      <c r="G48" s="384"/>
      <c r="H48" s="381">
        <v>83434897</v>
      </c>
      <c r="I48" s="381"/>
      <c r="J48" s="384"/>
      <c r="K48" s="384"/>
      <c r="L48" s="384"/>
      <c r="M48" s="384"/>
      <c r="N48" s="384"/>
      <c r="O48" s="384"/>
      <c r="P48" s="384"/>
      <c r="Q48" s="236">
        <f>SUM(E48:O48)</f>
        <v>83434897</v>
      </c>
    </row>
    <row r="49" spans="1:17" s="264" customFormat="1" ht="21.75" customHeight="1">
      <c r="A49" s="386"/>
      <c r="B49" s="409"/>
      <c r="C49" s="401"/>
      <c r="D49" s="411" t="s">
        <v>437</v>
      </c>
      <c r="E49" s="399">
        <f aca="true" t="shared" si="8" ref="E49:O49">SUM(E13,E17,E20,E24,E29,E35,E46,E39,E48)</f>
        <v>120839067</v>
      </c>
      <c r="F49" s="399">
        <f t="shared" si="8"/>
        <v>44222507</v>
      </c>
      <c r="G49" s="399">
        <f t="shared" si="8"/>
        <v>191000</v>
      </c>
      <c r="H49" s="399">
        <f t="shared" si="8"/>
        <v>83434897</v>
      </c>
      <c r="I49" s="399">
        <f t="shared" si="8"/>
        <v>30531046</v>
      </c>
      <c r="J49" s="399">
        <f t="shared" si="8"/>
        <v>2908000</v>
      </c>
      <c r="K49" s="399">
        <f t="shared" si="8"/>
        <v>1400000</v>
      </c>
      <c r="L49" s="399">
        <f t="shared" si="8"/>
        <v>0</v>
      </c>
      <c r="M49" s="399">
        <f t="shared" si="8"/>
        <v>0</v>
      </c>
      <c r="N49" s="399">
        <f t="shared" si="8"/>
        <v>0</v>
      </c>
      <c r="O49" s="399">
        <f t="shared" si="8"/>
        <v>12613000</v>
      </c>
      <c r="P49" s="399">
        <f>SUM(P13,P17,P20,P24,P29,P35,P46,P39,P48)</f>
        <v>3789108</v>
      </c>
      <c r="Q49" s="237">
        <f>SUM(Q13,Q17,Q20,Q24,Q29,Q35,Q46,Q39,Q48)</f>
        <v>300069595</v>
      </c>
    </row>
    <row r="50" spans="1:17" s="229" customFormat="1" ht="21.75" customHeight="1">
      <c r="A50" s="378"/>
      <c r="B50" s="379"/>
      <c r="C50" s="380"/>
      <c r="D50" s="403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236"/>
    </row>
    <row r="51" spans="1:17" s="229" customFormat="1" ht="21.75" customHeight="1">
      <c r="A51" s="378"/>
      <c r="B51" s="379"/>
      <c r="C51" s="380"/>
      <c r="D51" s="412" t="s">
        <v>469</v>
      </c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236"/>
    </row>
    <row r="52" spans="1:17" s="229" customFormat="1" ht="21.75" customHeight="1">
      <c r="A52" s="378"/>
      <c r="B52" s="379" t="s">
        <v>371</v>
      </c>
      <c r="C52" s="380"/>
      <c r="D52" s="380" t="s">
        <v>372</v>
      </c>
      <c r="E52" s="381"/>
      <c r="F52" s="381"/>
      <c r="G52" s="381"/>
      <c r="H52" s="381"/>
      <c r="I52" s="381">
        <v>131000</v>
      </c>
      <c r="J52" s="381">
        <v>7000</v>
      </c>
      <c r="K52" s="381"/>
      <c r="L52" s="381"/>
      <c r="M52" s="381"/>
      <c r="N52" s="381"/>
      <c r="O52" s="381"/>
      <c r="P52" s="381"/>
      <c r="Q52" s="236">
        <f>SUM(E52:O52)</f>
        <v>138000</v>
      </c>
    </row>
    <row r="53" spans="1:17" s="229" customFormat="1" ht="21.75" customHeight="1">
      <c r="A53" s="378"/>
      <c r="B53" s="379" t="s">
        <v>586</v>
      </c>
      <c r="C53" s="380"/>
      <c r="D53" s="380" t="s">
        <v>588</v>
      </c>
      <c r="E53" s="381"/>
      <c r="F53" s="381">
        <v>2506958</v>
      </c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236">
        <f>SUM(E53:O53)</f>
        <v>2506958</v>
      </c>
    </row>
    <row r="54" spans="1:17" s="229" customFormat="1" ht="21.75" customHeight="1">
      <c r="A54" s="378"/>
      <c r="B54" s="379" t="s">
        <v>375</v>
      </c>
      <c r="C54" s="380"/>
      <c r="D54" s="380" t="s">
        <v>754</v>
      </c>
      <c r="E54" s="381"/>
      <c r="F54" s="381">
        <v>3157388</v>
      </c>
      <c r="G54" s="381"/>
      <c r="H54" s="381"/>
      <c r="I54" s="381"/>
      <c r="J54" s="381"/>
      <c r="K54" s="381"/>
      <c r="L54" s="381"/>
      <c r="M54" s="381"/>
      <c r="N54" s="381"/>
      <c r="O54" s="381">
        <v>40000</v>
      </c>
      <c r="P54" s="381"/>
      <c r="Q54" s="236">
        <f>SUM(E54:O54)</f>
        <v>3197388</v>
      </c>
    </row>
    <row r="55" spans="1:17" s="264" customFormat="1" ht="21.75" customHeight="1">
      <c r="A55" s="386"/>
      <c r="B55" s="409"/>
      <c r="C55" s="401"/>
      <c r="D55" s="411" t="s">
        <v>438</v>
      </c>
      <c r="E55" s="399">
        <f>SUM(E52:E54)</f>
        <v>0</v>
      </c>
      <c r="F55" s="399">
        <f aca="true" t="shared" si="9" ref="F55:P55">SUM(F52:F54)</f>
        <v>5664346</v>
      </c>
      <c r="G55" s="399">
        <f t="shared" si="9"/>
        <v>0</v>
      </c>
      <c r="H55" s="399">
        <f t="shared" si="9"/>
        <v>0</v>
      </c>
      <c r="I55" s="399">
        <f t="shared" si="9"/>
        <v>131000</v>
      </c>
      <c r="J55" s="399">
        <f t="shared" si="9"/>
        <v>7000</v>
      </c>
      <c r="K55" s="399">
        <f t="shared" si="9"/>
        <v>0</v>
      </c>
      <c r="L55" s="399">
        <f t="shared" si="9"/>
        <v>0</v>
      </c>
      <c r="M55" s="399">
        <f t="shared" si="9"/>
        <v>0</v>
      </c>
      <c r="N55" s="399">
        <f t="shared" si="9"/>
        <v>0</v>
      </c>
      <c r="O55" s="399">
        <f t="shared" si="9"/>
        <v>40000</v>
      </c>
      <c r="P55" s="399">
        <f t="shared" si="9"/>
        <v>0</v>
      </c>
      <c r="Q55" s="399">
        <f>SUM(Q52:Q54)</f>
        <v>5842346</v>
      </c>
    </row>
    <row r="56" spans="1:17" s="260" customFormat="1" ht="22.5" customHeight="1">
      <c r="A56" s="386"/>
      <c r="B56" s="409"/>
      <c r="C56" s="401"/>
      <c r="D56" s="411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237"/>
    </row>
    <row r="57" spans="1:17" s="266" customFormat="1" ht="21.75" customHeight="1">
      <c r="A57" s="413"/>
      <c r="B57" s="401"/>
      <c r="C57" s="401"/>
      <c r="D57" s="414" t="s">
        <v>439</v>
      </c>
      <c r="E57" s="415">
        <f>SUM(E49+E55)</f>
        <v>120839067</v>
      </c>
      <c r="F57" s="415">
        <f aca="true" t="shared" si="10" ref="F57:O57">SUM(F49+F55)</f>
        <v>49886853</v>
      </c>
      <c r="G57" s="415">
        <f t="shared" si="10"/>
        <v>191000</v>
      </c>
      <c r="H57" s="415">
        <f t="shared" si="10"/>
        <v>83434897</v>
      </c>
      <c r="I57" s="415">
        <f t="shared" si="10"/>
        <v>30662046</v>
      </c>
      <c r="J57" s="415">
        <f t="shared" si="10"/>
        <v>2915000</v>
      </c>
      <c r="K57" s="415">
        <f t="shared" si="10"/>
        <v>1400000</v>
      </c>
      <c r="L57" s="415">
        <f t="shared" si="10"/>
        <v>0</v>
      </c>
      <c r="M57" s="415">
        <f t="shared" si="10"/>
        <v>0</v>
      </c>
      <c r="N57" s="415">
        <f t="shared" si="10"/>
        <v>0</v>
      </c>
      <c r="O57" s="415">
        <f t="shared" si="10"/>
        <v>12653000</v>
      </c>
      <c r="P57" s="415">
        <f>SUM(P49+P55)</f>
        <v>3789108</v>
      </c>
      <c r="Q57" s="265">
        <f>(Q49+Q55)</f>
        <v>305911941</v>
      </c>
    </row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16">
    <mergeCell ref="A1:U1"/>
    <mergeCell ref="O3:Q3"/>
    <mergeCell ref="Q4:Q5"/>
    <mergeCell ref="O4:O5"/>
    <mergeCell ref="M4:N4"/>
    <mergeCell ref="E4:F4"/>
    <mergeCell ref="P4:P5"/>
    <mergeCell ref="K4:L4"/>
    <mergeCell ref="I4:I5"/>
    <mergeCell ref="G4:G5"/>
    <mergeCell ref="H4:H5"/>
    <mergeCell ref="J4:J5"/>
    <mergeCell ref="A4:A5"/>
    <mergeCell ref="B4:B5"/>
    <mergeCell ref="C4:C5"/>
    <mergeCell ref="D4:D5"/>
  </mergeCells>
  <printOptions horizontalCentered="1"/>
  <pageMargins left="0" right="0" top="0" bottom="0" header="0" footer="0"/>
  <pageSetup fitToHeight="1" fitToWidth="1" horizontalDpi="300" verticalDpi="300" orientation="landscape" paperSize="9" scale="42" r:id="rId1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267" customWidth="1"/>
    <col min="2" max="2" width="33.57421875" style="267" customWidth="1"/>
    <col min="3" max="14" width="12.7109375" style="267" customWidth="1"/>
    <col min="15" max="15" width="15.00390625" style="267" customWidth="1"/>
    <col min="16" max="16384" width="9.140625" style="267" customWidth="1"/>
  </cols>
  <sheetData>
    <row r="1" spans="1:20" s="299" customFormat="1" ht="15.75">
      <c r="A1" s="763" t="s">
        <v>554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307"/>
      <c r="Q1" s="307"/>
      <c r="R1" s="307"/>
      <c r="S1" s="307"/>
      <c r="T1" s="307"/>
    </row>
    <row r="2" spans="1:15" s="299" customFormat="1" ht="15.75">
      <c r="A2" s="729" t="s">
        <v>799</v>
      </c>
      <c r="C2" s="305"/>
      <c r="D2" s="305"/>
      <c r="O2" s="308" t="s">
        <v>750</v>
      </c>
    </row>
    <row r="3" spans="1:15" s="299" customFormat="1" ht="15.75">
      <c r="A3" s="729" t="s">
        <v>800</v>
      </c>
      <c r="C3" s="305"/>
      <c r="D3" s="305"/>
      <c r="N3" s="788" t="s">
        <v>509</v>
      </c>
      <c r="O3" s="788"/>
    </row>
    <row r="4" spans="1:15" ht="27.75" customHeight="1">
      <c r="A4" s="275" t="s">
        <v>476</v>
      </c>
      <c r="B4" s="276" t="s">
        <v>212</v>
      </c>
      <c r="C4" s="276" t="s">
        <v>477</v>
      </c>
      <c r="D4" s="276" t="s">
        <v>478</v>
      </c>
      <c r="E4" s="276" t="s">
        <v>479</v>
      </c>
      <c r="F4" s="276" t="s">
        <v>480</v>
      </c>
      <c r="G4" s="276" t="s">
        <v>481</v>
      </c>
      <c r="H4" s="276" t="s">
        <v>482</v>
      </c>
      <c r="I4" s="276" t="s">
        <v>483</v>
      </c>
      <c r="J4" s="276" t="s">
        <v>484</v>
      </c>
      <c r="K4" s="276" t="s">
        <v>485</v>
      </c>
      <c r="L4" s="276" t="s">
        <v>486</v>
      </c>
      <c r="M4" s="276" t="s">
        <v>487</v>
      </c>
      <c r="N4" s="276" t="s">
        <v>488</v>
      </c>
      <c r="O4" s="276" t="s">
        <v>425</v>
      </c>
    </row>
    <row r="5" spans="1:15" ht="27.75" customHeight="1">
      <c r="A5" s="277"/>
      <c r="B5" s="278" t="s">
        <v>489</v>
      </c>
      <c r="C5" s="279"/>
      <c r="D5" s="280">
        <f>C30</f>
        <v>4283712</v>
      </c>
      <c r="E5" s="280">
        <f aca="true" t="shared" si="0" ref="E5:N5">D30</f>
        <v>197680</v>
      </c>
      <c r="F5" s="280">
        <f t="shared" si="0"/>
        <v>25618148</v>
      </c>
      <c r="G5" s="280">
        <f t="shared" si="0"/>
        <v>23293116</v>
      </c>
      <c r="H5" s="280">
        <f t="shared" si="0"/>
        <v>8722423</v>
      </c>
      <c r="I5" s="280">
        <f t="shared" si="0"/>
        <v>-4256233</v>
      </c>
      <c r="J5" s="280">
        <f t="shared" si="0"/>
        <v>-13366283</v>
      </c>
      <c r="K5" s="280">
        <f t="shared" si="0"/>
        <v>-22573846</v>
      </c>
      <c r="L5" s="280">
        <f t="shared" si="0"/>
        <v>18372026</v>
      </c>
      <c r="M5" s="280">
        <f t="shared" si="0"/>
        <v>11359576</v>
      </c>
      <c r="N5" s="280">
        <f t="shared" si="0"/>
        <v>6521789</v>
      </c>
      <c r="O5" s="460"/>
    </row>
    <row r="6" spans="1:15" ht="22.5" customHeight="1">
      <c r="A6" s="281" t="s">
        <v>119</v>
      </c>
      <c r="B6" s="282" t="s">
        <v>27</v>
      </c>
      <c r="C6" s="283">
        <v>2500000</v>
      </c>
      <c r="D6" s="283">
        <v>2550000</v>
      </c>
      <c r="E6" s="283">
        <v>2600000</v>
      </c>
      <c r="F6" s="283">
        <f>2650000+400000</f>
        <v>3050000</v>
      </c>
      <c r="G6" s="283">
        <v>2600000</v>
      </c>
      <c r="H6" s="283">
        <v>2600000</v>
      </c>
      <c r="I6" s="283">
        <v>2300000</v>
      </c>
      <c r="J6" s="283">
        <v>2300000</v>
      </c>
      <c r="K6" s="283">
        <v>2452000</v>
      </c>
      <c r="L6" s="283">
        <v>2500000</v>
      </c>
      <c r="M6" s="283">
        <v>2801316</v>
      </c>
      <c r="N6" s="283">
        <v>2408730</v>
      </c>
      <c r="O6" s="461">
        <f aca="true" t="shared" si="1" ref="O6:O13">SUM(C6:N6)</f>
        <v>30662046</v>
      </c>
    </row>
    <row r="7" spans="1:15" ht="21.75" customHeight="1">
      <c r="A7" s="281" t="s">
        <v>120</v>
      </c>
      <c r="B7" s="282" t="s">
        <v>15</v>
      </c>
      <c r="C7" s="283">
        <v>50000</v>
      </c>
      <c r="D7" s="283">
        <v>50000</v>
      </c>
      <c r="E7" s="283">
        <v>29000000</v>
      </c>
      <c r="F7" s="283">
        <v>600000</v>
      </c>
      <c r="G7" s="283">
        <v>500000</v>
      </c>
      <c r="H7" s="283">
        <v>60000</v>
      </c>
      <c r="I7" s="283">
        <v>50000</v>
      </c>
      <c r="J7" s="283">
        <v>50000</v>
      </c>
      <c r="K7" s="283">
        <f>42000000+330634</f>
        <v>42330634</v>
      </c>
      <c r="L7" s="283">
        <v>1600000</v>
      </c>
      <c r="M7" s="283">
        <v>500000</v>
      </c>
      <c r="N7" s="283">
        <v>8644263</v>
      </c>
      <c r="O7" s="461">
        <f t="shared" si="1"/>
        <v>83434897</v>
      </c>
    </row>
    <row r="8" spans="1:15" ht="34.5" customHeight="1">
      <c r="A8" s="281" t="s">
        <v>121</v>
      </c>
      <c r="B8" s="282" t="s">
        <v>502</v>
      </c>
      <c r="C8" s="283">
        <v>9965076</v>
      </c>
      <c r="D8" s="283">
        <v>9965076</v>
      </c>
      <c r="E8" s="283">
        <v>9965076</v>
      </c>
      <c r="F8" s="283">
        <v>9965076</v>
      </c>
      <c r="G8" s="283">
        <v>9965076</v>
      </c>
      <c r="H8" s="283">
        <v>10111452</v>
      </c>
      <c r="I8" s="283">
        <v>9965076</v>
      </c>
      <c r="J8" s="283">
        <v>9965076</v>
      </c>
      <c r="K8" s="283">
        <v>9965076</v>
      </c>
      <c r="L8" s="283">
        <v>9965076</v>
      </c>
      <c r="M8" s="283">
        <v>10934355</v>
      </c>
      <c r="N8" s="283">
        <v>9965076</v>
      </c>
      <c r="O8" s="461">
        <f t="shared" si="1"/>
        <v>120696567</v>
      </c>
    </row>
    <row r="9" spans="1:15" ht="27.75" customHeight="1">
      <c r="A9" s="281" t="s">
        <v>122</v>
      </c>
      <c r="B9" s="284" t="s">
        <v>503</v>
      </c>
      <c r="C9" s="283">
        <v>3900000</v>
      </c>
      <c r="D9" s="283">
        <v>3900000</v>
      </c>
      <c r="E9" s="283">
        <v>4800000</v>
      </c>
      <c r="F9" s="283">
        <v>3800000</v>
      </c>
      <c r="G9" s="283">
        <v>3900000</v>
      </c>
      <c r="H9" s="283">
        <v>4100000</v>
      </c>
      <c r="I9" s="283">
        <v>4100000</v>
      </c>
      <c r="J9" s="283">
        <v>4100000</v>
      </c>
      <c r="K9" s="283">
        <v>5900000</v>
      </c>
      <c r="L9" s="283">
        <v>3870323</v>
      </c>
      <c r="M9" s="283">
        <v>3900000</v>
      </c>
      <c r="N9" s="283">
        <v>3900000</v>
      </c>
      <c r="O9" s="461">
        <f t="shared" si="1"/>
        <v>50170323</v>
      </c>
    </row>
    <row r="10" spans="1:15" ht="33.75" customHeight="1">
      <c r="A10" s="281" t="s">
        <v>123</v>
      </c>
      <c r="B10" s="284" t="s">
        <v>501</v>
      </c>
      <c r="C10" s="283">
        <v>1350000</v>
      </c>
      <c r="D10" s="283"/>
      <c r="E10" s="283"/>
      <c r="F10" s="283">
        <v>20000</v>
      </c>
      <c r="G10" s="283"/>
      <c r="H10" s="277"/>
      <c r="I10" s="283"/>
      <c r="J10" s="283">
        <v>20000</v>
      </c>
      <c r="K10" s="283"/>
      <c r="L10" s="283"/>
      <c r="M10" s="283"/>
      <c r="N10" s="283">
        <v>10000</v>
      </c>
      <c r="O10" s="461">
        <f t="shared" si="1"/>
        <v>1400000</v>
      </c>
    </row>
    <row r="11" spans="1:15" ht="33.75" customHeight="1">
      <c r="A11" s="281" t="s">
        <v>124</v>
      </c>
      <c r="B11" s="284" t="s">
        <v>504</v>
      </c>
      <c r="C11" s="283"/>
      <c r="D11" s="283"/>
      <c r="E11" s="283"/>
      <c r="F11" s="283"/>
      <c r="G11" s="283"/>
      <c r="H11" s="277"/>
      <c r="I11" s="283"/>
      <c r="J11" s="283"/>
      <c r="K11" s="283"/>
      <c r="L11" s="283">
        <v>191000</v>
      </c>
      <c r="M11" s="283"/>
      <c r="N11" s="283"/>
      <c r="O11" s="461">
        <f>SUM(C11:N11)</f>
        <v>191000</v>
      </c>
    </row>
    <row r="12" spans="1:15" ht="33.75" customHeight="1">
      <c r="A12" s="281" t="s">
        <v>125</v>
      </c>
      <c r="B12" s="284" t="s">
        <v>42</v>
      </c>
      <c r="C12" s="283"/>
      <c r="D12" s="283"/>
      <c r="E12" s="283"/>
      <c r="F12" s="283"/>
      <c r="G12" s="283"/>
      <c r="H12" s="277"/>
      <c r="I12" s="283"/>
      <c r="J12" s="283"/>
      <c r="K12" s="283">
        <v>2500000</v>
      </c>
      <c r="L12" s="283">
        <v>408000</v>
      </c>
      <c r="M12" s="283"/>
      <c r="N12" s="283">
        <v>7000</v>
      </c>
      <c r="O12" s="461">
        <f>SUM(C12:N12)</f>
        <v>2915000</v>
      </c>
    </row>
    <row r="13" spans="1:15" ht="27.75" customHeight="1">
      <c r="A13" s="281" t="s">
        <v>126</v>
      </c>
      <c r="B13" s="284" t="s">
        <v>490</v>
      </c>
      <c r="C13" s="283">
        <v>12653000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461">
        <f t="shared" si="1"/>
        <v>12653000</v>
      </c>
    </row>
    <row r="14" spans="1:15" ht="27.75" customHeight="1">
      <c r="A14" s="281" t="s">
        <v>127</v>
      </c>
      <c r="B14" s="284" t="s">
        <v>773</v>
      </c>
      <c r="C14" s="283"/>
      <c r="D14" s="283"/>
      <c r="E14" s="283"/>
      <c r="F14" s="283"/>
      <c r="G14" s="283"/>
      <c r="H14" s="283"/>
      <c r="I14" s="283"/>
      <c r="J14" s="283">
        <v>5000000</v>
      </c>
      <c r="K14" s="283"/>
      <c r="L14" s="283"/>
      <c r="M14" s="283"/>
      <c r="N14" s="283"/>
      <c r="O14" s="461">
        <f>SUM(C14:N14)</f>
        <v>5000000</v>
      </c>
    </row>
    <row r="15" spans="1:15" ht="27.75" customHeight="1">
      <c r="A15" s="281" t="s">
        <v>220</v>
      </c>
      <c r="B15" s="284" t="s">
        <v>774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>
        <v>3789108</v>
      </c>
      <c r="O15" s="461">
        <f>SUM(C15:N15)</f>
        <v>3789108</v>
      </c>
    </row>
    <row r="16" spans="1:15" s="296" customFormat="1" ht="27.75" customHeight="1">
      <c r="A16" s="293"/>
      <c r="B16" s="294" t="s">
        <v>491</v>
      </c>
      <c r="C16" s="295">
        <f aca="true" t="shared" si="2" ref="C16:I16">SUM(C6:C13)</f>
        <v>30418076</v>
      </c>
      <c r="D16" s="295">
        <f t="shared" si="2"/>
        <v>16465076</v>
      </c>
      <c r="E16" s="295">
        <f t="shared" si="2"/>
        <v>46365076</v>
      </c>
      <c r="F16" s="295">
        <f t="shared" si="2"/>
        <v>17435076</v>
      </c>
      <c r="G16" s="295">
        <f t="shared" si="2"/>
        <v>16965076</v>
      </c>
      <c r="H16" s="295">
        <f t="shared" si="2"/>
        <v>16871452</v>
      </c>
      <c r="I16" s="295">
        <f t="shared" si="2"/>
        <v>16415076</v>
      </c>
      <c r="J16" s="295">
        <f>SUM(J6:J14)</f>
        <v>21435076</v>
      </c>
      <c r="K16" s="295">
        <f>SUM(K6:K13)</f>
        <v>63147710</v>
      </c>
      <c r="L16" s="295">
        <f>SUM(L6:L13)</f>
        <v>18534399</v>
      </c>
      <c r="M16" s="295">
        <f>SUM(M6:M13)</f>
        <v>18135671</v>
      </c>
      <c r="N16" s="295">
        <f>SUM(N6:N15)</f>
        <v>28724177</v>
      </c>
      <c r="O16" s="462">
        <f>SUM(O6:O15)</f>
        <v>310911941</v>
      </c>
    </row>
    <row r="17" spans="1:15" ht="27.75" customHeight="1">
      <c r="A17" s="277"/>
      <c r="B17" s="278" t="s">
        <v>103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460"/>
    </row>
    <row r="18" spans="1:15" ht="27.75" customHeight="1">
      <c r="A18" s="281" t="s">
        <v>221</v>
      </c>
      <c r="B18" s="286" t="s">
        <v>54</v>
      </c>
      <c r="C18" s="283">
        <v>7336087</v>
      </c>
      <c r="D18" s="283">
        <v>7222888</v>
      </c>
      <c r="E18" s="283">
        <v>7222888</v>
      </c>
      <c r="F18" s="283">
        <v>7222888</v>
      </c>
      <c r="G18" s="283">
        <v>7222888</v>
      </c>
      <c r="H18" s="283">
        <v>9018088</v>
      </c>
      <c r="I18" s="283">
        <v>7222888</v>
      </c>
      <c r="J18" s="283">
        <v>7222888</v>
      </c>
      <c r="K18" s="283">
        <f>7222888+200000</f>
        <v>7422888</v>
      </c>
      <c r="L18" s="283">
        <v>9247200</v>
      </c>
      <c r="M18" s="283">
        <v>9522458</v>
      </c>
      <c r="N18" s="283">
        <v>7716449</v>
      </c>
      <c r="O18" s="461">
        <f aca="true" t="shared" si="3" ref="O18:O24">SUM(C18:N18)</f>
        <v>93600498</v>
      </c>
    </row>
    <row r="19" spans="1:15" ht="27.75" customHeight="1">
      <c r="A19" s="281" t="s">
        <v>222</v>
      </c>
      <c r="B19" s="286" t="s">
        <v>492</v>
      </c>
      <c r="C19" s="283">
        <v>1946387</v>
      </c>
      <c r="D19" s="283">
        <v>1946387</v>
      </c>
      <c r="E19" s="283">
        <v>1946387</v>
      </c>
      <c r="F19" s="283">
        <v>1946387</v>
      </c>
      <c r="G19" s="283">
        <v>1946387</v>
      </c>
      <c r="H19" s="283">
        <v>2431091</v>
      </c>
      <c r="I19" s="283">
        <v>1946387</v>
      </c>
      <c r="J19" s="283">
        <v>1946387</v>
      </c>
      <c r="K19" s="283">
        <v>1946387</v>
      </c>
      <c r="L19" s="283">
        <v>2561725</v>
      </c>
      <c r="M19" s="283">
        <v>1946387</v>
      </c>
      <c r="N19" s="283">
        <v>1946386</v>
      </c>
      <c r="O19" s="461">
        <f t="shared" si="3"/>
        <v>24456685</v>
      </c>
    </row>
    <row r="20" spans="1:15" ht="27.75" customHeight="1">
      <c r="A20" s="281" t="s">
        <v>223</v>
      </c>
      <c r="B20" s="287" t="s">
        <v>69</v>
      </c>
      <c r="C20" s="283">
        <v>6417000</v>
      </c>
      <c r="D20" s="283">
        <v>5988000</v>
      </c>
      <c r="E20" s="283">
        <v>6222000</v>
      </c>
      <c r="F20" s="283">
        <v>6222000</v>
      </c>
      <c r="G20" s="283">
        <v>6400000</v>
      </c>
      <c r="H20" s="283">
        <f>6400000+879621</f>
        <v>7279621</v>
      </c>
      <c r="I20" s="283">
        <v>6791718</v>
      </c>
      <c r="J20" s="283">
        <f>6400000+600000</f>
        <v>7000000</v>
      </c>
      <c r="K20" s="283">
        <v>6222000</v>
      </c>
      <c r="L20" s="283">
        <f>6222000+228037-170771</f>
        <v>6279266</v>
      </c>
      <c r="M20" s="283">
        <v>6222000</v>
      </c>
      <c r="N20" s="283">
        <f>5994433+215365</f>
        <v>6209798</v>
      </c>
      <c r="O20" s="461">
        <f t="shared" si="3"/>
        <v>77253403</v>
      </c>
    </row>
    <row r="21" spans="1:15" ht="27.75" customHeight="1">
      <c r="A21" s="281" t="s">
        <v>226</v>
      </c>
      <c r="B21" s="288" t="s">
        <v>84</v>
      </c>
      <c r="C21" s="283">
        <v>300000</v>
      </c>
      <c r="D21" s="283">
        <v>10000</v>
      </c>
      <c r="E21" s="283">
        <v>50000</v>
      </c>
      <c r="F21" s="283">
        <v>50000</v>
      </c>
      <c r="G21" s="283">
        <v>90000</v>
      </c>
      <c r="H21" s="283">
        <v>50000</v>
      </c>
      <c r="I21" s="283">
        <v>50000</v>
      </c>
      <c r="J21" s="283">
        <f>500000+600000</f>
        <v>1100000</v>
      </c>
      <c r="K21" s="283">
        <f>650000+500000</f>
        <v>1150000</v>
      </c>
      <c r="L21" s="283">
        <f>1900000+200000</f>
        <v>2100000</v>
      </c>
      <c r="M21" s="283">
        <f>50000+906780+7000</f>
        <v>963780</v>
      </c>
      <c r="N21" s="283">
        <v>1500000</v>
      </c>
      <c r="O21" s="461">
        <f t="shared" si="3"/>
        <v>7413780</v>
      </c>
    </row>
    <row r="22" spans="1:15" ht="27.75" customHeight="1">
      <c r="A22" s="281" t="s">
        <v>229</v>
      </c>
      <c r="B22" s="288" t="s">
        <v>310</v>
      </c>
      <c r="C22" s="283">
        <v>4318833</v>
      </c>
      <c r="D22" s="283">
        <v>4318833</v>
      </c>
      <c r="E22" s="283">
        <v>4318833</v>
      </c>
      <c r="F22" s="283">
        <v>4318833</v>
      </c>
      <c r="G22" s="283">
        <f>4801329+400000</f>
        <v>5201329</v>
      </c>
      <c r="H22" s="283">
        <v>7171308</v>
      </c>
      <c r="I22" s="283">
        <v>4318833</v>
      </c>
      <c r="J22" s="283">
        <v>4318833</v>
      </c>
      <c r="K22" s="283">
        <v>4318833</v>
      </c>
      <c r="L22" s="283">
        <v>4318833</v>
      </c>
      <c r="M22" s="283">
        <v>4318833</v>
      </c>
      <c r="N22" s="283">
        <v>4318833</v>
      </c>
      <c r="O22" s="461">
        <f t="shared" si="3"/>
        <v>55560967</v>
      </c>
    </row>
    <row r="23" spans="1:15" ht="27.75" customHeight="1">
      <c r="A23" s="281" t="s">
        <v>232</v>
      </c>
      <c r="B23" s="287" t="s">
        <v>493</v>
      </c>
      <c r="C23" s="283">
        <v>900000</v>
      </c>
      <c r="D23" s="283"/>
      <c r="E23" s="283">
        <v>900000</v>
      </c>
      <c r="F23" s="283"/>
      <c r="G23" s="283">
        <v>3867800</v>
      </c>
      <c r="H23" s="283">
        <v>900000</v>
      </c>
      <c r="I23" s="283">
        <f>1270000+3430000</f>
        <v>4700000</v>
      </c>
      <c r="J23" s="283"/>
      <c r="K23" s="283"/>
      <c r="L23" s="283">
        <v>1039825</v>
      </c>
      <c r="M23" s="283"/>
      <c r="N23" s="283"/>
      <c r="O23" s="461">
        <f t="shared" si="3"/>
        <v>12307625</v>
      </c>
    </row>
    <row r="24" spans="1:15" ht="27.75" customHeight="1">
      <c r="A24" s="281" t="s">
        <v>235</v>
      </c>
      <c r="B24" s="287" t="s">
        <v>494</v>
      </c>
      <c r="C24" s="283">
        <v>805300</v>
      </c>
      <c r="D24" s="283">
        <v>1065000</v>
      </c>
      <c r="E24" s="283">
        <v>284500</v>
      </c>
      <c r="F24" s="283"/>
      <c r="G24" s="283">
        <v>6807365</v>
      </c>
      <c r="H24" s="283">
        <v>3000000</v>
      </c>
      <c r="I24" s="283">
        <v>495300</v>
      </c>
      <c r="J24" s="283">
        <f>12253031-3198500</f>
        <v>9054531</v>
      </c>
      <c r="K24" s="283">
        <v>1141730</v>
      </c>
      <c r="L24" s="283"/>
      <c r="M24" s="283"/>
      <c r="N24" s="283">
        <v>4254500</v>
      </c>
      <c r="O24" s="461">
        <f t="shared" si="3"/>
        <v>26908226</v>
      </c>
    </row>
    <row r="25" spans="1:15" ht="27.75" customHeight="1">
      <c r="A25" s="281" t="s">
        <v>238</v>
      </c>
      <c r="B25" s="284" t="s">
        <v>495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>
        <v>0</v>
      </c>
      <c r="N25" s="283"/>
      <c r="O25" s="461">
        <f>SUM(C25:N25)</f>
        <v>0</v>
      </c>
    </row>
    <row r="26" spans="1:15" ht="27.75" customHeight="1">
      <c r="A26" s="281" t="s">
        <v>241</v>
      </c>
      <c r="B26" s="284" t="s">
        <v>775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>
        <v>4300000</v>
      </c>
      <c r="N26" s="283"/>
      <c r="O26" s="461">
        <f>SUM(C26:N26)</f>
        <v>4300000</v>
      </c>
    </row>
    <row r="27" spans="1:15" ht="27.75" customHeight="1">
      <c r="A27" s="281" t="s">
        <v>244</v>
      </c>
      <c r="B27" s="284" t="s">
        <v>776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>
        <v>5000000</v>
      </c>
      <c r="O27" s="461">
        <f>SUM(C27:N27)</f>
        <v>5000000</v>
      </c>
    </row>
    <row r="28" spans="1:15" ht="27.75" customHeight="1">
      <c r="A28" s="281" t="s">
        <v>247</v>
      </c>
      <c r="B28" s="284" t="s">
        <v>314</v>
      </c>
      <c r="C28" s="283">
        <v>4110757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461">
        <f>SUM(C28:N28)</f>
        <v>4110757</v>
      </c>
    </row>
    <row r="29" spans="1:15" s="296" customFormat="1" ht="27.75" customHeight="1">
      <c r="A29" s="293"/>
      <c r="B29" s="294" t="s">
        <v>496</v>
      </c>
      <c r="C29" s="295">
        <f>SUM(C18:C28)</f>
        <v>26134364</v>
      </c>
      <c r="D29" s="295">
        <f aca="true" t="shared" si="4" ref="D29:N29">SUM(D18:D25)</f>
        <v>20551108</v>
      </c>
      <c r="E29" s="295">
        <f t="shared" si="4"/>
        <v>20944608</v>
      </c>
      <c r="F29" s="295">
        <f t="shared" si="4"/>
        <v>19760108</v>
      </c>
      <c r="G29" s="295">
        <f t="shared" si="4"/>
        <v>31535769</v>
      </c>
      <c r="H29" s="295">
        <f t="shared" si="4"/>
        <v>29850108</v>
      </c>
      <c r="I29" s="295">
        <f t="shared" si="4"/>
        <v>25525126</v>
      </c>
      <c r="J29" s="295">
        <f t="shared" si="4"/>
        <v>30642639</v>
      </c>
      <c r="K29" s="295">
        <f t="shared" si="4"/>
        <v>22201838</v>
      </c>
      <c r="L29" s="295">
        <f t="shared" si="4"/>
        <v>25546849</v>
      </c>
      <c r="M29" s="295">
        <f t="shared" si="4"/>
        <v>22973458</v>
      </c>
      <c r="N29" s="295">
        <f t="shared" si="4"/>
        <v>25945966</v>
      </c>
      <c r="O29" s="462">
        <f>SUM(O18:O28)</f>
        <v>310911941</v>
      </c>
    </row>
    <row r="30" spans="1:15" ht="15.75">
      <c r="A30" s="277"/>
      <c r="B30" s="278" t="s">
        <v>497</v>
      </c>
      <c r="C30" s="289">
        <f>C16-C29</f>
        <v>4283712</v>
      </c>
      <c r="D30" s="289">
        <f aca="true" t="shared" si="5" ref="D30:N30">D5+D16-D29</f>
        <v>197680</v>
      </c>
      <c r="E30" s="289">
        <f t="shared" si="5"/>
        <v>25618148</v>
      </c>
      <c r="F30" s="289">
        <f t="shared" si="5"/>
        <v>23293116</v>
      </c>
      <c r="G30" s="289">
        <f t="shared" si="5"/>
        <v>8722423</v>
      </c>
      <c r="H30" s="289">
        <f t="shared" si="5"/>
        <v>-4256233</v>
      </c>
      <c r="I30" s="289">
        <f t="shared" si="5"/>
        <v>-13366283</v>
      </c>
      <c r="J30" s="289">
        <f t="shared" si="5"/>
        <v>-22573846</v>
      </c>
      <c r="K30" s="289">
        <f t="shared" si="5"/>
        <v>18372026</v>
      </c>
      <c r="L30" s="289">
        <f t="shared" si="5"/>
        <v>11359576</v>
      </c>
      <c r="M30" s="289">
        <f t="shared" si="5"/>
        <v>6521789</v>
      </c>
      <c r="N30" s="289">
        <f t="shared" si="5"/>
        <v>9300000</v>
      </c>
      <c r="O30" s="277"/>
    </row>
    <row r="32" spans="3:14" ht="12.75">
      <c r="C32" s="297"/>
      <c r="E32" s="297"/>
      <c r="F32" s="297"/>
      <c r="I32" s="297"/>
      <c r="J32" s="297"/>
      <c r="K32" s="297"/>
      <c r="N32" s="297"/>
    </row>
    <row r="33" spans="5:13" ht="12.75">
      <c r="E33" s="297"/>
      <c r="F33" s="297"/>
      <c r="G33" s="297"/>
      <c r="H33" s="297"/>
      <c r="I33" s="297"/>
      <c r="K33" s="297"/>
      <c r="M33" s="297"/>
    </row>
    <row r="34" ht="22.5" customHeight="1">
      <c r="B34" s="268"/>
    </row>
    <row r="57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A3"/>
    </sheetView>
  </sheetViews>
  <sheetFormatPr defaultColWidth="8.00390625" defaultRowHeight="12.75"/>
  <cols>
    <col min="1" max="1" width="5.00390625" style="495" customWidth="1"/>
    <col min="2" max="2" width="54.140625" style="270" customWidth="1"/>
    <col min="3" max="4" width="15.140625" style="270" customWidth="1"/>
    <col min="5" max="16384" width="8.00390625" style="270" customWidth="1"/>
  </cols>
  <sheetData>
    <row r="1" spans="1:4" ht="40.5" customHeight="1">
      <c r="A1" s="272"/>
      <c r="B1" s="798" t="s">
        <v>595</v>
      </c>
      <c r="C1" s="798"/>
      <c r="D1" s="798"/>
    </row>
    <row r="2" spans="1:4" ht="15.75" customHeight="1">
      <c r="A2" s="729" t="s">
        <v>801</v>
      </c>
      <c r="B2" s="269"/>
      <c r="C2" s="799" t="s">
        <v>751</v>
      </c>
      <c r="D2" s="799"/>
    </row>
    <row r="3" spans="1:4" s="271" customFormat="1" ht="16.5" thickBot="1">
      <c r="A3" s="729" t="s">
        <v>802</v>
      </c>
      <c r="B3" s="273"/>
      <c r="C3" s="274"/>
      <c r="D3" s="309" t="s">
        <v>542</v>
      </c>
    </row>
    <row r="4" spans="1:4" s="475" customFormat="1" ht="48" customHeight="1" thickBot="1">
      <c r="A4" s="472" t="s">
        <v>584</v>
      </c>
      <c r="B4" s="473" t="s">
        <v>596</v>
      </c>
      <c r="C4" s="473" t="s">
        <v>597</v>
      </c>
      <c r="D4" s="474" t="s">
        <v>598</v>
      </c>
    </row>
    <row r="5" spans="1:4" s="475" customFormat="1" ht="13.5" customHeight="1" thickBot="1">
      <c r="A5" s="472" t="s">
        <v>97</v>
      </c>
      <c r="B5" s="473" t="s">
        <v>98</v>
      </c>
      <c r="C5" s="473" t="s">
        <v>99</v>
      </c>
      <c r="D5" s="474" t="s">
        <v>100</v>
      </c>
    </row>
    <row r="6" spans="1:4" ht="18" customHeight="1">
      <c r="A6" s="476" t="s">
        <v>119</v>
      </c>
      <c r="B6" s="477" t="s">
        <v>599</v>
      </c>
      <c r="C6" s="478">
        <v>8362952</v>
      </c>
      <c r="D6" s="479">
        <v>0</v>
      </c>
    </row>
    <row r="7" spans="1:4" ht="18" customHeight="1">
      <c r="A7" s="480" t="s">
        <v>120</v>
      </c>
      <c r="B7" s="481" t="s">
        <v>600</v>
      </c>
      <c r="C7" s="482">
        <v>0</v>
      </c>
      <c r="D7" s="483">
        <v>0</v>
      </c>
    </row>
    <row r="8" spans="1:4" ht="18" customHeight="1">
      <c r="A8" s="480" t="s">
        <v>121</v>
      </c>
      <c r="B8" s="481" t="s">
        <v>601</v>
      </c>
      <c r="C8" s="482">
        <v>0</v>
      </c>
      <c r="D8" s="483">
        <v>0</v>
      </c>
    </row>
    <row r="9" spans="1:4" ht="18" customHeight="1">
      <c r="A9" s="480" t="s">
        <v>122</v>
      </c>
      <c r="B9" s="481" t="s">
        <v>602</v>
      </c>
      <c r="C9" s="482">
        <v>0</v>
      </c>
      <c r="D9" s="483">
        <v>0</v>
      </c>
    </row>
    <row r="10" spans="1:4" ht="18" customHeight="1">
      <c r="A10" s="480" t="s">
        <v>123</v>
      </c>
      <c r="B10" s="481" t="s">
        <v>603</v>
      </c>
      <c r="C10" s="482">
        <f>SUM(C11:C16)</f>
        <v>80935916</v>
      </c>
      <c r="D10" s="483">
        <v>0</v>
      </c>
    </row>
    <row r="11" spans="1:4" ht="18" customHeight="1">
      <c r="A11" s="480" t="s">
        <v>124</v>
      </c>
      <c r="B11" s="481" t="s">
        <v>604</v>
      </c>
      <c r="C11" s="482">
        <v>0</v>
      </c>
      <c r="D11" s="483">
        <v>0</v>
      </c>
    </row>
    <row r="12" spans="1:4" ht="18" customHeight="1">
      <c r="A12" s="480" t="s">
        <v>125</v>
      </c>
      <c r="B12" s="484" t="s">
        <v>605</v>
      </c>
      <c r="C12" s="482">
        <v>0</v>
      </c>
      <c r="D12" s="483">
        <v>0</v>
      </c>
    </row>
    <row r="13" spans="1:4" ht="18" customHeight="1">
      <c r="A13" s="480" t="s">
        <v>127</v>
      </c>
      <c r="B13" s="484" t="s">
        <v>606</v>
      </c>
      <c r="C13" s="482">
        <v>0</v>
      </c>
      <c r="D13" s="483">
        <v>0</v>
      </c>
    </row>
    <row r="14" spans="1:4" ht="18" customHeight="1">
      <c r="A14" s="480" t="s">
        <v>220</v>
      </c>
      <c r="B14" s="484" t="s">
        <v>607</v>
      </c>
      <c r="C14" s="482">
        <v>0</v>
      </c>
      <c r="D14" s="483">
        <v>0</v>
      </c>
    </row>
    <row r="15" spans="1:4" ht="18" customHeight="1">
      <c r="A15" s="480" t="s">
        <v>221</v>
      </c>
      <c r="B15" s="484" t="s">
        <v>608</v>
      </c>
      <c r="C15" s="482">
        <v>0</v>
      </c>
      <c r="D15" s="483">
        <v>0</v>
      </c>
    </row>
    <row r="16" spans="1:4" ht="22.5" customHeight="1">
      <c r="A16" s="480" t="s">
        <v>222</v>
      </c>
      <c r="B16" s="484" t="s">
        <v>609</v>
      </c>
      <c r="C16" s="482">
        <v>80935916</v>
      </c>
      <c r="D16" s="483">
        <v>0</v>
      </c>
    </row>
    <row r="17" spans="1:4" ht="18" customHeight="1">
      <c r="A17" s="480" t="s">
        <v>223</v>
      </c>
      <c r="B17" s="481" t="s">
        <v>610</v>
      </c>
      <c r="C17" s="482">
        <v>2404863</v>
      </c>
      <c r="D17" s="483">
        <v>0</v>
      </c>
    </row>
    <row r="18" spans="1:4" ht="18" customHeight="1">
      <c r="A18" s="480" t="s">
        <v>226</v>
      </c>
      <c r="B18" s="481" t="s">
        <v>611</v>
      </c>
      <c r="C18" s="482">
        <v>1000000</v>
      </c>
      <c r="D18" s="483">
        <v>0</v>
      </c>
    </row>
    <row r="19" spans="1:4" ht="18" customHeight="1">
      <c r="A19" s="480" t="s">
        <v>229</v>
      </c>
      <c r="B19" s="481" t="s">
        <v>612</v>
      </c>
      <c r="C19" s="482">
        <v>250000</v>
      </c>
      <c r="D19" s="483">
        <v>0</v>
      </c>
    </row>
    <row r="20" spans="1:4" ht="18" customHeight="1">
      <c r="A20" s="480" t="s">
        <v>232</v>
      </c>
      <c r="B20" s="481" t="s">
        <v>613</v>
      </c>
      <c r="C20" s="482">
        <v>0</v>
      </c>
      <c r="D20" s="483">
        <v>0</v>
      </c>
    </row>
    <row r="21" spans="1:4" ht="18" customHeight="1">
      <c r="A21" s="480" t="s">
        <v>235</v>
      </c>
      <c r="B21" s="481" t="s">
        <v>614</v>
      </c>
      <c r="C21" s="482">
        <v>0</v>
      </c>
      <c r="D21" s="483">
        <v>0</v>
      </c>
    </row>
    <row r="22" spans="1:4" ht="18" customHeight="1">
      <c r="A22" s="480" t="s">
        <v>238</v>
      </c>
      <c r="B22" s="485"/>
      <c r="C22" s="486"/>
      <c r="D22" s="487"/>
    </row>
    <row r="23" spans="1:4" ht="18" customHeight="1" thickBot="1">
      <c r="A23" s="480" t="s">
        <v>241</v>
      </c>
      <c r="B23" s="488"/>
      <c r="C23" s="486"/>
      <c r="D23" s="487"/>
    </row>
    <row r="24" spans="1:4" ht="18" customHeight="1" thickBot="1">
      <c r="A24" s="489" t="s">
        <v>244</v>
      </c>
      <c r="B24" s="490" t="s">
        <v>615</v>
      </c>
      <c r="C24" s="491">
        <f>+C6+C7+C8+C9+C10+C17+C18+C19+C20+C21+C22+C23</f>
        <v>92953731</v>
      </c>
      <c r="D24" s="492">
        <f>SUM(D6:D21)</f>
        <v>0</v>
      </c>
    </row>
    <row r="25" spans="1:4" ht="8.25" customHeight="1">
      <c r="A25" s="493"/>
      <c r="B25" s="800"/>
      <c r="C25" s="800"/>
      <c r="D25" s="800"/>
    </row>
    <row r="26" spans="1:4" ht="12.75">
      <c r="A26" s="272"/>
      <c r="B26" s="494"/>
      <c r="C26" s="494"/>
      <c r="D26" s="494"/>
    </row>
  </sheetData>
  <sheetProtection/>
  <mergeCells count="3">
    <mergeCell ref="B1:D1"/>
    <mergeCell ref="C2:D2"/>
    <mergeCell ref="B25:D25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96" customWidth="1"/>
    <col min="2" max="2" width="42.57421875" style="93" customWidth="1"/>
    <col min="3" max="4" width="11.00390625" style="93" customWidth="1"/>
    <col min="5" max="5" width="13.00390625" style="93" customWidth="1"/>
    <col min="6" max="7" width="11.00390625" style="93" customWidth="1"/>
    <col min="8" max="8" width="12.28125" style="93" customWidth="1"/>
    <col min="9" max="9" width="2.8515625" style="93" customWidth="1"/>
    <col min="10" max="16384" width="8.00390625" style="93" customWidth="1"/>
  </cols>
  <sheetData>
    <row r="2" spans="1:8" ht="39.75" customHeight="1">
      <c r="A2" s="809" t="s">
        <v>701</v>
      </c>
      <c r="B2" s="809"/>
      <c r="C2" s="809"/>
      <c r="D2" s="809"/>
      <c r="E2" s="809"/>
      <c r="F2" s="809"/>
      <c r="G2" s="809"/>
      <c r="H2" s="809"/>
    </row>
    <row r="3" spans="1:9" s="270" customFormat="1" ht="15.75" customHeight="1">
      <c r="A3" s="729" t="s">
        <v>803</v>
      </c>
      <c r="B3" s="269"/>
      <c r="C3" s="515"/>
      <c r="D3" s="515"/>
      <c r="G3" s="810" t="s">
        <v>702</v>
      </c>
      <c r="H3" s="810"/>
      <c r="I3" s="633"/>
    </row>
    <row r="4" spans="1:9" s="271" customFormat="1" ht="16.5" thickBot="1">
      <c r="A4" s="729" t="s">
        <v>804</v>
      </c>
      <c r="B4" s="273"/>
      <c r="C4" s="274"/>
      <c r="D4" s="274"/>
      <c r="G4" s="811" t="s">
        <v>542</v>
      </c>
      <c r="H4" s="811"/>
      <c r="I4" s="309"/>
    </row>
    <row r="5" spans="1:8" s="635" customFormat="1" ht="26.25" customHeight="1">
      <c r="A5" s="812" t="s">
        <v>211</v>
      </c>
      <c r="B5" s="803" t="s">
        <v>703</v>
      </c>
      <c r="C5" s="815" t="s">
        <v>704</v>
      </c>
      <c r="D5" s="801" t="s">
        <v>705</v>
      </c>
      <c r="E5" s="803" t="s">
        <v>706</v>
      </c>
      <c r="F5" s="803"/>
      <c r="G5" s="803"/>
      <c r="H5" s="804" t="s">
        <v>425</v>
      </c>
    </row>
    <row r="6" spans="1:8" s="637" customFormat="1" ht="32.25" customHeight="1">
      <c r="A6" s="813"/>
      <c r="B6" s="814"/>
      <c r="C6" s="814"/>
      <c r="D6" s="802"/>
      <c r="E6" s="636" t="s">
        <v>507</v>
      </c>
      <c r="F6" s="636" t="s">
        <v>707</v>
      </c>
      <c r="G6" s="636" t="s">
        <v>708</v>
      </c>
      <c r="H6" s="805"/>
    </row>
    <row r="7" spans="1:8" s="641" customFormat="1" ht="12.75" customHeight="1">
      <c r="A7" s="638" t="s">
        <v>97</v>
      </c>
      <c r="B7" s="639" t="s">
        <v>98</v>
      </c>
      <c r="C7" s="639" t="s">
        <v>99</v>
      </c>
      <c r="D7" s="639" t="s">
        <v>100</v>
      </c>
      <c r="E7" s="639" t="s">
        <v>101</v>
      </c>
      <c r="F7" s="639" t="s">
        <v>498</v>
      </c>
      <c r="G7" s="639" t="s">
        <v>499</v>
      </c>
      <c r="H7" s="640" t="s">
        <v>709</v>
      </c>
    </row>
    <row r="8" spans="1:8" ht="24.75" customHeight="1">
      <c r="A8" s="638" t="s">
        <v>119</v>
      </c>
      <c r="B8" s="642" t="s">
        <v>710</v>
      </c>
      <c r="C8" s="643"/>
      <c r="D8" s="643"/>
      <c r="E8" s="644">
        <v>0</v>
      </c>
      <c r="F8" s="644">
        <v>0</v>
      </c>
      <c r="G8" s="644">
        <v>0</v>
      </c>
      <c r="H8" s="645">
        <v>0</v>
      </c>
    </row>
    <row r="9" spans="1:9" ht="25.5" customHeight="1">
      <c r="A9" s="638" t="s">
        <v>120</v>
      </c>
      <c r="B9" s="642" t="s">
        <v>711</v>
      </c>
      <c r="C9" s="646"/>
      <c r="D9" s="646"/>
      <c r="E9" s="644">
        <v>0</v>
      </c>
      <c r="F9" s="644">
        <v>0</v>
      </c>
      <c r="G9" s="644">
        <v>0</v>
      </c>
      <c r="H9" s="645">
        <v>0</v>
      </c>
      <c r="I9" s="806"/>
    </row>
    <row r="10" spans="1:9" ht="19.5" customHeight="1">
      <c r="A10" s="638" t="s">
        <v>121</v>
      </c>
      <c r="B10" s="642" t="s">
        <v>712</v>
      </c>
      <c r="C10" s="647" t="s">
        <v>507</v>
      </c>
      <c r="D10" s="647">
        <v>0</v>
      </c>
      <c r="E10" s="648">
        <f>+E11</f>
        <v>25239061</v>
      </c>
      <c r="F10" s="648">
        <f>+F11</f>
        <v>0</v>
      </c>
      <c r="G10" s="648">
        <f>+G11</f>
        <v>0</v>
      </c>
      <c r="H10" s="649">
        <f>SUM(E10:G10)</f>
        <v>25239061</v>
      </c>
      <c r="I10" s="806"/>
    </row>
    <row r="11" spans="1:9" ht="19.5" customHeight="1">
      <c r="A11" s="638" t="s">
        <v>122</v>
      </c>
      <c r="B11" s="650" t="s">
        <v>713</v>
      </c>
      <c r="C11" s="646"/>
      <c r="D11" s="646"/>
      <c r="E11" s="651">
        <v>25239061</v>
      </c>
      <c r="F11" s="651">
        <v>0</v>
      </c>
      <c r="G11" s="651">
        <v>0</v>
      </c>
      <c r="H11" s="645">
        <f>SUM(E11:G11)</f>
        <v>25239061</v>
      </c>
      <c r="I11" s="806"/>
    </row>
    <row r="12" spans="1:9" ht="19.5" customHeight="1">
      <c r="A12" s="638" t="s">
        <v>123</v>
      </c>
      <c r="B12" s="642" t="s">
        <v>714</v>
      </c>
      <c r="C12" s="647" t="s">
        <v>507</v>
      </c>
      <c r="D12" s="647">
        <v>0</v>
      </c>
      <c r="E12" s="648">
        <f>+E13</f>
        <v>12307625</v>
      </c>
      <c r="F12" s="648">
        <f>+F13</f>
        <v>0</v>
      </c>
      <c r="G12" s="648">
        <f>+G13</f>
        <v>0</v>
      </c>
      <c r="H12" s="649">
        <f>SUM(E12:G12)</f>
        <v>12307625</v>
      </c>
      <c r="I12" s="806"/>
    </row>
    <row r="13" spans="1:9" ht="19.5" customHeight="1">
      <c r="A13" s="638" t="s">
        <v>124</v>
      </c>
      <c r="B13" s="650" t="s">
        <v>715</v>
      </c>
      <c r="C13" s="646"/>
      <c r="D13" s="646"/>
      <c r="E13" s="651">
        <v>12307625</v>
      </c>
      <c r="F13" s="651">
        <v>0</v>
      </c>
      <c r="G13" s="651">
        <v>0</v>
      </c>
      <c r="H13" s="645">
        <f>SUM(E13:G13)</f>
        <v>12307625</v>
      </c>
      <c r="I13" s="806"/>
    </row>
    <row r="14" spans="1:9" ht="19.5" customHeight="1">
      <c r="A14" s="638" t="s">
        <v>125</v>
      </c>
      <c r="B14" s="652" t="s">
        <v>716</v>
      </c>
      <c r="C14" s="647"/>
      <c r="D14" s="647"/>
      <c r="E14" s="648">
        <f>+E16+E15</f>
        <v>4830757</v>
      </c>
      <c r="F14" s="648">
        <f>+F16+F15</f>
        <v>4589108</v>
      </c>
      <c r="G14" s="648">
        <f>+G16+G15</f>
        <v>1200000</v>
      </c>
      <c r="H14" s="649">
        <f>H15+H16</f>
        <v>10619865</v>
      </c>
      <c r="I14" s="806"/>
    </row>
    <row r="15" spans="1:9" ht="19.5" customHeight="1">
      <c r="A15" s="638" t="s">
        <v>126</v>
      </c>
      <c r="B15" s="652" t="s">
        <v>717</v>
      </c>
      <c r="C15" s="653" t="s">
        <v>718</v>
      </c>
      <c r="D15" s="653">
        <f>540000+640000</f>
        <v>1180000</v>
      </c>
      <c r="E15" s="654">
        <v>720000</v>
      </c>
      <c r="F15" s="654">
        <v>800000</v>
      </c>
      <c r="G15" s="654">
        <v>1200000</v>
      </c>
      <c r="H15" s="655">
        <f>SUM(E15:G15)</f>
        <v>2720000</v>
      </c>
      <c r="I15" s="806"/>
    </row>
    <row r="16" spans="1:9" ht="19.5" customHeight="1">
      <c r="A16" s="638" t="s">
        <v>127</v>
      </c>
      <c r="B16" s="650" t="s">
        <v>719</v>
      </c>
      <c r="C16" s="646" t="s">
        <v>507</v>
      </c>
      <c r="D16" s="646">
        <v>0</v>
      </c>
      <c r="E16" s="651">
        <v>4110757</v>
      </c>
      <c r="F16" s="651">
        <v>3789108</v>
      </c>
      <c r="G16" s="651">
        <v>0</v>
      </c>
      <c r="H16" s="645">
        <f>SUM(E16:G16)</f>
        <v>7899865</v>
      </c>
      <c r="I16" s="806"/>
    </row>
    <row r="17" spans="1:9" s="659" customFormat="1" ht="19.5" customHeight="1" thickBot="1">
      <c r="A17" s="807" t="s">
        <v>720</v>
      </c>
      <c r="B17" s="808"/>
      <c r="C17" s="656"/>
      <c r="D17" s="656"/>
      <c r="E17" s="657">
        <f>+E8+E9+E10+E12+E14</f>
        <v>42377443</v>
      </c>
      <c r="F17" s="657">
        <f>+F8+F9+F10+F12+F14</f>
        <v>4589108</v>
      </c>
      <c r="G17" s="657">
        <f>+G8+G9+G10+G12+G14</f>
        <v>1200000</v>
      </c>
      <c r="H17" s="658">
        <f>+H8+H9+H10+H12+H14</f>
        <v>48166551</v>
      </c>
      <c r="I17" s="806"/>
    </row>
  </sheetData>
  <sheetProtection/>
  <mergeCells count="11">
    <mergeCell ref="C5:C6"/>
    <mergeCell ref="D5:D6"/>
    <mergeCell ref="E5:G5"/>
    <mergeCell ref="H5:H6"/>
    <mergeCell ref="I9:I17"/>
    <mergeCell ref="A17:B17"/>
    <mergeCell ref="A2:H2"/>
    <mergeCell ref="G3:H3"/>
    <mergeCell ref="G4:H4"/>
    <mergeCell ref="A5:A6"/>
    <mergeCell ref="B5:B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zoomScalePageLayoutView="0" workbookViewId="0" topLeftCell="A1">
      <selection activeCell="B2" sqref="B2:E2"/>
    </sheetView>
  </sheetViews>
  <sheetFormatPr defaultColWidth="8.00390625" defaultRowHeight="12.75"/>
  <cols>
    <col min="1" max="1" width="4.8515625" style="664" customWidth="1"/>
    <col min="2" max="2" width="30.57421875" style="664" customWidth="1"/>
    <col min="3" max="3" width="11.140625" style="664" customWidth="1"/>
    <col min="4" max="5" width="12.00390625" style="664" customWidth="1"/>
    <col min="6" max="6" width="12.57421875" style="664" customWidth="1"/>
    <col min="7" max="7" width="14.8515625" style="664" customWidth="1"/>
    <col min="8" max="16384" width="8.00390625" style="664" customWidth="1"/>
  </cols>
  <sheetData>
    <row r="1" spans="1:7" s="660" customFormat="1" ht="48.75" customHeight="1">
      <c r="A1" s="816" t="s">
        <v>721</v>
      </c>
      <c r="B1" s="816"/>
      <c r="C1" s="816"/>
      <c r="D1" s="816"/>
      <c r="E1" s="816"/>
      <c r="F1" s="816"/>
      <c r="G1" s="816"/>
    </row>
    <row r="2" spans="1:10" s="270" customFormat="1" ht="15.75" customHeight="1">
      <c r="A2" s="729" t="s">
        <v>805</v>
      </c>
      <c r="B2" s="798"/>
      <c r="C2" s="822"/>
      <c r="D2" s="822"/>
      <c r="E2" s="822"/>
      <c r="F2" s="810" t="s">
        <v>722</v>
      </c>
      <c r="G2" s="810"/>
      <c r="H2" s="632"/>
      <c r="J2" s="633"/>
    </row>
    <row r="3" spans="1:10" s="271" customFormat="1" ht="15.75" customHeight="1">
      <c r="A3" s="729" t="s">
        <v>806</v>
      </c>
      <c r="B3" s="273"/>
      <c r="C3" s="273"/>
      <c r="D3" s="274"/>
      <c r="E3" s="309"/>
      <c r="F3" s="817" t="s">
        <v>542</v>
      </c>
      <c r="G3" s="817"/>
      <c r="H3" s="661"/>
      <c r="J3" s="309"/>
    </row>
    <row r="4" spans="1:8" ht="15.75" customHeight="1">
      <c r="A4" s="818" t="s">
        <v>723</v>
      </c>
      <c r="B4" s="818"/>
      <c r="C4" s="818"/>
      <c r="D4" s="818"/>
      <c r="E4" s="818"/>
      <c r="F4" s="818"/>
      <c r="G4" s="662"/>
      <c r="H4" s="663"/>
    </row>
    <row r="5" spans="1:8" ht="15.75" customHeight="1" thickBot="1">
      <c r="A5" s="665"/>
      <c r="B5" s="665"/>
      <c r="C5" s="665"/>
      <c r="D5" s="666"/>
      <c r="E5" s="666"/>
      <c r="F5" s="662"/>
      <c r="G5" s="662"/>
      <c r="H5" s="663"/>
    </row>
    <row r="6" spans="1:8" ht="22.5" customHeight="1">
      <c r="A6" s="667" t="s">
        <v>584</v>
      </c>
      <c r="B6" s="819" t="s">
        <v>724</v>
      </c>
      <c r="C6" s="819"/>
      <c r="D6" s="819"/>
      <c r="E6" s="819"/>
      <c r="F6" s="820" t="s">
        <v>725</v>
      </c>
      <c r="G6" s="821"/>
      <c r="H6" s="663"/>
    </row>
    <row r="7" spans="1:8" ht="15.75" customHeight="1">
      <c r="A7" s="668" t="s">
        <v>97</v>
      </c>
      <c r="B7" s="823" t="s">
        <v>98</v>
      </c>
      <c r="C7" s="823"/>
      <c r="D7" s="823"/>
      <c r="E7" s="823"/>
      <c r="F7" s="823" t="s">
        <v>99</v>
      </c>
      <c r="G7" s="824"/>
      <c r="H7" s="663"/>
    </row>
    <row r="8" spans="1:8" ht="15.75" customHeight="1">
      <c r="A8" s="668" t="s">
        <v>119</v>
      </c>
      <c r="B8" s="825"/>
      <c r="C8" s="825"/>
      <c r="D8" s="825"/>
      <c r="E8" s="825"/>
      <c r="F8" s="826"/>
      <c r="G8" s="827"/>
      <c r="H8" s="663"/>
    </row>
    <row r="9" spans="1:8" ht="15.75" customHeight="1">
      <c r="A9" s="668" t="s">
        <v>120</v>
      </c>
      <c r="B9" s="825"/>
      <c r="C9" s="825"/>
      <c r="D9" s="825"/>
      <c r="E9" s="825"/>
      <c r="F9" s="826"/>
      <c r="G9" s="827"/>
      <c r="H9" s="663"/>
    </row>
    <row r="10" spans="1:8" ht="15.75" customHeight="1">
      <c r="A10" s="668" t="s">
        <v>121</v>
      </c>
      <c r="B10" s="825"/>
      <c r="C10" s="825"/>
      <c r="D10" s="825"/>
      <c r="E10" s="825"/>
      <c r="F10" s="826"/>
      <c r="G10" s="827"/>
      <c r="H10" s="663"/>
    </row>
    <row r="11" spans="1:8" ht="25.5" customHeight="1" thickBot="1">
      <c r="A11" s="669" t="s">
        <v>122</v>
      </c>
      <c r="B11" s="828" t="s">
        <v>726</v>
      </c>
      <c r="C11" s="828"/>
      <c r="D11" s="828"/>
      <c r="E11" s="828"/>
      <c r="F11" s="829">
        <f>SUM(F8:F10)</f>
        <v>0</v>
      </c>
      <c r="G11" s="830"/>
      <c r="H11" s="663"/>
    </row>
    <row r="12" spans="1:8" ht="25.5" customHeight="1">
      <c r="A12" s="670"/>
      <c r="B12" s="671"/>
      <c r="C12" s="671"/>
      <c r="D12" s="671"/>
      <c r="E12" s="671"/>
      <c r="F12" s="672"/>
      <c r="G12" s="672"/>
      <c r="H12" s="663"/>
    </row>
    <row r="13" spans="1:8" ht="15.75" customHeight="1">
      <c r="A13" s="818" t="s">
        <v>727</v>
      </c>
      <c r="B13" s="818"/>
      <c r="C13" s="818"/>
      <c r="D13" s="818"/>
      <c r="E13" s="818"/>
      <c r="F13" s="818"/>
      <c r="G13" s="818"/>
      <c r="H13" s="663"/>
    </row>
    <row r="14" spans="1:8" ht="15.75" customHeight="1" thickBot="1">
      <c r="A14" s="665"/>
      <c r="B14" s="665"/>
      <c r="C14" s="665"/>
      <c r="D14" s="666"/>
      <c r="E14" s="666"/>
      <c r="F14" s="662"/>
      <c r="G14" s="662"/>
      <c r="H14" s="663"/>
    </row>
    <row r="15" spans="1:7" ht="15" customHeight="1">
      <c r="A15" s="831" t="s">
        <v>584</v>
      </c>
      <c r="B15" s="833" t="s">
        <v>728</v>
      </c>
      <c r="C15" s="835" t="s">
        <v>729</v>
      </c>
      <c r="D15" s="836"/>
      <c r="E15" s="836"/>
      <c r="F15" s="837"/>
      <c r="G15" s="838" t="s">
        <v>730</v>
      </c>
    </row>
    <row r="16" spans="1:7" ht="13.5" customHeight="1" thickBot="1">
      <c r="A16" s="832"/>
      <c r="B16" s="834"/>
      <c r="C16" s="673" t="s">
        <v>731</v>
      </c>
      <c r="D16" s="674" t="s">
        <v>707</v>
      </c>
      <c r="E16" s="674" t="s">
        <v>708</v>
      </c>
      <c r="F16" s="674" t="s">
        <v>732</v>
      </c>
      <c r="G16" s="839"/>
    </row>
    <row r="17" spans="1:7" ht="15.75" thickBot="1">
      <c r="A17" s="675" t="s">
        <v>97</v>
      </c>
      <c r="B17" s="676" t="s">
        <v>98</v>
      </c>
      <c r="C17" s="676" t="s">
        <v>99</v>
      </c>
      <c r="D17" s="676" t="s">
        <v>100</v>
      </c>
      <c r="E17" s="676" t="s">
        <v>101</v>
      </c>
      <c r="F17" s="676" t="s">
        <v>498</v>
      </c>
      <c r="G17" s="677" t="s">
        <v>499</v>
      </c>
    </row>
    <row r="18" spans="1:7" ht="15">
      <c r="A18" s="678" t="s">
        <v>119</v>
      </c>
      <c r="B18" s="679"/>
      <c r="C18" s="679"/>
      <c r="D18" s="680"/>
      <c r="E18" s="680"/>
      <c r="F18" s="680"/>
      <c r="G18" s="681">
        <f>SUM(D18:F18)</f>
        <v>0</v>
      </c>
    </row>
    <row r="19" spans="1:7" ht="15">
      <c r="A19" s="682" t="s">
        <v>120</v>
      </c>
      <c r="B19" s="683"/>
      <c r="C19" s="683"/>
      <c r="D19" s="684"/>
      <c r="E19" s="684"/>
      <c r="F19" s="684"/>
      <c r="G19" s="685">
        <f>SUM(D19:F19)</f>
        <v>0</v>
      </c>
    </row>
    <row r="20" spans="1:7" ht="15.75" thickBot="1">
      <c r="A20" s="682" t="s">
        <v>121</v>
      </c>
      <c r="B20" s="683"/>
      <c r="C20" s="683"/>
      <c r="D20" s="684"/>
      <c r="E20" s="684"/>
      <c r="F20" s="684"/>
      <c r="G20" s="685">
        <f>SUM(D20:F20)</f>
        <v>0</v>
      </c>
    </row>
    <row r="21" spans="1:7" s="690" customFormat="1" ht="15" thickBot="1">
      <c r="A21" s="686" t="s">
        <v>122</v>
      </c>
      <c r="B21" s="687" t="s">
        <v>733</v>
      </c>
      <c r="C21" s="687"/>
      <c r="D21" s="688">
        <f>SUM(D18:D20)</f>
        <v>0</v>
      </c>
      <c r="E21" s="688">
        <f>SUM(E18:E20)</f>
        <v>0</v>
      </c>
      <c r="F21" s="688">
        <f>SUM(F18:F20)</f>
        <v>0</v>
      </c>
      <c r="G21" s="689">
        <f>SUM(G18:G20)</f>
        <v>0</v>
      </c>
    </row>
    <row r="22" spans="1:7" s="690" customFormat="1" ht="14.25">
      <c r="A22" s="691"/>
      <c r="B22" s="692"/>
      <c r="C22" s="692"/>
      <c r="D22" s="693"/>
      <c r="E22" s="693"/>
      <c r="F22" s="693"/>
      <c r="G22" s="693"/>
    </row>
    <row r="23" spans="1:7" s="694" customFormat="1" ht="30.75" customHeight="1">
      <c r="A23" s="845" t="s">
        <v>734</v>
      </c>
      <c r="B23" s="845"/>
      <c r="C23" s="845"/>
      <c r="D23" s="845"/>
      <c r="E23" s="845"/>
      <c r="F23" s="845"/>
      <c r="G23" s="845"/>
    </row>
    <row r="24" ht="15.75" thickBot="1"/>
    <row r="25" spans="1:7" ht="21.75" thickBot="1">
      <c r="A25" s="695" t="s">
        <v>584</v>
      </c>
      <c r="B25" s="846" t="s">
        <v>735</v>
      </c>
      <c r="C25" s="846"/>
      <c r="D25" s="847"/>
      <c r="E25" s="847"/>
      <c r="F25" s="847"/>
      <c r="G25" s="695" t="s">
        <v>736</v>
      </c>
    </row>
    <row r="26" spans="1:7" ht="15">
      <c r="A26" s="696" t="s">
        <v>97</v>
      </c>
      <c r="B26" s="848" t="s">
        <v>98</v>
      </c>
      <c r="C26" s="848"/>
      <c r="D26" s="849"/>
      <c r="E26" s="849"/>
      <c r="F26" s="850"/>
      <c r="G26" s="696" t="s">
        <v>99</v>
      </c>
    </row>
    <row r="27" spans="1:7" ht="15">
      <c r="A27" s="697" t="s">
        <v>119</v>
      </c>
      <c r="B27" s="851" t="s">
        <v>737</v>
      </c>
      <c r="C27" s="852"/>
      <c r="D27" s="852"/>
      <c r="E27" s="852"/>
      <c r="F27" s="853"/>
      <c r="G27" s="698">
        <v>80997116</v>
      </c>
    </row>
    <row r="28" spans="1:7" ht="23.25" customHeight="1">
      <c r="A28" s="697" t="s">
        <v>120</v>
      </c>
      <c r="B28" s="840" t="s">
        <v>738</v>
      </c>
      <c r="C28" s="840"/>
      <c r="D28" s="841"/>
      <c r="E28" s="841"/>
      <c r="F28" s="842"/>
      <c r="G28" s="698">
        <f>5826000+2908000</f>
        <v>8734000</v>
      </c>
    </row>
    <row r="29" spans="1:7" ht="15">
      <c r="A29" s="697" t="s">
        <v>121</v>
      </c>
      <c r="B29" s="840" t="s">
        <v>739</v>
      </c>
      <c r="C29" s="840"/>
      <c r="D29" s="841"/>
      <c r="E29" s="841"/>
      <c r="F29" s="842"/>
      <c r="G29" s="698">
        <v>0</v>
      </c>
    </row>
    <row r="30" spans="1:7" ht="30" customHeight="1">
      <c r="A30" s="697" t="s">
        <v>122</v>
      </c>
      <c r="B30" s="840" t="s">
        <v>740</v>
      </c>
      <c r="C30" s="840"/>
      <c r="D30" s="841"/>
      <c r="E30" s="841"/>
      <c r="F30" s="842"/>
      <c r="G30" s="698">
        <v>0</v>
      </c>
    </row>
    <row r="31" spans="1:7" ht="15">
      <c r="A31" s="697" t="s">
        <v>123</v>
      </c>
      <c r="B31" s="840" t="s">
        <v>741</v>
      </c>
      <c r="C31" s="840"/>
      <c r="D31" s="841"/>
      <c r="E31" s="841"/>
      <c r="F31" s="842"/>
      <c r="G31" s="698">
        <v>60000</v>
      </c>
    </row>
    <row r="32" spans="1:7" ht="17.25" customHeight="1" thickBot="1">
      <c r="A32" s="699" t="s">
        <v>124</v>
      </c>
      <c r="B32" s="843" t="s">
        <v>742</v>
      </c>
      <c r="C32" s="843"/>
      <c r="D32" s="843"/>
      <c r="E32" s="843"/>
      <c r="F32" s="843"/>
      <c r="G32" s="698">
        <v>0</v>
      </c>
    </row>
    <row r="33" spans="1:7" ht="29.25" customHeight="1" thickBot="1">
      <c r="A33" s="700" t="s">
        <v>743</v>
      </c>
      <c r="B33" s="701"/>
      <c r="C33" s="702"/>
      <c r="D33" s="702"/>
      <c r="E33" s="702"/>
      <c r="F33" s="702"/>
      <c r="G33" s="703">
        <f>SUM(G27:G32)</f>
        <v>89791116</v>
      </c>
    </row>
    <row r="34" spans="1:6" ht="27" customHeight="1">
      <c r="A34" s="844" t="s">
        <v>744</v>
      </c>
      <c r="B34" s="844"/>
      <c r="C34" s="844"/>
      <c r="D34" s="844"/>
      <c r="E34" s="844"/>
      <c r="F34" s="844"/>
    </row>
  </sheetData>
  <sheetProtection/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F2:G2"/>
    <mergeCell ref="F3:G3"/>
    <mergeCell ref="A4:F4"/>
    <mergeCell ref="B6:E6"/>
    <mergeCell ref="F6:G6"/>
    <mergeCell ref="B2:E2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8" width="16.7109375" style="0" hidden="1" customWidth="1"/>
    <col min="9" max="11" width="16.7109375" style="0" customWidth="1"/>
  </cols>
  <sheetData>
    <row r="1" spans="1:11" ht="30" customHeight="1">
      <c r="A1" s="754" t="s">
        <v>198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</row>
    <row r="2" spans="1:11" ht="18" customHeight="1">
      <c r="A2" s="755" t="s">
        <v>507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ht="17.25" customHeight="1">
      <c r="A3" s="729" t="s">
        <v>779</v>
      </c>
      <c r="B3" s="27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6.5" thickBot="1">
      <c r="A4" s="729" t="s">
        <v>780</v>
      </c>
      <c r="B4" s="28"/>
      <c r="C4" s="421"/>
      <c r="D4" s="421"/>
      <c r="E4" s="421"/>
      <c r="F4" s="421"/>
      <c r="G4" s="421"/>
      <c r="H4" s="421"/>
      <c r="I4" s="421"/>
      <c r="J4" s="421"/>
      <c r="K4" s="421" t="s">
        <v>509</v>
      </c>
    </row>
    <row r="5" spans="1:11" ht="44.25" customHeight="1" thickBot="1" thickTop="1">
      <c r="A5" s="72" t="s">
        <v>0</v>
      </c>
      <c r="B5" s="53" t="s">
        <v>1</v>
      </c>
      <c r="C5" s="54" t="s">
        <v>508</v>
      </c>
      <c r="D5" s="54" t="s">
        <v>558</v>
      </c>
      <c r="E5" s="54" t="s">
        <v>559</v>
      </c>
      <c r="F5" s="54" t="s">
        <v>573</v>
      </c>
      <c r="G5" s="54" t="s">
        <v>574</v>
      </c>
      <c r="H5" s="54" t="s">
        <v>617</v>
      </c>
      <c r="I5" s="54" t="s">
        <v>616</v>
      </c>
      <c r="J5" s="516" t="s">
        <v>624</v>
      </c>
      <c r="K5" s="54" t="s">
        <v>625</v>
      </c>
    </row>
    <row r="6" spans="1:11" ht="12.75" customHeight="1" thickTop="1">
      <c r="A6" s="83" t="s">
        <v>97</v>
      </c>
      <c r="B6" s="84" t="s">
        <v>98</v>
      </c>
      <c r="C6" s="84" t="s">
        <v>99</v>
      </c>
      <c r="D6" s="84" t="s">
        <v>100</v>
      </c>
      <c r="E6" s="84" t="s">
        <v>100</v>
      </c>
      <c r="F6" s="84" t="s">
        <v>101</v>
      </c>
      <c r="G6" s="84" t="s">
        <v>100</v>
      </c>
      <c r="H6" s="84" t="s">
        <v>101</v>
      </c>
      <c r="I6" s="84" t="s">
        <v>100</v>
      </c>
      <c r="J6" s="517" t="s">
        <v>101</v>
      </c>
      <c r="K6" s="84" t="s">
        <v>498</v>
      </c>
    </row>
    <row r="7" spans="1:11" ht="21.75" customHeight="1">
      <c r="A7" s="51" t="s">
        <v>2</v>
      </c>
      <c r="B7" s="52" t="s">
        <v>3</v>
      </c>
      <c r="C7" s="68">
        <f aca="true" t="shared" si="0" ref="C7:I7">C8+C15</f>
        <v>160777558</v>
      </c>
      <c r="D7" s="68">
        <f t="shared" si="0"/>
        <v>142500</v>
      </c>
      <c r="E7" s="68">
        <f t="shared" si="0"/>
        <v>160920058</v>
      </c>
      <c r="F7" s="68">
        <f t="shared" si="0"/>
        <v>1641820</v>
      </c>
      <c r="G7" s="68">
        <f t="shared" si="0"/>
        <v>162561878</v>
      </c>
      <c r="H7" s="68">
        <f t="shared" si="0"/>
        <v>1823145</v>
      </c>
      <c r="I7" s="68">
        <f t="shared" si="0"/>
        <v>164385023</v>
      </c>
      <c r="J7" s="518">
        <f>J8+J15</f>
        <v>817521</v>
      </c>
      <c r="K7" s="68">
        <f>K8+K15</f>
        <v>165202544</v>
      </c>
    </row>
    <row r="8" spans="1:11" s="720" customFormat="1" ht="21.75" customHeight="1">
      <c r="A8" s="42" t="s">
        <v>4</v>
      </c>
      <c r="B8" s="43" t="s">
        <v>5</v>
      </c>
      <c r="C8" s="63">
        <f aca="true" t="shared" si="1" ref="C8:I8">SUM(C9:C14)</f>
        <v>120646534</v>
      </c>
      <c r="D8" s="63">
        <f t="shared" si="1"/>
        <v>0</v>
      </c>
      <c r="E8" s="63">
        <f t="shared" si="1"/>
        <v>120646534</v>
      </c>
      <c r="F8" s="63">
        <f t="shared" si="1"/>
        <v>273320</v>
      </c>
      <c r="G8" s="63">
        <f t="shared" si="1"/>
        <v>120919854</v>
      </c>
      <c r="H8" s="63">
        <f t="shared" si="1"/>
        <v>835660</v>
      </c>
      <c r="I8" s="63">
        <f t="shared" si="1"/>
        <v>121755514</v>
      </c>
      <c r="J8" s="519">
        <f>SUM(J9:J14)</f>
        <v>-1058947</v>
      </c>
      <c r="K8" s="63">
        <f>SUM(K9:K14)</f>
        <v>120696567</v>
      </c>
    </row>
    <row r="9" spans="1:11" s="720" customFormat="1" ht="21.75" customHeight="1" hidden="1">
      <c r="A9" s="42" t="s">
        <v>136</v>
      </c>
      <c r="B9" s="43" t="s">
        <v>6</v>
      </c>
      <c r="C9" s="63">
        <v>44775423</v>
      </c>
      <c r="D9" s="63">
        <v>0</v>
      </c>
      <c r="E9" s="63">
        <f aca="true" t="shared" si="2" ref="E9:E14">C9+D9</f>
        <v>44775423</v>
      </c>
      <c r="F9" s="63">
        <v>0</v>
      </c>
      <c r="G9" s="63">
        <f aca="true" t="shared" si="3" ref="G9:G14">E9+F9</f>
        <v>44775423</v>
      </c>
      <c r="H9" s="63">
        <v>0</v>
      </c>
      <c r="I9" s="63">
        <f aca="true" t="shared" si="4" ref="I9:I14">G9+H9</f>
        <v>44775423</v>
      </c>
      <c r="J9" s="519">
        <v>0</v>
      </c>
      <c r="K9" s="63">
        <f aca="true" t="shared" si="5" ref="K9:K16">I9+J9</f>
        <v>44775423</v>
      </c>
    </row>
    <row r="10" spans="1:11" s="720" customFormat="1" ht="21.75" customHeight="1" hidden="1">
      <c r="A10" s="42" t="s">
        <v>137</v>
      </c>
      <c r="B10" s="43" t="s">
        <v>7</v>
      </c>
      <c r="C10" s="63">
        <v>45313000</v>
      </c>
      <c r="D10" s="63">
        <v>0</v>
      </c>
      <c r="E10" s="63">
        <f t="shared" si="2"/>
        <v>45313000</v>
      </c>
      <c r="F10" s="63">
        <v>0</v>
      </c>
      <c r="G10" s="63">
        <f t="shared" si="3"/>
        <v>45313000</v>
      </c>
      <c r="H10" s="63">
        <v>0</v>
      </c>
      <c r="I10" s="63">
        <f t="shared" si="4"/>
        <v>45313000</v>
      </c>
      <c r="J10" s="519">
        <v>-1025667</v>
      </c>
      <c r="K10" s="63">
        <f t="shared" si="5"/>
        <v>44287333</v>
      </c>
    </row>
    <row r="11" spans="1:11" s="720" customFormat="1" ht="21.75" customHeight="1" hidden="1">
      <c r="A11" s="42" t="s">
        <v>138</v>
      </c>
      <c r="B11" s="43" t="s">
        <v>8</v>
      </c>
      <c r="C11" s="63">
        <v>26868276</v>
      </c>
      <c r="D11" s="63">
        <v>0</v>
      </c>
      <c r="E11" s="63">
        <f t="shared" si="2"/>
        <v>26868276</v>
      </c>
      <c r="F11" s="63">
        <v>0</v>
      </c>
      <c r="G11" s="63">
        <f t="shared" si="3"/>
        <v>26868276</v>
      </c>
      <c r="H11" s="63">
        <v>0</v>
      </c>
      <c r="I11" s="63">
        <f t="shared" si="4"/>
        <v>26868276</v>
      </c>
      <c r="J11" s="519">
        <v>98673</v>
      </c>
      <c r="K11" s="63">
        <f t="shared" si="5"/>
        <v>26966949</v>
      </c>
    </row>
    <row r="12" spans="1:11" s="720" customFormat="1" ht="21.75" customHeight="1" hidden="1">
      <c r="A12" s="42" t="s">
        <v>139</v>
      </c>
      <c r="B12" s="43" t="s">
        <v>9</v>
      </c>
      <c r="C12" s="63">
        <v>1200000</v>
      </c>
      <c r="D12" s="63">
        <v>0</v>
      </c>
      <c r="E12" s="63">
        <f t="shared" si="2"/>
        <v>1200000</v>
      </c>
      <c r="F12" s="63">
        <v>0</v>
      </c>
      <c r="G12" s="63">
        <f t="shared" si="3"/>
        <v>1200000</v>
      </c>
      <c r="H12" s="63">
        <v>0</v>
      </c>
      <c r="I12" s="63">
        <f t="shared" si="4"/>
        <v>1200000</v>
      </c>
      <c r="J12" s="519">
        <v>0</v>
      </c>
      <c r="K12" s="63">
        <f t="shared" si="5"/>
        <v>1200000</v>
      </c>
    </row>
    <row r="13" spans="1:11" s="720" customFormat="1" ht="21.75" customHeight="1" hidden="1">
      <c r="A13" s="42" t="s">
        <v>140</v>
      </c>
      <c r="B13" s="64" t="s">
        <v>511</v>
      </c>
      <c r="C13" s="65">
        <v>2489835</v>
      </c>
      <c r="D13" s="65">
        <v>0</v>
      </c>
      <c r="E13" s="63">
        <f t="shared" si="2"/>
        <v>2489835</v>
      </c>
      <c r="F13" s="65">
        <v>0</v>
      </c>
      <c r="G13" s="63">
        <f t="shared" si="3"/>
        <v>2489835</v>
      </c>
      <c r="H13" s="65">
        <v>835660</v>
      </c>
      <c r="I13" s="63">
        <f t="shared" si="4"/>
        <v>3325495</v>
      </c>
      <c r="J13" s="519">
        <v>-131953</v>
      </c>
      <c r="K13" s="63">
        <f t="shared" si="5"/>
        <v>3193542</v>
      </c>
    </row>
    <row r="14" spans="1:11" s="720" customFormat="1" ht="21.75" customHeight="1" hidden="1">
      <c r="A14" s="42" t="s">
        <v>141</v>
      </c>
      <c r="B14" s="64" t="s">
        <v>512</v>
      </c>
      <c r="C14" s="64">
        <v>0</v>
      </c>
      <c r="D14" s="64">
        <v>0</v>
      </c>
      <c r="E14" s="63">
        <f t="shared" si="2"/>
        <v>0</v>
      </c>
      <c r="F14" s="63">
        <v>273320</v>
      </c>
      <c r="G14" s="63">
        <f t="shared" si="3"/>
        <v>273320</v>
      </c>
      <c r="H14" s="63">
        <v>0</v>
      </c>
      <c r="I14" s="63">
        <f t="shared" si="4"/>
        <v>273320</v>
      </c>
      <c r="J14" s="519">
        <v>0</v>
      </c>
      <c r="K14" s="63">
        <f t="shared" si="5"/>
        <v>273320</v>
      </c>
    </row>
    <row r="15" spans="1:11" s="720" customFormat="1" ht="21.75" customHeight="1">
      <c r="A15" s="42" t="s">
        <v>10</v>
      </c>
      <c r="B15" s="43" t="s">
        <v>11</v>
      </c>
      <c r="C15" s="63">
        <v>40131024</v>
      </c>
      <c r="D15" s="63">
        <v>142500</v>
      </c>
      <c r="E15" s="63">
        <f>C15+D15</f>
        <v>40273524</v>
      </c>
      <c r="F15" s="63">
        <v>1368500</v>
      </c>
      <c r="G15" s="63">
        <f>E15+F15</f>
        <v>41642024</v>
      </c>
      <c r="H15" s="63">
        <v>987485</v>
      </c>
      <c r="I15" s="63">
        <f>G15+H15</f>
        <v>42629509</v>
      </c>
      <c r="J15" s="519">
        <v>1876468</v>
      </c>
      <c r="K15" s="63">
        <f t="shared" si="5"/>
        <v>44505977</v>
      </c>
    </row>
    <row r="16" spans="1:11" ht="21.75" customHeight="1">
      <c r="A16" s="44" t="s">
        <v>12</v>
      </c>
      <c r="B16" s="45" t="s">
        <v>13</v>
      </c>
      <c r="C16" s="62">
        <f>SUM(C18:C18)</f>
        <v>0</v>
      </c>
      <c r="D16" s="62">
        <f aca="true" t="shared" si="6" ref="D16:I16">D17</f>
        <v>3703700</v>
      </c>
      <c r="E16" s="62">
        <f t="shared" si="6"/>
        <v>3703700</v>
      </c>
      <c r="F16" s="62">
        <f t="shared" si="6"/>
        <v>-3512700</v>
      </c>
      <c r="G16" s="62">
        <f t="shared" si="6"/>
        <v>191000</v>
      </c>
      <c r="H16" s="62">
        <f t="shared" si="6"/>
        <v>0</v>
      </c>
      <c r="I16" s="62">
        <f t="shared" si="6"/>
        <v>191000</v>
      </c>
      <c r="J16" s="520">
        <v>0</v>
      </c>
      <c r="K16" s="62">
        <f t="shared" si="5"/>
        <v>191000</v>
      </c>
    </row>
    <row r="17" spans="1:11" ht="21.75" customHeight="1">
      <c r="A17" s="42" t="s">
        <v>170</v>
      </c>
      <c r="B17" s="64" t="s">
        <v>302</v>
      </c>
      <c r="C17" s="65">
        <v>0</v>
      </c>
      <c r="D17" s="65">
        <v>3703700</v>
      </c>
      <c r="E17" s="65">
        <f>D17</f>
        <v>3703700</v>
      </c>
      <c r="F17" s="65">
        <v>-3512700</v>
      </c>
      <c r="G17" s="65">
        <f>E17+F17</f>
        <v>191000</v>
      </c>
      <c r="H17" s="65">
        <v>0</v>
      </c>
      <c r="I17" s="65">
        <f>G17+H17</f>
        <v>191000</v>
      </c>
      <c r="J17" s="521">
        <v>0</v>
      </c>
      <c r="K17" s="65">
        <v>191000</v>
      </c>
    </row>
    <row r="18" spans="1:11" ht="21.75" customHeight="1" hidden="1">
      <c r="A18" s="42" t="s">
        <v>171</v>
      </c>
      <c r="B18" s="43" t="s">
        <v>200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519">
        <v>0</v>
      </c>
      <c r="K18" s="63">
        <v>0</v>
      </c>
    </row>
    <row r="19" spans="1:11" ht="21.75" customHeight="1">
      <c r="A19" s="44" t="s">
        <v>14</v>
      </c>
      <c r="B19" s="45" t="s">
        <v>15</v>
      </c>
      <c r="C19" s="62">
        <f aca="true" t="shared" si="7" ref="C19:I19">C20+C25</f>
        <v>81460000</v>
      </c>
      <c r="D19" s="62">
        <f t="shared" si="7"/>
        <v>0</v>
      </c>
      <c r="E19" s="62">
        <f t="shared" si="7"/>
        <v>81460000</v>
      </c>
      <c r="F19" s="62">
        <f t="shared" si="7"/>
        <v>3330634</v>
      </c>
      <c r="G19" s="62">
        <f t="shared" si="7"/>
        <v>84790634</v>
      </c>
      <c r="H19" s="62">
        <f t="shared" si="7"/>
        <v>0</v>
      </c>
      <c r="I19" s="62">
        <f t="shared" si="7"/>
        <v>84790634</v>
      </c>
      <c r="J19" s="520">
        <f>J20+J25</f>
        <v>-1355737</v>
      </c>
      <c r="K19" s="62">
        <f>K20+K25</f>
        <v>83434897</v>
      </c>
    </row>
    <row r="20" spans="1:11" s="82" customFormat="1" ht="23.25" customHeight="1">
      <c r="A20" s="42" t="s">
        <v>16</v>
      </c>
      <c r="B20" s="43" t="s">
        <v>17</v>
      </c>
      <c r="C20" s="63">
        <f>C21+C23+C24</f>
        <v>81400000</v>
      </c>
      <c r="D20" s="63">
        <f>D21+D23+D24</f>
        <v>0</v>
      </c>
      <c r="E20" s="63">
        <f aca="true" t="shared" si="8" ref="E20:E25">C20+D20</f>
        <v>81400000</v>
      </c>
      <c r="F20" s="63">
        <f>F21+F23+F24</f>
        <v>3330634</v>
      </c>
      <c r="G20" s="63">
        <f aca="true" t="shared" si="9" ref="G20:G25">E20+F20</f>
        <v>84730634</v>
      </c>
      <c r="H20" s="63">
        <f>H21+H23+H24</f>
        <v>0</v>
      </c>
      <c r="I20" s="63">
        <f aca="true" t="shared" si="10" ref="I20:I25">G20+H20</f>
        <v>84730634</v>
      </c>
      <c r="J20" s="519">
        <v>-1389855</v>
      </c>
      <c r="K20" s="63">
        <f aca="true" t="shared" si="11" ref="K20:K25">I20+J20</f>
        <v>83340779</v>
      </c>
    </row>
    <row r="21" spans="1:11" s="82" customFormat="1" ht="21.75" customHeight="1" hidden="1">
      <c r="A21" s="527" t="s">
        <v>18</v>
      </c>
      <c r="B21" s="528" t="s">
        <v>19</v>
      </c>
      <c r="C21" s="529">
        <f>C22</f>
        <v>79000000</v>
      </c>
      <c r="D21" s="529">
        <v>0</v>
      </c>
      <c r="E21" s="529">
        <f t="shared" si="8"/>
        <v>79000000</v>
      </c>
      <c r="F21" s="529">
        <f>F22</f>
        <v>3330634</v>
      </c>
      <c r="G21" s="529">
        <f t="shared" si="9"/>
        <v>82330634</v>
      </c>
      <c r="H21" s="529">
        <v>0</v>
      </c>
      <c r="I21" s="529">
        <f t="shared" si="10"/>
        <v>82330634</v>
      </c>
      <c r="J21" s="530">
        <f>J22</f>
        <v>-1394718</v>
      </c>
      <c r="K21" s="529">
        <f t="shared" si="11"/>
        <v>80935916</v>
      </c>
    </row>
    <row r="22" spans="1:11" s="82" customFormat="1" ht="21.75" customHeight="1" hidden="1">
      <c r="A22" s="527"/>
      <c r="B22" s="465" t="s">
        <v>593</v>
      </c>
      <c r="C22" s="467">
        <v>79000000</v>
      </c>
      <c r="D22" s="467">
        <v>0</v>
      </c>
      <c r="E22" s="467">
        <f t="shared" si="8"/>
        <v>79000000</v>
      </c>
      <c r="F22" s="467">
        <v>3330634</v>
      </c>
      <c r="G22" s="467">
        <f t="shared" si="9"/>
        <v>82330634</v>
      </c>
      <c r="H22" s="467">
        <v>0</v>
      </c>
      <c r="I22" s="467">
        <f t="shared" si="10"/>
        <v>82330634</v>
      </c>
      <c r="J22" s="522">
        <v>-1394718</v>
      </c>
      <c r="K22" s="529">
        <f t="shared" si="11"/>
        <v>80935916</v>
      </c>
    </row>
    <row r="23" spans="1:11" s="82" customFormat="1" ht="21.75" customHeight="1" hidden="1">
      <c r="A23" s="527" t="s">
        <v>20</v>
      </c>
      <c r="B23" s="528" t="s">
        <v>21</v>
      </c>
      <c r="C23" s="529">
        <v>2300000</v>
      </c>
      <c r="D23" s="529">
        <v>0</v>
      </c>
      <c r="E23" s="529">
        <f t="shared" si="8"/>
        <v>2300000</v>
      </c>
      <c r="F23" s="529">
        <v>0</v>
      </c>
      <c r="G23" s="529">
        <f t="shared" si="9"/>
        <v>2300000</v>
      </c>
      <c r="H23" s="529">
        <v>0</v>
      </c>
      <c r="I23" s="529">
        <f t="shared" si="10"/>
        <v>2300000</v>
      </c>
      <c r="J23" s="530">
        <v>104863</v>
      </c>
      <c r="K23" s="529">
        <f t="shared" si="11"/>
        <v>2404863</v>
      </c>
    </row>
    <row r="24" spans="1:11" s="82" customFormat="1" ht="21.75" customHeight="1" hidden="1">
      <c r="A24" s="527" t="s">
        <v>22</v>
      </c>
      <c r="B24" s="528" t="s">
        <v>23</v>
      </c>
      <c r="C24" s="529">
        <v>100000</v>
      </c>
      <c r="D24" s="529">
        <v>0</v>
      </c>
      <c r="E24" s="529">
        <f t="shared" si="8"/>
        <v>100000</v>
      </c>
      <c r="F24" s="529">
        <v>0</v>
      </c>
      <c r="G24" s="529">
        <f t="shared" si="9"/>
        <v>100000</v>
      </c>
      <c r="H24" s="529">
        <v>0</v>
      </c>
      <c r="I24" s="529">
        <f t="shared" si="10"/>
        <v>100000</v>
      </c>
      <c r="J24" s="530">
        <v>-38800</v>
      </c>
      <c r="K24" s="529">
        <f t="shared" si="11"/>
        <v>61200</v>
      </c>
    </row>
    <row r="25" spans="1:11" s="82" customFormat="1" ht="21.75" customHeight="1">
      <c r="A25" s="42" t="s">
        <v>24</v>
      </c>
      <c r="B25" s="43" t="s">
        <v>25</v>
      </c>
      <c r="C25" s="63">
        <v>60000</v>
      </c>
      <c r="D25" s="63">
        <v>0</v>
      </c>
      <c r="E25" s="63">
        <f t="shared" si="8"/>
        <v>60000</v>
      </c>
      <c r="F25" s="63">
        <v>0</v>
      </c>
      <c r="G25" s="63">
        <f t="shared" si="9"/>
        <v>60000</v>
      </c>
      <c r="H25" s="63">
        <v>0</v>
      </c>
      <c r="I25" s="63">
        <f t="shared" si="10"/>
        <v>60000</v>
      </c>
      <c r="J25" s="519">
        <v>34118</v>
      </c>
      <c r="K25" s="63">
        <f t="shared" si="11"/>
        <v>94118</v>
      </c>
    </row>
    <row r="26" spans="1:11" ht="21.75" customHeight="1">
      <c r="A26" s="44" t="s">
        <v>26</v>
      </c>
      <c r="B26" s="45" t="s">
        <v>27</v>
      </c>
      <c r="C26" s="62">
        <f aca="true" t="shared" si="12" ref="C26:I26">SUM(C27:C35)</f>
        <v>28888730</v>
      </c>
      <c r="D26" s="62">
        <f t="shared" si="12"/>
        <v>1250000</v>
      </c>
      <c r="E26" s="62">
        <f t="shared" si="12"/>
        <v>30138730</v>
      </c>
      <c r="F26" s="62">
        <f t="shared" si="12"/>
        <v>1865000</v>
      </c>
      <c r="G26" s="62">
        <f t="shared" si="12"/>
        <v>32003730</v>
      </c>
      <c r="H26" s="62">
        <f t="shared" si="12"/>
        <v>1048000</v>
      </c>
      <c r="I26" s="62">
        <f t="shared" si="12"/>
        <v>33051730</v>
      </c>
      <c r="J26" s="520">
        <f>SUM(J27:J35)</f>
        <v>-2520684</v>
      </c>
      <c r="K26" s="62">
        <f>SUM(K27:K35)</f>
        <v>30531046</v>
      </c>
    </row>
    <row r="27" spans="1:11" ht="21.75" customHeight="1">
      <c r="A27" s="42" t="s">
        <v>28</v>
      </c>
      <c r="B27" s="43" t="s">
        <v>131</v>
      </c>
      <c r="C27" s="63">
        <v>8710000</v>
      </c>
      <c r="D27" s="63">
        <v>50000</v>
      </c>
      <c r="E27" s="63">
        <f aca="true" t="shared" si="13" ref="E27:E35">C27+D27</f>
        <v>8760000</v>
      </c>
      <c r="F27" s="63">
        <v>200000</v>
      </c>
      <c r="G27" s="63">
        <f aca="true" t="shared" si="14" ref="G27:G35">E27+F27</f>
        <v>8960000</v>
      </c>
      <c r="H27" s="63">
        <v>0</v>
      </c>
      <c r="I27" s="63">
        <f aca="true" t="shared" si="15" ref="I27:I35">G27+H27</f>
        <v>8960000</v>
      </c>
      <c r="J27" s="519">
        <v>-781590</v>
      </c>
      <c r="K27" s="63">
        <f>I27+J27</f>
        <v>8178410</v>
      </c>
    </row>
    <row r="28" spans="1:11" ht="21.75" customHeight="1">
      <c r="A28" s="42" t="s">
        <v>303</v>
      </c>
      <c r="B28" s="43" t="s">
        <v>304</v>
      </c>
      <c r="C28" s="63">
        <v>440500</v>
      </c>
      <c r="D28" s="459">
        <v>0</v>
      </c>
      <c r="E28" s="63">
        <f t="shared" si="13"/>
        <v>440500</v>
      </c>
      <c r="F28" s="459">
        <v>50000</v>
      </c>
      <c r="G28" s="63">
        <f t="shared" si="14"/>
        <v>490500</v>
      </c>
      <c r="H28" s="459">
        <v>50000</v>
      </c>
      <c r="I28" s="63">
        <f t="shared" si="15"/>
        <v>540500</v>
      </c>
      <c r="J28" s="519">
        <v>-513</v>
      </c>
      <c r="K28" s="63">
        <f aca="true" t="shared" si="16" ref="K28:K35">I28+J28</f>
        <v>539987</v>
      </c>
    </row>
    <row r="29" spans="1:11" ht="21.75" customHeight="1">
      <c r="A29" s="42" t="s">
        <v>29</v>
      </c>
      <c r="B29" s="43" t="s">
        <v>30</v>
      </c>
      <c r="C29" s="63">
        <v>3000000</v>
      </c>
      <c r="D29" s="63">
        <v>800000</v>
      </c>
      <c r="E29" s="63">
        <f t="shared" si="13"/>
        <v>3800000</v>
      </c>
      <c r="F29" s="63">
        <v>0</v>
      </c>
      <c r="G29" s="63">
        <f t="shared" si="14"/>
        <v>3800000</v>
      </c>
      <c r="H29" s="63">
        <v>300000</v>
      </c>
      <c r="I29" s="63">
        <f t="shared" si="15"/>
        <v>4100000</v>
      </c>
      <c r="J29" s="519">
        <v>1327432</v>
      </c>
      <c r="K29" s="63">
        <f t="shared" si="16"/>
        <v>5427432</v>
      </c>
    </row>
    <row r="30" spans="1:11" ht="18.75" customHeight="1">
      <c r="A30" s="42" t="s">
        <v>31</v>
      </c>
      <c r="B30" s="43" t="s">
        <v>32</v>
      </c>
      <c r="C30" s="63">
        <v>10100000</v>
      </c>
      <c r="D30" s="63">
        <v>0</v>
      </c>
      <c r="E30" s="63">
        <f t="shared" si="13"/>
        <v>10100000</v>
      </c>
      <c r="F30" s="63">
        <v>0</v>
      </c>
      <c r="G30" s="63">
        <f t="shared" si="14"/>
        <v>10100000</v>
      </c>
      <c r="H30" s="63">
        <v>42000</v>
      </c>
      <c r="I30" s="63">
        <f t="shared" si="15"/>
        <v>10142000</v>
      </c>
      <c r="J30" s="519">
        <v>-1779048</v>
      </c>
      <c r="K30" s="63">
        <f t="shared" si="16"/>
        <v>8362952</v>
      </c>
    </row>
    <row r="31" spans="1:11" ht="24.75" customHeight="1">
      <c r="A31" s="42" t="s">
        <v>33</v>
      </c>
      <c r="B31" s="43" t="s">
        <v>34</v>
      </c>
      <c r="C31" s="63">
        <v>5516230</v>
      </c>
      <c r="D31" s="63">
        <v>0</v>
      </c>
      <c r="E31" s="63">
        <f t="shared" si="13"/>
        <v>5516230</v>
      </c>
      <c r="F31" s="63">
        <v>305000</v>
      </c>
      <c r="G31" s="63">
        <f t="shared" si="14"/>
        <v>5821230</v>
      </c>
      <c r="H31" s="63">
        <v>12000</v>
      </c>
      <c r="I31" s="63">
        <f t="shared" si="15"/>
        <v>5833230</v>
      </c>
      <c r="J31" s="519">
        <v>-910403</v>
      </c>
      <c r="K31" s="63">
        <f t="shared" si="16"/>
        <v>4922827</v>
      </c>
    </row>
    <row r="32" spans="1:11" ht="21.75" customHeight="1">
      <c r="A32" s="69" t="s">
        <v>35</v>
      </c>
      <c r="B32" s="70" t="s">
        <v>36</v>
      </c>
      <c r="C32" s="71">
        <v>722000</v>
      </c>
      <c r="D32" s="71">
        <v>0</v>
      </c>
      <c r="E32" s="63">
        <f t="shared" si="13"/>
        <v>722000</v>
      </c>
      <c r="F32" s="71">
        <v>0</v>
      </c>
      <c r="G32" s="63">
        <f t="shared" si="14"/>
        <v>722000</v>
      </c>
      <c r="H32" s="71">
        <v>0</v>
      </c>
      <c r="I32" s="63">
        <f t="shared" si="15"/>
        <v>722000</v>
      </c>
      <c r="J32" s="519">
        <v>0</v>
      </c>
      <c r="K32" s="63">
        <f t="shared" si="16"/>
        <v>722000</v>
      </c>
    </row>
    <row r="33" spans="1:11" ht="21.75" customHeight="1">
      <c r="A33" s="42" t="s">
        <v>37</v>
      </c>
      <c r="B33" s="43" t="s">
        <v>38</v>
      </c>
      <c r="C33" s="71">
        <v>300000</v>
      </c>
      <c r="D33" s="71">
        <v>0</v>
      </c>
      <c r="E33" s="63">
        <f t="shared" si="13"/>
        <v>300000</v>
      </c>
      <c r="F33" s="71">
        <v>0</v>
      </c>
      <c r="G33" s="63">
        <f t="shared" si="14"/>
        <v>300000</v>
      </c>
      <c r="H33" s="71">
        <v>0</v>
      </c>
      <c r="I33" s="63">
        <f t="shared" si="15"/>
        <v>300000</v>
      </c>
      <c r="J33" s="519">
        <v>-280919</v>
      </c>
      <c r="K33" s="63">
        <f t="shared" si="16"/>
        <v>19081</v>
      </c>
    </row>
    <row r="34" spans="1:11" ht="21.75" customHeight="1">
      <c r="A34" s="42" t="s">
        <v>39</v>
      </c>
      <c r="B34" s="43" t="s">
        <v>619</v>
      </c>
      <c r="C34" s="71">
        <v>0</v>
      </c>
      <c r="D34" s="71"/>
      <c r="E34" s="63"/>
      <c r="F34" s="71"/>
      <c r="G34" s="63">
        <v>0</v>
      </c>
      <c r="H34" s="71">
        <v>644000</v>
      </c>
      <c r="I34" s="63">
        <f t="shared" si="15"/>
        <v>644000</v>
      </c>
      <c r="J34" s="519">
        <v>0</v>
      </c>
      <c r="K34" s="63">
        <f t="shared" si="16"/>
        <v>644000</v>
      </c>
    </row>
    <row r="35" spans="1:11" ht="21.75" customHeight="1">
      <c r="A35" s="42" t="s">
        <v>618</v>
      </c>
      <c r="B35" s="43" t="s">
        <v>40</v>
      </c>
      <c r="C35" s="71">
        <v>100000</v>
      </c>
      <c r="D35" s="71">
        <v>400000</v>
      </c>
      <c r="E35" s="63">
        <f t="shared" si="13"/>
        <v>500000</v>
      </c>
      <c r="F35" s="71">
        <v>1310000</v>
      </c>
      <c r="G35" s="63">
        <f t="shared" si="14"/>
        <v>1810000</v>
      </c>
      <c r="H35" s="71">
        <v>0</v>
      </c>
      <c r="I35" s="63">
        <f t="shared" si="15"/>
        <v>1810000</v>
      </c>
      <c r="J35" s="519">
        <v>-95643</v>
      </c>
      <c r="K35" s="63">
        <f t="shared" si="16"/>
        <v>1714357</v>
      </c>
    </row>
    <row r="36" spans="1:11" ht="21.75" customHeight="1">
      <c r="A36" s="44" t="s">
        <v>41</v>
      </c>
      <c r="B36" s="45" t="s">
        <v>42</v>
      </c>
      <c r="C36" s="62">
        <f>C38</f>
        <v>0</v>
      </c>
      <c r="D36" s="62">
        <f>D38</f>
        <v>0</v>
      </c>
      <c r="E36" s="62">
        <f>E38</f>
        <v>0</v>
      </c>
      <c r="F36" s="62">
        <f aca="true" t="shared" si="17" ref="F36:K36">SUM(F37:F38)</f>
        <v>2900000</v>
      </c>
      <c r="G36" s="62">
        <f t="shared" si="17"/>
        <v>2900000</v>
      </c>
      <c r="H36" s="62">
        <f t="shared" si="17"/>
        <v>8000</v>
      </c>
      <c r="I36" s="62">
        <f t="shared" si="17"/>
        <v>2908000</v>
      </c>
      <c r="J36" s="520">
        <f t="shared" si="17"/>
        <v>0</v>
      </c>
      <c r="K36" s="62">
        <f t="shared" si="17"/>
        <v>2908000</v>
      </c>
    </row>
    <row r="37" spans="1:11" ht="21.75" customHeight="1" hidden="1">
      <c r="A37" s="42" t="s">
        <v>591</v>
      </c>
      <c r="B37" s="43" t="s">
        <v>592</v>
      </c>
      <c r="C37" s="43">
        <v>0</v>
      </c>
      <c r="D37" s="43">
        <v>0</v>
      </c>
      <c r="E37" s="43">
        <v>0</v>
      </c>
      <c r="F37" s="71">
        <v>400000</v>
      </c>
      <c r="G37" s="469">
        <f>F37</f>
        <v>400000</v>
      </c>
      <c r="H37" s="71">
        <v>8000</v>
      </c>
      <c r="I37" s="469">
        <f>G37+H37</f>
        <v>408000</v>
      </c>
      <c r="J37" s="523">
        <v>0</v>
      </c>
      <c r="K37" s="71">
        <f>I37+J37</f>
        <v>408000</v>
      </c>
    </row>
    <row r="38" spans="1:11" ht="21.75" customHeight="1" hidden="1">
      <c r="A38" s="42" t="s">
        <v>575</v>
      </c>
      <c r="B38" s="43" t="s">
        <v>576</v>
      </c>
      <c r="C38" s="43">
        <v>0</v>
      </c>
      <c r="D38" s="43">
        <v>0</v>
      </c>
      <c r="E38" s="43">
        <v>0</v>
      </c>
      <c r="F38" s="71">
        <v>2500000</v>
      </c>
      <c r="G38" s="469">
        <f>F38</f>
        <v>2500000</v>
      </c>
      <c r="H38" s="71">
        <v>0</v>
      </c>
      <c r="I38" s="469">
        <f>G38+H38</f>
        <v>2500000</v>
      </c>
      <c r="J38" s="523">
        <v>0</v>
      </c>
      <c r="K38" s="71">
        <f>I38+J38</f>
        <v>2500000</v>
      </c>
    </row>
    <row r="39" spans="1:11" ht="21.75" customHeight="1">
      <c r="A39" s="44" t="s">
        <v>43</v>
      </c>
      <c r="B39" s="45" t="s">
        <v>44</v>
      </c>
      <c r="C39" s="62">
        <f aca="true" t="shared" si="18" ref="C39:I39">SUM(C40:C41)</f>
        <v>50000</v>
      </c>
      <c r="D39" s="62">
        <f t="shared" si="18"/>
        <v>1350000</v>
      </c>
      <c r="E39" s="62">
        <f t="shared" si="18"/>
        <v>1400000</v>
      </c>
      <c r="F39" s="62">
        <f t="shared" si="18"/>
        <v>0</v>
      </c>
      <c r="G39" s="62">
        <f t="shared" si="18"/>
        <v>1400000</v>
      </c>
      <c r="H39" s="62">
        <f t="shared" si="18"/>
        <v>0</v>
      </c>
      <c r="I39" s="62">
        <f t="shared" si="18"/>
        <v>1400000</v>
      </c>
      <c r="J39" s="520">
        <f>SUM(J40:J41)</f>
        <v>0</v>
      </c>
      <c r="K39" s="62">
        <f>SUM(K40:K41)</f>
        <v>1400000</v>
      </c>
    </row>
    <row r="40" spans="1:11" ht="21.75" customHeight="1" hidden="1">
      <c r="A40" s="42" t="s">
        <v>132</v>
      </c>
      <c r="B40" s="43" t="s">
        <v>45</v>
      </c>
      <c r="C40" s="63">
        <v>50000</v>
      </c>
      <c r="D40" s="63">
        <v>1350000</v>
      </c>
      <c r="E40" s="63">
        <f>C40+D40</f>
        <v>1400000</v>
      </c>
      <c r="F40" s="63">
        <v>0</v>
      </c>
      <c r="G40" s="63">
        <f>E40+F40</f>
        <v>1400000</v>
      </c>
      <c r="H40" s="63">
        <v>0</v>
      </c>
      <c r="I40" s="63">
        <f>G40+H40</f>
        <v>1400000</v>
      </c>
      <c r="J40" s="519">
        <v>0</v>
      </c>
      <c r="K40" s="63">
        <f>I40+J40</f>
        <v>1400000</v>
      </c>
    </row>
    <row r="41" spans="1:11" ht="21.75" customHeight="1" hidden="1">
      <c r="A41" s="42" t="s">
        <v>307</v>
      </c>
      <c r="B41" s="43" t="s">
        <v>308</v>
      </c>
      <c r="C41" s="63">
        <v>0</v>
      </c>
      <c r="D41" s="63">
        <v>0</v>
      </c>
      <c r="E41" s="63">
        <f>C41+D41</f>
        <v>0</v>
      </c>
      <c r="F41" s="63">
        <v>0</v>
      </c>
      <c r="G41" s="63">
        <f>E41+F41</f>
        <v>0</v>
      </c>
      <c r="H41" s="63">
        <v>0</v>
      </c>
      <c r="I41" s="63">
        <f>G41+H41</f>
        <v>0</v>
      </c>
      <c r="J41" s="519">
        <f>H41+I41</f>
        <v>0</v>
      </c>
      <c r="K41" s="63">
        <v>0</v>
      </c>
    </row>
    <row r="42" spans="1:11" ht="21.75" customHeight="1">
      <c r="A42" s="44" t="s">
        <v>46</v>
      </c>
      <c r="B42" s="45" t="s">
        <v>201</v>
      </c>
      <c r="C42" s="45">
        <f>SUM(C43)</f>
        <v>0</v>
      </c>
      <c r="D42" s="45">
        <f>SUM(D43)</f>
        <v>0</v>
      </c>
      <c r="E42" s="45">
        <f>C42+D42</f>
        <v>0</v>
      </c>
      <c r="F42" s="45">
        <f>SUM(F43)</f>
        <v>0</v>
      </c>
      <c r="G42" s="45">
        <f>E42+F42</f>
        <v>0</v>
      </c>
      <c r="H42" s="45">
        <f>SUM(H43)</f>
        <v>0</v>
      </c>
      <c r="I42" s="45">
        <f>G42+H42</f>
        <v>0</v>
      </c>
      <c r="J42" s="524">
        <f>H42+I42</f>
        <v>0</v>
      </c>
      <c r="K42" s="45">
        <f>SUM(K43)</f>
        <v>0</v>
      </c>
    </row>
    <row r="43" spans="1:11" ht="21.75" customHeight="1" hidden="1">
      <c r="A43" s="42" t="s">
        <v>133</v>
      </c>
      <c r="B43" s="43" t="s">
        <v>134</v>
      </c>
      <c r="C43" s="43">
        <v>0</v>
      </c>
      <c r="D43" s="43">
        <v>0</v>
      </c>
      <c r="E43" s="63">
        <f>C43+D43</f>
        <v>0</v>
      </c>
      <c r="F43" s="43">
        <v>0</v>
      </c>
      <c r="G43" s="63">
        <f>E43+F43</f>
        <v>0</v>
      </c>
      <c r="H43" s="43">
        <v>0</v>
      </c>
      <c r="I43" s="63">
        <f>G43+H43</f>
        <v>0</v>
      </c>
      <c r="J43" s="519">
        <f>H43+I43</f>
        <v>0</v>
      </c>
      <c r="K43" s="43">
        <v>0</v>
      </c>
    </row>
    <row r="44" spans="1:11" ht="30" customHeight="1">
      <c r="A44" s="47" t="s">
        <v>195</v>
      </c>
      <c r="B44" s="48" t="s">
        <v>47</v>
      </c>
      <c r="C44" s="66">
        <f aca="true" t="shared" si="19" ref="C44:I44">C7+C16+C19+C26+C36+C39+C42</f>
        <v>271176288</v>
      </c>
      <c r="D44" s="66">
        <f t="shared" si="19"/>
        <v>6446200</v>
      </c>
      <c r="E44" s="66">
        <f t="shared" si="19"/>
        <v>277622488</v>
      </c>
      <c r="F44" s="66">
        <f t="shared" si="19"/>
        <v>6224754</v>
      </c>
      <c r="G44" s="66">
        <f t="shared" si="19"/>
        <v>283847242</v>
      </c>
      <c r="H44" s="66">
        <f t="shared" si="19"/>
        <v>2879145</v>
      </c>
      <c r="I44" s="66">
        <f t="shared" si="19"/>
        <v>286726387</v>
      </c>
      <c r="J44" s="525">
        <f>J7+J16+J19+J26+J36+J39+J42</f>
        <v>-3058900</v>
      </c>
      <c r="K44" s="66">
        <f>K7+K16+K19+K26+K36+K39+K42</f>
        <v>283667487</v>
      </c>
    </row>
    <row r="45" spans="1:11" ht="21.75" customHeight="1">
      <c r="A45" s="44" t="s">
        <v>48</v>
      </c>
      <c r="B45" s="45" t="s">
        <v>49</v>
      </c>
      <c r="C45" s="62">
        <f aca="true" t="shared" si="20" ref="C45:H45">SUM(C47:C47)</f>
        <v>12611164</v>
      </c>
      <c r="D45" s="62">
        <f t="shared" si="20"/>
        <v>1836</v>
      </c>
      <c r="E45" s="62">
        <f t="shared" si="20"/>
        <v>12613000</v>
      </c>
      <c r="F45" s="62">
        <f t="shared" si="20"/>
        <v>0</v>
      </c>
      <c r="G45" s="62">
        <f t="shared" si="20"/>
        <v>12613000</v>
      </c>
      <c r="H45" s="62">
        <f t="shared" si="20"/>
        <v>0</v>
      </c>
      <c r="I45" s="62">
        <f>SUM(I46:I48)</f>
        <v>12613000</v>
      </c>
      <c r="J45" s="62">
        <f>SUM(J46:J48)</f>
        <v>8789108</v>
      </c>
      <c r="K45" s="62">
        <f>SUM(K46:K48)</f>
        <v>21402108</v>
      </c>
    </row>
    <row r="46" spans="1:11" ht="21.75" customHeight="1">
      <c r="A46" s="42" t="s">
        <v>626</v>
      </c>
      <c r="B46" s="43" t="s">
        <v>627</v>
      </c>
      <c r="C46" s="63">
        <v>0</v>
      </c>
      <c r="D46" s="63">
        <v>0</v>
      </c>
      <c r="E46" s="63">
        <f>C46+D46</f>
        <v>0</v>
      </c>
      <c r="F46" s="63">
        <v>0</v>
      </c>
      <c r="G46" s="63">
        <f>E46+F46</f>
        <v>0</v>
      </c>
      <c r="H46" s="63">
        <v>0</v>
      </c>
      <c r="I46" s="63">
        <v>0</v>
      </c>
      <c r="J46" s="519">
        <v>5000000</v>
      </c>
      <c r="K46" s="63">
        <f>I46+J46</f>
        <v>5000000</v>
      </c>
    </row>
    <row r="47" spans="1:11" ht="21.75" customHeight="1">
      <c r="A47" s="42" t="s">
        <v>50</v>
      </c>
      <c r="B47" s="43" t="s">
        <v>51</v>
      </c>
      <c r="C47" s="63">
        <v>12611164</v>
      </c>
      <c r="D47" s="63">
        <v>1836</v>
      </c>
      <c r="E47" s="63">
        <f>C47+D47</f>
        <v>12613000</v>
      </c>
      <c r="F47" s="63">
        <v>0</v>
      </c>
      <c r="G47" s="63">
        <f>E47+F47</f>
        <v>12613000</v>
      </c>
      <c r="H47" s="63">
        <v>0</v>
      </c>
      <c r="I47" s="63">
        <f>G47+H47</f>
        <v>12613000</v>
      </c>
      <c r="J47" s="519">
        <v>0</v>
      </c>
      <c r="K47" s="63">
        <f>I47+J47</f>
        <v>12613000</v>
      </c>
    </row>
    <row r="48" spans="1:11" ht="21.75" customHeight="1">
      <c r="A48" s="42" t="s">
        <v>305</v>
      </c>
      <c r="B48" s="43" t="s">
        <v>306</v>
      </c>
      <c r="C48" s="63">
        <v>0</v>
      </c>
      <c r="D48" s="63">
        <v>0</v>
      </c>
      <c r="E48" s="63">
        <f>C48+D48</f>
        <v>0</v>
      </c>
      <c r="F48" s="63">
        <v>0</v>
      </c>
      <c r="G48" s="63">
        <f>E48+F48</f>
        <v>0</v>
      </c>
      <c r="H48" s="63">
        <v>0</v>
      </c>
      <c r="I48" s="63">
        <f>G48+H48</f>
        <v>0</v>
      </c>
      <c r="J48" s="519">
        <v>3789108</v>
      </c>
      <c r="K48" s="63">
        <f>I48+J48</f>
        <v>3789108</v>
      </c>
    </row>
    <row r="49" spans="1:11" s="29" customFormat="1" ht="37.5" customHeight="1" thickBot="1">
      <c r="A49" s="49" t="s">
        <v>135</v>
      </c>
      <c r="B49" s="50" t="s">
        <v>52</v>
      </c>
      <c r="C49" s="67">
        <f aca="true" t="shared" si="21" ref="C49:K49">C44+C45</f>
        <v>283787452</v>
      </c>
      <c r="D49" s="67">
        <f t="shared" si="21"/>
        <v>6448036</v>
      </c>
      <c r="E49" s="67">
        <f t="shared" si="21"/>
        <v>290235488</v>
      </c>
      <c r="F49" s="67">
        <f t="shared" si="21"/>
        <v>6224754</v>
      </c>
      <c r="G49" s="67">
        <f t="shared" si="21"/>
        <v>296460242</v>
      </c>
      <c r="H49" s="67">
        <f t="shared" si="21"/>
        <v>2879145</v>
      </c>
      <c r="I49" s="67">
        <f t="shared" si="21"/>
        <v>299339387</v>
      </c>
      <c r="J49" s="526">
        <f t="shared" si="21"/>
        <v>5730208</v>
      </c>
      <c r="K49" s="67">
        <f t="shared" si="21"/>
        <v>305069595</v>
      </c>
    </row>
    <row r="50" spans="1:11" ht="15.75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2"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2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hidden="1" customWidth="1"/>
    <col min="5" max="5" width="16.7109375" style="0" hidden="1" customWidth="1"/>
    <col min="6" max="6" width="16.421875" style="0" hidden="1" customWidth="1"/>
    <col min="7" max="7" width="16.7109375" style="0" hidden="1" customWidth="1"/>
    <col min="8" max="8" width="16.421875" style="0" hidden="1" customWidth="1"/>
    <col min="9" max="10" width="16.7109375" style="0" customWidth="1"/>
    <col min="11" max="11" width="16.421875" style="0" customWidth="1"/>
  </cols>
  <sheetData>
    <row r="1" spans="1:11" ht="30" customHeight="1">
      <c r="A1" s="754" t="s">
        <v>199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</row>
    <row r="2" spans="1:11" ht="18" customHeight="1">
      <c r="A2" s="755" t="s">
        <v>510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ht="19.5" customHeight="1">
      <c r="A3" s="729" t="s">
        <v>781</v>
      </c>
      <c r="B3" s="27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6.5" thickBot="1">
      <c r="A4" s="729" t="s">
        <v>782</v>
      </c>
      <c r="B4" s="28"/>
      <c r="C4" s="508"/>
      <c r="D4" s="508"/>
      <c r="E4" s="508"/>
      <c r="F4" s="508"/>
      <c r="G4" s="508"/>
      <c r="H4" s="508"/>
      <c r="I4" s="508"/>
      <c r="J4" s="508"/>
      <c r="K4" s="508" t="s">
        <v>509</v>
      </c>
    </row>
    <row r="5" spans="1:11" ht="38.25" customHeight="1" thickBot="1">
      <c r="A5" s="80" t="s">
        <v>0</v>
      </c>
      <c r="B5" s="81" t="s">
        <v>1</v>
      </c>
      <c r="C5" s="509" t="s">
        <v>508</v>
      </c>
      <c r="D5" s="509" t="s">
        <v>558</v>
      </c>
      <c r="E5" s="509" t="s">
        <v>559</v>
      </c>
      <c r="F5" s="509" t="s">
        <v>573</v>
      </c>
      <c r="G5" s="509" t="s">
        <v>574</v>
      </c>
      <c r="H5" s="509" t="s">
        <v>617</v>
      </c>
      <c r="I5" s="509" t="s">
        <v>616</v>
      </c>
      <c r="J5" s="531" t="s">
        <v>624</v>
      </c>
      <c r="K5" s="509" t="s">
        <v>625</v>
      </c>
    </row>
    <row r="6" spans="1:11" ht="12.75" customHeight="1" thickTop="1">
      <c r="A6" s="510" t="s">
        <v>97</v>
      </c>
      <c r="B6" s="84" t="s">
        <v>98</v>
      </c>
      <c r="C6" s="84" t="s">
        <v>99</v>
      </c>
      <c r="D6" s="84" t="s">
        <v>100</v>
      </c>
      <c r="E6" s="84" t="s">
        <v>100</v>
      </c>
      <c r="F6" s="84" t="s">
        <v>101</v>
      </c>
      <c r="G6" s="84" t="s">
        <v>100</v>
      </c>
      <c r="H6" s="84" t="s">
        <v>101</v>
      </c>
      <c r="I6" s="84" t="s">
        <v>100</v>
      </c>
      <c r="J6" s="517" t="s">
        <v>101</v>
      </c>
      <c r="K6" s="84" t="s">
        <v>498</v>
      </c>
    </row>
    <row r="7" spans="1:11" s="31" customFormat="1" ht="21.75" customHeight="1">
      <c r="A7" s="79" t="s">
        <v>53</v>
      </c>
      <c r="B7" s="52" t="s">
        <v>54</v>
      </c>
      <c r="C7" s="68">
        <f aca="true" t="shared" si="0" ref="C7:I7">C8+C16</f>
        <v>56062080</v>
      </c>
      <c r="D7" s="68">
        <f t="shared" si="0"/>
        <v>113200</v>
      </c>
      <c r="E7" s="68">
        <f t="shared" si="0"/>
        <v>56175280</v>
      </c>
      <c r="F7" s="68">
        <f t="shared" si="0"/>
        <v>1062299</v>
      </c>
      <c r="G7" s="68">
        <f t="shared" si="0"/>
        <v>57237579</v>
      </c>
      <c r="H7" s="68">
        <f t="shared" si="0"/>
        <v>550000</v>
      </c>
      <c r="I7" s="68">
        <f t="shared" si="0"/>
        <v>57787579</v>
      </c>
      <c r="J7" s="518">
        <f>J8+J16</f>
        <v>2799958</v>
      </c>
      <c r="K7" s="68">
        <f>K8+K16</f>
        <v>60587537</v>
      </c>
    </row>
    <row r="8" spans="1:11" s="30" customFormat="1" ht="21.75" customHeight="1">
      <c r="A8" s="74" t="s">
        <v>55</v>
      </c>
      <c r="B8" s="43" t="s">
        <v>56</v>
      </c>
      <c r="C8" s="63">
        <f aca="true" t="shared" si="1" ref="C8:I8">SUM(C9:C15)</f>
        <v>43982080</v>
      </c>
      <c r="D8" s="63">
        <f t="shared" si="1"/>
        <v>113200</v>
      </c>
      <c r="E8" s="63">
        <f t="shared" si="1"/>
        <v>44095280</v>
      </c>
      <c r="F8" s="63">
        <f t="shared" si="1"/>
        <v>-732901</v>
      </c>
      <c r="G8" s="63">
        <f t="shared" si="1"/>
        <v>43362379</v>
      </c>
      <c r="H8" s="63">
        <f t="shared" si="1"/>
        <v>850000</v>
      </c>
      <c r="I8" s="63">
        <f t="shared" si="1"/>
        <v>44212379</v>
      </c>
      <c r="J8" s="519">
        <f>SUM(J9:J15)</f>
        <v>2247954</v>
      </c>
      <c r="K8" s="63">
        <f>SUM(K9:K15)</f>
        <v>46460333</v>
      </c>
    </row>
    <row r="9" spans="1:11" s="30" customFormat="1" ht="22.5" customHeight="1" hidden="1">
      <c r="A9" s="74" t="s">
        <v>142</v>
      </c>
      <c r="B9" s="43" t="s">
        <v>57</v>
      </c>
      <c r="C9" s="63">
        <v>38720000</v>
      </c>
      <c r="D9" s="63">
        <v>109000</v>
      </c>
      <c r="E9" s="63">
        <f>C9+D9</f>
        <v>38829000</v>
      </c>
      <c r="F9" s="63">
        <v>-673119</v>
      </c>
      <c r="G9" s="63">
        <f>E9+F9</f>
        <v>38155881</v>
      </c>
      <c r="H9" s="63">
        <v>700000</v>
      </c>
      <c r="I9" s="63">
        <f>G9+H9</f>
        <v>38855881</v>
      </c>
      <c r="J9" s="519">
        <v>1546314</v>
      </c>
      <c r="K9" s="63">
        <f>I9+J9</f>
        <v>40402195</v>
      </c>
    </row>
    <row r="10" spans="1:11" s="30" customFormat="1" ht="22.5" customHeight="1" hidden="1">
      <c r="A10" s="74" t="s">
        <v>203</v>
      </c>
      <c r="B10" s="43" t="s">
        <v>204</v>
      </c>
      <c r="C10" s="63">
        <v>0</v>
      </c>
      <c r="D10" s="63">
        <v>0</v>
      </c>
      <c r="E10" s="63">
        <v>0</v>
      </c>
      <c r="F10" s="63">
        <v>140000</v>
      </c>
      <c r="G10" s="63">
        <f aca="true" t="shared" si="2" ref="G10:G48">E10+F10</f>
        <v>140000</v>
      </c>
      <c r="H10" s="63">
        <v>0</v>
      </c>
      <c r="I10" s="63">
        <f>G10+H10</f>
        <v>140000</v>
      </c>
      <c r="J10" s="519">
        <v>0</v>
      </c>
      <c r="K10" s="63">
        <f aca="true" t="shared" si="3" ref="K10:K15">I10+J10</f>
        <v>140000</v>
      </c>
    </row>
    <row r="11" spans="1:11" s="30" customFormat="1" ht="22.5" customHeight="1" hidden="1">
      <c r="A11" s="74" t="s">
        <v>577</v>
      </c>
      <c r="B11" s="43" t="s">
        <v>578</v>
      </c>
      <c r="C11" s="63">
        <v>400000</v>
      </c>
      <c r="D11" s="63"/>
      <c r="E11" s="63">
        <v>400000</v>
      </c>
      <c r="F11" s="63">
        <v>0</v>
      </c>
      <c r="G11" s="63">
        <f>E11</f>
        <v>400000</v>
      </c>
      <c r="H11" s="63">
        <v>0</v>
      </c>
      <c r="I11" s="63">
        <f>G11</f>
        <v>400000</v>
      </c>
      <c r="J11" s="519">
        <v>0</v>
      </c>
      <c r="K11" s="63">
        <f t="shared" si="3"/>
        <v>400000</v>
      </c>
    </row>
    <row r="12" spans="1:11" s="30" customFormat="1" ht="21.75" customHeight="1" hidden="1">
      <c r="A12" s="74" t="s">
        <v>143</v>
      </c>
      <c r="B12" s="43" t="s">
        <v>58</v>
      </c>
      <c r="C12" s="63">
        <v>2596080</v>
      </c>
      <c r="D12" s="63">
        <v>0</v>
      </c>
      <c r="E12" s="63">
        <f aca="true" t="shared" si="4" ref="E12:E68">C12+D12</f>
        <v>2596080</v>
      </c>
      <c r="F12" s="63">
        <v>-148690</v>
      </c>
      <c r="G12" s="63">
        <f t="shared" si="2"/>
        <v>2447390</v>
      </c>
      <c r="H12" s="63">
        <v>0</v>
      </c>
      <c r="I12" s="63">
        <f aca="true" t="shared" si="5" ref="I12:I35">G12+H12</f>
        <v>2447390</v>
      </c>
      <c r="J12" s="519">
        <v>584440</v>
      </c>
      <c r="K12" s="63">
        <f t="shared" si="3"/>
        <v>3031830</v>
      </c>
    </row>
    <row r="13" spans="1:11" s="30" customFormat="1" ht="21.75" customHeight="1" hidden="1">
      <c r="A13" s="74" t="s">
        <v>144</v>
      </c>
      <c r="B13" s="43" t="s">
        <v>59</v>
      </c>
      <c r="C13" s="63">
        <v>98000</v>
      </c>
      <c r="D13" s="63">
        <v>0</v>
      </c>
      <c r="E13" s="63">
        <f t="shared" si="4"/>
        <v>98000</v>
      </c>
      <c r="F13" s="63">
        <v>0</v>
      </c>
      <c r="G13" s="63">
        <f t="shared" si="2"/>
        <v>98000</v>
      </c>
      <c r="H13" s="63">
        <v>0</v>
      </c>
      <c r="I13" s="63">
        <f t="shared" si="5"/>
        <v>98000</v>
      </c>
      <c r="J13" s="519">
        <v>0</v>
      </c>
      <c r="K13" s="63">
        <f t="shared" si="3"/>
        <v>98000</v>
      </c>
    </row>
    <row r="14" spans="1:11" s="30" customFormat="1" ht="21.75" customHeight="1" hidden="1">
      <c r="A14" s="74" t="s">
        <v>145</v>
      </c>
      <c r="B14" s="43" t="s">
        <v>60</v>
      </c>
      <c r="C14" s="63">
        <v>618000</v>
      </c>
      <c r="D14" s="63">
        <v>4200</v>
      </c>
      <c r="E14" s="63">
        <f t="shared" si="4"/>
        <v>622200</v>
      </c>
      <c r="F14" s="63">
        <v>-8040</v>
      </c>
      <c r="G14" s="63">
        <f t="shared" si="2"/>
        <v>614160</v>
      </c>
      <c r="H14" s="63">
        <v>0</v>
      </c>
      <c r="I14" s="63">
        <f t="shared" si="5"/>
        <v>614160</v>
      </c>
      <c r="J14" s="519">
        <v>15200</v>
      </c>
      <c r="K14" s="63">
        <f t="shared" si="3"/>
        <v>629360</v>
      </c>
    </row>
    <row r="15" spans="1:11" s="30" customFormat="1" ht="21.75" customHeight="1" hidden="1">
      <c r="A15" s="74" t="s">
        <v>146</v>
      </c>
      <c r="B15" s="43" t="s">
        <v>61</v>
      </c>
      <c r="C15" s="63">
        <v>1550000</v>
      </c>
      <c r="D15" s="63">
        <v>0</v>
      </c>
      <c r="E15" s="63">
        <f t="shared" si="4"/>
        <v>1550000</v>
      </c>
      <c r="F15" s="63">
        <v>-43052</v>
      </c>
      <c r="G15" s="63">
        <f t="shared" si="2"/>
        <v>1506948</v>
      </c>
      <c r="H15" s="63">
        <v>150000</v>
      </c>
      <c r="I15" s="63">
        <f t="shared" si="5"/>
        <v>1656948</v>
      </c>
      <c r="J15" s="519">
        <v>102000</v>
      </c>
      <c r="K15" s="63">
        <f t="shared" si="3"/>
        <v>1758948</v>
      </c>
    </row>
    <row r="16" spans="1:11" s="30" customFormat="1" ht="21.75" customHeight="1">
      <c r="A16" s="74" t="s">
        <v>62</v>
      </c>
      <c r="B16" s="43" t="s">
        <v>63</v>
      </c>
      <c r="C16" s="63">
        <f>SUM(C17:C19)</f>
        <v>12080000</v>
      </c>
      <c r="D16" s="63">
        <f>SUM(D17:D19)</f>
        <v>0</v>
      </c>
      <c r="E16" s="63">
        <f t="shared" si="4"/>
        <v>12080000</v>
      </c>
      <c r="F16" s="63">
        <f>SUM(F17:F19)</f>
        <v>1795200</v>
      </c>
      <c r="G16" s="63">
        <f t="shared" si="2"/>
        <v>13875200</v>
      </c>
      <c r="H16" s="63">
        <f>SUM(H17:H19)</f>
        <v>-300000</v>
      </c>
      <c r="I16" s="63">
        <f>SUM(I17:I19)</f>
        <v>13575200</v>
      </c>
      <c r="J16" s="63">
        <f>SUM(J17:J19)</f>
        <v>552004</v>
      </c>
      <c r="K16" s="63">
        <f>SUM(K17:K19)</f>
        <v>14127204</v>
      </c>
    </row>
    <row r="17" spans="1:11" s="30" customFormat="1" ht="21.75" customHeight="1" hidden="1">
      <c r="A17" s="74" t="s">
        <v>147</v>
      </c>
      <c r="B17" s="43" t="s">
        <v>64</v>
      </c>
      <c r="C17" s="63">
        <v>9100000</v>
      </c>
      <c r="D17" s="63">
        <v>0</v>
      </c>
      <c r="E17" s="63">
        <f t="shared" si="4"/>
        <v>9100000</v>
      </c>
      <c r="F17" s="63">
        <v>1795200</v>
      </c>
      <c r="G17" s="63">
        <f t="shared" si="2"/>
        <v>10895200</v>
      </c>
      <c r="H17" s="63">
        <v>0</v>
      </c>
      <c r="I17" s="63">
        <f t="shared" si="5"/>
        <v>10895200</v>
      </c>
      <c r="J17" s="519">
        <v>500000</v>
      </c>
      <c r="K17" s="63">
        <f>I17+J17</f>
        <v>11395200</v>
      </c>
    </row>
    <row r="18" spans="1:11" s="30" customFormat="1" ht="28.5" customHeight="1" hidden="1">
      <c r="A18" s="74" t="s">
        <v>148</v>
      </c>
      <c r="B18" s="43" t="s">
        <v>65</v>
      </c>
      <c r="C18" s="63">
        <v>2380000</v>
      </c>
      <c r="D18" s="63">
        <v>0</v>
      </c>
      <c r="E18" s="63">
        <f t="shared" si="4"/>
        <v>2380000</v>
      </c>
      <c r="F18" s="63">
        <v>0</v>
      </c>
      <c r="G18" s="63">
        <f t="shared" si="2"/>
        <v>2380000</v>
      </c>
      <c r="H18" s="63">
        <v>-100000</v>
      </c>
      <c r="I18" s="63">
        <f t="shared" si="5"/>
        <v>2280000</v>
      </c>
      <c r="J18" s="519">
        <v>-15996</v>
      </c>
      <c r="K18" s="63">
        <f>I18+J18</f>
        <v>2264004</v>
      </c>
    </row>
    <row r="19" spans="1:11" s="30" customFormat="1" ht="21.75" customHeight="1" hidden="1">
      <c r="A19" s="74" t="s">
        <v>149</v>
      </c>
      <c r="B19" s="43" t="s">
        <v>66</v>
      </c>
      <c r="C19" s="63">
        <v>600000</v>
      </c>
      <c r="D19" s="63">
        <v>0</v>
      </c>
      <c r="E19" s="63">
        <f t="shared" si="4"/>
        <v>600000</v>
      </c>
      <c r="F19" s="63">
        <v>0</v>
      </c>
      <c r="G19" s="63">
        <f t="shared" si="2"/>
        <v>600000</v>
      </c>
      <c r="H19" s="63">
        <v>-200000</v>
      </c>
      <c r="I19" s="63">
        <f t="shared" si="5"/>
        <v>400000</v>
      </c>
      <c r="J19" s="519">
        <v>68000</v>
      </c>
      <c r="K19" s="63">
        <f>I19+J19</f>
        <v>468000</v>
      </c>
    </row>
    <row r="20" spans="1:11" s="31" customFormat="1" ht="34.5" customHeight="1">
      <c r="A20" s="73" t="s">
        <v>67</v>
      </c>
      <c r="B20" s="46" t="s">
        <v>168</v>
      </c>
      <c r="C20" s="62">
        <v>14800000</v>
      </c>
      <c r="D20" s="62">
        <v>0</v>
      </c>
      <c r="E20" s="66">
        <f t="shared" si="4"/>
        <v>14800000</v>
      </c>
      <c r="F20" s="62">
        <v>258874</v>
      </c>
      <c r="G20" s="66">
        <f t="shared" si="2"/>
        <v>15058874</v>
      </c>
      <c r="H20" s="62">
        <v>0</v>
      </c>
      <c r="I20" s="66">
        <f t="shared" si="5"/>
        <v>15058874</v>
      </c>
      <c r="J20" s="525">
        <v>360203</v>
      </c>
      <c r="K20" s="62">
        <f>I20+J20</f>
        <v>15419077</v>
      </c>
    </row>
    <row r="21" spans="1:11" s="31" customFormat="1" ht="21.75" customHeight="1">
      <c r="A21" s="73" t="s">
        <v>68</v>
      </c>
      <c r="B21" s="45" t="s">
        <v>69</v>
      </c>
      <c r="C21" s="66">
        <f>C22+C25+C28+C35+C36</f>
        <v>66766700</v>
      </c>
      <c r="D21" s="66">
        <f>D22+D25+D28+D35+D36</f>
        <v>1055036</v>
      </c>
      <c r="E21" s="66">
        <f t="shared" si="4"/>
        <v>67821736</v>
      </c>
      <c r="F21" s="66">
        <f>F22+F25+F28+F35+F36</f>
        <v>3284051</v>
      </c>
      <c r="G21" s="66">
        <f t="shared" si="2"/>
        <v>71105787</v>
      </c>
      <c r="H21" s="66">
        <f>H22+H25+H28+H35+H36</f>
        <v>215365</v>
      </c>
      <c r="I21" s="66">
        <f t="shared" si="5"/>
        <v>71321152</v>
      </c>
      <c r="J21" s="525">
        <f>J22+J25+J28+J35+J36</f>
        <v>-1463352</v>
      </c>
      <c r="K21" s="66">
        <f>K22+K25+K28+K35+K36</f>
        <v>69857800</v>
      </c>
    </row>
    <row r="22" spans="1:11" s="30" customFormat="1" ht="21.75" customHeight="1">
      <c r="A22" s="74" t="s">
        <v>70</v>
      </c>
      <c r="B22" s="43" t="s">
        <v>71</v>
      </c>
      <c r="C22" s="63">
        <f>SUM(C23:C24)</f>
        <v>25038000</v>
      </c>
      <c r="D22" s="63">
        <f>SUM(D23:D24)</f>
        <v>61836</v>
      </c>
      <c r="E22" s="63">
        <f t="shared" si="4"/>
        <v>25099836</v>
      </c>
      <c r="F22" s="63">
        <f>SUM(F23:F24)</f>
        <v>-275269</v>
      </c>
      <c r="G22" s="63">
        <f t="shared" si="2"/>
        <v>24824567</v>
      </c>
      <c r="H22" s="63">
        <f>SUM(H23:H24)</f>
        <v>-549567</v>
      </c>
      <c r="I22" s="63">
        <f t="shared" si="5"/>
        <v>24275000</v>
      </c>
      <c r="J22" s="519">
        <f>SUM(J23:J24)</f>
        <v>-605437</v>
      </c>
      <c r="K22" s="63">
        <f>SUM(K23:K24)</f>
        <v>23669563</v>
      </c>
    </row>
    <row r="23" spans="1:11" s="30" customFormat="1" ht="21.75" customHeight="1" hidden="1">
      <c r="A23" s="74" t="s">
        <v>154</v>
      </c>
      <c r="B23" s="43" t="s">
        <v>156</v>
      </c>
      <c r="C23" s="63">
        <v>1500000</v>
      </c>
      <c r="D23" s="63">
        <v>0</v>
      </c>
      <c r="E23" s="63">
        <f t="shared" si="4"/>
        <v>1500000</v>
      </c>
      <c r="F23" s="63">
        <v>20000</v>
      </c>
      <c r="G23" s="63">
        <f t="shared" si="2"/>
        <v>1520000</v>
      </c>
      <c r="H23" s="63">
        <v>100000</v>
      </c>
      <c r="I23" s="63">
        <f t="shared" si="5"/>
        <v>1620000</v>
      </c>
      <c r="J23" s="519">
        <v>-189437</v>
      </c>
      <c r="K23" s="63">
        <f>I23+J23</f>
        <v>1430563</v>
      </c>
    </row>
    <row r="24" spans="1:11" s="30" customFormat="1" ht="21.75" customHeight="1" hidden="1">
      <c r="A24" s="74" t="s">
        <v>155</v>
      </c>
      <c r="B24" s="43" t="s">
        <v>157</v>
      </c>
      <c r="C24" s="63">
        <v>23538000</v>
      </c>
      <c r="D24" s="63">
        <v>61836</v>
      </c>
      <c r="E24" s="63">
        <f t="shared" si="4"/>
        <v>23599836</v>
      </c>
      <c r="F24" s="63">
        <v>-295269</v>
      </c>
      <c r="G24" s="63">
        <f t="shared" si="2"/>
        <v>23304567</v>
      </c>
      <c r="H24" s="63">
        <v>-649567</v>
      </c>
      <c r="I24" s="63">
        <f t="shared" si="5"/>
        <v>22655000</v>
      </c>
      <c r="J24" s="519">
        <v>-416000</v>
      </c>
      <c r="K24" s="63">
        <f>I24+J24</f>
        <v>22239000</v>
      </c>
    </row>
    <row r="25" spans="1:11" s="30" customFormat="1" ht="21.75" customHeight="1">
      <c r="A25" s="74" t="s">
        <v>72</v>
      </c>
      <c r="B25" s="43" t="s">
        <v>73</v>
      </c>
      <c r="C25" s="63">
        <f>SUM(C26:C27)</f>
        <v>885000</v>
      </c>
      <c r="D25" s="63">
        <f>SUM(D26:D27)</f>
        <v>10000</v>
      </c>
      <c r="E25" s="63">
        <f t="shared" si="4"/>
        <v>895000</v>
      </c>
      <c r="F25" s="63">
        <f>SUM(F26:F27)</f>
        <v>42105</v>
      </c>
      <c r="G25" s="63">
        <f t="shared" si="2"/>
        <v>937105</v>
      </c>
      <c r="H25" s="63">
        <f>SUM(H26:H27)</f>
        <v>3856</v>
      </c>
      <c r="I25" s="63">
        <f t="shared" si="5"/>
        <v>940961</v>
      </c>
      <c r="J25" s="519">
        <f>J26+J27</f>
        <v>-43500</v>
      </c>
      <c r="K25" s="63">
        <f>SUM(K26:K27)</f>
        <v>897461</v>
      </c>
    </row>
    <row r="26" spans="1:11" s="30" customFormat="1" ht="21.75" customHeight="1" hidden="1">
      <c r="A26" s="74" t="s">
        <v>150</v>
      </c>
      <c r="B26" s="43" t="s">
        <v>152</v>
      </c>
      <c r="C26" s="63">
        <v>360000</v>
      </c>
      <c r="D26" s="63">
        <v>10000</v>
      </c>
      <c r="E26" s="63">
        <f t="shared" si="4"/>
        <v>370000</v>
      </c>
      <c r="F26" s="63">
        <v>50000</v>
      </c>
      <c r="G26" s="63">
        <f t="shared" si="2"/>
        <v>420000</v>
      </c>
      <c r="H26" s="63">
        <v>0</v>
      </c>
      <c r="I26" s="63">
        <f t="shared" si="5"/>
        <v>420000</v>
      </c>
      <c r="J26" s="519">
        <v>-50000</v>
      </c>
      <c r="K26" s="63">
        <f>I26+J26</f>
        <v>370000</v>
      </c>
    </row>
    <row r="27" spans="1:11" s="30" customFormat="1" ht="21.75" customHeight="1" hidden="1">
      <c r="A27" s="74" t="s">
        <v>151</v>
      </c>
      <c r="B27" s="43" t="s">
        <v>153</v>
      </c>
      <c r="C27" s="63">
        <v>525000</v>
      </c>
      <c r="D27" s="63">
        <v>0</v>
      </c>
      <c r="E27" s="63">
        <f t="shared" si="4"/>
        <v>525000</v>
      </c>
      <c r="F27" s="63">
        <v>-7895</v>
      </c>
      <c r="G27" s="63">
        <f t="shared" si="2"/>
        <v>517105</v>
      </c>
      <c r="H27" s="63">
        <v>3856</v>
      </c>
      <c r="I27" s="63">
        <f t="shared" si="5"/>
        <v>520961</v>
      </c>
      <c r="J27" s="519">
        <v>6500</v>
      </c>
      <c r="K27" s="63">
        <f>I27+J27</f>
        <v>527461</v>
      </c>
    </row>
    <row r="28" spans="1:11" s="30" customFormat="1" ht="21.75" customHeight="1">
      <c r="A28" s="74" t="s">
        <v>74</v>
      </c>
      <c r="B28" s="43" t="s">
        <v>75</v>
      </c>
      <c r="C28" s="63">
        <f>SUM(C29:C34)</f>
        <v>26210000</v>
      </c>
      <c r="D28" s="63">
        <f>SUM(D29:D34)</f>
        <v>553200</v>
      </c>
      <c r="E28" s="63">
        <f t="shared" si="4"/>
        <v>26763200</v>
      </c>
      <c r="F28" s="63">
        <f>SUM(F29:F34)</f>
        <v>2226686</v>
      </c>
      <c r="G28" s="63">
        <f t="shared" si="2"/>
        <v>28989886</v>
      </c>
      <c r="H28" s="63">
        <f>SUM(H29:H34)</f>
        <v>1177034</v>
      </c>
      <c r="I28" s="63">
        <f t="shared" si="5"/>
        <v>30166920</v>
      </c>
      <c r="J28" s="519">
        <f>SUM(J29:J34)</f>
        <v>-511900</v>
      </c>
      <c r="K28" s="63">
        <f>SUM(K29:K34)</f>
        <v>29655020</v>
      </c>
    </row>
    <row r="29" spans="1:11" s="30" customFormat="1" ht="21.75" customHeight="1" hidden="1">
      <c r="A29" s="74" t="s">
        <v>158</v>
      </c>
      <c r="B29" s="64" t="s">
        <v>76</v>
      </c>
      <c r="C29" s="63">
        <v>10250000</v>
      </c>
      <c r="D29" s="63">
        <v>0</v>
      </c>
      <c r="E29" s="63">
        <f t="shared" si="4"/>
        <v>10250000</v>
      </c>
      <c r="F29" s="63">
        <v>-150000</v>
      </c>
      <c r="G29" s="63">
        <f t="shared" si="2"/>
        <v>10100000</v>
      </c>
      <c r="H29" s="63">
        <v>0</v>
      </c>
      <c r="I29" s="63">
        <f t="shared" si="5"/>
        <v>10100000</v>
      </c>
      <c r="J29" s="519">
        <v>-164000</v>
      </c>
      <c r="K29" s="63">
        <f aca="true" t="shared" si="6" ref="K29:K35">I29+J29</f>
        <v>9936000</v>
      </c>
    </row>
    <row r="30" spans="1:11" s="30" customFormat="1" ht="21.75" customHeight="1" hidden="1">
      <c r="A30" s="74" t="s">
        <v>159</v>
      </c>
      <c r="B30" s="64" t="s">
        <v>160</v>
      </c>
      <c r="C30" s="63">
        <v>290000</v>
      </c>
      <c r="D30" s="63">
        <v>0</v>
      </c>
      <c r="E30" s="63">
        <f t="shared" si="4"/>
        <v>290000</v>
      </c>
      <c r="F30" s="63">
        <v>0</v>
      </c>
      <c r="G30" s="63">
        <f t="shared" si="2"/>
        <v>290000</v>
      </c>
      <c r="H30" s="63">
        <v>0</v>
      </c>
      <c r="I30" s="63">
        <f t="shared" si="5"/>
        <v>290000</v>
      </c>
      <c r="J30" s="519">
        <v>0</v>
      </c>
      <c r="K30" s="63">
        <f t="shared" si="6"/>
        <v>290000</v>
      </c>
    </row>
    <row r="31" spans="1:11" s="30" customFormat="1" ht="21.75" customHeight="1" hidden="1">
      <c r="A31" s="74" t="s">
        <v>161</v>
      </c>
      <c r="B31" s="43" t="s">
        <v>162</v>
      </c>
      <c r="C31" s="63">
        <v>2350000</v>
      </c>
      <c r="D31" s="63">
        <v>-30000</v>
      </c>
      <c r="E31" s="63">
        <f t="shared" si="4"/>
        <v>2320000</v>
      </c>
      <c r="F31" s="63">
        <v>1841800</v>
      </c>
      <c r="G31" s="63">
        <f t="shared" si="2"/>
        <v>4161800</v>
      </c>
      <c r="H31" s="63">
        <v>410000</v>
      </c>
      <c r="I31" s="63">
        <f t="shared" si="5"/>
        <v>4571800</v>
      </c>
      <c r="J31" s="519">
        <v>-4000</v>
      </c>
      <c r="K31" s="63">
        <f t="shared" si="6"/>
        <v>4567800</v>
      </c>
    </row>
    <row r="32" spans="1:11" s="30" customFormat="1" ht="21.75" customHeight="1" hidden="1">
      <c r="A32" s="74" t="s">
        <v>513</v>
      </c>
      <c r="B32" s="43" t="s">
        <v>514</v>
      </c>
      <c r="C32" s="63">
        <v>505000</v>
      </c>
      <c r="D32" s="63">
        <v>0</v>
      </c>
      <c r="E32" s="63">
        <f t="shared" si="4"/>
        <v>505000</v>
      </c>
      <c r="F32" s="63">
        <v>-7454</v>
      </c>
      <c r="G32" s="63">
        <f t="shared" si="2"/>
        <v>497546</v>
      </c>
      <c r="H32" s="63">
        <v>100000</v>
      </c>
      <c r="I32" s="63">
        <f t="shared" si="5"/>
        <v>597546</v>
      </c>
      <c r="J32" s="519">
        <v>0</v>
      </c>
      <c r="K32" s="63">
        <f t="shared" si="6"/>
        <v>597546</v>
      </c>
    </row>
    <row r="33" spans="1:11" s="30" customFormat="1" ht="21.75" customHeight="1" hidden="1">
      <c r="A33" s="74" t="s">
        <v>163</v>
      </c>
      <c r="B33" s="43" t="s">
        <v>165</v>
      </c>
      <c r="C33" s="63">
        <v>8215000</v>
      </c>
      <c r="D33" s="63">
        <v>583200</v>
      </c>
      <c r="E33" s="63">
        <f t="shared" si="4"/>
        <v>8798200</v>
      </c>
      <c r="F33" s="63">
        <v>300000</v>
      </c>
      <c r="G33" s="63">
        <f t="shared" si="2"/>
        <v>9098200</v>
      </c>
      <c r="H33" s="63">
        <v>-290000</v>
      </c>
      <c r="I33" s="63">
        <f t="shared" si="5"/>
        <v>8808200</v>
      </c>
      <c r="J33" s="519">
        <v>-591200</v>
      </c>
      <c r="K33" s="63">
        <f t="shared" si="6"/>
        <v>8217000</v>
      </c>
    </row>
    <row r="34" spans="1:11" s="30" customFormat="1" ht="21.75" customHeight="1" hidden="1">
      <c r="A34" s="74" t="s">
        <v>164</v>
      </c>
      <c r="B34" s="43" t="s">
        <v>77</v>
      </c>
      <c r="C34" s="63">
        <v>4600000</v>
      </c>
      <c r="D34" s="63">
        <v>0</v>
      </c>
      <c r="E34" s="63">
        <f t="shared" si="4"/>
        <v>4600000</v>
      </c>
      <c r="F34" s="63">
        <v>242340</v>
      </c>
      <c r="G34" s="63">
        <f t="shared" si="2"/>
        <v>4842340</v>
      </c>
      <c r="H34" s="63">
        <v>957034</v>
      </c>
      <c r="I34" s="63">
        <f t="shared" si="5"/>
        <v>5799374</v>
      </c>
      <c r="J34" s="519">
        <v>247300</v>
      </c>
      <c r="K34" s="63">
        <f t="shared" si="6"/>
        <v>6046674</v>
      </c>
    </row>
    <row r="35" spans="1:11" s="30" customFormat="1" ht="21.75" customHeight="1">
      <c r="A35" s="721" t="s">
        <v>78</v>
      </c>
      <c r="B35" s="70" t="s">
        <v>79</v>
      </c>
      <c r="C35" s="71">
        <v>530000</v>
      </c>
      <c r="D35" s="71">
        <v>0</v>
      </c>
      <c r="E35" s="63">
        <f t="shared" si="4"/>
        <v>530000</v>
      </c>
      <c r="F35" s="71">
        <v>0</v>
      </c>
      <c r="G35" s="63">
        <f t="shared" si="2"/>
        <v>530000</v>
      </c>
      <c r="H35" s="71">
        <v>10000</v>
      </c>
      <c r="I35" s="63">
        <f t="shared" si="5"/>
        <v>540000</v>
      </c>
      <c r="J35" s="519">
        <v>30000</v>
      </c>
      <c r="K35" s="71">
        <f t="shared" si="6"/>
        <v>570000</v>
      </c>
    </row>
    <row r="36" spans="1:11" s="30" customFormat="1" ht="21.75" customHeight="1">
      <c r="A36" s="74" t="s">
        <v>80</v>
      </c>
      <c r="B36" s="43" t="s">
        <v>81</v>
      </c>
      <c r="C36" s="63">
        <f aca="true" t="shared" si="7" ref="C36:I36">SUM(C37:C39)</f>
        <v>14103700</v>
      </c>
      <c r="D36" s="63">
        <f t="shared" si="7"/>
        <v>430000</v>
      </c>
      <c r="E36" s="63">
        <f t="shared" si="7"/>
        <v>14533700</v>
      </c>
      <c r="F36" s="63">
        <f t="shared" si="7"/>
        <v>1290529</v>
      </c>
      <c r="G36" s="63">
        <f t="shared" si="7"/>
        <v>15824229</v>
      </c>
      <c r="H36" s="63">
        <f t="shared" si="7"/>
        <v>-425958</v>
      </c>
      <c r="I36" s="63">
        <f t="shared" si="7"/>
        <v>15398271</v>
      </c>
      <c r="J36" s="519">
        <f>SUM(J37:J39)</f>
        <v>-332515</v>
      </c>
      <c r="K36" s="63">
        <f>SUM(K37:K39)</f>
        <v>15065756</v>
      </c>
    </row>
    <row r="37" spans="1:11" s="30" customFormat="1" ht="21.75" customHeight="1" hidden="1">
      <c r="A37" s="74" t="s">
        <v>166</v>
      </c>
      <c r="B37" s="43" t="s">
        <v>581</v>
      </c>
      <c r="C37" s="310">
        <v>12633700</v>
      </c>
      <c r="D37" s="63">
        <v>0</v>
      </c>
      <c r="E37" s="63">
        <f t="shared" si="4"/>
        <v>12633700</v>
      </c>
      <c r="F37" s="63">
        <v>685928</v>
      </c>
      <c r="G37" s="63">
        <f t="shared" si="2"/>
        <v>13319628</v>
      </c>
      <c r="H37" s="63">
        <v>-644958</v>
      </c>
      <c r="I37" s="63">
        <f aca="true" t="shared" si="8" ref="I37:I48">G37+H37</f>
        <v>12674670</v>
      </c>
      <c r="J37" s="519">
        <v>-635515</v>
      </c>
      <c r="K37" s="63">
        <f>I37+J37</f>
        <v>12039155</v>
      </c>
    </row>
    <row r="38" spans="1:11" s="30" customFormat="1" ht="21.75" customHeight="1" hidden="1">
      <c r="A38" s="74" t="s">
        <v>579</v>
      </c>
      <c r="B38" s="43" t="s">
        <v>580</v>
      </c>
      <c r="C38" s="63">
        <v>0</v>
      </c>
      <c r="D38" s="63">
        <v>0</v>
      </c>
      <c r="E38" s="63">
        <v>0</v>
      </c>
      <c r="F38" s="63">
        <v>445000</v>
      </c>
      <c r="G38" s="63">
        <f>F38</f>
        <v>445000</v>
      </c>
      <c r="H38" s="63">
        <v>219000</v>
      </c>
      <c r="I38" s="63">
        <f t="shared" si="8"/>
        <v>664000</v>
      </c>
      <c r="J38" s="519">
        <v>141000</v>
      </c>
      <c r="K38" s="63">
        <f>I38+J38</f>
        <v>805000</v>
      </c>
    </row>
    <row r="39" spans="1:11" s="30" customFormat="1" ht="21.75" customHeight="1" hidden="1">
      <c r="A39" s="74" t="s">
        <v>167</v>
      </c>
      <c r="B39" s="43" t="s">
        <v>82</v>
      </c>
      <c r="C39" s="310">
        <v>1470000</v>
      </c>
      <c r="D39" s="310">
        <v>430000</v>
      </c>
      <c r="E39" s="63">
        <f t="shared" si="4"/>
        <v>1900000</v>
      </c>
      <c r="F39" s="310">
        <v>159601</v>
      </c>
      <c r="G39" s="63">
        <f t="shared" si="2"/>
        <v>2059601</v>
      </c>
      <c r="H39" s="63">
        <v>0</v>
      </c>
      <c r="I39" s="63">
        <f t="shared" si="8"/>
        <v>2059601</v>
      </c>
      <c r="J39" s="519">
        <v>162000</v>
      </c>
      <c r="K39" s="63">
        <f>I39+J39</f>
        <v>2221601</v>
      </c>
    </row>
    <row r="40" spans="1:11" s="31" customFormat="1" ht="21" customHeight="1">
      <c r="A40" s="73" t="s">
        <v>83</v>
      </c>
      <c r="B40" s="45" t="s">
        <v>84</v>
      </c>
      <c r="C40" s="62">
        <f>SUM(C41:C42)</f>
        <v>5300000</v>
      </c>
      <c r="D40" s="62">
        <f>SUM(D41:D42)</f>
        <v>0</v>
      </c>
      <c r="E40" s="62">
        <f t="shared" si="4"/>
        <v>5300000</v>
      </c>
      <c r="F40" s="62">
        <f>SUM(F41:F42)</f>
        <v>0</v>
      </c>
      <c r="G40" s="62">
        <f t="shared" si="2"/>
        <v>5300000</v>
      </c>
      <c r="H40" s="62">
        <f>SUM(H41:H42)</f>
        <v>2113780</v>
      </c>
      <c r="I40" s="62">
        <f t="shared" si="8"/>
        <v>7413780</v>
      </c>
      <c r="J40" s="520">
        <f>K40-J40</f>
        <v>0</v>
      </c>
      <c r="K40" s="62">
        <f>SUM(K41:K42)</f>
        <v>7413780</v>
      </c>
    </row>
    <row r="41" spans="1:11" s="31" customFormat="1" ht="21.75" customHeight="1">
      <c r="A41" s="74" t="s">
        <v>169</v>
      </c>
      <c r="B41" s="43" t="s">
        <v>128</v>
      </c>
      <c r="C41" s="63">
        <v>300000</v>
      </c>
      <c r="D41" s="63">
        <v>0</v>
      </c>
      <c r="E41" s="63">
        <f t="shared" si="4"/>
        <v>300000</v>
      </c>
      <c r="F41" s="63">
        <v>-40000</v>
      </c>
      <c r="G41" s="63">
        <f t="shared" si="2"/>
        <v>260000</v>
      </c>
      <c r="H41" s="63">
        <v>217000</v>
      </c>
      <c r="I41" s="63">
        <f t="shared" si="8"/>
        <v>477000</v>
      </c>
      <c r="J41" s="519">
        <v>0</v>
      </c>
      <c r="K41" s="63">
        <f>I41+J41</f>
        <v>477000</v>
      </c>
    </row>
    <row r="42" spans="1:11" s="31" customFormat="1" ht="24" customHeight="1">
      <c r="A42" s="74" t="s">
        <v>172</v>
      </c>
      <c r="B42" s="43" t="s">
        <v>129</v>
      </c>
      <c r="C42" s="63">
        <v>5000000</v>
      </c>
      <c r="D42" s="63">
        <v>0</v>
      </c>
      <c r="E42" s="63">
        <f t="shared" si="4"/>
        <v>5000000</v>
      </c>
      <c r="F42" s="63">
        <v>40000</v>
      </c>
      <c r="G42" s="63">
        <f t="shared" si="2"/>
        <v>5040000</v>
      </c>
      <c r="H42" s="63">
        <v>1896780</v>
      </c>
      <c r="I42" s="63">
        <f t="shared" si="8"/>
        <v>6936780</v>
      </c>
      <c r="J42" s="519">
        <v>0</v>
      </c>
      <c r="K42" s="63">
        <f>I42+J42</f>
        <v>6936780</v>
      </c>
    </row>
    <row r="43" spans="1:11" s="31" customFormat="1" ht="21.75" customHeight="1">
      <c r="A43" s="73" t="s">
        <v>85</v>
      </c>
      <c r="B43" s="45" t="s">
        <v>130</v>
      </c>
      <c r="C43" s="66">
        <f>SUM(C44:C48)</f>
        <v>59615946</v>
      </c>
      <c r="D43" s="66">
        <f>SUM(D44:D48)</f>
        <v>-414400</v>
      </c>
      <c r="E43" s="66">
        <f t="shared" si="4"/>
        <v>59201546</v>
      </c>
      <c r="F43" s="66">
        <f>SUM(F44:F48)</f>
        <v>4450000</v>
      </c>
      <c r="G43" s="66">
        <f t="shared" si="2"/>
        <v>63651546</v>
      </c>
      <c r="H43" s="66">
        <f>SUM(H44:H48)</f>
        <v>0</v>
      </c>
      <c r="I43" s="66">
        <f t="shared" si="8"/>
        <v>63651546</v>
      </c>
      <c r="J43" s="525">
        <f>SUM(J44:J48)</f>
        <v>-8166448</v>
      </c>
      <c r="K43" s="66">
        <f>SUM(K44:K48)</f>
        <v>55485098</v>
      </c>
    </row>
    <row r="44" spans="1:11" s="31" customFormat="1" ht="21.75" customHeight="1">
      <c r="A44" s="74" t="s">
        <v>173</v>
      </c>
      <c r="B44" s="43" t="s">
        <v>174</v>
      </c>
      <c r="C44" s="63">
        <v>300000</v>
      </c>
      <c r="D44" s="63">
        <v>0</v>
      </c>
      <c r="E44" s="63">
        <f t="shared" si="4"/>
        <v>300000</v>
      </c>
      <c r="F44" s="63">
        <v>0</v>
      </c>
      <c r="G44" s="63">
        <f t="shared" si="2"/>
        <v>300000</v>
      </c>
      <c r="H44" s="63">
        <v>0</v>
      </c>
      <c r="I44" s="63">
        <f t="shared" si="8"/>
        <v>300000</v>
      </c>
      <c r="J44" s="519">
        <v>0</v>
      </c>
      <c r="K44" s="63">
        <f>I44+J44</f>
        <v>300000</v>
      </c>
    </row>
    <row r="45" spans="1:11" s="31" customFormat="1" ht="21.75" customHeight="1">
      <c r="A45" s="74" t="s">
        <v>175</v>
      </c>
      <c r="B45" s="43" t="s">
        <v>205</v>
      </c>
      <c r="C45" s="63">
        <v>50195946</v>
      </c>
      <c r="D45" s="63">
        <v>-14400</v>
      </c>
      <c r="E45" s="63">
        <f t="shared" si="4"/>
        <v>50181546</v>
      </c>
      <c r="F45" s="63">
        <v>0</v>
      </c>
      <c r="G45" s="63">
        <f t="shared" si="2"/>
        <v>50181546</v>
      </c>
      <c r="H45" s="63">
        <v>0</v>
      </c>
      <c r="I45" s="63">
        <f t="shared" si="8"/>
        <v>50181546</v>
      </c>
      <c r="J45" s="519">
        <v>-2894799</v>
      </c>
      <c r="K45" s="63">
        <f>I45+J45</f>
        <v>47286747</v>
      </c>
    </row>
    <row r="46" spans="1:11" s="31" customFormat="1" ht="30.75" customHeight="1">
      <c r="A46" s="74" t="s">
        <v>176</v>
      </c>
      <c r="B46" s="43" t="s">
        <v>178</v>
      </c>
      <c r="C46" s="63">
        <v>50000</v>
      </c>
      <c r="D46" s="63">
        <v>0</v>
      </c>
      <c r="E46" s="63">
        <f t="shared" si="4"/>
        <v>50000</v>
      </c>
      <c r="F46" s="63">
        <v>3350000</v>
      </c>
      <c r="G46" s="63">
        <f t="shared" si="2"/>
        <v>3400000</v>
      </c>
      <c r="H46" s="63">
        <v>0</v>
      </c>
      <c r="I46" s="63">
        <f t="shared" si="8"/>
        <v>3400000</v>
      </c>
      <c r="J46" s="519">
        <v>-300000</v>
      </c>
      <c r="K46" s="63">
        <f>I46+J46</f>
        <v>3100000</v>
      </c>
    </row>
    <row r="47" spans="1:11" s="31" customFormat="1" ht="21.75" customHeight="1">
      <c r="A47" s="74" t="s">
        <v>177</v>
      </c>
      <c r="B47" s="43" t="s">
        <v>179</v>
      </c>
      <c r="C47" s="63">
        <v>7070000</v>
      </c>
      <c r="D47" s="63">
        <v>100000</v>
      </c>
      <c r="E47" s="63">
        <f t="shared" si="4"/>
        <v>7170000</v>
      </c>
      <c r="F47" s="63">
        <v>1600000</v>
      </c>
      <c r="G47" s="63">
        <f t="shared" si="2"/>
        <v>8770000</v>
      </c>
      <c r="H47" s="63">
        <v>0</v>
      </c>
      <c r="I47" s="63">
        <f t="shared" si="8"/>
        <v>8770000</v>
      </c>
      <c r="J47" s="519">
        <v>-3971649</v>
      </c>
      <c r="K47" s="63">
        <f>I47+J47</f>
        <v>4798351</v>
      </c>
    </row>
    <row r="48" spans="1:11" s="31" customFormat="1" ht="21.75" customHeight="1">
      <c r="A48" s="74" t="s">
        <v>298</v>
      </c>
      <c r="B48" s="43" t="s">
        <v>299</v>
      </c>
      <c r="C48" s="63">
        <v>2000000</v>
      </c>
      <c r="D48" s="63">
        <v>-500000</v>
      </c>
      <c r="E48" s="63">
        <f t="shared" si="4"/>
        <v>1500000</v>
      </c>
      <c r="F48" s="63">
        <v>-500000</v>
      </c>
      <c r="G48" s="63">
        <f t="shared" si="2"/>
        <v>1000000</v>
      </c>
      <c r="H48" s="63">
        <v>0</v>
      </c>
      <c r="I48" s="63">
        <f t="shared" si="8"/>
        <v>1000000</v>
      </c>
      <c r="J48" s="519">
        <v>-1000000</v>
      </c>
      <c r="K48" s="63">
        <f>I48+J48</f>
        <v>0</v>
      </c>
    </row>
    <row r="49" spans="1:11" s="31" customFormat="1" ht="21.75" customHeight="1">
      <c r="A49" s="73" t="s">
        <v>86</v>
      </c>
      <c r="B49" s="45" t="s">
        <v>87</v>
      </c>
      <c r="C49" s="66">
        <f>SUM(C50:C55)</f>
        <v>26458831</v>
      </c>
      <c r="D49" s="66">
        <f aca="true" t="shared" si="9" ref="D49:I49">SUM(D50:D55)-D54</f>
        <v>2264200</v>
      </c>
      <c r="E49" s="66">
        <f t="shared" si="9"/>
        <v>28723031</v>
      </c>
      <c r="F49" s="66">
        <f t="shared" si="9"/>
        <v>-6260470</v>
      </c>
      <c r="G49" s="66">
        <f t="shared" si="9"/>
        <v>22462561</v>
      </c>
      <c r="H49" s="66">
        <f t="shared" si="9"/>
        <v>0</v>
      </c>
      <c r="I49" s="66">
        <f t="shared" si="9"/>
        <v>22462561</v>
      </c>
      <c r="J49" s="525">
        <f>J51+J52+J53+J55</f>
        <v>2776500</v>
      </c>
      <c r="K49" s="66">
        <f>SUM(K50:K55)-K54</f>
        <v>25239061</v>
      </c>
    </row>
    <row r="50" spans="1:11" s="31" customFormat="1" ht="21.75" customHeight="1" hidden="1">
      <c r="A50" s="74" t="s">
        <v>300</v>
      </c>
      <c r="B50" s="43" t="s">
        <v>301</v>
      </c>
      <c r="C50" s="63">
        <v>0</v>
      </c>
      <c r="D50" s="63">
        <v>0</v>
      </c>
      <c r="E50" s="63">
        <f t="shared" si="4"/>
        <v>0</v>
      </c>
      <c r="F50" s="63">
        <v>0</v>
      </c>
      <c r="G50" s="63">
        <f aca="true" t="shared" si="10" ref="G50:G57">E50+F50</f>
        <v>0</v>
      </c>
      <c r="H50" s="63">
        <v>0</v>
      </c>
      <c r="I50" s="63">
        <f aca="true" t="shared" si="11" ref="I50:I67">G50+H50</f>
        <v>0</v>
      </c>
      <c r="J50" s="519">
        <f>H50+I50</f>
        <v>0</v>
      </c>
      <c r="K50" s="63">
        <f>I50+J50</f>
        <v>0</v>
      </c>
    </row>
    <row r="51" spans="1:11" s="31" customFormat="1" ht="21.75" customHeight="1" hidden="1">
      <c r="A51" s="74" t="s">
        <v>180</v>
      </c>
      <c r="B51" s="43" t="s">
        <v>183</v>
      </c>
      <c r="C51" s="63">
        <v>19310556</v>
      </c>
      <c r="D51" s="63">
        <v>-2700000</v>
      </c>
      <c r="E51" s="63">
        <f t="shared" si="4"/>
        <v>16610556</v>
      </c>
      <c r="F51" s="63">
        <v>-2500000</v>
      </c>
      <c r="G51" s="63">
        <f t="shared" si="10"/>
        <v>14110556</v>
      </c>
      <c r="H51" s="63">
        <v>0</v>
      </c>
      <c r="I51" s="63">
        <f t="shared" si="11"/>
        <v>14110556</v>
      </c>
      <c r="J51" s="519">
        <v>1570000</v>
      </c>
      <c r="K51" s="63">
        <f aca="true" t="shared" si="12" ref="K51:K56">I51+J51</f>
        <v>15680556</v>
      </c>
    </row>
    <row r="52" spans="1:11" s="31" customFormat="1" ht="21.75" customHeight="1" hidden="1">
      <c r="A52" s="74" t="s">
        <v>628</v>
      </c>
      <c r="B52" s="43" t="s">
        <v>629</v>
      </c>
      <c r="C52" s="71">
        <v>0</v>
      </c>
      <c r="D52" s="71"/>
      <c r="E52" s="63"/>
      <c r="F52" s="71"/>
      <c r="G52" s="63"/>
      <c r="H52" s="71"/>
      <c r="I52" s="63">
        <v>0</v>
      </c>
      <c r="J52" s="519">
        <v>217000</v>
      </c>
      <c r="K52" s="63">
        <f t="shared" si="12"/>
        <v>217000</v>
      </c>
    </row>
    <row r="53" spans="1:11" s="30" customFormat="1" ht="21.75" customHeight="1" hidden="1">
      <c r="A53" s="74" t="s">
        <v>181</v>
      </c>
      <c r="B53" s="43" t="s">
        <v>184</v>
      </c>
      <c r="C53" s="71">
        <v>1520000</v>
      </c>
      <c r="D53" s="71">
        <f>1164500+3310000</f>
        <v>4474500</v>
      </c>
      <c r="E53" s="63">
        <f t="shared" si="4"/>
        <v>5994500</v>
      </c>
      <c r="F53" s="71">
        <v>-2408000</v>
      </c>
      <c r="G53" s="63">
        <f t="shared" si="10"/>
        <v>3586500</v>
      </c>
      <c r="H53" s="71">
        <v>0</v>
      </c>
      <c r="I53" s="63">
        <f t="shared" si="11"/>
        <v>3586500</v>
      </c>
      <c r="J53" s="519">
        <v>415000</v>
      </c>
      <c r="K53" s="63">
        <f t="shared" si="12"/>
        <v>4001500</v>
      </c>
    </row>
    <row r="54" spans="1:11" s="468" customFormat="1" ht="21.75" customHeight="1" hidden="1">
      <c r="A54" s="464"/>
      <c r="B54" s="465" t="s">
        <v>569</v>
      </c>
      <c r="C54" s="466">
        <v>0</v>
      </c>
      <c r="D54" s="466">
        <v>3310000</v>
      </c>
      <c r="E54" s="467">
        <f>D54</f>
        <v>3310000</v>
      </c>
      <c r="F54" s="466">
        <v>-2648000</v>
      </c>
      <c r="G54" s="467">
        <f t="shared" si="10"/>
        <v>662000</v>
      </c>
      <c r="H54" s="466">
        <v>0</v>
      </c>
      <c r="I54" s="467">
        <f t="shared" si="11"/>
        <v>662000</v>
      </c>
      <c r="J54" s="522">
        <v>0</v>
      </c>
      <c r="K54" s="522">
        <f t="shared" si="12"/>
        <v>662000</v>
      </c>
    </row>
    <row r="55" spans="1:11" s="31" customFormat="1" ht="21.75" customHeight="1" hidden="1">
      <c r="A55" s="74" t="s">
        <v>182</v>
      </c>
      <c r="B55" s="43" t="s">
        <v>185</v>
      </c>
      <c r="C55" s="63">
        <v>5628275</v>
      </c>
      <c r="D55" s="63">
        <f>-404000+893700</f>
        <v>489700</v>
      </c>
      <c r="E55" s="63">
        <f t="shared" si="4"/>
        <v>6117975</v>
      </c>
      <c r="F55" s="63">
        <v>-1352470</v>
      </c>
      <c r="G55" s="63">
        <f t="shared" si="10"/>
        <v>4765505</v>
      </c>
      <c r="H55" s="63">
        <v>0</v>
      </c>
      <c r="I55" s="63">
        <f t="shared" si="11"/>
        <v>4765505</v>
      </c>
      <c r="J55" s="519">
        <v>574500</v>
      </c>
      <c r="K55" s="63">
        <f t="shared" si="12"/>
        <v>5340005</v>
      </c>
    </row>
    <row r="56" spans="1:11" s="468" customFormat="1" ht="21.75" customHeight="1" hidden="1">
      <c r="A56" s="464"/>
      <c r="B56" s="465" t="s">
        <v>570</v>
      </c>
      <c r="C56" s="467">
        <v>0</v>
      </c>
      <c r="D56" s="467">
        <v>893700</v>
      </c>
      <c r="E56" s="467">
        <f>D56</f>
        <v>893700</v>
      </c>
      <c r="F56" s="467">
        <v>-714960</v>
      </c>
      <c r="G56" s="467">
        <f t="shared" si="10"/>
        <v>178740</v>
      </c>
      <c r="H56" s="467">
        <v>0</v>
      </c>
      <c r="I56" s="467">
        <f t="shared" si="11"/>
        <v>178740</v>
      </c>
      <c r="J56" s="522">
        <v>0</v>
      </c>
      <c r="K56" s="522">
        <f t="shared" si="12"/>
        <v>178740</v>
      </c>
    </row>
    <row r="57" spans="1:11" s="31" customFormat="1" ht="21.75" customHeight="1">
      <c r="A57" s="73" t="s">
        <v>88</v>
      </c>
      <c r="B57" s="45" t="s">
        <v>89</v>
      </c>
      <c r="C57" s="66">
        <f>SUM(C58:C59)</f>
        <v>5307800</v>
      </c>
      <c r="D57" s="66">
        <f>SUM(D58:D59)</f>
        <v>3430000</v>
      </c>
      <c r="E57" s="66">
        <f>C57+D57</f>
        <v>8737800</v>
      </c>
      <c r="F57" s="66">
        <f>SUM(F58:F59)</f>
        <v>3430000</v>
      </c>
      <c r="G57" s="66">
        <f t="shared" si="10"/>
        <v>12167800</v>
      </c>
      <c r="H57" s="66">
        <f>SUM(H58:H59)</f>
        <v>0</v>
      </c>
      <c r="I57" s="66">
        <f t="shared" si="11"/>
        <v>12167800</v>
      </c>
      <c r="J57" s="525">
        <f>SUM(J58:J59)</f>
        <v>139825</v>
      </c>
      <c r="K57" s="66">
        <f>SUM(K58:K59)</f>
        <v>12307625</v>
      </c>
    </row>
    <row r="58" spans="1:11" s="31" customFormat="1" ht="21.75" customHeight="1" hidden="1">
      <c r="A58" s="74" t="s">
        <v>186</v>
      </c>
      <c r="B58" s="43" t="s">
        <v>188</v>
      </c>
      <c r="C58" s="63">
        <v>4177500</v>
      </c>
      <c r="D58" s="63">
        <v>2700000</v>
      </c>
      <c r="E58" s="63">
        <f t="shared" si="4"/>
        <v>6877500</v>
      </c>
      <c r="F58" s="63">
        <v>2700000</v>
      </c>
      <c r="G58" s="63">
        <f aca="true" t="shared" si="13" ref="G58:G67">E58+F58</f>
        <v>9577500</v>
      </c>
      <c r="H58" s="63">
        <v>0</v>
      </c>
      <c r="I58" s="63">
        <f t="shared" si="11"/>
        <v>9577500</v>
      </c>
      <c r="J58" s="519">
        <v>110000</v>
      </c>
      <c r="K58" s="63">
        <f>I58+J58</f>
        <v>9687500</v>
      </c>
    </row>
    <row r="59" spans="1:11" s="31" customFormat="1" ht="21.75" customHeight="1" hidden="1">
      <c r="A59" s="74" t="s">
        <v>187</v>
      </c>
      <c r="B59" s="43" t="s">
        <v>189</v>
      </c>
      <c r="C59" s="63">
        <v>1130300</v>
      </c>
      <c r="D59" s="63">
        <v>730000</v>
      </c>
      <c r="E59" s="63">
        <f t="shared" si="4"/>
        <v>1860300</v>
      </c>
      <c r="F59" s="63">
        <v>730000</v>
      </c>
      <c r="G59" s="63">
        <f t="shared" si="13"/>
        <v>2590300</v>
      </c>
      <c r="H59" s="63">
        <v>0</v>
      </c>
      <c r="I59" s="63">
        <f t="shared" si="11"/>
        <v>2590300</v>
      </c>
      <c r="J59" s="519">
        <v>29825</v>
      </c>
      <c r="K59" s="63">
        <f>I59+J59</f>
        <v>2620125</v>
      </c>
    </row>
    <row r="60" spans="1:11" s="31" customFormat="1" ht="21.75" customHeight="1">
      <c r="A60" s="73" t="s">
        <v>90</v>
      </c>
      <c r="B60" s="45" t="s">
        <v>191</v>
      </c>
      <c r="C60" s="62">
        <f>C61</f>
        <v>0</v>
      </c>
      <c r="D60" s="62">
        <f aca="true" t="shared" si="14" ref="D60:K60">D61</f>
        <v>2700000</v>
      </c>
      <c r="E60" s="62">
        <f t="shared" si="14"/>
        <v>2700000</v>
      </c>
      <c r="F60" s="62">
        <f t="shared" si="14"/>
        <v>2700000</v>
      </c>
      <c r="G60" s="62">
        <f t="shared" si="14"/>
        <v>5400000</v>
      </c>
      <c r="H60" s="62">
        <f t="shared" si="14"/>
        <v>0</v>
      </c>
      <c r="I60" s="62">
        <f t="shared" si="14"/>
        <v>0</v>
      </c>
      <c r="J60" s="62">
        <f t="shared" si="14"/>
        <v>4300000</v>
      </c>
      <c r="K60" s="62">
        <f t="shared" si="14"/>
        <v>4300000</v>
      </c>
    </row>
    <row r="61" spans="1:11" s="31" customFormat="1" ht="21.75" customHeight="1" hidden="1">
      <c r="A61" s="74" t="s">
        <v>630</v>
      </c>
      <c r="B61" s="43" t="s">
        <v>631</v>
      </c>
      <c r="C61" s="63">
        <v>0</v>
      </c>
      <c r="D61" s="63">
        <v>2700000</v>
      </c>
      <c r="E61" s="63">
        <f>C61+D61</f>
        <v>2700000</v>
      </c>
      <c r="F61" s="63">
        <v>2700000</v>
      </c>
      <c r="G61" s="63">
        <f>E61+F61</f>
        <v>5400000</v>
      </c>
      <c r="H61" s="63">
        <v>0</v>
      </c>
      <c r="I61" s="63">
        <v>0</v>
      </c>
      <c r="J61" s="519">
        <v>4300000</v>
      </c>
      <c r="K61" s="63">
        <f>I61+J61</f>
        <v>4300000</v>
      </c>
    </row>
    <row r="62" spans="1:11" s="32" customFormat="1" ht="36" customHeight="1">
      <c r="A62" s="75" t="s">
        <v>194</v>
      </c>
      <c r="B62" s="76" t="s">
        <v>91</v>
      </c>
      <c r="C62" s="134">
        <f>C7+C20+C21+C40+C43+C49+C57</f>
        <v>234311357</v>
      </c>
      <c r="D62" s="134">
        <f>D7+D20+D21+D40+D43+D49+D57</f>
        <v>6448036</v>
      </c>
      <c r="E62" s="134">
        <f t="shared" si="4"/>
        <v>240759393</v>
      </c>
      <c r="F62" s="134">
        <f>F7+F20+F21+F40+F43+F49+F57</f>
        <v>6224754</v>
      </c>
      <c r="G62" s="134">
        <f t="shared" si="13"/>
        <v>246984147</v>
      </c>
      <c r="H62" s="134">
        <f>H7+H20+H21+H40+H43+H49+H57</f>
        <v>2879145</v>
      </c>
      <c r="I62" s="134">
        <f>G62+H62</f>
        <v>249863292</v>
      </c>
      <c r="J62" s="532">
        <f>J7+J20+J21+J43+J49+J57+J60</f>
        <v>746686</v>
      </c>
      <c r="K62" s="134">
        <f>K7+K20+K21+K40+K43+K49+K57+K60</f>
        <v>250609978</v>
      </c>
    </row>
    <row r="63" spans="1:11" s="30" customFormat="1" ht="21.75" customHeight="1">
      <c r="A63" s="75" t="s">
        <v>92</v>
      </c>
      <c r="B63" s="76" t="s">
        <v>93</v>
      </c>
      <c r="C63" s="66">
        <f>SUM(C65:C67)</f>
        <v>49476095</v>
      </c>
      <c r="D63" s="66">
        <f>SUM(D65:D67)</f>
        <v>0</v>
      </c>
      <c r="E63" s="66">
        <f t="shared" si="4"/>
        <v>49476095</v>
      </c>
      <c r="F63" s="66">
        <f>SUM(F65:F67)</f>
        <v>0</v>
      </c>
      <c r="G63" s="66">
        <f t="shared" si="13"/>
        <v>49476095</v>
      </c>
      <c r="H63" s="66">
        <f>SUM(H65:H67)</f>
        <v>0</v>
      </c>
      <c r="I63" s="66">
        <f>SUM(I64:I67)</f>
        <v>49476095</v>
      </c>
      <c r="J63" s="66">
        <f>SUM(J64:J67)</f>
        <v>4983522</v>
      </c>
      <c r="K63" s="66">
        <f>SUM(K64:K67)</f>
        <v>54459617</v>
      </c>
    </row>
    <row r="64" spans="1:11" s="30" customFormat="1" ht="21.75" customHeight="1">
      <c r="A64" s="74" t="s">
        <v>517</v>
      </c>
      <c r="B64" s="43" t="s">
        <v>518</v>
      </c>
      <c r="C64" s="63">
        <v>0</v>
      </c>
      <c r="D64" s="63">
        <v>0</v>
      </c>
      <c r="E64" s="63">
        <f t="shared" si="4"/>
        <v>0</v>
      </c>
      <c r="F64" s="63">
        <v>0</v>
      </c>
      <c r="G64" s="63">
        <f t="shared" si="13"/>
        <v>0</v>
      </c>
      <c r="H64" s="63">
        <v>0</v>
      </c>
      <c r="I64" s="63">
        <f t="shared" si="11"/>
        <v>0</v>
      </c>
      <c r="J64" s="519">
        <v>5000000</v>
      </c>
      <c r="K64" s="63">
        <f>I64+J64</f>
        <v>5000000</v>
      </c>
    </row>
    <row r="65" spans="1:11" s="30" customFormat="1" ht="21.75" customHeight="1">
      <c r="A65" s="74" t="s">
        <v>206</v>
      </c>
      <c r="B65" s="43" t="s">
        <v>207</v>
      </c>
      <c r="C65" s="63">
        <v>4110757</v>
      </c>
      <c r="D65" s="63">
        <v>0</v>
      </c>
      <c r="E65" s="63">
        <f t="shared" si="4"/>
        <v>4110757</v>
      </c>
      <c r="F65" s="63">
        <v>0</v>
      </c>
      <c r="G65" s="63">
        <f t="shared" si="13"/>
        <v>4110757</v>
      </c>
      <c r="H65" s="63">
        <v>0</v>
      </c>
      <c r="I65" s="63">
        <f t="shared" si="11"/>
        <v>4110757</v>
      </c>
      <c r="J65" s="519">
        <v>0</v>
      </c>
      <c r="K65" s="63">
        <f>I65+J65</f>
        <v>4110757</v>
      </c>
    </row>
    <row r="66" spans="1:11" s="32" customFormat="1" ht="30.75" customHeight="1">
      <c r="A66" s="74" t="s">
        <v>190</v>
      </c>
      <c r="B66" s="43" t="s">
        <v>94</v>
      </c>
      <c r="C66" s="63">
        <v>45365338</v>
      </c>
      <c r="D66" s="63">
        <v>0</v>
      </c>
      <c r="E66" s="63">
        <f t="shared" si="4"/>
        <v>45365338</v>
      </c>
      <c r="F66" s="63">
        <v>0</v>
      </c>
      <c r="G66" s="63">
        <f t="shared" si="13"/>
        <v>45365338</v>
      </c>
      <c r="H66" s="63">
        <v>0</v>
      </c>
      <c r="I66" s="63">
        <f t="shared" si="11"/>
        <v>45365338</v>
      </c>
      <c r="J66" s="519">
        <v>-16478</v>
      </c>
      <c r="K66" s="63">
        <f>I66+J66</f>
        <v>45348860</v>
      </c>
    </row>
    <row r="67" spans="1:11" ht="21.75" customHeight="1">
      <c r="A67" s="74" t="s">
        <v>515</v>
      </c>
      <c r="B67" s="43" t="s">
        <v>516</v>
      </c>
      <c r="C67" s="63">
        <v>0</v>
      </c>
      <c r="D67" s="63">
        <v>0</v>
      </c>
      <c r="E67" s="63">
        <f t="shared" si="4"/>
        <v>0</v>
      </c>
      <c r="F67" s="63">
        <v>0</v>
      </c>
      <c r="G67" s="63">
        <f t="shared" si="13"/>
        <v>0</v>
      </c>
      <c r="H67" s="63">
        <v>0</v>
      </c>
      <c r="I67" s="63">
        <f t="shared" si="11"/>
        <v>0</v>
      </c>
      <c r="J67" s="519">
        <f>H67+I67</f>
        <v>0</v>
      </c>
      <c r="K67" s="63">
        <f>I67+J67</f>
        <v>0</v>
      </c>
    </row>
    <row r="68" spans="1:11" ht="30" thickBot="1">
      <c r="A68" s="77" t="s">
        <v>196</v>
      </c>
      <c r="B68" s="78" t="s">
        <v>95</v>
      </c>
      <c r="C68" s="511">
        <f>C62+C63</f>
        <v>283787452</v>
      </c>
      <c r="D68" s="511">
        <f>D62+D63</f>
        <v>6448036</v>
      </c>
      <c r="E68" s="511">
        <f t="shared" si="4"/>
        <v>290235488</v>
      </c>
      <c r="F68" s="511">
        <f>F62+F63</f>
        <v>6224754</v>
      </c>
      <c r="G68" s="511">
        <f>E68+F68</f>
        <v>296460242</v>
      </c>
      <c r="H68" s="511">
        <f>H62+H63</f>
        <v>2879145</v>
      </c>
      <c r="I68" s="511">
        <f>G68+H68</f>
        <v>299339387</v>
      </c>
      <c r="J68" s="533">
        <f>J62+J63</f>
        <v>5730208</v>
      </c>
      <c r="K68" s="511">
        <f>K62+K63</f>
        <v>305069595</v>
      </c>
    </row>
    <row r="69" spans="1:2" ht="12.75">
      <c r="A69" s="1"/>
      <c r="B69" s="1"/>
    </row>
  </sheetData>
  <sheetProtection/>
  <mergeCells count="2"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4">
      <selection activeCell="A5" sqref="A5:A6"/>
    </sheetView>
  </sheetViews>
  <sheetFormatPr defaultColWidth="9.140625" defaultRowHeight="12.75"/>
  <cols>
    <col min="1" max="1" width="9.140625" style="21" customWidth="1"/>
    <col min="2" max="2" width="49.7109375" style="21" customWidth="1"/>
    <col min="3" max="3" width="16.7109375" style="21" customWidth="1"/>
    <col min="4" max="4" width="15.421875" style="21" hidden="1" customWidth="1"/>
    <col min="5" max="5" width="15.57421875" style="21" hidden="1" customWidth="1"/>
    <col min="6" max="6" width="15.421875" style="21" hidden="1" customWidth="1"/>
    <col min="7" max="7" width="15.57421875" style="21" hidden="1" customWidth="1"/>
    <col min="8" max="8" width="15.421875" style="21" hidden="1" customWidth="1"/>
    <col min="9" max="9" width="15.57421875" style="21" customWidth="1"/>
    <col min="10" max="10" width="14.421875" style="21" customWidth="1"/>
    <col min="11" max="11" width="13.8515625" style="21" customWidth="1"/>
    <col min="12" max="16384" width="9.140625" style="21" customWidth="1"/>
  </cols>
  <sheetData>
    <row r="1" spans="1:2" ht="13.5" customHeight="1">
      <c r="A1" s="19"/>
      <c r="B1" s="20"/>
    </row>
    <row r="2" spans="1:11" ht="29.25" customHeight="1">
      <c r="A2" s="759" t="s">
        <v>521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</row>
    <row r="3" spans="1:11" ht="14.25" customHeight="1">
      <c r="A3" s="759"/>
      <c r="B3" s="759"/>
      <c r="C3" s="759"/>
      <c r="D3" s="759"/>
      <c r="E3" s="759"/>
      <c r="F3" s="759"/>
      <c r="G3" s="759"/>
      <c r="H3" s="759"/>
      <c r="I3" s="759"/>
      <c r="J3" s="759"/>
      <c r="K3" s="759"/>
    </row>
    <row r="4" spans="1:11" ht="25.5" customHeight="1">
      <c r="A4" s="759" t="s">
        <v>507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</row>
    <row r="5" spans="1:11" ht="23.25" customHeight="1">
      <c r="A5" s="729" t="s">
        <v>783</v>
      </c>
      <c r="B5" s="8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8" customHeight="1" thickBot="1">
      <c r="A6" s="729" t="s">
        <v>784</v>
      </c>
      <c r="B6" s="22"/>
      <c r="C6" s="422"/>
      <c r="D6" s="422"/>
      <c r="E6" s="422"/>
      <c r="F6" s="422"/>
      <c r="G6" s="422"/>
      <c r="H6" s="422"/>
      <c r="I6" s="422"/>
      <c r="J6" s="422"/>
      <c r="K6" s="422" t="s">
        <v>509</v>
      </c>
    </row>
    <row r="7" spans="1:2" ht="6" customHeight="1" hidden="1">
      <c r="A7" s="23"/>
      <c r="B7" s="24"/>
    </row>
    <row r="8" spans="1:2" ht="22.5" customHeight="1" hidden="1">
      <c r="A8" s="25"/>
      <c r="B8" s="26"/>
    </row>
    <row r="9" spans="1:11" ht="42.75" customHeight="1" thickTop="1">
      <c r="A9" s="497" t="s">
        <v>0</v>
      </c>
      <c r="B9" s="498" t="s">
        <v>520</v>
      </c>
      <c r="C9" s="498" t="s">
        <v>526</v>
      </c>
      <c r="D9" s="498" t="s">
        <v>558</v>
      </c>
      <c r="E9" s="498" t="s">
        <v>559</v>
      </c>
      <c r="F9" s="498" t="s">
        <v>573</v>
      </c>
      <c r="G9" s="498" t="s">
        <v>574</v>
      </c>
      <c r="H9" s="498" t="s">
        <v>617</v>
      </c>
      <c r="I9" s="498" t="s">
        <v>616</v>
      </c>
      <c r="J9" s="534" t="s">
        <v>625</v>
      </c>
      <c r="K9" s="499" t="s">
        <v>624</v>
      </c>
    </row>
    <row r="10" spans="1:11" ht="12.75" customHeight="1">
      <c r="A10" s="500" t="s">
        <v>97</v>
      </c>
      <c r="B10" s="501" t="s">
        <v>98</v>
      </c>
      <c r="C10" s="501" t="s">
        <v>99</v>
      </c>
      <c r="D10" s="501" t="s">
        <v>100</v>
      </c>
      <c r="E10" s="501" t="s">
        <v>100</v>
      </c>
      <c r="F10" s="501" t="s">
        <v>101</v>
      </c>
      <c r="G10" s="501" t="s">
        <v>100</v>
      </c>
      <c r="H10" s="501" t="s">
        <v>101</v>
      </c>
      <c r="I10" s="501" t="s">
        <v>100</v>
      </c>
      <c r="J10" s="535" t="s">
        <v>101</v>
      </c>
      <c r="K10" s="502" t="s">
        <v>498</v>
      </c>
    </row>
    <row r="11" spans="1:11" ht="23.25" customHeight="1">
      <c r="A11" s="55" t="s">
        <v>2</v>
      </c>
      <c r="B11" s="503" t="s">
        <v>352</v>
      </c>
      <c r="C11" s="320">
        <f aca="true" t="shared" si="0" ref="C11:K11">C12</f>
        <v>2563740</v>
      </c>
      <c r="D11" s="320">
        <f t="shared" si="0"/>
        <v>0</v>
      </c>
      <c r="E11" s="320">
        <f t="shared" si="0"/>
        <v>2563740</v>
      </c>
      <c r="F11" s="320">
        <f t="shared" si="0"/>
        <v>2428897</v>
      </c>
      <c r="G11" s="320">
        <f t="shared" si="0"/>
        <v>4992637</v>
      </c>
      <c r="H11" s="320">
        <f t="shared" si="0"/>
        <v>78061</v>
      </c>
      <c r="I11" s="320">
        <f t="shared" si="0"/>
        <v>5070698</v>
      </c>
      <c r="J11" s="536">
        <f t="shared" si="0"/>
        <v>593648</v>
      </c>
      <c r="K11" s="321">
        <f t="shared" si="0"/>
        <v>5664346</v>
      </c>
    </row>
    <row r="12" spans="1:11" ht="16.5" customHeight="1" hidden="1">
      <c r="A12" s="36" t="s">
        <v>10</v>
      </c>
      <c r="B12" s="504" t="s">
        <v>353</v>
      </c>
      <c r="C12" s="311">
        <v>2563740</v>
      </c>
      <c r="D12" s="311">
        <v>0</v>
      </c>
      <c r="E12" s="311">
        <v>2563740</v>
      </c>
      <c r="F12" s="311">
        <v>2428897</v>
      </c>
      <c r="G12" s="311">
        <f>E12+F12</f>
        <v>4992637</v>
      </c>
      <c r="H12" s="311">
        <v>78061</v>
      </c>
      <c r="I12" s="311">
        <f>G12+H12</f>
        <v>5070698</v>
      </c>
      <c r="J12" s="537">
        <v>593648</v>
      </c>
      <c r="K12" s="312">
        <f>I12+J12</f>
        <v>5664346</v>
      </c>
    </row>
    <row r="13" spans="1:11" ht="18.75" customHeight="1">
      <c r="A13" s="55" t="s">
        <v>26</v>
      </c>
      <c r="B13" s="503" t="s">
        <v>27</v>
      </c>
      <c r="C13" s="320">
        <f aca="true" t="shared" si="1" ref="C13:I13">SUM(C14:C16)</f>
        <v>20000</v>
      </c>
      <c r="D13" s="320">
        <f t="shared" si="1"/>
        <v>106000</v>
      </c>
      <c r="E13" s="320">
        <f t="shared" si="1"/>
        <v>126000</v>
      </c>
      <c r="F13" s="320">
        <f t="shared" si="1"/>
        <v>150000</v>
      </c>
      <c r="G13" s="320">
        <f t="shared" si="1"/>
        <v>276000</v>
      </c>
      <c r="H13" s="320">
        <f t="shared" si="1"/>
        <v>0</v>
      </c>
      <c r="I13" s="320">
        <f t="shared" si="1"/>
        <v>276000</v>
      </c>
      <c r="J13" s="536">
        <f>SUM(J14:J16)</f>
        <v>-145000</v>
      </c>
      <c r="K13" s="321">
        <f>SUM(K14:K16)</f>
        <v>131000</v>
      </c>
    </row>
    <row r="14" spans="1:11" ht="15.75" customHeight="1">
      <c r="A14" s="42" t="s">
        <v>28</v>
      </c>
      <c r="B14" s="43" t="s">
        <v>131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537">
        <v>0</v>
      </c>
      <c r="K14" s="312">
        <v>0</v>
      </c>
    </row>
    <row r="15" spans="1:11" ht="15.75" customHeight="1">
      <c r="A15" s="42" t="s">
        <v>522</v>
      </c>
      <c r="B15" s="43" t="s">
        <v>304</v>
      </c>
      <c r="C15" s="311">
        <v>20000</v>
      </c>
      <c r="D15" s="311">
        <v>105000</v>
      </c>
      <c r="E15" s="311">
        <f>C15+D15</f>
        <v>125000</v>
      </c>
      <c r="F15" s="311">
        <v>150000</v>
      </c>
      <c r="G15" s="311">
        <f>E15+F15</f>
        <v>275000</v>
      </c>
      <c r="H15" s="311">
        <v>0</v>
      </c>
      <c r="I15" s="311">
        <f>G15+H15</f>
        <v>275000</v>
      </c>
      <c r="J15" s="537">
        <v>-145000</v>
      </c>
      <c r="K15" s="312">
        <f>I15+J15</f>
        <v>130000</v>
      </c>
    </row>
    <row r="16" spans="1:11" ht="15.75" customHeight="1">
      <c r="A16" s="42" t="s">
        <v>37</v>
      </c>
      <c r="B16" s="43" t="s">
        <v>38</v>
      </c>
      <c r="C16" s="311">
        <v>0</v>
      </c>
      <c r="D16" s="311">
        <v>1000</v>
      </c>
      <c r="E16" s="311">
        <f>C16+D16</f>
        <v>1000</v>
      </c>
      <c r="F16" s="311">
        <v>0</v>
      </c>
      <c r="G16" s="311">
        <f>E16+F16</f>
        <v>1000</v>
      </c>
      <c r="H16" s="311">
        <v>0</v>
      </c>
      <c r="I16" s="311">
        <f>G16+H16</f>
        <v>1000</v>
      </c>
      <c r="J16" s="537">
        <v>0</v>
      </c>
      <c r="K16" s="312">
        <f>I16+J16</f>
        <v>1000</v>
      </c>
    </row>
    <row r="17" spans="1:11" ht="23.25" customHeight="1">
      <c r="A17" s="55" t="s">
        <v>41</v>
      </c>
      <c r="B17" s="503" t="s">
        <v>42</v>
      </c>
      <c r="C17" s="320">
        <f aca="true" t="shared" si="2" ref="C17:K17">C18</f>
        <v>0</v>
      </c>
      <c r="D17" s="320">
        <f t="shared" si="2"/>
        <v>0</v>
      </c>
      <c r="E17" s="320">
        <f t="shared" si="2"/>
        <v>2563740</v>
      </c>
      <c r="F17" s="320">
        <f t="shared" si="2"/>
        <v>2428897</v>
      </c>
      <c r="G17" s="320">
        <f t="shared" si="2"/>
        <v>4992637</v>
      </c>
      <c r="H17" s="320">
        <f t="shared" si="2"/>
        <v>78061</v>
      </c>
      <c r="I17" s="320">
        <f t="shared" si="2"/>
        <v>0</v>
      </c>
      <c r="J17" s="536">
        <f t="shared" si="2"/>
        <v>7000</v>
      </c>
      <c r="K17" s="321">
        <f t="shared" si="2"/>
        <v>7000</v>
      </c>
    </row>
    <row r="18" spans="1:11" ht="16.5" customHeight="1" hidden="1">
      <c r="A18" s="36" t="s">
        <v>575</v>
      </c>
      <c r="B18" s="504" t="s">
        <v>576</v>
      </c>
      <c r="C18" s="311">
        <v>0</v>
      </c>
      <c r="D18" s="311">
        <v>0</v>
      </c>
      <c r="E18" s="311">
        <v>2563740</v>
      </c>
      <c r="F18" s="311">
        <v>2428897</v>
      </c>
      <c r="G18" s="311">
        <f>E18+F18</f>
        <v>4992637</v>
      </c>
      <c r="H18" s="311">
        <v>78061</v>
      </c>
      <c r="I18" s="311">
        <v>0</v>
      </c>
      <c r="J18" s="537">
        <v>7000</v>
      </c>
      <c r="K18" s="312">
        <f>I18+J18</f>
        <v>7000</v>
      </c>
    </row>
    <row r="19" spans="1:11" ht="21" customHeight="1">
      <c r="A19" s="44" t="s">
        <v>195</v>
      </c>
      <c r="B19" s="45" t="s">
        <v>47</v>
      </c>
      <c r="C19" s="423">
        <f aca="true" t="shared" si="3" ref="C19:H19">C11+C13</f>
        <v>2583740</v>
      </c>
      <c r="D19" s="423">
        <f t="shared" si="3"/>
        <v>106000</v>
      </c>
      <c r="E19" s="423">
        <f t="shared" si="3"/>
        <v>2689740</v>
      </c>
      <c r="F19" s="423">
        <f t="shared" si="3"/>
        <v>2578897</v>
      </c>
      <c r="G19" s="423">
        <f t="shared" si="3"/>
        <v>5268637</v>
      </c>
      <c r="H19" s="423">
        <f t="shared" si="3"/>
        <v>78061</v>
      </c>
      <c r="I19" s="423">
        <f>I11+I13+I17</f>
        <v>5346698</v>
      </c>
      <c r="J19" s="423">
        <f>J11+J13+J17</f>
        <v>455648</v>
      </c>
      <c r="K19" s="722">
        <f>K11+K13+K17</f>
        <v>5802346</v>
      </c>
    </row>
    <row r="20" spans="1:11" ht="12.75" customHeight="1">
      <c r="A20" s="44"/>
      <c r="B20" s="45"/>
      <c r="C20" s="314"/>
      <c r="D20" s="314"/>
      <c r="E20" s="314"/>
      <c r="F20" s="314"/>
      <c r="G20" s="314"/>
      <c r="H20" s="314"/>
      <c r="I20" s="314"/>
      <c r="J20" s="538"/>
      <c r="K20" s="322"/>
    </row>
    <row r="21" spans="1:11" ht="16.5" customHeight="1">
      <c r="A21" s="55" t="s">
        <v>48</v>
      </c>
      <c r="B21" s="503" t="s">
        <v>49</v>
      </c>
      <c r="C21" s="313">
        <f aca="true" t="shared" si="4" ref="C21:I21">SUM(C22:C23)</f>
        <v>45404078</v>
      </c>
      <c r="D21" s="313">
        <f t="shared" si="4"/>
        <v>1260</v>
      </c>
      <c r="E21" s="313">
        <f t="shared" si="4"/>
        <v>45405338</v>
      </c>
      <c r="F21" s="313">
        <f t="shared" si="4"/>
        <v>0</v>
      </c>
      <c r="G21" s="313">
        <f t="shared" si="4"/>
        <v>45405338</v>
      </c>
      <c r="H21" s="313">
        <f t="shared" si="4"/>
        <v>0</v>
      </c>
      <c r="I21" s="313">
        <f t="shared" si="4"/>
        <v>45405338</v>
      </c>
      <c r="J21" s="539">
        <f>SUM(J22:J23)</f>
        <v>-16478</v>
      </c>
      <c r="K21" s="323">
        <f>SUM(K22:K23)</f>
        <v>45388860</v>
      </c>
    </row>
    <row r="22" spans="1:11" ht="19.5" customHeight="1">
      <c r="A22" s="42" t="s">
        <v>50</v>
      </c>
      <c r="B22" s="43" t="s">
        <v>51</v>
      </c>
      <c r="C22" s="311">
        <v>38740</v>
      </c>
      <c r="D22" s="311">
        <v>1260</v>
      </c>
      <c r="E22" s="311">
        <f>C22+D22</f>
        <v>40000</v>
      </c>
      <c r="F22" s="311">
        <v>0</v>
      </c>
      <c r="G22" s="311">
        <f>E22+F22</f>
        <v>40000</v>
      </c>
      <c r="H22" s="311">
        <v>0</v>
      </c>
      <c r="I22" s="311">
        <f>G22+H22</f>
        <v>40000</v>
      </c>
      <c r="J22" s="537">
        <v>0</v>
      </c>
      <c r="K22" s="312">
        <f>I22+J22</f>
        <v>40000</v>
      </c>
    </row>
    <row r="23" spans="1:11" ht="14.25" customHeight="1">
      <c r="A23" s="36" t="s">
        <v>192</v>
      </c>
      <c r="B23" s="504" t="s">
        <v>193</v>
      </c>
      <c r="C23" s="311">
        <v>45365338</v>
      </c>
      <c r="D23" s="311">
        <v>0</v>
      </c>
      <c r="E23" s="311">
        <v>45365338</v>
      </c>
      <c r="F23" s="311">
        <v>0</v>
      </c>
      <c r="G23" s="311">
        <v>45365338</v>
      </c>
      <c r="H23" s="311">
        <v>0</v>
      </c>
      <c r="I23" s="311">
        <v>45365338</v>
      </c>
      <c r="J23" s="537">
        <v>-16478</v>
      </c>
      <c r="K23" s="312">
        <f>I23+J23</f>
        <v>45348860</v>
      </c>
    </row>
    <row r="24" spans="1:11" ht="12.75" customHeight="1">
      <c r="A24" s="36"/>
      <c r="B24" s="504"/>
      <c r="C24" s="311"/>
      <c r="D24" s="311"/>
      <c r="E24" s="311"/>
      <c r="F24" s="311"/>
      <c r="G24" s="311"/>
      <c r="H24" s="311"/>
      <c r="I24" s="311"/>
      <c r="J24" s="537"/>
      <c r="K24" s="312"/>
    </row>
    <row r="25" spans="1:11" ht="26.25" customHeight="1" thickBot="1">
      <c r="A25" s="49" t="s">
        <v>632</v>
      </c>
      <c r="B25" s="50" t="s">
        <v>52</v>
      </c>
      <c r="C25" s="315">
        <f aca="true" t="shared" si="5" ref="C25:H25">C19+C21</f>
        <v>47987818</v>
      </c>
      <c r="D25" s="315">
        <f t="shared" si="5"/>
        <v>107260</v>
      </c>
      <c r="E25" s="315">
        <f t="shared" si="5"/>
        <v>48095078</v>
      </c>
      <c r="F25" s="315">
        <f t="shared" si="5"/>
        <v>2578897</v>
      </c>
      <c r="G25" s="315">
        <f t="shared" si="5"/>
        <v>50673975</v>
      </c>
      <c r="H25" s="315">
        <f t="shared" si="5"/>
        <v>78061</v>
      </c>
      <c r="I25" s="315">
        <f>I19+I21</f>
        <v>50752036</v>
      </c>
      <c r="J25" s="540">
        <f>J19+J21</f>
        <v>439170</v>
      </c>
      <c r="K25" s="324">
        <f>K19+K21</f>
        <v>51191206</v>
      </c>
    </row>
    <row r="26" spans="1:11" ht="16.5" thickTop="1">
      <c r="A26" s="37"/>
      <c r="B26" s="37"/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1" ht="16.5" thickBot="1">
      <c r="A27" s="38"/>
      <c r="B27" s="39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1" ht="42.75" customHeight="1" thickTop="1">
      <c r="A28" s="497" t="s">
        <v>0</v>
      </c>
      <c r="B28" s="498" t="s">
        <v>519</v>
      </c>
      <c r="C28" s="498" t="s">
        <v>526</v>
      </c>
      <c r="D28" s="498" t="s">
        <v>558</v>
      </c>
      <c r="E28" s="498" t="s">
        <v>559</v>
      </c>
      <c r="F28" s="498" t="s">
        <v>573</v>
      </c>
      <c r="G28" s="498" t="s">
        <v>574</v>
      </c>
      <c r="H28" s="498" t="s">
        <v>617</v>
      </c>
      <c r="I28" s="498" t="s">
        <v>616</v>
      </c>
      <c r="J28" s="534" t="s">
        <v>625</v>
      </c>
      <c r="K28" s="499" t="s">
        <v>624</v>
      </c>
    </row>
    <row r="29" spans="1:11" ht="12.75">
      <c r="A29" s="500" t="s">
        <v>97</v>
      </c>
      <c r="B29" s="501" t="s">
        <v>98</v>
      </c>
      <c r="C29" s="505" t="s">
        <v>99</v>
      </c>
      <c r="D29" s="505" t="s">
        <v>100</v>
      </c>
      <c r="E29" s="505" t="s">
        <v>101</v>
      </c>
      <c r="F29" s="505" t="s">
        <v>100</v>
      </c>
      <c r="G29" s="505" t="s">
        <v>100</v>
      </c>
      <c r="H29" s="505" t="s">
        <v>101</v>
      </c>
      <c r="I29" s="505" t="s">
        <v>100</v>
      </c>
      <c r="J29" s="541" t="s">
        <v>101</v>
      </c>
      <c r="K29" s="506" t="s">
        <v>498</v>
      </c>
    </row>
    <row r="30" spans="1:11" ht="14.25">
      <c r="A30" s="55" t="s">
        <v>53</v>
      </c>
      <c r="B30" s="503" t="s">
        <v>54</v>
      </c>
      <c r="C30" s="424">
        <f aca="true" t="shared" si="6" ref="C30:I30">SUM(C31:C32)</f>
        <v>30612573</v>
      </c>
      <c r="D30" s="424">
        <f t="shared" si="6"/>
        <v>0</v>
      </c>
      <c r="E30" s="424">
        <f t="shared" si="6"/>
        <v>30612573</v>
      </c>
      <c r="F30" s="424">
        <f t="shared" si="6"/>
        <v>1686000</v>
      </c>
      <c r="G30" s="424">
        <f t="shared" si="6"/>
        <v>32298573</v>
      </c>
      <c r="H30" s="424">
        <f t="shared" si="6"/>
        <v>161288</v>
      </c>
      <c r="I30" s="424">
        <f t="shared" si="6"/>
        <v>32459861</v>
      </c>
      <c r="J30" s="542">
        <f>SUM(J31:J32)</f>
        <v>553100</v>
      </c>
      <c r="K30" s="325">
        <f>SUM(K31:K32)</f>
        <v>33012961</v>
      </c>
    </row>
    <row r="31" spans="1:11" ht="12.75">
      <c r="A31" s="42" t="s">
        <v>55</v>
      </c>
      <c r="B31" s="43" t="s">
        <v>56</v>
      </c>
      <c r="C31" s="136">
        <v>30512573</v>
      </c>
      <c r="D31" s="136">
        <v>0</v>
      </c>
      <c r="E31" s="136">
        <v>30512573</v>
      </c>
      <c r="F31" s="136">
        <v>1590000</v>
      </c>
      <c r="G31" s="136">
        <f>E31+F31</f>
        <v>32102573</v>
      </c>
      <c r="H31" s="136">
        <v>-960000</v>
      </c>
      <c r="I31" s="136">
        <f>G31+H31</f>
        <v>31142573</v>
      </c>
      <c r="J31" s="543">
        <v>503100</v>
      </c>
      <c r="K31" s="326">
        <f>I31+J31</f>
        <v>31645673</v>
      </c>
    </row>
    <row r="32" spans="1:11" ht="12.75">
      <c r="A32" s="42" t="s">
        <v>62</v>
      </c>
      <c r="B32" s="43" t="s">
        <v>63</v>
      </c>
      <c r="C32" s="136">
        <v>100000</v>
      </c>
      <c r="D32" s="136">
        <v>0</v>
      </c>
      <c r="E32" s="136">
        <v>100000</v>
      </c>
      <c r="F32" s="136">
        <v>96000</v>
      </c>
      <c r="G32" s="136">
        <f>E32+F32</f>
        <v>196000</v>
      </c>
      <c r="H32" s="136">
        <v>1121288</v>
      </c>
      <c r="I32" s="136">
        <f>G32+H32</f>
        <v>1317288</v>
      </c>
      <c r="J32" s="543">
        <v>50000</v>
      </c>
      <c r="K32" s="326">
        <f>I32+J32</f>
        <v>1367288</v>
      </c>
    </row>
    <row r="33" spans="1:11" ht="22.5" customHeight="1">
      <c r="A33" s="55" t="s">
        <v>67</v>
      </c>
      <c r="B33" s="507" t="s">
        <v>168</v>
      </c>
      <c r="C33" s="135">
        <v>8556643</v>
      </c>
      <c r="D33" s="135">
        <v>0</v>
      </c>
      <c r="E33" s="135">
        <v>8556643</v>
      </c>
      <c r="F33" s="135">
        <v>469290</v>
      </c>
      <c r="G33" s="135">
        <f>E33+F33</f>
        <v>9025933</v>
      </c>
      <c r="H33" s="135">
        <v>11675</v>
      </c>
      <c r="I33" s="135">
        <f>G33+H33</f>
        <v>9037608</v>
      </c>
      <c r="J33" s="544">
        <v>0</v>
      </c>
      <c r="K33" s="327">
        <f>I33+J33</f>
        <v>9037608</v>
      </c>
    </row>
    <row r="34" spans="1:11" ht="15.75" customHeight="1">
      <c r="A34" s="55" t="s">
        <v>68</v>
      </c>
      <c r="B34" s="503" t="s">
        <v>69</v>
      </c>
      <c r="C34" s="135">
        <f aca="true" t="shared" si="7" ref="C34:I34">SUM(C35:C39)</f>
        <v>7361437</v>
      </c>
      <c r="D34" s="135">
        <f t="shared" si="7"/>
        <v>-23740</v>
      </c>
      <c r="E34" s="135">
        <f t="shared" si="7"/>
        <v>7337697</v>
      </c>
      <c r="F34" s="135">
        <f t="shared" si="7"/>
        <v>423607</v>
      </c>
      <c r="G34" s="135">
        <f t="shared" si="7"/>
        <v>7761304</v>
      </c>
      <c r="H34" s="135">
        <f t="shared" si="7"/>
        <v>-170771</v>
      </c>
      <c r="I34" s="135">
        <f t="shared" si="7"/>
        <v>7590533</v>
      </c>
      <c r="J34" s="544">
        <f>SUM(J35:J39)</f>
        <v>-194930</v>
      </c>
      <c r="K34" s="327">
        <f>SUM(K35:K39)</f>
        <v>7395603</v>
      </c>
    </row>
    <row r="35" spans="1:11" ht="15.75" customHeight="1">
      <c r="A35" s="42" t="s">
        <v>70</v>
      </c>
      <c r="B35" s="43" t="s">
        <v>71</v>
      </c>
      <c r="C35" s="138">
        <v>1590700</v>
      </c>
      <c r="D35" s="138">
        <v>0</v>
      </c>
      <c r="E35" s="138">
        <f>C35+D35</f>
        <v>1590700</v>
      </c>
      <c r="F35" s="138">
        <v>228037</v>
      </c>
      <c r="G35" s="138">
        <f>E35+F35</f>
        <v>1818737</v>
      </c>
      <c r="H35" s="138">
        <v>-119</v>
      </c>
      <c r="I35" s="138">
        <f>G35+H35</f>
        <v>1818618</v>
      </c>
      <c r="J35" s="545">
        <v>-199000</v>
      </c>
      <c r="K35" s="328">
        <f>I35+J35</f>
        <v>1619618</v>
      </c>
    </row>
    <row r="36" spans="1:11" ht="15.75" customHeight="1">
      <c r="A36" s="42" t="s">
        <v>72</v>
      </c>
      <c r="B36" s="43" t="s">
        <v>73</v>
      </c>
      <c r="C36" s="138">
        <v>1372400</v>
      </c>
      <c r="D36" s="138">
        <v>0</v>
      </c>
      <c r="E36" s="138">
        <f>C36+D36</f>
        <v>1372400</v>
      </c>
      <c r="F36" s="138">
        <v>0</v>
      </c>
      <c r="G36" s="138">
        <f>E36+F36</f>
        <v>1372400</v>
      </c>
      <c r="H36" s="138">
        <v>100000</v>
      </c>
      <c r="I36" s="138">
        <f>G36+H36</f>
        <v>1472400</v>
      </c>
      <c r="J36" s="545">
        <v>40000</v>
      </c>
      <c r="K36" s="328">
        <f>I36+J36</f>
        <v>1512400</v>
      </c>
    </row>
    <row r="37" spans="1:11" ht="15.75" customHeight="1">
      <c r="A37" s="42" t="s">
        <v>74</v>
      </c>
      <c r="B37" s="43" t="s">
        <v>75</v>
      </c>
      <c r="C37" s="138">
        <v>1425450</v>
      </c>
      <c r="D37" s="138">
        <v>83000</v>
      </c>
      <c r="E37" s="138">
        <f>C37+D37</f>
        <v>1508450</v>
      </c>
      <c r="F37" s="138">
        <v>210000</v>
      </c>
      <c r="G37" s="138">
        <f>E37+F37</f>
        <v>1718450</v>
      </c>
      <c r="H37" s="138">
        <v>-48380</v>
      </c>
      <c r="I37" s="138">
        <f>G37+H37</f>
        <v>1670070</v>
      </c>
      <c r="J37" s="545">
        <v>90000</v>
      </c>
      <c r="K37" s="328">
        <f>I37+J37</f>
        <v>1760070</v>
      </c>
    </row>
    <row r="38" spans="1:11" ht="15.75" customHeight="1">
      <c r="A38" s="42" t="s">
        <v>78</v>
      </c>
      <c r="B38" s="43" t="s">
        <v>79</v>
      </c>
      <c r="C38" s="138">
        <v>1711837</v>
      </c>
      <c r="D38" s="138">
        <v>-139740</v>
      </c>
      <c r="E38" s="138">
        <f>C38+D38</f>
        <v>1572097</v>
      </c>
      <c r="F38" s="138">
        <v>-86000</v>
      </c>
      <c r="G38" s="138">
        <f>E38+F38</f>
        <v>1486097</v>
      </c>
      <c r="H38" s="138">
        <v>-181961</v>
      </c>
      <c r="I38" s="138">
        <f>G38+H38</f>
        <v>1304136</v>
      </c>
      <c r="J38" s="545">
        <v>-85000</v>
      </c>
      <c r="K38" s="328">
        <f>I38+J38</f>
        <v>1219136</v>
      </c>
    </row>
    <row r="39" spans="1:11" ht="15.75" customHeight="1">
      <c r="A39" s="42" t="s">
        <v>80</v>
      </c>
      <c r="B39" s="43" t="s">
        <v>81</v>
      </c>
      <c r="C39" s="138">
        <v>1261050</v>
      </c>
      <c r="D39" s="138">
        <v>33000</v>
      </c>
      <c r="E39" s="138">
        <f>C39+D39</f>
        <v>1294050</v>
      </c>
      <c r="F39" s="138">
        <v>71570</v>
      </c>
      <c r="G39" s="138">
        <f>E39+F39</f>
        <v>1365620</v>
      </c>
      <c r="H39" s="138">
        <v>-40311</v>
      </c>
      <c r="I39" s="138">
        <f>G39+H39</f>
        <v>1325309</v>
      </c>
      <c r="J39" s="545">
        <v>-40930</v>
      </c>
      <c r="K39" s="328">
        <f>I39+J39</f>
        <v>1284379</v>
      </c>
    </row>
    <row r="40" spans="1:11" ht="15.75" customHeight="1">
      <c r="A40" s="40" t="s">
        <v>85</v>
      </c>
      <c r="B40" s="41" t="s">
        <v>310</v>
      </c>
      <c r="C40" s="139">
        <v>0</v>
      </c>
      <c r="D40" s="139">
        <v>0</v>
      </c>
      <c r="E40" s="139">
        <v>0</v>
      </c>
      <c r="F40" s="139">
        <v>0</v>
      </c>
      <c r="G40" s="139">
        <f>SUM(G41:G41)</f>
        <v>0</v>
      </c>
      <c r="H40" s="139">
        <f>SUM(H41:H41)</f>
        <v>75869</v>
      </c>
      <c r="I40" s="135">
        <f>SUM(I41:I41)</f>
        <v>75869</v>
      </c>
      <c r="J40" s="546">
        <f>SUM(J41:J41)</f>
        <v>0</v>
      </c>
      <c r="K40" s="327">
        <f>SUM(K41:K41)</f>
        <v>75869</v>
      </c>
    </row>
    <row r="41" spans="1:11" ht="16.5" customHeight="1">
      <c r="A41" s="42" t="s">
        <v>523</v>
      </c>
      <c r="B41" s="43" t="s">
        <v>309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75869</v>
      </c>
      <c r="I41" s="138">
        <f>G41+H41</f>
        <v>75869</v>
      </c>
      <c r="J41" s="545">
        <v>0</v>
      </c>
      <c r="K41" s="328">
        <f>I41+J41</f>
        <v>75869</v>
      </c>
    </row>
    <row r="42" spans="1:11" ht="13.5">
      <c r="A42" s="40" t="s">
        <v>311</v>
      </c>
      <c r="B42" s="41" t="s">
        <v>87</v>
      </c>
      <c r="C42" s="139">
        <f aca="true" t="shared" si="8" ref="C42:I42">SUM(C43:C44)</f>
        <v>1457165</v>
      </c>
      <c r="D42" s="139">
        <f t="shared" si="8"/>
        <v>131000</v>
      </c>
      <c r="E42" s="139">
        <f t="shared" si="8"/>
        <v>1588165</v>
      </c>
      <c r="F42" s="139">
        <f t="shared" si="8"/>
        <v>0</v>
      </c>
      <c r="G42" s="139">
        <f t="shared" si="8"/>
        <v>1588165</v>
      </c>
      <c r="H42" s="139">
        <f t="shared" si="8"/>
        <v>0</v>
      </c>
      <c r="I42" s="139">
        <f t="shared" si="8"/>
        <v>1588165</v>
      </c>
      <c r="J42" s="546">
        <f>SUM(J43:J44)</f>
        <v>81000</v>
      </c>
      <c r="K42" s="329">
        <f>SUM(K43:K44)</f>
        <v>1669165</v>
      </c>
    </row>
    <row r="43" spans="1:11" s="91" customFormat="1" ht="15" customHeight="1" hidden="1">
      <c r="A43" s="42" t="s">
        <v>181</v>
      </c>
      <c r="B43" s="43" t="s">
        <v>312</v>
      </c>
      <c r="C43" s="138">
        <v>1063730</v>
      </c>
      <c r="D43" s="138">
        <v>181000</v>
      </c>
      <c r="E43" s="138">
        <f>C43+D43</f>
        <v>1244730</v>
      </c>
      <c r="F43" s="138">
        <v>0</v>
      </c>
      <c r="G43" s="138">
        <f>E43+F43</f>
        <v>1244730</v>
      </c>
      <c r="H43" s="138">
        <v>0</v>
      </c>
      <c r="I43" s="138">
        <f>G43+H43</f>
        <v>1244730</v>
      </c>
      <c r="J43" s="545">
        <v>70000</v>
      </c>
      <c r="K43" s="328">
        <f>I43+J43</f>
        <v>1314730</v>
      </c>
    </row>
    <row r="44" spans="1:11" s="91" customFormat="1" ht="14.25" customHeight="1" hidden="1">
      <c r="A44" s="42" t="s">
        <v>182</v>
      </c>
      <c r="B44" s="43" t="s">
        <v>313</v>
      </c>
      <c r="C44" s="138">
        <v>393435</v>
      </c>
      <c r="D44" s="138">
        <v>-50000</v>
      </c>
      <c r="E44" s="138">
        <f>C44+D44</f>
        <v>343435</v>
      </c>
      <c r="F44" s="138">
        <v>0</v>
      </c>
      <c r="G44" s="138">
        <f>E44+F44</f>
        <v>343435</v>
      </c>
      <c r="H44" s="138">
        <v>0</v>
      </c>
      <c r="I44" s="138">
        <f>G44+H44</f>
        <v>343435</v>
      </c>
      <c r="J44" s="545">
        <v>11000</v>
      </c>
      <c r="K44" s="328">
        <f>I44+J44</f>
        <v>354435</v>
      </c>
    </row>
    <row r="45" spans="1:11" ht="16.5" thickBot="1">
      <c r="A45" s="49" t="s">
        <v>194</v>
      </c>
      <c r="B45" s="50" t="s">
        <v>95</v>
      </c>
      <c r="C45" s="137">
        <f>C30+C33+C34+C40+C42</f>
        <v>47987818</v>
      </c>
      <c r="D45" s="137">
        <f aca="true" t="shared" si="9" ref="D45:I45">D30+D33+D34+D40+D42</f>
        <v>107260</v>
      </c>
      <c r="E45" s="137">
        <f t="shared" si="9"/>
        <v>48095078</v>
      </c>
      <c r="F45" s="137">
        <f t="shared" si="9"/>
        <v>2578897</v>
      </c>
      <c r="G45" s="137">
        <f t="shared" si="9"/>
        <v>50673975</v>
      </c>
      <c r="H45" s="137">
        <f t="shared" si="9"/>
        <v>78061</v>
      </c>
      <c r="I45" s="315">
        <f t="shared" si="9"/>
        <v>50752036</v>
      </c>
      <c r="J45" s="547">
        <f>J30+J33+J34+J40+J42</f>
        <v>439170</v>
      </c>
      <c r="K45" s="324">
        <f>K30+K33+K34+K40+K42</f>
        <v>51191206</v>
      </c>
    </row>
    <row r="46" spans="1:11" ht="16.5" thickTop="1">
      <c r="A46" s="37"/>
      <c r="B46" s="37"/>
      <c r="C46" s="35"/>
      <c r="D46" s="35"/>
      <c r="E46" s="35"/>
      <c r="F46" s="35"/>
      <c r="G46" s="35"/>
      <c r="H46" s="35"/>
      <c r="I46" s="35"/>
      <c r="J46" s="35"/>
      <c r="K46" s="35"/>
    </row>
    <row r="47" spans="1:2" ht="16.5" thickBot="1">
      <c r="A47" s="33"/>
      <c r="B47" s="34"/>
    </row>
    <row r="48" spans="1:11" ht="15" thickBot="1">
      <c r="A48" s="92" t="s">
        <v>527</v>
      </c>
      <c r="B48" s="90"/>
      <c r="C48" s="756">
        <v>13</v>
      </c>
      <c r="D48" s="757"/>
      <c r="E48" s="758"/>
      <c r="F48" s="470"/>
      <c r="G48" s="470"/>
      <c r="H48" s="470"/>
      <c r="I48" s="470"/>
      <c r="J48" s="470"/>
      <c r="K48" s="470"/>
    </row>
    <row r="49" spans="1:11" ht="15" thickBot="1">
      <c r="A49" s="92" t="s">
        <v>209</v>
      </c>
      <c r="B49" s="90"/>
      <c r="C49" s="756">
        <v>0</v>
      </c>
      <c r="D49" s="757"/>
      <c r="E49" s="758"/>
      <c r="F49" s="470"/>
      <c r="G49" s="470"/>
      <c r="H49" s="470"/>
      <c r="I49" s="470"/>
      <c r="J49" s="470"/>
      <c r="K49" s="470"/>
    </row>
  </sheetData>
  <sheetProtection/>
  <mergeCells count="4">
    <mergeCell ref="C48:E48"/>
    <mergeCell ref="C49:E49"/>
    <mergeCell ref="A2:K3"/>
    <mergeCell ref="A4:K4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87.8515625" style="551" customWidth="1"/>
    <col min="2" max="2" width="10.7109375" style="551" hidden="1" customWidth="1"/>
    <col min="3" max="3" width="11.28125" style="551" hidden="1" customWidth="1"/>
    <col min="4" max="4" width="15.28125" style="551" hidden="1" customWidth="1"/>
    <col min="5" max="5" width="10.7109375" style="551" customWidth="1"/>
    <col min="6" max="6" width="11.28125" style="551" customWidth="1"/>
    <col min="7" max="7" width="16.28125" style="551" customWidth="1"/>
    <col min="8" max="8" width="10.7109375" style="551" customWidth="1"/>
    <col min="9" max="9" width="11.28125" style="551" customWidth="1"/>
    <col min="10" max="11" width="16.28125" style="551" customWidth="1"/>
    <col min="12" max="16384" width="9.140625" style="549" customWidth="1"/>
  </cols>
  <sheetData>
    <row r="1" spans="1:11" ht="23.25" customHeight="1">
      <c r="A1" s="763" t="s">
        <v>639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12.75" customHeight="1">
      <c r="A2" s="729" t="s">
        <v>785</v>
      </c>
      <c r="B2" s="514"/>
      <c r="C2" s="514"/>
      <c r="D2" s="550"/>
      <c r="E2" s="514"/>
      <c r="F2" s="514"/>
      <c r="G2" s="550"/>
      <c r="H2" s="514"/>
      <c r="I2" s="514"/>
      <c r="J2" s="550"/>
      <c r="K2" s="550"/>
    </row>
    <row r="3" spans="1:12" ht="15.75">
      <c r="A3" s="729" t="s">
        <v>787</v>
      </c>
      <c r="C3" s="762"/>
      <c r="D3" s="762"/>
      <c r="F3" s="762"/>
      <c r="G3" s="762"/>
      <c r="I3" s="708"/>
      <c r="J3" s="762" t="s">
        <v>509</v>
      </c>
      <c r="K3" s="762"/>
      <c r="L3" s="708"/>
    </row>
    <row r="4" spans="1:11" ht="14.25">
      <c r="A4" s="767" t="s">
        <v>640</v>
      </c>
      <c r="B4" s="764" t="s">
        <v>641</v>
      </c>
      <c r="C4" s="765"/>
      <c r="D4" s="766"/>
      <c r="E4" s="764" t="s">
        <v>772</v>
      </c>
      <c r="F4" s="765"/>
      <c r="G4" s="766"/>
      <c r="H4" s="764" t="s">
        <v>755</v>
      </c>
      <c r="I4" s="765"/>
      <c r="J4" s="766"/>
      <c r="K4" s="760" t="s">
        <v>771</v>
      </c>
    </row>
    <row r="5" spans="1:11" s="554" customFormat="1" ht="28.5">
      <c r="A5" s="768"/>
      <c r="B5" s="552" t="s">
        <v>642</v>
      </c>
      <c r="C5" s="552" t="s">
        <v>643</v>
      </c>
      <c r="D5" s="553" t="s">
        <v>644</v>
      </c>
      <c r="E5" s="552" t="s">
        <v>642</v>
      </c>
      <c r="F5" s="552" t="s">
        <v>643</v>
      </c>
      <c r="G5" s="728" t="s">
        <v>644</v>
      </c>
      <c r="H5" s="552" t="s">
        <v>642</v>
      </c>
      <c r="I5" s="552" t="s">
        <v>643</v>
      </c>
      <c r="J5" s="728" t="s">
        <v>644</v>
      </c>
      <c r="K5" s="761"/>
    </row>
    <row r="6" spans="1:11" ht="14.25">
      <c r="A6" s="555"/>
      <c r="B6" s="556"/>
      <c r="C6" s="557" t="s">
        <v>645</v>
      </c>
      <c r="D6" s="558" t="s">
        <v>646</v>
      </c>
      <c r="E6" s="556"/>
      <c r="F6" s="557" t="s">
        <v>645</v>
      </c>
      <c r="G6" s="558" t="s">
        <v>770</v>
      </c>
      <c r="H6" s="556"/>
      <c r="I6" s="557" t="s">
        <v>645</v>
      </c>
      <c r="J6" s="558" t="s">
        <v>770</v>
      </c>
      <c r="K6" s="558" t="s">
        <v>770</v>
      </c>
    </row>
    <row r="7" spans="1:11" ht="14.25">
      <c r="A7" s="559" t="s">
        <v>647</v>
      </c>
      <c r="B7" s="560"/>
      <c r="C7" s="560"/>
      <c r="D7" s="561"/>
      <c r="E7" s="560"/>
      <c r="F7" s="560"/>
      <c r="G7" s="561"/>
      <c r="H7" s="560"/>
      <c r="I7" s="560"/>
      <c r="J7" s="561"/>
      <c r="K7" s="561"/>
    </row>
    <row r="8" spans="1:11" ht="14.25">
      <c r="A8" s="562" t="s">
        <v>648</v>
      </c>
      <c r="B8" s="563">
        <v>11.14</v>
      </c>
      <c r="C8" s="564">
        <v>4580000</v>
      </c>
      <c r="D8" s="565">
        <f>B8*C8</f>
        <v>51021200</v>
      </c>
      <c r="E8" s="563">
        <v>11.14</v>
      </c>
      <c r="F8" s="564">
        <v>4580000</v>
      </c>
      <c r="G8" s="565">
        <f>E8*F8</f>
        <v>51021200</v>
      </c>
      <c r="H8" s="563">
        <v>11.14</v>
      </c>
      <c r="I8" s="564">
        <v>4580000</v>
      </c>
      <c r="J8" s="565">
        <f>H8*I8</f>
        <v>51021200</v>
      </c>
      <c r="K8" s="565">
        <f>J8-G8</f>
        <v>0</v>
      </c>
    </row>
    <row r="9" spans="1:11" ht="15.75">
      <c r="A9" s="562" t="s">
        <v>649</v>
      </c>
      <c r="B9" s="563"/>
      <c r="C9" s="564"/>
      <c r="D9" s="566">
        <v>46294425</v>
      </c>
      <c r="E9" s="563"/>
      <c r="F9" s="564"/>
      <c r="G9" s="566">
        <v>44562190</v>
      </c>
      <c r="H9" s="563"/>
      <c r="I9" s="564"/>
      <c r="J9" s="566">
        <v>44562190</v>
      </c>
      <c r="K9" s="565">
        <f aca="true" t="shared" si="0" ref="K9:K27">J9-G9</f>
        <v>0</v>
      </c>
    </row>
    <row r="10" spans="1:11" ht="14.25">
      <c r="A10" s="562" t="s">
        <v>650</v>
      </c>
      <c r="B10" s="564"/>
      <c r="C10" s="564"/>
      <c r="D10" s="565">
        <f>D12+D14+D16+D18</f>
        <v>8547185</v>
      </c>
      <c r="E10" s="564"/>
      <c r="F10" s="564"/>
      <c r="G10" s="565">
        <f>G12+G14+G16+G18</f>
        <v>8546248</v>
      </c>
      <c r="H10" s="564"/>
      <c r="I10" s="564"/>
      <c r="J10" s="565">
        <f>J12+J14+J16+J18</f>
        <v>8546248</v>
      </c>
      <c r="K10" s="565">
        <f t="shared" si="0"/>
        <v>0</v>
      </c>
    </row>
    <row r="11" spans="1:11" ht="15.75">
      <c r="A11" s="562" t="s">
        <v>651</v>
      </c>
      <c r="B11" s="564"/>
      <c r="C11" s="564"/>
      <c r="D11" s="566">
        <v>0</v>
      </c>
      <c r="E11" s="564"/>
      <c r="F11" s="564"/>
      <c r="G11" s="566">
        <v>0</v>
      </c>
      <c r="H11" s="564"/>
      <c r="I11" s="564"/>
      <c r="J11" s="566">
        <v>0</v>
      </c>
      <c r="K11" s="565">
        <f t="shared" si="0"/>
        <v>0</v>
      </c>
    </row>
    <row r="12" spans="1:11" ht="15">
      <c r="A12" s="567" t="s">
        <v>652</v>
      </c>
      <c r="B12" s="568"/>
      <c r="C12" s="569"/>
      <c r="D12" s="570">
        <v>3448517</v>
      </c>
      <c r="E12" s="568"/>
      <c r="F12" s="569"/>
      <c r="G12" s="570">
        <v>3447580</v>
      </c>
      <c r="H12" s="568"/>
      <c r="I12" s="569"/>
      <c r="J12" s="570">
        <v>3447580</v>
      </c>
      <c r="K12" s="565">
        <f t="shared" si="0"/>
        <v>0</v>
      </c>
    </row>
    <row r="13" spans="1:11" ht="15">
      <c r="A13" s="567" t="s">
        <v>653</v>
      </c>
      <c r="B13" s="568"/>
      <c r="C13" s="569"/>
      <c r="D13" s="570">
        <v>0</v>
      </c>
      <c r="E13" s="568"/>
      <c r="F13" s="569"/>
      <c r="G13" s="570">
        <v>0</v>
      </c>
      <c r="H13" s="568"/>
      <c r="I13" s="569"/>
      <c r="J13" s="570">
        <v>0</v>
      </c>
      <c r="K13" s="565">
        <f t="shared" si="0"/>
        <v>0</v>
      </c>
    </row>
    <row r="14" spans="1:11" ht="15">
      <c r="A14" s="567" t="s">
        <v>654</v>
      </c>
      <c r="B14" s="571"/>
      <c r="C14" s="571"/>
      <c r="D14" s="570">
        <v>2688000</v>
      </c>
      <c r="E14" s="571"/>
      <c r="F14" s="571"/>
      <c r="G14" s="570">
        <v>2688000</v>
      </c>
      <c r="H14" s="571"/>
      <c r="I14" s="571"/>
      <c r="J14" s="570">
        <v>2688000</v>
      </c>
      <c r="K14" s="565">
        <f t="shared" si="0"/>
        <v>0</v>
      </c>
    </row>
    <row r="15" spans="1:11" ht="15">
      <c r="A15" s="567" t="s">
        <v>655</v>
      </c>
      <c r="B15" s="571"/>
      <c r="C15" s="571"/>
      <c r="D15" s="570">
        <v>0</v>
      </c>
      <c r="E15" s="571"/>
      <c r="F15" s="571"/>
      <c r="G15" s="570">
        <v>0</v>
      </c>
      <c r="H15" s="571"/>
      <c r="I15" s="571"/>
      <c r="J15" s="570">
        <v>0</v>
      </c>
      <c r="K15" s="565">
        <f t="shared" si="0"/>
        <v>0</v>
      </c>
    </row>
    <row r="16" spans="1:11" ht="15">
      <c r="A16" s="567" t="s">
        <v>656</v>
      </c>
      <c r="B16" s="571"/>
      <c r="C16" s="571"/>
      <c r="D16" s="570">
        <v>1184868</v>
      </c>
      <c r="E16" s="571"/>
      <c r="F16" s="571"/>
      <c r="G16" s="570">
        <v>1184868</v>
      </c>
      <c r="H16" s="571"/>
      <c r="I16" s="571"/>
      <c r="J16" s="570">
        <v>1184868</v>
      </c>
      <c r="K16" s="565">
        <f t="shared" si="0"/>
        <v>0</v>
      </c>
    </row>
    <row r="17" spans="1:11" ht="15">
      <c r="A17" s="567" t="s">
        <v>657</v>
      </c>
      <c r="B17" s="571"/>
      <c r="C17" s="571"/>
      <c r="D17" s="570">
        <v>0</v>
      </c>
      <c r="E17" s="571"/>
      <c r="F17" s="571"/>
      <c r="G17" s="570">
        <v>0</v>
      </c>
      <c r="H17" s="571"/>
      <c r="I17" s="571"/>
      <c r="J17" s="570">
        <v>0</v>
      </c>
      <c r="K17" s="565">
        <f t="shared" si="0"/>
        <v>0</v>
      </c>
    </row>
    <row r="18" spans="1:11" ht="15">
      <c r="A18" s="567" t="s">
        <v>658</v>
      </c>
      <c r="B18" s="571"/>
      <c r="C18" s="571"/>
      <c r="D18" s="570">
        <v>1225800</v>
      </c>
      <c r="E18" s="571"/>
      <c r="F18" s="571"/>
      <c r="G18" s="570">
        <v>1225800</v>
      </c>
      <c r="H18" s="571"/>
      <c r="I18" s="571"/>
      <c r="J18" s="570">
        <v>1225800</v>
      </c>
      <c r="K18" s="565">
        <f t="shared" si="0"/>
        <v>0</v>
      </c>
    </row>
    <row r="19" spans="1:11" ht="15">
      <c r="A19" s="567" t="s">
        <v>659</v>
      </c>
      <c r="B19" s="571"/>
      <c r="C19" s="571"/>
      <c r="D19" s="570">
        <v>0</v>
      </c>
      <c r="E19" s="571"/>
      <c r="F19" s="571"/>
      <c r="G19" s="570">
        <v>0</v>
      </c>
      <c r="H19" s="571"/>
      <c r="I19" s="571"/>
      <c r="J19" s="570">
        <v>0</v>
      </c>
      <c r="K19" s="565">
        <f t="shared" si="0"/>
        <v>0</v>
      </c>
    </row>
    <row r="20" spans="1:11" ht="14.25">
      <c r="A20" s="562" t="s">
        <v>660</v>
      </c>
      <c r="B20" s="572"/>
      <c r="C20" s="572"/>
      <c r="D20" s="573">
        <v>3000000</v>
      </c>
      <c r="E20" s="572"/>
      <c r="F20" s="572"/>
      <c r="G20" s="573">
        <v>3500000</v>
      </c>
      <c r="H20" s="572"/>
      <c r="I20" s="572"/>
      <c r="J20" s="573">
        <v>3500000</v>
      </c>
      <c r="K20" s="565">
        <f t="shared" si="0"/>
        <v>0</v>
      </c>
    </row>
    <row r="21" spans="1:11" ht="14.25" customHeight="1">
      <c r="A21" s="562" t="s">
        <v>661</v>
      </c>
      <c r="B21" s="572"/>
      <c r="C21" s="572"/>
      <c r="D21" s="574">
        <v>0</v>
      </c>
      <c r="E21" s="572"/>
      <c r="F21" s="572"/>
      <c r="G21" s="574">
        <v>0</v>
      </c>
      <c r="H21" s="572"/>
      <c r="I21" s="572"/>
      <c r="J21" s="574">
        <v>0</v>
      </c>
      <c r="K21" s="565">
        <f t="shared" si="0"/>
        <v>0</v>
      </c>
    </row>
    <row r="22" spans="1:11" ht="14.25">
      <c r="A22" s="562" t="s">
        <v>662</v>
      </c>
      <c r="B22" s="572"/>
      <c r="C22" s="572"/>
      <c r="D22" s="573">
        <v>0</v>
      </c>
      <c r="E22" s="572"/>
      <c r="F22" s="572"/>
      <c r="G22" s="573">
        <v>7650</v>
      </c>
      <c r="H22" s="572"/>
      <c r="I22" s="572"/>
      <c r="J22" s="573">
        <v>7650</v>
      </c>
      <c r="K22" s="565">
        <f t="shared" si="0"/>
        <v>0</v>
      </c>
    </row>
    <row r="23" spans="1:11" ht="14.25" customHeight="1">
      <c r="A23" s="562" t="s">
        <v>663</v>
      </c>
      <c r="B23" s="572"/>
      <c r="C23" s="572"/>
      <c r="D23" s="574">
        <v>0</v>
      </c>
      <c r="E23" s="572"/>
      <c r="F23" s="572"/>
      <c r="G23" s="574">
        <v>0</v>
      </c>
      <c r="H23" s="572"/>
      <c r="I23" s="572"/>
      <c r="J23" s="574">
        <v>0</v>
      </c>
      <c r="K23" s="565">
        <f t="shared" si="0"/>
        <v>0</v>
      </c>
    </row>
    <row r="24" spans="1:11" ht="14.25" customHeight="1">
      <c r="A24" s="562" t="s">
        <v>664</v>
      </c>
      <c r="B24" s="572"/>
      <c r="C24" s="572"/>
      <c r="D24" s="573">
        <v>113150</v>
      </c>
      <c r="E24" s="572"/>
      <c r="F24" s="572"/>
      <c r="G24" s="573">
        <v>58900</v>
      </c>
      <c r="H24" s="572"/>
      <c r="I24" s="572"/>
      <c r="J24" s="573">
        <v>58900</v>
      </c>
      <c r="K24" s="565">
        <f t="shared" si="0"/>
        <v>0</v>
      </c>
    </row>
    <row r="25" spans="1:11" ht="14.25" customHeight="1">
      <c r="A25" s="562" t="s">
        <v>665</v>
      </c>
      <c r="B25" s="572"/>
      <c r="C25" s="572"/>
      <c r="D25" s="574">
        <v>0</v>
      </c>
      <c r="E25" s="572"/>
      <c r="F25" s="572"/>
      <c r="G25" s="574">
        <v>0</v>
      </c>
      <c r="H25" s="572"/>
      <c r="I25" s="572"/>
      <c r="J25" s="574">
        <v>0</v>
      </c>
      <c r="K25" s="565">
        <f t="shared" si="0"/>
        <v>0</v>
      </c>
    </row>
    <row r="26" spans="1:11" ht="14.25" customHeight="1">
      <c r="A26" s="562" t="s">
        <v>666</v>
      </c>
      <c r="B26" s="572"/>
      <c r="C26" s="572"/>
      <c r="D26" s="573">
        <v>16387110</v>
      </c>
      <c r="E26" s="572"/>
      <c r="F26" s="572"/>
      <c r="G26" s="573">
        <v>18571808</v>
      </c>
      <c r="H26" s="572"/>
      <c r="I26" s="572"/>
      <c r="J26" s="573">
        <v>18571808</v>
      </c>
      <c r="K26" s="565">
        <f t="shared" si="0"/>
        <v>0</v>
      </c>
    </row>
    <row r="27" spans="1:11" ht="14.25" customHeight="1">
      <c r="A27" s="562" t="s">
        <v>667</v>
      </c>
      <c r="B27" s="572"/>
      <c r="C27" s="572"/>
      <c r="D27" s="573">
        <v>0</v>
      </c>
      <c r="E27" s="572"/>
      <c r="F27" s="572"/>
      <c r="G27" s="573">
        <v>213233</v>
      </c>
      <c r="H27" s="572"/>
      <c r="I27" s="572"/>
      <c r="J27" s="573">
        <v>213233</v>
      </c>
      <c r="K27" s="565">
        <f t="shared" si="0"/>
        <v>0</v>
      </c>
    </row>
    <row r="28" spans="1:11" ht="14.25">
      <c r="A28" s="575" t="s">
        <v>668</v>
      </c>
      <c r="B28" s="576"/>
      <c r="C28" s="576"/>
      <c r="D28" s="577">
        <f>D9+D11</f>
        <v>46294425</v>
      </c>
      <c r="E28" s="576"/>
      <c r="F28" s="576"/>
      <c r="G28" s="577">
        <f>G9+G11+G27</f>
        <v>44775423</v>
      </c>
      <c r="H28" s="576"/>
      <c r="I28" s="576"/>
      <c r="J28" s="577">
        <f>J9+J11+J27</f>
        <v>44775423</v>
      </c>
      <c r="K28" s="577">
        <f>J28-G28</f>
        <v>0</v>
      </c>
    </row>
    <row r="29" spans="1:11" ht="14.25">
      <c r="A29" s="562" t="s">
        <v>669</v>
      </c>
      <c r="B29" s="564"/>
      <c r="C29" s="564"/>
      <c r="D29" s="565"/>
      <c r="E29" s="564"/>
      <c r="F29" s="564"/>
      <c r="G29" s="565"/>
      <c r="H29" s="564"/>
      <c r="I29" s="564"/>
      <c r="J29" s="565"/>
      <c r="K29" s="565">
        <f>J29-G29</f>
        <v>0</v>
      </c>
    </row>
    <row r="30" spans="1:11" ht="15">
      <c r="A30" s="567" t="s">
        <v>670</v>
      </c>
      <c r="B30" s="578">
        <f>7.3*8/12+6.4*4/12</f>
        <v>7</v>
      </c>
      <c r="C30" s="579">
        <v>4152000</v>
      </c>
      <c r="D30" s="580">
        <f aca="true" t="shared" si="1" ref="D30:D35">B30*C30</f>
        <v>29064000</v>
      </c>
      <c r="E30" s="578">
        <v>6.666667</v>
      </c>
      <c r="F30" s="579">
        <v>4308000</v>
      </c>
      <c r="G30" s="580">
        <f>20104000+8616000</f>
        <v>28720000</v>
      </c>
      <c r="H30" s="578">
        <v>6.8</v>
      </c>
      <c r="I30" s="579">
        <v>4308000</v>
      </c>
      <c r="J30" s="580">
        <f>H30*I30</f>
        <v>29294400</v>
      </c>
      <c r="K30" s="580">
        <f aca="true" t="shared" si="2" ref="K30:K46">J30-G30</f>
        <v>574400</v>
      </c>
    </row>
    <row r="31" spans="1:11" ht="15">
      <c r="A31" s="581" t="s">
        <v>671</v>
      </c>
      <c r="B31" s="571">
        <v>4</v>
      </c>
      <c r="C31" s="579">
        <v>1800000</v>
      </c>
      <c r="D31" s="580">
        <f t="shared" si="1"/>
        <v>7200000</v>
      </c>
      <c r="E31" s="571">
        <v>4</v>
      </c>
      <c r="F31" s="579">
        <v>1800000</v>
      </c>
      <c r="G31" s="580">
        <f>E31*F31</f>
        <v>7200000</v>
      </c>
      <c r="H31" s="571">
        <v>4</v>
      </c>
      <c r="I31" s="579">
        <v>1800000</v>
      </c>
      <c r="J31" s="580">
        <f>H31*I31</f>
        <v>7200000</v>
      </c>
      <c r="K31" s="580">
        <f t="shared" si="2"/>
        <v>0</v>
      </c>
    </row>
    <row r="32" spans="1:11" ht="15">
      <c r="A32" s="567" t="s">
        <v>672</v>
      </c>
      <c r="B32" s="578">
        <v>7</v>
      </c>
      <c r="C32" s="579">
        <v>32000</v>
      </c>
      <c r="D32" s="580">
        <f t="shared" si="1"/>
        <v>224000</v>
      </c>
      <c r="E32" s="578">
        <v>6</v>
      </c>
      <c r="F32" s="579">
        <v>35000</v>
      </c>
      <c r="G32" s="580">
        <f>E32*F32</f>
        <v>210000</v>
      </c>
      <c r="H32" s="578">
        <v>6.4</v>
      </c>
      <c r="I32" s="579">
        <v>35000</v>
      </c>
      <c r="J32" s="580">
        <f>H32*I32</f>
        <v>224000</v>
      </c>
      <c r="K32" s="580">
        <f t="shared" si="2"/>
        <v>14000</v>
      </c>
    </row>
    <row r="33" spans="1:11" ht="15">
      <c r="A33" s="582" t="s">
        <v>673</v>
      </c>
      <c r="B33" s="583">
        <f>73*8/12+65*4/12</f>
        <v>70.33333333333333</v>
      </c>
      <c r="C33" s="583">
        <v>70000</v>
      </c>
      <c r="D33" s="584">
        <f t="shared" si="1"/>
        <v>4923333.333333333</v>
      </c>
      <c r="E33" s="583">
        <f>71*8/12+59*4/12</f>
        <v>67</v>
      </c>
      <c r="F33" s="583">
        <v>80000</v>
      </c>
      <c r="G33" s="584">
        <f>E33*F33</f>
        <v>5360000</v>
      </c>
      <c r="H33" s="583">
        <v>68.67</v>
      </c>
      <c r="I33" s="583">
        <v>80000</v>
      </c>
      <c r="J33" s="584">
        <f>3786667+1706667</f>
        <v>5493334</v>
      </c>
      <c r="K33" s="580">
        <f t="shared" si="2"/>
        <v>133334</v>
      </c>
    </row>
    <row r="34" spans="1:11" ht="15">
      <c r="A34" s="585" t="s">
        <v>674</v>
      </c>
      <c r="B34" s="586">
        <f>29*8/12+20*4/12</f>
        <v>26</v>
      </c>
      <c r="C34" s="586">
        <v>181000</v>
      </c>
      <c r="D34" s="587">
        <f t="shared" si="1"/>
        <v>4706000</v>
      </c>
      <c r="E34" s="586">
        <v>20</v>
      </c>
      <c r="F34" s="586">
        <f>181000/12*8</f>
        <v>120666.66666666667</v>
      </c>
      <c r="G34" s="587">
        <f>E34*F34</f>
        <v>2413333.3333333335</v>
      </c>
      <c r="H34" s="586">
        <f>20*8/12+17*4/12</f>
        <v>19</v>
      </c>
      <c r="I34" s="586">
        <f>181000/12*8</f>
        <v>120666.66666666667</v>
      </c>
      <c r="J34" s="587">
        <f>H34*I34</f>
        <v>2292666.666666667</v>
      </c>
      <c r="K34" s="580">
        <f t="shared" si="2"/>
        <v>-120666.66666666651</v>
      </c>
    </row>
    <row r="35" spans="1:11" ht="15">
      <c r="A35" s="585" t="s">
        <v>675</v>
      </c>
      <c r="B35" s="586">
        <v>1</v>
      </c>
      <c r="C35" s="586">
        <v>352000</v>
      </c>
      <c r="D35" s="587">
        <f t="shared" si="1"/>
        <v>352000</v>
      </c>
      <c r="E35" s="586">
        <v>1</v>
      </c>
      <c r="F35" s="586">
        <v>384000</v>
      </c>
      <c r="G35" s="587">
        <f>E35*F35</f>
        <v>384000</v>
      </c>
      <c r="H35" s="586">
        <v>1</v>
      </c>
      <c r="I35" s="586">
        <v>384000</v>
      </c>
      <c r="J35" s="587">
        <f>H35*I35</f>
        <v>384000</v>
      </c>
      <c r="K35" s="580">
        <f t="shared" si="2"/>
        <v>0</v>
      </c>
    </row>
    <row r="36" spans="1:11" ht="14.25">
      <c r="A36" s="588" t="s">
        <v>676</v>
      </c>
      <c r="B36" s="589"/>
      <c r="C36" s="589"/>
      <c r="D36" s="589">
        <f>SUM(D30:D35)</f>
        <v>46469333.333333336</v>
      </c>
      <c r="E36" s="589"/>
      <c r="F36" s="589"/>
      <c r="G36" s="589">
        <f>SUM(G30:G35)</f>
        <v>44287333.333333336</v>
      </c>
      <c r="H36" s="589"/>
      <c r="I36" s="589"/>
      <c r="J36" s="589">
        <f>SUM(J30:J35)</f>
        <v>44888400.666666664</v>
      </c>
      <c r="K36" s="589">
        <f t="shared" si="2"/>
        <v>601067.3333333284</v>
      </c>
    </row>
    <row r="37" spans="1:11" ht="15">
      <c r="A37" s="590" t="s">
        <v>677</v>
      </c>
      <c r="B37" s="591"/>
      <c r="C37" s="591"/>
      <c r="D37" s="591"/>
      <c r="E37" s="591"/>
      <c r="F37" s="591"/>
      <c r="G37" s="591"/>
      <c r="H37" s="591"/>
      <c r="I37" s="591"/>
      <c r="J37" s="591"/>
      <c r="K37" s="580">
        <f t="shared" si="2"/>
        <v>0</v>
      </c>
    </row>
    <row r="38" spans="1:11" ht="15">
      <c r="A38" s="567" t="s">
        <v>678</v>
      </c>
      <c r="B38" s="587"/>
      <c r="C38" s="587"/>
      <c r="D38" s="587"/>
      <c r="E38" s="587"/>
      <c r="F38" s="587"/>
      <c r="G38" s="587"/>
      <c r="H38" s="587"/>
      <c r="I38" s="587"/>
      <c r="J38" s="587"/>
      <c r="K38" s="580">
        <f t="shared" si="2"/>
        <v>0</v>
      </c>
    </row>
    <row r="39" spans="1:11" ht="15">
      <c r="A39" s="567" t="s">
        <v>679</v>
      </c>
      <c r="B39" s="592">
        <v>0</v>
      </c>
      <c r="C39" s="593">
        <v>0</v>
      </c>
      <c r="D39" s="594">
        <f>B39*C39</f>
        <v>0</v>
      </c>
      <c r="E39" s="592">
        <v>2</v>
      </c>
      <c r="F39" s="594">
        <v>3000000</v>
      </c>
      <c r="G39" s="594">
        <f>E39*F39</f>
        <v>6000000</v>
      </c>
      <c r="H39" s="704">
        <v>2</v>
      </c>
      <c r="I39" s="594">
        <v>3000000</v>
      </c>
      <c r="J39" s="594">
        <f>H39*I39</f>
        <v>6000000</v>
      </c>
      <c r="K39" s="580">
        <f t="shared" si="2"/>
        <v>0</v>
      </c>
    </row>
    <row r="40" spans="1:11" ht="15">
      <c r="A40" s="567" t="s">
        <v>680</v>
      </c>
      <c r="B40" s="592">
        <v>7</v>
      </c>
      <c r="C40" s="593">
        <v>55360</v>
      </c>
      <c r="D40" s="594">
        <f>B40*C40</f>
        <v>387520</v>
      </c>
      <c r="E40" s="592">
        <v>5</v>
      </c>
      <c r="F40" s="594">
        <v>55360</v>
      </c>
      <c r="G40" s="594">
        <f>E40*F40</f>
        <v>276800</v>
      </c>
      <c r="H40" s="704">
        <v>4</v>
      </c>
      <c r="I40" s="594">
        <v>55360</v>
      </c>
      <c r="J40" s="594">
        <f>H40*I40</f>
        <v>221440</v>
      </c>
      <c r="K40" s="580">
        <f t="shared" si="2"/>
        <v>-55360</v>
      </c>
    </row>
    <row r="41" spans="1:11" ht="15.75" customHeight="1">
      <c r="A41" s="585" t="s">
        <v>681</v>
      </c>
      <c r="B41" s="595">
        <v>6.34</v>
      </c>
      <c r="C41" s="596">
        <v>1632000</v>
      </c>
      <c r="D41" s="594">
        <f>B41*C41</f>
        <v>10346880</v>
      </c>
      <c r="E41" s="595">
        <v>6.53</v>
      </c>
      <c r="F41" s="594">
        <v>1632000</v>
      </c>
      <c r="G41" s="594">
        <f>E41*F41</f>
        <v>10656960</v>
      </c>
      <c r="H41" s="595">
        <v>6.01</v>
      </c>
      <c r="I41" s="594">
        <v>1632000</v>
      </c>
      <c r="J41" s="594">
        <f>H41*I41</f>
        <v>9808320</v>
      </c>
      <c r="K41" s="580">
        <f t="shared" si="2"/>
        <v>-848640</v>
      </c>
    </row>
    <row r="42" spans="1:11" ht="15">
      <c r="A42" s="585" t="s">
        <v>682</v>
      </c>
      <c r="B42" s="595"/>
      <c r="C42" s="596"/>
      <c r="D42" s="586">
        <v>6863423</v>
      </c>
      <c r="E42" s="595"/>
      <c r="F42" s="596"/>
      <c r="G42" s="586">
        <v>8968984</v>
      </c>
      <c r="H42" s="595"/>
      <c r="I42" s="596"/>
      <c r="J42" s="586">
        <v>8968984</v>
      </c>
      <c r="K42" s="580">
        <f t="shared" si="2"/>
        <v>0</v>
      </c>
    </row>
    <row r="43" spans="1:11" ht="15">
      <c r="A43" s="585" t="s">
        <v>756</v>
      </c>
      <c r="B43" s="595"/>
      <c r="C43" s="596"/>
      <c r="D43" s="586">
        <v>6863423</v>
      </c>
      <c r="E43" s="595">
        <v>438</v>
      </c>
      <c r="F43" s="596">
        <v>285</v>
      </c>
      <c r="G43" s="586">
        <f>E43*F43</f>
        <v>124830</v>
      </c>
      <c r="H43" s="595">
        <v>445</v>
      </c>
      <c r="I43" s="596">
        <v>285</v>
      </c>
      <c r="J43" s="586">
        <f>H43*I43</f>
        <v>126825</v>
      </c>
      <c r="K43" s="580">
        <f t="shared" si="2"/>
        <v>1995</v>
      </c>
    </row>
    <row r="44" spans="1:11" ht="14.25">
      <c r="A44" s="588" t="s">
        <v>683</v>
      </c>
      <c r="B44" s="597"/>
      <c r="C44" s="598"/>
      <c r="D44" s="599">
        <f>SUM(D38:D42)</f>
        <v>17597823</v>
      </c>
      <c r="E44" s="597"/>
      <c r="F44" s="598"/>
      <c r="G44" s="599">
        <f>SUM(G38:G43)</f>
        <v>26027574</v>
      </c>
      <c r="H44" s="597"/>
      <c r="I44" s="598"/>
      <c r="J44" s="599">
        <f>SUM(J38:J43)</f>
        <v>25125569</v>
      </c>
      <c r="K44" s="599">
        <f t="shared" si="2"/>
        <v>-902005</v>
      </c>
    </row>
    <row r="45" spans="1:11" s="600" customFormat="1" ht="14.25">
      <c r="A45" s="588" t="s">
        <v>684</v>
      </c>
      <c r="B45" s="589"/>
      <c r="C45" s="598"/>
      <c r="D45" s="599">
        <v>1200000</v>
      </c>
      <c r="E45" s="589"/>
      <c r="F45" s="598"/>
      <c r="G45" s="599">
        <v>1200000</v>
      </c>
      <c r="H45" s="589"/>
      <c r="I45" s="598"/>
      <c r="J45" s="599">
        <v>1200000</v>
      </c>
      <c r="K45" s="599">
        <f t="shared" si="2"/>
        <v>0</v>
      </c>
    </row>
    <row r="46" spans="1:11" ht="25.5" customHeight="1">
      <c r="A46" s="601" t="s">
        <v>685</v>
      </c>
      <c r="B46" s="602"/>
      <c r="C46" s="603"/>
      <c r="D46" s="604">
        <f>D28+D36+D44+D45</f>
        <v>111561581.33333334</v>
      </c>
      <c r="E46" s="602"/>
      <c r="F46" s="603"/>
      <c r="G46" s="604">
        <f>G28+G36+G44+G45</f>
        <v>116290330.33333334</v>
      </c>
      <c r="H46" s="602"/>
      <c r="I46" s="603"/>
      <c r="J46" s="604">
        <f>J28+J36+J44+J45</f>
        <v>115989392.66666666</v>
      </c>
      <c r="K46" s="604">
        <f t="shared" si="2"/>
        <v>-300937.66666668653</v>
      </c>
    </row>
    <row r="47" spans="1:11" ht="15">
      <c r="A47" s="585" t="s">
        <v>686</v>
      </c>
      <c r="B47" s="605"/>
      <c r="C47" s="606"/>
      <c r="D47" s="586"/>
      <c r="E47" s="605"/>
      <c r="F47" s="606"/>
      <c r="G47" s="586">
        <v>2489835</v>
      </c>
      <c r="H47" s="605"/>
      <c r="I47" s="606"/>
      <c r="J47" s="586">
        <v>2357882</v>
      </c>
      <c r="K47" s="580"/>
    </row>
    <row r="48" spans="1:11" ht="14.25" customHeight="1">
      <c r="A48" s="585" t="s">
        <v>687</v>
      </c>
      <c r="B48" s="605"/>
      <c r="C48" s="606"/>
      <c r="D48" s="586"/>
      <c r="E48" s="605"/>
      <c r="F48" s="606"/>
      <c r="G48" s="586">
        <v>313944</v>
      </c>
      <c r="H48" s="605"/>
      <c r="I48" s="606"/>
      <c r="J48" s="586">
        <v>287782</v>
      </c>
      <c r="K48" s="586"/>
    </row>
    <row r="49" spans="1:11" ht="14.25" customHeight="1">
      <c r="A49" s="585" t="s">
        <v>688</v>
      </c>
      <c r="B49" s="605"/>
      <c r="C49" s="606"/>
      <c r="D49" s="586"/>
      <c r="E49" s="605"/>
      <c r="F49" s="606"/>
      <c r="G49" s="586">
        <v>651589</v>
      </c>
      <c r="H49" s="605"/>
      <c r="I49" s="606"/>
      <c r="J49" s="586">
        <v>649593</v>
      </c>
      <c r="K49" s="586"/>
    </row>
    <row r="50" spans="1:11" s="611" customFormat="1" ht="25.5" customHeight="1">
      <c r="A50" s="607" t="s">
        <v>689</v>
      </c>
      <c r="B50" s="608"/>
      <c r="C50" s="609"/>
      <c r="D50" s="610"/>
      <c r="E50" s="608"/>
      <c r="F50" s="609"/>
      <c r="G50" s="610">
        <f>G46+G47+G48+G49</f>
        <v>119745698.33333334</v>
      </c>
      <c r="H50" s="608"/>
      <c r="I50" s="609"/>
      <c r="J50" s="610">
        <f>J46+J47+J48+J49</f>
        <v>119284649.66666666</v>
      </c>
      <c r="K50" s="610"/>
    </row>
    <row r="51" ht="15">
      <c r="A51" s="612"/>
    </row>
  </sheetData>
  <sheetProtection/>
  <mergeCells count="9">
    <mergeCell ref="K4:K5"/>
    <mergeCell ref="J3:K3"/>
    <mergeCell ref="A1:K1"/>
    <mergeCell ref="H4:J4"/>
    <mergeCell ref="C3:D3"/>
    <mergeCell ref="F3:G3"/>
    <mergeCell ref="A4:A5"/>
    <mergeCell ref="B4:D4"/>
    <mergeCell ref="E4:G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49.421875" style="3" customWidth="1"/>
    <col min="4" max="4" width="13.57421875" style="3" customWidth="1"/>
    <col min="5" max="9" width="13.57421875" style="3" hidden="1" customWidth="1"/>
    <col min="10" max="10" width="13.57421875" style="3" customWidth="1"/>
    <col min="11" max="11" width="12.28125" style="3" customWidth="1"/>
    <col min="12" max="12" width="13.57421875" style="3" customWidth="1"/>
    <col min="13" max="13" width="44.57421875" style="3" customWidth="1"/>
    <col min="14" max="14" width="12.7109375" style="3" customWidth="1"/>
    <col min="15" max="19" width="13.57421875" style="3" hidden="1" customWidth="1"/>
    <col min="20" max="20" width="13.57421875" style="3" customWidth="1"/>
    <col min="21" max="21" width="12.28125" style="3" customWidth="1"/>
    <col min="22" max="22" width="13.57421875" style="3" customWidth="1"/>
    <col min="23" max="16384" width="8.00390625" style="3" customWidth="1"/>
  </cols>
  <sheetData>
    <row r="1" spans="1:22" ht="30" customHeight="1">
      <c r="A1" s="769" t="s">
        <v>197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</row>
    <row r="2" spans="3:22" ht="30" customHeight="1">
      <c r="C2" s="769" t="s">
        <v>537</v>
      </c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</row>
    <row r="3" spans="3:22" ht="17.25" customHeight="1">
      <c r="C3" s="769" t="s">
        <v>507</v>
      </c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</row>
    <row r="4" spans="3:22" ht="17.25" customHeight="1">
      <c r="C4" s="729" t="s">
        <v>788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302"/>
      <c r="O4" s="56"/>
      <c r="P4" s="302"/>
      <c r="Q4" s="56"/>
      <c r="R4" s="302"/>
      <c r="S4" s="56"/>
      <c r="T4" s="302"/>
      <c r="U4" s="56"/>
      <c r="V4" s="302" t="s">
        <v>745</v>
      </c>
    </row>
    <row r="5" spans="3:22" ht="19.5" customHeight="1" thickBot="1">
      <c r="C5" s="729" t="s">
        <v>786</v>
      </c>
      <c r="M5" s="4"/>
      <c r="N5" s="57"/>
      <c r="P5" s="57"/>
      <c r="R5" s="57"/>
      <c r="T5" s="57"/>
      <c r="V5" s="57" t="s">
        <v>524</v>
      </c>
    </row>
    <row r="6" spans="1:22" ht="42" customHeight="1">
      <c r="A6" s="5" t="s">
        <v>104</v>
      </c>
      <c r="B6" s="6" t="s">
        <v>105</v>
      </c>
      <c r="C6" s="6" t="s">
        <v>536</v>
      </c>
      <c r="D6" s="6" t="s">
        <v>508</v>
      </c>
      <c r="E6" s="6" t="s">
        <v>558</v>
      </c>
      <c r="F6" s="6" t="s">
        <v>559</v>
      </c>
      <c r="G6" s="6" t="s">
        <v>573</v>
      </c>
      <c r="H6" s="6" t="s">
        <v>574</v>
      </c>
      <c r="I6" s="6" t="s">
        <v>573</v>
      </c>
      <c r="J6" s="6" t="s">
        <v>616</v>
      </c>
      <c r="K6" s="6" t="s">
        <v>625</v>
      </c>
      <c r="L6" s="6" t="s">
        <v>624</v>
      </c>
      <c r="M6" s="334" t="s">
        <v>535</v>
      </c>
      <c r="N6" s="6" t="s">
        <v>508</v>
      </c>
      <c r="O6" s="6" t="s">
        <v>558</v>
      </c>
      <c r="P6" s="6" t="s">
        <v>559</v>
      </c>
      <c r="Q6" s="6" t="s">
        <v>573</v>
      </c>
      <c r="R6" s="6" t="s">
        <v>574</v>
      </c>
      <c r="S6" s="6" t="s">
        <v>573</v>
      </c>
      <c r="T6" s="6" t="s">
        <v>616</v>
      </c>
      <c r="U6" s="6" t="s">
        <v>625</v>
      </c>
      <c r="V6" s="6" t="s">
        <v>624</v>
      </c>
    </row>
    <row r="7" spans="1:22" s="88" customFormat="1" ht="12">
      <c r="A7" s="85">
        <v>1</v>
      </c>
      <c r="B7" s="86">
        <v>2</v>
      </c>
      <c r="C7" s="86" t="s">
        <v>97</v>
      </c>
      <c r="D7" s="86" t="s">
        <v>98</v>
      </c>
      <c r="E7" s="86" t="s">
        <v>99</v>
      </c>
      <c r="F7" s="86" t="s">
        <v>99</v>
      </c>
      <c r="G7" s="86" t="s">
        <v>100</v>
      </c>
      <c r="H7" s="86" t="s">
        <v>99</v>
      </c>
      <c r="I7" s="86" t="s">
        <v>100</v>
      </c>
      <c r="J7" s="86" t="s">
        <v>99</v>
      </c>
      <c r="K7" s="86" t="s">
        <v>100</v>
      </c>
      <c r="L7" s="86" t="s">
        <v>101</v>
      </c>
      <c r="M7" s="87" t="s">
        <v>498</v>
      </c>
      <c r="N7" s="86" t="s">
        <v>499</v>
      </c>
      <c r="O7" s="86" t="s">
        <v>499</v>
      </c>
      <c r="P7" s="86" t="s">
        <v>560</v>
      </c>
      <c r="Q7" s="86" t="s">
        <v>563</v>
      </c>
      <c r="R7" s="86" t="s">
        <v>560</v>
      </c>
      <c r="S7" s="86" t="s">
        <v>563</v>
      </c>
      <c r="T7" s="86" t="s">
        <v>560</v>
      </c>
      <c r="U7" s="86" t="s">
        <v>563</v>
      </c>
      <c r="V7" s="86" t="s">
        <v>582</v>
      </c>
    </row>
    <row r="8" spans="1:22" ht="14.25" customHeight="1">
      <c r="A8" s="7" t="s">
        <v>106</v>
      </c>
      <c r="B8" s="8" t="s">
        <v>107</v>
      </c>
      <c r="C8" s="9" t="s">
        <v>528</v>
      </c>
      <c r="D8" s="58">
        <v>1397000</v>
      </c>
      <c r="E8" s="58">
        <v>0</v>
      </c>
      <c r="F8" s="58">
        <f>D8+E8</f>
        <v>1397000</v>
      </c>
      <c r="G8" s="58">
        <v>0</v>
      </c>
      <c r="H8" s="471">
        <f>F8+G8</f>
        <v>1397000</v>
      </c>
      <c r="I8" s="58">
        <v>0</v>
      </c>
      <c r="J8" s="471">
        <f>H8+I8</f>
        <v>1397000</v>
      </c>
      <c r="K8" s="58">
        <v>100000</v>
      </c>
      <c r="L8" s="471">
        <f>J8+K8</f>
        <v>1497000</v>
      </c>
      <c r="M8" s="10" t="s">
        <v>533</v>
      </c>
      <c r="N8" s="58">
        <v>12611164</v>
      </c>
      <c r="O8" s="58">
        <v>0</v>
      </c>
      <c r="P8" s="58">
        <f>N8+O8</f>
        <v>12611164</v>
      </c>
      <c r="Q8" s="58">
        <v>1836</v>
      </c>
      <c r="R8" s="58">
        <f>P8+Q8</f>
        <v>12613000</v>
      </c>
      <c r="S8" s="58">
        <v>0</v>
      </c>
      <c r="T8" s="58">
        <f aca="true" t="shared" si="0" ref="T8:T13">R8+S8</f>
        <v>12613000</v>
      </c>
      <c r="U8" s="58">
        <v>0</v>
      </c>
      <c r="V8" s="58">
        <f aca="true" t="shared" si="1" ref="V8:V14">T8+U8</f>
        <v>12613000</v>
      </c>
    </row>
    <row r="9" spans="1:22" ht="28.5" customHeight="1">
      <c r="A9" s="7" t="s">
        <v>106</v>
      </c>
      <c r="B9" s="8" t="s">
        <v>107</v>
      </c>
      <c r="C9" s="427" t="s">
        <v>561</v>
      </c>
      <c r="D9" s="58">
        <v>495300</v>
      </c>
      <c r="E9" s="58">
        <v>1650000</v>
      </c>
      <c r="F9" s="58">
        <f aca="true" t="shared" si="2" ref="F9:F25">D9+E9</f>
        <v>2145300</v>
      </c>
      <c r="G9" s="58">
        <v>0</v>
      </c>
      <c r="H9" s="58">
        <f aca="true" t="shared" si="3" ref="H9:H22">F9+G9</f>
        <v>2145300</v>
      </c>
      <c r="I9" s="58">
        <v>0</v>
      </c>
      <c r="J9" s="471">
        <f aca="true" t="shared" si="4" ref="J9:J25">H9+I9</f>
        <v>2145300</v>
      </c>
      <c r="K9" s="58">
        <v>334700</v>
      </c>
      <c r="L9" s="471">
        <f aca="true" t="shared" si="5" ref="L9:L25">J9+K9</f>
        <v>2480000</v>
      </c>
      <c r="M9" s="10" t="s">
        <v>317</v>
      </c>
      <c r="N9" s="58">
        <v>3810000</v>
      </c>
      <c r="O9" s="58">
        <v>700000</v>
      </c>
      <c r="P9" s="58">
        <f>N9+O9</f>
        <v>4510000</v>
      </c>
      <c r="Q9" s="58">
        <v>0</v>
      </c>
      <c r="R9" s="58">
        <f>P9+Q9</f>
        <v>4510000</v>
      </c>
      <c r="S9" s="58">
        <v>0</v>
      </c>
      <c r="T9" s="58">
        <f t="shared" si="0"/>
        <v>4510000</v>
      </c>
      <c r="U9" s="58">
        <v>621880</v>
      </c>
      <c r="V9" s="58">
        <f t="shared" si="1"/>
        <v>5131880</v>
      </c>
    </row>
    <row r="10" spans="1:22" ht="28.5" customHeight="1">
      <c r="A10" s="7"/>
      <c r="B10" s="8"/>
      <c r="C10" s="427" t="s">
        <v>589</v>
      </c>
      <c r="D10" s="58">
        <v>0</v>
      </c>
      <c r="E10" s="58"/>
      <c r="F10" s="58">
        <v>0</v>
      </c>
      <c r="G10" s="58">
        <v>157500</v>
      </c>
      <c r="H10" s="58">
        <f>G10</f>
        <v>157500</v>
      </c>
      <c r="I10" s="58">
        <v>0</v>
      </c>
      <c r="J10" s="471">
        <f t="shared" si="4"/>
        <v>157500</v>
      </c>
      <c r="K10" s="58">
        <v>0</v>
      </c>
      <c r="L10" s="471">
        <f t="shared" si="5"/>
        <v>157500</v>
      </c>
      <c r="M10" s="10" t="s">
        <v>534</v>
      </c>
      <c r="N10" s="58">
        <v>722000</v>
      </c>
      <c r="O10" s="58">
        <v>0</v>
      </c>
      <c r="P10" s="58">
        <f>N10+O10</f>
        <v>722000</v>
      </c>
      <c r="Q10" s="58">
        <v>0</v>
      </c>
      <c r="R10" s="58">
        <f>P10+Q10</f>
        <v>722000</v>
      </c>
      <c r="S10" s="58">
        <v>0</v>
      </c>
      <c r="T10" s="58">
        <f t="shared" si="0"/>
        <v>722000</v>
      </c>
      <c r="U10" s="58">
        <v>0</v>
      </c>
      <c r="V10" s="58">
        <f t="shared" si="1"/>
        <v>722000</v>
      </c>
    </row>
    <row r="11" spans="1:22" ht="27.75" customHeight="1">
      <c r="A11" s="7" t="s">
        <v>108</v>
      </c>
      <c r="B11" s="8" t="s">
        <v>109</v>
      </c>
      <c r="C11" s="463" t="s">
        <v>568</v>
      </c>
      <c r="D11" s="58">
        <v>11007500</v>
      </c>
      <c r="E11" s="58">
        <v>3430000</v>
      </c>
      <c r="F11" s="58">
        <f t="shared" si="2"/>
        <v>14437500</v>
      </c>
      <c r="G11" s="58">
        <v>230000</v>
      </c>
      <c r="H11" s="58">
        <f t="shared" si="3"/>
        <v>14667500</v>
      </c>
      <c r="I11" s="58">
        <v>0</v>
      </c>
      <c r="J11" s="471">
        <f t="shared" si="4"/>
        <v>14667500</v>
      </c>
      <c r="K11" s="58">
        <v>72000</v>
      </c>
      <c r="L11" s="471">
        <f t="shared" si="5"/>
        <v>14739500</v>
      </c>
      <c r="M11" s="10" t="s">
        <v>571</v>
      </c>
      <c r="N11" s="58">
        <v>0</v>
      </c>
      <c r="O11" s="58">
        <v>3703700</v>
      </c>
      <c r="P11" s="58">
        <f>O11</f>
        <v>3703700</v>
      </c>
      <c r="Q11" s="58">
        <v>-3512700</v>
      </c>
      <c r="R11" s="58">
        <f>P11+Q11</f>
        <v>191000</v>
      </c>
      <c r="S11" s="58">
        <v>0</v>
      </c>
      <c r="T11" s="58">
        <f t="shared" si="0"/>
        <v>191000</v>
      </c>
      <c r="U11" s="58">
        <v>0</v>
      </c>
      <c r="V11" s="58">
        <f t="shared" si="1"/>
        <v>191000</v>
      </c>
    </row>
    <row r="12" spans="1:22" ht="17.25" customHeight="1">
      <c r="A12" s="7" t="s">
        <v>111</v>
      </c>
      <c r="B12" s="8" t="s">
        <v>112</v>
      </c>
      <c r="C12" s="9" t="s">
        <v>529</v>
      </c>
      <c r="D12" s="58">
        <v>3810000</v>
      </c>
      <c r="E12" s="58">
        <v>0</v>
      </c>
      <c r="F12" s="58">
        <f t="shared" si="2"/>
        <v>3810000</v>
      </c>
      <c r="G12" s="58">
        <v>0</v>
      </c>
      <c r="H12" s="58">
        <f t="shared" si="3"/>
        <v>3810000</v>
      </c>
      <c r="I12" s="58">
        <v>0</v>
      </c>
      <c r="J12" s="471">
        <f t="shared" si="4"/>
        <v>3810000</v>
      </c>
      <c r="K12" s="58">
        <v>635125</v>
      </c>
      <c r="L12" s="471">
        <f t="shared" si="5"/>
        <v>4445125</v>
      </c>
      <c r="M12" s="10" t="s">
        <v>590</v>
      </c>
      <c r="N12" s="61">
        <v>0</v>
      </c>
      <c r="O12" s="61"/>
      <c r="P12" s="58">
        <v>0</v>
      </c>
      <c r="Q12" s="61">
        <v>2500000</v>
      </c>
      <c r="R12" s="58">
        <f>Q12</f>
        <v>2500000</v>
      </c>
      <c r="S12" s="61">
        <v>0</v>
      </c>
      <c r="T12" s="58">
        <f t="shared" si="0"/>
        <v>2500000</v>
      </c>
      <c r="U12" s="61">
        <v>0</v>
      </c>
      <c r="V12" s="58">
        <f t="shared" si="1"/>
        <v>2500000</v>
      </c>
    </row>
    <row r="13" spans="1:22" ht="15" customHeight="1">
      <c r="A13" s="7" t="s">
        <v>106</v>
      </c>
      <c r="B13" s="8" t="s">
        <v>110</v>
      </c>
      <c r="C13" s="9" t="s">
        <v>530</v>
      </c>
      <c r="D13" s="58">
        <v>1000500</v>
      </c>
      <c r="E13" s="58">
        <v>0</v>
      </c>
      <c r="F13" s="58">
        <f t="shared" si="2"/>
        <v>1000500</v>
      </c>
      <c r="G13" s="58">
        <v>0</v>
      </c>
      <c r="H13" s="58">
        <f t="shared" si="3"/>
        <v>1000500</v>
      </c>
      <c r="I13" s="58">
        <v>0</v>
      </c>
      <c r="J13" s="471">
        <f t="shared" si="4"/>
        <v>1000500</v>
      </c>
      <c r="K13" s="58">
        <v>1270000</v>
      </c>
      <c r="L13" s="471">
        <f t="shared" si="5"/>
        <v>2270500</v>
      </c>
      <c r="M13" s="10" t="s">
        <v>594</v>
      </c>
      <c r="N13" s="61">
        <v>0</v>
      </c>
      <c r="O13" s="61"/>
      <c r="P13" s="58">
        <v>0</v>
      </c>
      <c r="Q13" s="61">
        <v>400000</v>
      </c>
      <c r="R13" s="58">
        <f>Q13</f>
        <v>400000</v>
      </c>
      <c r="S13" s="61">
        <v>0</v>
      </c>
      <c r="T13" s="58">
        <f t="shared" si="0"/>
        <v>400000</v>
      </c>
      <c r="U13" s="61">
        <v>8000</v>
      </c>
      <c r="V13" s="58">
        <f t="shared" si="1"/>
        <v>408000</v>
      </c>
    </row>
    <row r="14" spans="1:22" ht="12.75">
      <c r="A14" s="7" t="s">
        <v>111</v>
      </c>
      <c r="B14" s="8" t="s">
        <v>112</v>
      </c>
      <c r="C14" s="335" t="s">
        <v>531</v>
      </c>
      <c r="D14" s="58">
        <f>9648056+2604975</f>
        <v>12253031</v>
      </c>
      <c r="E14" s="58">
        <f>-1650000-3430000</f>
        <v>-5080000</v>
      </c>
      <c r="F14" s="58">
        <f t="shared" si="2"/>
        <v>7173031</v>
      </c>
      <c r="G14" s="58">
        <v>9000</v>
      </c>
      <c r="H14" s="58">
        <f t="shared" si="3"/>
        <v>7182031</v>
      </c>
      <c r="I14" s="58">
        <v>0</v>
      </c>
      <c r="J14" s="471">
        <f t="shared" si="4"/>
        <v>7182031</v>
      </c>
      <c r="K14" s="58">
        <v>0</v>
      </c>
      <c r="L14" s="471">
        <f t="shared" si="5"/>
        <v>7182031</v>
      </c>
      <c r="M14" s="10" t="s">
        <v>637</v>
      </c>
      <c r="N14" s="61">
        <v>0</v>
      </c>
      <c r="O14" s="58"/>
      <c r="P14" s="58"/>
      <c r="Q14" s="58"/>
      <c r="R14" s="58"/>
      <c r="S14" s="58"/>
      <c r="T14" s="58">
        <v>0</v>
      </c>
      <c r="U14" s="58">
        <v>816754</v>
      </c>
      <c r="V14" s="58">
        <f t="shared" si="1"/>
        <v>816754</v>
      </c>
    </row>
    <row r="15" spans="1:22" ht="16.5" customHeight="1">
      <c r="A15" s="11">
        <v>999000</v>
      </c>
      <c r="B15" s="8" t="s">
        <v>110</v>
      </c>
      <c r="C15" s="335" t="s">
        <v>633</v>
      </c>
      <c r="D15" s="58">
        <f>290000+78300</f>
        <v>368300</v>
      </c>
      <c r="E15" s="58">
        <v>0</v>
      </c>
      <c r="F15" s="58">
        <f t="shared" si="2"/>
        <v>368300</v>
      </c>
      <c r="G15" s="58">
        <v>0</v>
      </c>
      <c r="H15" s="58">
        <f t="shared" si="3"/>
        <v>368300</v>
      </c>
      <c r="I15" s="58">
        <v>0</v>
      </c>
      <c r="J15" s="471">
        <f t="shared" si="4"/>
        <v>368300</v>
      </c>
      <c r="K15" s="58">
        <v>0</v>
      </c>
      <c r="L15" s="471">
        <f t="shared" si="5"/>
        <v>368300</v>
      </c>
      <c r="M15" s="12"/>
      <c r="N15" s="61"/>
      <c r="O15" s="58"/>
      <c r="P15" s="58"/>
      <c r="Q15" s="58"/>
      <c r="R15" s="58"/>
      <c r="S15" s="58"/>
      <c r="T15" s="58"/>
      <c r="U15" s="58"/>
      <c r="V15" s="58"/>
    </row>
    <row r="16" spans="1:22" ht="16.5" customHeight="1">
      <c r="A16" s="11"/>
      <c r="B16" s="8"/>
      <c r="C16" s="335" t="s">
        <v>562</v>
      </c>
      <c r="D16" s="58">
        <v>0</v>
      </c>
      <c r="E16" s="58">
        <v>140500</v>
      </c>
      <c r="F16" s="58">
        <f t="shared" si="2"/>
        <v>140500</v>
      </c>
      <c r="G16" s="58">
        <v>0</v>
      </c>
      <c r="H16" s="58">
        <f t="shared" si="3"/>
        <v>140500</v>
      </c>
      <c r="I16" s="58">
        <v>0</v>
      </c>
      <c r="J16" s="471">
        <f t="shared" si="4"/>
        <v>140500</v>
      </c>
      <c r="K16" s="58">
        <v>170500</v>
      </c>
      <c r="L16" s="471">
        <f t="shared" si="5"/>
        <v>311000</v>
      </c>
      <c r="M16" s="12"/>
      <c r="N16" s="61"/>
      <c r="O16" s="58"/>
      <c r="P16" s="58"/>
      <c r="Q16" s="58"/>
      <c r="R16" s="58"/>
      <c r="S16" s="58"/>
      <c r="T16" s="58"/>
      <c r="U16" s="58"/>
      <c r="V16" s="58"/>
    </row>
    <row r="17" spans="1:22" ht="16.5" customHeight="1">
      <c r="A17" s="11"/>
      <c r="B17" s="8"/>
      <c r="C17" s="548" t="s">
        <v>638</v>
      </c>
      <c r="D17" s="58">
        <v>0</v>
      </c>
      <c r="E17" s="58"/>
      <c r="F17" s="58"/>
      <c r="G17" s="58"/>
      <c r="H17" s="58"/>
      <c r="I17" s="58"/>
      <c r="J17" s="471">
        <v>0</v>
      </c>
      <c r="K17" s="58">
        <v>26500</v>
      </c>
      <c r="L17" s="471">
        <f t="shared" si="5"/>
        <v>26500</v>
      </c>
      <c r="M17" s="12"/>
      <c r="N17" s="61"/>
      <c r="O17" s="58"/>
      <c r="P17" s="58"/>
      <c r="Q17" s="58"/>
      <c r="R17" s="58"/>
      <c r="S17" s="58"/>
      <c r="T17" s="58"/>
      <c r="U17" s="58"/>
      <c r="V17" s="58"/>
    </row>
    <row r="18" spans="1:22" ht="12.75">
      <c r="A18" s="7" t="s">
        <v>114</v>
      </c>
      <c r="B18" s="8" t="s">
        <v>115</v>
      </c>
      <c r="C18" s="335" t="s">
        <v>316</v>
      </c>
      <c r="D18" s="58">
        <v>1270000</v>
      </c>
      <c r="E18" s="58">
        <v>0</v>
      </c>
      <c r="F18" s="58">
        <f>D18+E18</f>
        <v>1270000</v>
      </c>
      <c r="G18" s="58">
        <v>0</v>
      </c>
      <c r="H18" s="58">
        <f>F18+G18</f>
        <v>1270000</v>
      </c>
      <c r="I18" s="58">
        <v>0</v>
      </c>
      <c r="J18" s="471">
        <f>H18+I18</f>
        <v>1270000</v>
      </c>
      <c r="K18" s="58">
        <v>0</v>
      </c>
      <c r="L18" s="471">
        <f>J18+K18</f>
        <v>1270000</v>
      </c>
      <c r="M18" s="10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31.5" customHeight="1">
      <c r="A19" s="11"/>
      <c r="B19" s="8"/>
      <c r="C19" s="463" t="s">
        <v>634</v>
      </c>
      <c r="D19" s="58">
        <v>0</v>
      </c>
      <c r="E19" s="58">
        <v>13000</v>
      </c>
      <c r="F19" s="58">
        <f t="shared" si="2"/>
        <v>13000</v>
      </c>
      <c r="G19" s="58">
        <v>0</v>
      </c>
      <c r="H19" s="58">
        <f t="shared" si="3"/>
        <v>13000</v>
      </c>
      <c r="I19" s="58">
        <v>0</v>
      </c>
      <c r="J19" s="471">
        <v>313990</v>
      </c>
      <c r="K19" s="58">
        <v>50000</v>
      </c>
      <c r="L19" s="471">
        <f t="shared" si="5"/>
        <v>363990</v>
      </c>
      <c r="M19" s="12"/>
      <c r="N19" s="61"/>
      <c r="O19" s="58"/>
      <c r="P19" s="58"/>
      <c r="Q19" s="58"/>
      <c r="R19" s="58"/>
      <c r="S19" s="58"/>
      <c r="T19" s="58"/>
      <c r="U19" s="58"/>
      <c r="V19" s="58"/>
    </row>
    <row r="20" spans="1:22" ht="27.75" customHeight="1">
      <c r="A20" s="330"/>
      <c r="B20" s="331"/>
      <c r="C20" s="332" t="s">
        <v>572</v>
      </c>
      <c r="D20" s="58">
        <v>0</v>
      </c>
      <c r="E20" s="58">
        <f>3310000+893700</f>
        <v>4203700</v>
      </c>
      <c r="F20" s="58">
        <f>E20</f>
        <v>4203700</v>
      </c>
      <c r="G20" s="58">
        <v>-3362960</v>
      </c>
      <c r="H20" s="58">
        <f>F20+G20</f>
        <v>840740</v>
      </c>
      <c r="I20" s="58">
        <v>0</v>
      </c>
      <c r="J20" s="471">
        <f>H20+I20</f>
        <v>840740</v>
      </c>
      <c r="K20" s="58">
        <v>0</v>
      </c>
      <c r="L20" s="471">
        <f>J20+K20</f>
        <v>840740</v>
      </c>
      <c r="M20" s="13"/>
      <c r="N20" s="59"/>
      <c r="O20" s="333"/>
      <c r="P20" s="333"/>
      <c r="Q20" s="333"/>
      <c r="R20" s="333"/>
      <c r="S20" s="333"/>
      <c r="T20" s="333"/>
      <c r="U20" s="333"/>
      <c r="V20" s="333"/>
    </row>
    <row r="21" spans="1:22" ht="27.75" customHeight="1">
      <c r="A21" s="330"/>
      <c r="B21" s="331"/>
      <c r="C21" s="332" t="s">
        <v>635</v>
      </c>
      <c r="D21" s="58">
        <v>0</v>
      </c>
      <c r="E21" s="58"/>
      <c r="F21" s="58"/>
      <c r="G21" s="58"/>
      <c r="H21" s="58"/>
      <c r="I21" s="58"/>
      <c r="J21" s="471">
        <v>0</v>
      </c>
      <c r="K21" s="58">
        <v>4300000</v>
      </c>
      <c r="L21" s="471">
        <f>J21+K21</f>
        <v>4300000</v>
      </c>
      <c r="M21" s="13"/>
      <c r="N21" s="59"/>
      <c r="O21" s="333"/>
      <c r="P21" s="333"/>
      <c r="Q21" s="333"/>
      <c r="R21" s="333"/>
      <c r="S21" s="333"/>
      <c r="T21" s="333"/>
      <c r="U21" s="333"/>
      <c r="V21" s="333"/>
    </row>
    <row r="22" spans="1:22" ht="16.5" customHeight="1">
      <c r="A22" s="11"/>
      <c r="B22" s="8"/>
      <c r="C22" s="335" t="s">
        <v>636</v>
      </c>
      <c r="D22" s="58"/>
      <c r="E22" s="58">
        <v>900000</v>
      </c>
      <c r="F22" s="58">
        <f t="shared" si="2"/>
        <v>900000</v>
      </c>
      <c r="G22" s="58">
        <v>0</v>
      </c>
      <c r="H22" s="58">
        <f t="shared" si="3"/>
        <v>900000</v>
      </c>
      <c r="I22" s="58">
        <v>0</v>
      </c>
      <c r="J22" s="471">
        <v>900000</v>
      </c>
      <c r="K22" s="58">
        <v>257500</v>
      </c>
      <c r="L22" s="471">
        <f t="shared" si="5"/>
        <v>1157500</v>
      </c>
      <c r="M22" s="12"/>
      <c r="N22" s="61"/>
      <c r="O22" s="58"/>
      <c r="P22" s="58"/>
      <c r="Q22" s="58"/>
      <c r="R22" s="58"/>
      <c r="S22" s="58"/>
      <c r="T22" s="58"/>
      <c r="U22" s="58"/>
      <c r="V22" s="58"/>
    </row>
    <row r="23" spans="1:22" ht="16.5" customHeight="1">
      <c r="A23" s="11"/>
      <c r="B23" s="8"/>
      <c r="C23" s="335" t="s">
        <v>564</v>
      </c>
      <c r="D23" s="58">
        <v>0</v>
      </c>
      <c r="E23" s="58">
        <f>344000+93000</f>
        <v>437000</v>
      </c>
      <c r="F23" s="58">
        <v>437000</v>
      </c>
      <c r="G23" s="58">
        <v>0</v>
      </c>
      <c r="H23" s="58">
        <v>437000</v>
      </c>
      <c r="I23" s="58">
        <v>0</v>
      </c>
      <c r="J23" s="471">
        <f t="shared" si="4"/>
        <v>437000</v>
      </c>
      <c r="K23" s="58">
        <v>0</v>
      </c>
      <c r="L23" s="471">
        <f t="shared" si="5"/>
        <v>437000</v>
      </c>
      <c r="M23" s="12"/>
      <c r="N23" s="61"/>
      <c r="O23" s="58"/>
      <c r="P23" s="58"/>
      <c r="Q23" s="58"/>
      <c r="R23" s="58"/>
      <c r="S23" s="58"/>
      <c r="T23" s="58"/>
      <c r="U23" s="58"/>
      <c r="V23" s="58"/>
    </row>
    <row r="24" spans="1:22" ht="12.75">
      <c r="A24" s="7" t="s">
        <v>116</v>
      </c>
      <c r="B24" s="8" t="s">
        <v>117</v>
      </c>
      <c r="C24" s="335" t="s">
        <v>532</v>
      </c>
      <c r="D24" s="58">
        <v>165000</v>
      </c>
      <c r="E24" s="58">
        <v>0</v>
      </c>
      <c r="F24" s="58">
        <f t="shared" si="2"/>
        <v>165000</v>
      </c>
      <c r="G24" s="58">
        <v>-165000</v>
      </c>
      <c r="H24" s="58">
        <f>F24+G24</f>
        <v>0</v>
      </c>
      <c r="I24" s="58">
        <v>0</v>
      </c>
      <c r="J24" s="471">
        <f t="shared" si="4"/>
        <v>0</v>
      </c>
      <c r="K24" s="58">
        <v>0</v>
      </c>
      <c r="L24" s="471">
        <f t="shared" si="5"/>
        <v>0</v>
      </c>
      <c r="M24" s="10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" customHeight="1">
      <c r="A25" s="7" t="s">
        <v>106</v>
      </c>
      <c r="B25" s="8" t="s">
        <v>113</v>
      </c>
      <c r="C25" s="9" t="s">
        <v>218</v>
      </c>
      <c r="D25" s="58">
        <v>2000000</v>
      </c>
      <c r="E25" s="58">
        <v>-500000</v>
      </c>
      <c r="F25" s="58">
        <f t="shared" si="2"/>
        <v>1500000</v>
      </c>
      <c r="G25" s="58">
        <v>-500000</v>
      </c>
      <c r="H25" s="58">
        <f>F25+G25</f>
        <v>1000000</v>
      </c>
      <c r="I25" s="58">
        <v>0</v>
      </c>
      <c r="J25" s="471">
        <f t="shared" si="4"/>
        <v>1000000</v>
      </c>
      <c r="K25" s="58">
        <v>-1000000</v>
      </c>
      <c r="L25" s="471">
        <f t="shared" si="5"/>
        <v>0</v>
      </c>
      <c r="M25" s="13"/>
      <c r="N25" s="58"/>
      <c r="O25" s="61"/>
      <c r="P25" s="58"/>
      <c r="Q25" s="61"/>
      <c r="R25" s="58"/>
      <c r="S25" s="61"/>
      <c r="T25" s="58"/>
      <c r="U25" s="61"/>
      <c r="V25" s="58"/>
    </row>
    <row r="26" spans="1:22" ht="13.5" thickBot="1">
      <c r="A26" s="14"/>
      <c r="B26" s="15"/>
      <c r="C26" s="17"/>
      <c r="D26" s="60">
        <f aca="true" t="shared" si="6" ref="D26:L26">SUM(D8:D25)</f>
        <v>33766631</v>
      </c>
      <c r="E26" s="60">
        <f t="shared" si="6"/>
        <v>5194200</v>
      </c>
      <c r="F26" s="60">
        <f t="shared" si="6"/>
        <v>38960831</v>
      </c>
      <c r="G26" s="60">
        <f t="shared" si="6"/>
        <v>-3631460</v>
      </c>
      <c r="H26" s="60">
        <f t="shared" si="6"/>
        <v>35329371</v>
      </c>
      <c r="I26" s="60">
        <f t="shared" si="6"/>
        <v>0</v>
      </c>
      <c r="J26" s="60">
        <f t="shared" si="6"/>
        <v>35630361</v>
      </c>
      <c r="K26" s="60">
        <f t="shared" si="6"/>
        <v>6216325</v>
      </c>
      <c r="L26" s="60">
        <f t="shared" si="6"/>
        <v>41846686</v>
      </c>
      <c r="M26" s="18"/>
      <c r="N26" s="60">
        <f>SUM(N8:N25)</f>
        <v>17143164</v>
      </c>
      <c r="O26" s="60">
        <f aca="true" t="shared" si="7" ref="O26:U26">SUM(O8:O25)</f>
        <v>4403700</v>
      </c>
      <c r="P26" s="60">
        <f t="shared" si="7"/>
        <v>21546864</v>
      </c>
      <c r="Q26" s="60">
        <f t="shared" si="7"/>
        <v>-610864</v>
      </c>
      <c r="R26" s="60">
        <f t="shared" si="7"/>
        <v>20936000</v>
      </c>
      <c r="S26" s="60">
        <f t="shared" si="7"/>
        <v>0</v>
      </c>
      <c r="T26" s="60">
        <f t="shared" si="7"/>
        <v>20936000</v>
      </c>
      <c r="U26" s="60">
        <f t="shared" si="7"/>
        <v>1446634</v>
      </c>
      <c r="V26" s="60">
        <f>SUM(V8:V25)</f>
        <v>22382634</v>
      </c>
    </row>
    <row r="27" spans="1:2" ht="12.75">
      <c r="A27" s="14"/>
      <c r="B27" s="15"/>
    </row>
    <row r="28" spans="1:2" ht="12.75">
      <c r="A28" s="14"/>
      <c r="B28" s="15"/>
    </row>
    <row r="29" spans="1:2" ht="13.5" thickBot="1">
      <c r="A29" s="16" t="s">
        <v>118</v>
      </c>
      <c r="B29" s="17"/>
    </row>
  </sheetData>
  <sheetProtection/>
  <mergeCells count="3">
    <mergeCell ref="A1:V1"/>
    <mergeCell ref="C2:V2"/>
    <mergeCell ref="C3:V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0" r:id="rId3"/>
  <headerFooter alignWithMargins="0">
    <oddHeader>&amp;C&amp;"Times New Roman CE,Félkövér"&amp;12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93" customWidth="1"/>
    <col min="2" max="2" width="43.57421875" style="96" customWidth="1"/>
    <col min="3" max="3" width="13.00390625" style="93" customWidth="1"/>
    <col min="4" max="4" width="12.28125" style="93" hidden="1" customWidth="1"/>
    <col min="5" max="5" width="13.8515625" style="93" hidden="1" customWidth="1"/>
    <col min="6" max="6" width="12.28125" style="93" hidden="1" customWidth="1"/>
    <col min="7" max="7" width="13.8515625" style="93" hidden="1" customWidth="1"/>
    <col min="8" max="8" width="12.28125" style="93" hidden="1" customWidth="1"/>
    <col min="9" max="9" width="13.8515625" style="93" customWidth="1"/>
    <col min="10" max="10" width="12.28125" style="93" customWidth="1"/>
    <col min="11" max="11" width="13.8515625" style="93" customWidth="1"/>
    <col min="12" max="12" width="43.7109375" style="93" customWidth="1"/>
    <col min="13" max="13" width="14.00390625" style="93" customWidth="1"/>
    <col min="14" max="14" width="12.28125" style="93" hidden="1" customWidth="1"/>
    <col min="15" max="15" width="14.00390625" style="93" hidden="1" customWidth="1"/>
    <col min="16" max="16" width="12.28125" style="93" hidden="1" customWidth="1"/>
    <col min="17" max="17" width="14.00390625" style="93" hidden="1" customWidth="1"/>
    <col min="18" max="18" width="12.28125" style="93" hidden="1" customWidth="1"/>
    <col min="19" max="19" width="14.00390625" style="93" customWidth="1"/>
    <col min="20" max="20" width="12.28125" style="93" customWidth="1"/>
    <col min="21" max="21" width="14.00390625" style="93" customWidth="1"/>
    <col min="22" max="22" width="4.140625" style="93" customWidth="1"/>
    <col min="23" max="16384" width="8.00390625" style="93" customWidth="1"/>
  </cols>
  <sheetData>
    <row r="1" spans="2:22" ht="39.75" customHeight="1">
      <c r="B1" s="94" t="s">
        <v>210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772"/>
    </row>
    <row r="2" spans="1:22" ht="19.5" customHeight="1">
      <c r="A2" s="729" t="s">
        <v>789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303"/>
      <c r="N2" s="445"/>
      <c r="O2" s="303"/>
      <c r="P2" s="445"/>
      <c r="Q2" s="303"/>
      <c r="R2" s="445"/>
      <c r="S2" s="303"/>
      <c r="T2" s="445"/>
      <c r="U2" s="303" t="s">
        <v>746</v>
      </c>
      <c r="V2" s="772"/>
    </row>
    <row r="3" spans="1:22" ht="16.5" thickBot="1">
      <c r="A3" s="729" t="s">
        <v>790</v>
      </c>
      <c r="M3" s="304"/>
      <c r="O3" s="304"/>
      <c r="Q3" s="304"/>
      <c r="S3" s="304"/>
      <c r="U3" s="304" t="s">
        <v>509</v>
      </c>
      <c r="V3" s="772"/>
    </row>
    <row r="4" spans="1:22" ht="18" customHeight="1" thickBot="1">
      <c r="A4" s="770" t="s">
        <v>211</v>
      </c>
      <c r="B4" s="774" t="s">
        <v>102</v>
      </c>
      <c r="C4" s="775"/>
      <c r="D4" s="775"/>
      <c r="E4" s="775"/>
      <c r="F4" s="775"/>
      <c r="G4" s="775"/>
      <c r="H4" s="775"/>
      <c r="I4" s="775"/>
      <c r="J4" s="775"/>
      <c r="K4" s="776"/>
      <c r="L4" s="774" t="s">
        <v>103</v>
      </c>
      <c r="M4" s="775"/>
      <c r="N4" s="775"/>
      <c r="O4" s="775"/>
      <c r="P4" s="775"/>
      <c r="Q4" s="775"/>
      <c r="R4" s="775"/>
      <c r="S4" s="775"/>
      <c r="T4" s="775"/>
      <c r="U4" s="776"/>
      <c r="V4" s="772"/>
    </row>
    <row r="5" spans="1:22" s="100" customFormat="1" ht="35.25" customHeight="1" thickBot="1">
      <c r="A5" s="771"/>
      <c r="B5" s="428" t="s">
        <v>212</v>
      </c>
      <c r="C5" s="715" t="s">
        <v>539</v>
      </c>
      <c r="D5" s="634" t="s">
        <v>558</v>
      </c>
      <c r="E5" s="716" t="s">
        <v>559</v>
      </c>
      <c r="F5" s="634" t="s">
        <v>573</v>
      </c>
      <c r="G5" s="716" t="s">
        <v>574</v>
      </c>
      <c r="H5" s="634" t="s">
        <v>617</v>
      </c>
      <c r="I5" s="634" t="s">
        <v>616</v>
      </c>
      <c r="J5" s="717" t="s">
        <v>625</v>
      </c>
      <c r="K5" s="716" t="s">
        <v>624</v>
      </c>
      <c r="L5" s="428" t="s">
        <v>212</v>
      </c>
      <c r="M5" s="715" t="str">
        <f>+C5</f>
        <v>2016. évi előirányzat</v>
      </c>
      <c r="N5" s="634" t="s">
        <v>558</v>
      </c>
      <c r="O5" s="716" t="s">
        <v>559</v>
      </c>
      <c r="P5" s="634" t="s">
        <v>573</v>
      </c>
      <c r="Q5" s="716" t="s">
        <v>574</v>
      </c>
      <c r="R5" s="634" t="s">
        <v>617</v>
      </c>
      <c r="S5" s="716" t="s">
        <v>616</v>
      </c>
      <c r="T5" s="634" t="s">
        <v>625</v>
      </c>
      <c r="U5" s="716" t="s">
        <v>624</v>
      </c>
      <c r="V5" s="772"/>
    </row>
    <row r="6" spans="1:22" s="105" customFormat="1" ht="12" customHeight="1" thickBot="1">
      <c r="A6" s="101" t="s">
        <v>97</v>
      </c>
      <c r="B6" s="429" t="s">
        <v>98</v>
      </c>
      <c r="C6" s="102" t="s">
        <v>99</v>
      </c>
      <c r="D6" s="103" t="s">
        <v>100</v>
      </c>
      <c r="E6" s="104" t="s">
        <v>100</v>
      </c>
      <c r="F6" s="103" t="s">
        <v>101</v>
      </c>
      <c r="G6" s="104" t="s">
        <v>100</v>
      </c>
      <c r="H6" s="103" t="s">
        <v>101</v>
      </c>
      <c r="I6" s="103" t="s">
        <v>100</v>
      </c>
      <c r="J6" s="719" t="s">
        <v>101</v>
      </c>
      <c r="K6" s="104" t="s">
        <v>498</v>
      </c>
      <c r="L6" s="429" t="s">
        <v>499</v>
      </c>
      <c r="M6" s="102" t="s">
        <v>560</v>
      </c>
      <c r="N6" s="103" t="s">
        <v>560</v>
      </c>
      <c r="O6" s="104" t="s">
        <v>582</v>
      </c>
      <c r="P6" s="103" t="s">
        <v>208</v>
      </c>
      <c r="Q6" s="104" t="s">
        <v>583</v>
      </c>
      <c r="R6" s="103" t="s">
        <v>582</v>
      </c>
      <c r="S6" s="104" t="s">
        <v>563</v>
      </c>
      <c r="T6" s="103" t="s">
        <v>582</v>
      </c>
      <c r="U6" s="104" t="s">
        <v>208</v>
      </c>
      <c r="V6" s="772"/>
    </row>
    <row r="7" spans="1:22" ht="12.75" customHeight="1">
      <c r="A7" s="106" t="s">
        <v>119</v>
      </c>
      <c r="B7" s="430" t="s">
        <v>213</v>
      </c>
      <c r="C7" s="450">
        <v>120646534</v>
      </c>
      <c r="D7" s="108">
        <v>0</v>
      </c>
      <c r="E7" s="109">
        <f>C7+D7</f>
        <v>120646534</v>
      </c>
      <c r="F7" s="108">
        <v>273320</v>
      </c>
      <c r="G7" s="109">
        <f>E7+F7</f>
        <v>120919854</v>
      </c>
      <c r="H7" s="108">
        <v>835660</v>
      </c>
      <c r="I7" s="108">
        <f aca="true" t="shared" si="0" ref="I7:I14">G7+H7</f>
        <v>121755514</v>
      </c>
      <c r="J7" s="718">
        <v>-1058947</v>
      </c>
      <c r="K7" s="109">
        <f aca="true" t="shared" si="1" ref="K7:K14">I7+J7</f>
        <v>120696567</v>
      </c>
      <c r="L7" s="430" t="s">
        <v>54</v>
      </c>
      <c r="M7" s="450">
        <v>56062080</v>
      </c>
      <c r="N7" s="108">
        <v>113200</v>
      </c>
      <c r="O7" s="109">
        <f>M7+N7</f>
        <v>56175280</v>
      </c>
      <c r="P7" s="108">
        <v>1062299</v>
      </c>
      <c r="Q7" s="109">
        <f>O7+P7</f>
        <v>57237579</v>
      </c>
      <c r="R7" s="108">
        <v>550000</v>
      </c>
      <c r="S7" s="109">
        <f>Q7+R7</f>
        <v>57787579</v>
      </c>
      <c r="T7" s="108">
        <v>2799958</v>
      </c>
      <c r="U7" s="109">
        <f>S7+T7</f>
        <v>60587537</v>
      </c>
      <c r="V7" s="772"/>
    </row>
    <row r="8" spans="1:22" ht="12.75" customHeight="1">
      <c r="A8" s="110" t="s">
        <v>120</v>
      </c>
      <c r="B8" s="431" t="s">
        <v>214</v>
      </c>
      <c r="C8" s="437">
        <v>40131024</v>
      </c>
      <c r="D8" s="112">
        <v>142500</v>
      </c>
      <c r="E8" s="113">
        <f aca="true" t="shared" si="2" ref="E8:E14">C8+D8</f>
        <v>40273524</v>
      </c>
      <c r="F8" s="112">
        <v>142500</v>
      </c>
      <c r="G8" s="113">
        <v>41642024</v>
      </c>
      <c r="H8" s="112">
        <v>987485</v>
      </c>
      <c r="I8" s="112">
        <f t="shared" si="0"/>
        <v>42629509</v>
      </c>
      <c r="J8" s="709">
        <v>1876468</v>
      </c>
      <c r="K8" s="113">
        <f t="shared" si="1"/>
        <v>44505977</v>
      </c>
      <c r="L8" s="431" t="s">
        <v>215</v>
      </c>
      <c r="M8" s="437">
        <v>14800000</v>
      </c>
      <c r="N8" s="112">
        <v>0</v>
      </c>
      <c r="O8" s="113">
        <f>M8+N8</f>
        <v>14800000</v>
      </c>
      <c r="P8" s="112">
        <v>258874</v>
      </c>
      <c r="Q8" s="113">
        <f>O8+P8</f>
        <v>15058874</v>
      </c>
      <c r="R8" s="112">
        <v>0</v>
      </c>
      <c r="S8" s="113">
        <f>Q8+R8</f>
        <v>15058874</v>
      </c>
      <c r="T8" s="112">
        <v>360203</v>
      </c>
      <c r="U8" s="113">
        <f>S8+T8</f>
        <v>15419077</v>
      </c>
      <c r="V8" s="772"/>
    </row>
    <row r="9" spans="1:22" ht="12.75" customHeight="1">
      <c r="A9" s="110" t="s">
        <v>121</v>
      </c>
      <c r="B9" s="431" t="s">
        <v>216</v>
      </c>
      <c r="C9" s="437">
        <v>0</v>
      </c>
      <c r="D9" s="112"/>
      <c r="E9" s="113">
        <f t="shared" si="2"/>
        <v>0</v>
      </c>
      <c r="F9" s="112"/>
      <c r="G9" s="113">
        <f aca="true" t="shared" si="3" ref="G9:G14">E9+F9</f>
        <v>0</v>
      </c>
      <c r="H9" s="112"/>
      <c r="I9" s="112">
        <f t="shared" si="0"/>
        <v>0</v>
      </c>
      <c r="J9" s="709"/>
      <c r="K9" s="113">
        <f t="shared" si="1"/>
        <v>0</v>
      </c>
      <c r="L9" s="431" t="s">
        <v>217</v>
      </c>
      <c r="M9" s="437">
        <v>66766700</v>
      </c>
      <c r="N9" s="112">
        <v>1055036</v>
      </c>
      <c r="O9" s="113">
        <f>M9+N9</f>
        <v>67821736</v>
      </c>
      <c r="P9" s="112">
        <v>3284051</v>
      </c>
      <c r="Q9" s="113">
        <f>O9+P9</f>
        <v>71105787</v>
      </c>
      <c r="R9" s="112">
        <v>215365</v>
      </c>
      <c r="S9" s="113">
        <f>Q9+R9</f>
        <v>71321152</v>
      </c>
      <c r="T9" s="112">
        <v>-1463352</v>
      </c>
      <c r="U9" s="113">
        <f>S9+T9</f>
        <v>69857800</v>
      </c>
      <c r="V9" s="772"/>
    </row>
    <row r="10" spans="1:22" ht="12.75" customHeight="1">
      <c r="A10" s="110" t="s">
        <v>122</v>
      </c>
      <c r="B10" s="431" t="s">
        <v>15</v>
      </c>
      <c r="C10" s="437">
        <v>81460000</v>
      </c>
      <c r="D10" s="112">
        <v>0</v>
      </c>
      <c r="E10" s="113">
        <f t="shared" si="2"/>
        <v>81460000</v>
      </c>
      <c r="F10" s="112">
        <v>3330634</v>
      </c>
      <c r="G10" s="113">
        <f t="shared" si="3"/>
        <v>84790634</v>
      </c>
      <c r="H10" s="112">
        <v>0</v>
      </c>
      <c r="I10" s="112">
        <f t="shared" si="0"/>
        <v>84790634</v>
      </c>
      <c r="J10" s="709">
        <v>-1355737</v>
      </c>
      <c r="K10" s="113">
        <f t="shared" si="1"/>
        <v>83434897</v>
      </c>
      <c r="L10" s="431" t="s">
        <v>84</v>
      </c>
      <c r="M10" s="437">
        <v>5300000</v>
      </c>
      <c r="N10" s="112"/>
      <c r="O10" s="113">
        <f>M10+N10</f>
        <v>5300000</v>
      </c>
      <c r="P10" s="112">
        <v>0</v>
      </c>
      <c r="Q10" s="113">
        <f>O10+P10</f>
        <v>5300000</v>
      </c>
      <c r="R10" s="112">
        <v>2113780</v>
      </c>
      <c r="S10" s="113">
        <f>Q10+R10</f>
        <v>7413780</v>
      </c>
      <c r="T10" s="112"/>
      <c r="U10" s="113">
        <f>S10+T10</f>
        <v>7413780</v>
      </c>
      <c r="V10" s="772"/>
    </row>
    <row r="11" spans="1:22" ht="12.75" customHeight="1">
      <c r="A11" s="110" t="s">
        <v>123</v>
      </c>
      <c r="B11" s="114" t="s">
        <v>27</v>
      </c>
      <c r="C11" s="437">
        <v>28888730</v>
      </c>
      <c r="D11" s="112">
        <v>1250000</v>
      </c>
      <c r="E11" s="113">
        <f t="shared" si="2"/>
        <v>30138730</v>
      </c>
      <c r="F11" s="112">
        <v>1865000</v>
      </c>
      <c r="G11" s="113">
        <f t="shared" si="3"/>
        <v>32003730</v>
      </c>
      <c r="H11" s="112">
        <v>1048000</v>
      </c>
      <c r="I11" s="112">
        <f t="shared" si="0"/>
        <v>33051730</v>
      </c>
      <c r="J11" s="709">
        <v>-2520684</v>
      </c>
      <c r="K11" s="113">
        <f t="shared" si="1"/>
        <v>30531046</v>
      </c>
      <c r="L11" s="431" t="s">
        <v>130</v>
      </c>
      <c r="M11" s="437">
        <f>59615946-2000000</f>
        <v>57615946</v>
      </c>
      <c r="N11" s="112">
        <v>-414400</v>
      </c>
      <c r="O11" s="113">
        <f>M11+N11</f>
        <v>57201546</v>
      </c>
      <c r="P11" s="112">
        <v>5450000</v>
      </c>
      <c r="Q11" s="113">
        <f>O11+P11</f>
        <v>62651546</v>
      </c>
      <c r="R11" s="112">
        <v>0</v>
      </c>
      <c r="S11" s="113">
        <f>Q11+R11</f>
        <v>62651546</v>
      </c>
      <c r="T11" s="112">
        <v>-7166448</v>
      </c>
      <c r="U11" s="113">
        <f>S11+T11</f>
        <v>55485098</v>
      </c>
      <c r="V11" s="772"/>
    </row>
    <row r="12" spans="1:22" ht="12.75" customHeight="1">
      <c r="A12" s="110" t="s">
        <v>124</v>
      </c>
      <c r="B12" s="431" t="s">
        <v>44</v>
      </c>
      <c r="C12" s="437">
        <v>50000</v>
      </c>
      <c r="D12" s="112">
        <v>1350000</v>
      </c>
      <c r="E12" s="113">
        <f t="shared" si="2"/>
        <v>1400000</v>
      </c>
      <c r="F12" s="112">
        <v>0</v>
      </c>
      <c r="G12" s="113">
        <f t="shared" si="3"/>
        <v>1400000</v>
      </c>
      <c r="H12" s="112">
        <v>0</v>
      </c>
      <c r="I12" s="112">
        <f t="shared" si="0"/>
        <v>1400000</v>
      </c>
      <c r="J12" s="709">
        <v>0</v>
      </c>
      <c r="K12" s="113">
        <f t="shared" si="1"/>
        <v>1400000</v>
      </c>
      <c r="L12" s="431"/>
      <c r="M12" s="437"/>
      <c r="N12" s="112"/>
      <c r="O12" s="113"/>
      <c r="P12" s="112"/>
      <c r="Q12" s="113"/>
      <c r="R12" s="112"/>
      <c r="S12" s="113"/>
      <c r="T12" s="112"/>
      <c r="U12" s="113"/>
      <c r="V12" s="772"/>
    </row>
    <row r="13" spans="1:22" ht="12.75" customHeight="1">
      <c r="A13" s="110" t="s">
        <v>125</v>
      </c>
      <c r="B13" s="431" t="s">
        <v>219</v>
      </c>
      <c r="C13" s="437"/>
      <c r="D13" s="112"/>
      <c r="E13" s="113">
        <f t="shared" si="2"/>
        <v>0</v>
      </c>
      <c r="F13" s="112"/>
      <c r="G13" s="113">
        <f t="shared" si="3"/>
        <v>0</v>
      </c>
      <c r="H13" s="112"/>
      <c r="I13" s="112">
        <f t="shared" si="0"/>
        <v>0</v>
      </c>
      <c r="J13" s="709"/>
      <c r="K13" s="113">
        <f t="shared" si="1"/>
        <v>0</v>
      </c>
      <c r="L13" s="432"/>
      <c r="M13" s="437"/>
      <c r="N13" s="112"/>
      <c r="O13" s="113"/>
      <c r="P13" s="112"/>
      <c r="Q13" s="113"/>
      <c r="R13" s="112"/>
      <c r="S13" s="113"/>
      <c r="T13" s="112"/>
      <c r="U13" s="113"/>
      <c r="V13" s="772"/>
    </row>
    <row r="14" spans="1:22" ht="12.75" customHeight="1" thickBot="1">
      <c r="A14" s="110" t="s">
        <v>126</v>
      </c>
      <c r="B14" s="432"/>
      <c r="C14" s="437"/>
      <c r="D14" s="112"/>
      <c r="E14" s="113">
        <f t="shared" si="2"/>
        <v>0</v>
      </c>
      <c r="F14" s="112"/>
      <c r="G14" s="113">
        <f t="shared" si="3"/>
        <v>0</v>
      </c>
      <c r="H14" s="112"/>
      <c r="I14" s="112">
        <f t="shared" si="0"/>
        <v>0</v>
      </c>
      <c r="J14" s="709"/>
      <c r="K14" s="113">
        <f t="shared" si="1"/>
        <v>0</v>
      </c>
      <c r="L14" s="432"/>
      <c r="M14" s="437"/>
      <c r="N14" s="112"/>
      <c r="O14" s="113"/>
      <c r="P14" s="112"/>
      <c r="Q14" s="113"/>
      <c r="R14" s="112"/>
      <c r="S14" s="113"/>
      <c r="T14" s="112"/>
      <c r="U14" s="113"/>
      <c r="V14" s="772"/>
    </row>
    <row r="15" spans="1:22" ht="15.75" customHeight="1" thickBot="1">
      <c r="A15" s="110" t="s">
        <v>127</v>
      </c>
      <c r="B15" s="433" t="s">
        <v>224</v>
      </c>
      <c r="C15" s="433">
        <f aca="true" t="shared" si="4" ref="C15:I15">SUM(C7:C14)</f>
        <v>271176288</v>
      </c>
      <c r="D15" s="433">
        <f t="shared" si="4"/>
        <v>2742500</v>
      </c>
      <c r="E15" s="433">
        <f t="shared" si="4"/>
        <v>273918788</v>
      </c>
      <c r="F15" s="433">
        <f t="shared" si="4"/>
        <v>5611454</v>
      </c>
      <c r="G15" s="433">
        <f t="shared" si="4"/>
        <v>280756242</v>
      </c>
      <c r="H15" s="433">
        <f t="shared" si="4"/>
        <v>2871145</v>
      </c>
      <c r="I15" s="118">
        <f t="shared" si="4"/>
        <v>283627387</v>
      </c>
      <c r="J15" s="710">
        <f>SUM(J7:J14)</f>
        <v>-3058900</v>
      </c>
      <c r="K15" s="433">
        <f>SUM(K7:K14)</f>
        <v>280568487</v>
      </c>
      <c r="L15" s="433" t="s">
        <v>225</v>
      </c>
      <c r="M15" s="433">
        <f aca="true" t="shared" si="5" ref="M15:S15">SUM(M7:M14)</f>
        <v>200544726</v>
      </c>
      <c r="N15" s="433">
        <f t="shared" si="5"/>
        <v>753836</v>
      </c>
      <c r="O15" s="433">
        <f t="shared" si="5"/>
        <v>201298562</v>
      </c>
      <c r="P15" s="433">
        <f t="shared" si="5"/>
        <v>10055224</v>
      </c>
      <c r="Q15" s="433">
        <f t="shared" si="5"/>
        <v>211353786</v>
      </c>
      <c r="R15" s="433">
        <f t="shared" si="5"/>
        <v>2879145</v>
      </c>
      <c r="S15" s="433">
        <f t="shared" si="5"/>
        <v>214232931</v>
      </c>
      <c r="T15" s="433">
        <f>SUM(T7:T14)</f>
        <v>-5469639</v>
      </c>
      <c r="U15" s="433">
        <f>SUM(U7:U14)</f>
        <v>208763292</v>
      </c>
      <c r="V15" s="772"/>
    </row>
    <row r="16" spans="1:22" ht="12.75" customHeight="1">
      <c r="A16" s="110" t="s">
        <v>220</v>
      </c>
      <c r="B16" s="434" t="s">
        <v>227</v>
      </c>
      <c r="C16" s="439">
        <f>+C17+C18+C19+C20</f>
        <v>0</v>
      </c>
      <c r="D16" s="123"/>
      <c r="E16" s="440"/>
      <c r="F16" s="123"/>
      <c r="G16" s="440"/>
      <c r="H16" s="123"/>
      <c r="I16" s="123"/>
      <c r="J16" s="711"/>
      <c r="K16" s="440"/>
      <c r="L16" s="435" t="s">
        <v>228</v>
      </c>
      <c r="M16" s="441"/>
      <c r="N16" s="123"/>
      <c r="O16" s="440"/>
      <c r="P16" s="123"/>
      <c r="Q16" s="440"/>
      <c r="R16" s="123"/>
      <c r="S16" s="440"/>
      <c r="T16" s="123"/>
      <c r="U16" s="440"/>
      <c r="V16" s="772"/>
    </row>
    <row r="17" spans="1:22" ht="12.75" customHeight="1">
      <c r="A17" s="110" t="s">
        <v>221</v>
      </c>
      <c r="B17" s="435" t="s">
        <v>230</v>
      </c>
      <c r="C17" s="441">
        <v>0</v>
      </c>
      <c r="D17" s="121"/>
      <c r="E17" s="122"/>
      <c r="F17" s="121"/>
      <c r="G17" s="122"/>
      <c r="H17" s="121"/>
      <c r="I17" s="121"/>
      <c r="J17" s="712"/>
      <c r="K17" s="122"/>
      <c r="L17" s="435" t="s">
        <v>231</v>
      </c>
      <c r="M17" s="441"/>
      <c r="N17" s="121"/>
      <c r="O17" s="122"/>
      <c r="P17" s="121"/>
      <c r="Q17" s="122"/>
      <c r="R17" s="121"/>
      <c r="S17" s="122"/>
      <c r="T17" s="121"/>
      <c r="U17" s="122"/>
      <c r="V17" s="772"/>
    </row>
    <row r="18" spans="1:22" ht="12.75" customHeight="1">
      <c r="A18" s="110" t="s">
        <v>222</v>
      </c>
      <c r="B18" s="435" t="s">
        <v>233</v>
      </c>
      <c r="C18" s="441"/>
      <c r="D18" s="121"/>
      <c r="E18" s="122"/>
      <c r="F18" s="121"/>
      <c r="G18" s="122"/>
      <c r="H18" s="121"/>
      <c r="I18" s="121"/>
      <c r="J18" s="712"/>
      <c r="K18" s="122"/>
      <c r="L18" s="435" t="s">
        <v>234</v>
      </c>
      <c r="M18" s="441"/>
      <c r="N18" s="121"/>
      <c r="O18" s="122"/>
      <c r="P18" s="121"/>
      <c r="Q18" s="122"/>
      <c r="R18" s="121"/>
      <c r="S18" s="122"/>
      <c r="T18" s="121"/>
      <c r="U18" s="122"/>
      <c r="V18" s="772"/>
    </row>
    <row r="19" spans="1:22" ht="12.75" customHeight="1">
      <c r="A19" s="110" t="s">
        <v>223</v>
      </c>
      <c r="B19" s="435" t="s">
        <v>236</v>
      </c>
      <c r="C19" s="441"/>
      <c r="D19" s="121"/>
      <c r="E19" s="122"/>
      <c r="F19" s="121"/>
      <c r="G19" s="122"/>
      <c r="H19" s="121"/>
      <c r="I19" s="121"/>
      <c r="J19" s="712"/>
      <c r="K19" s="122"/>
      <c r="L19" s="435" t="s">
        <v>237</v>
      </c>
      <c r="M19" s="441"/>
      <c r="N19" s="121"/>
      <c r="O19" s="122"/>
      <c r="P19" s="121"/>
      <c r="Q19" s="122"/>
      <c r="R19" s="121"/>
      <c r="S19" s="122"/>
      <c r="T19" s="121"/>
      <c r="U19" s="122"/>
      <c r="V19" s="772"/>
    </row>
    <row r="20" spans="1:22" ht="12.75" customHeight="1">
      <c r="A20" s="110" t="s">
        <v>226</v>
      </c>
      <c r="B20" s="435" t="s">
        <v>239</v>
      </c>
      <c r="C20" s="441"/>
      <c r="D20" s="121"/>
      <c r="E20" s="122"/>
      <c r="F20" s="121"/>
      <c r="G20" s="122"/>
      <c r="H20" s="121"/>
      <c r="I20" s="121"/>
      <c r="J20" s="712">
        <v>3789108</v>
      </c>
      <c r="K20" s="122">
        <f>I20+J20</f>
        <v>3789108</v>
      </c>
      <c r="L20" s="434" t="s">
        <v>240</v>
      </c>
      <c r="M20" s="441"/>
      <c r="N20" s="121"/>
      <c r="O20" s="122"/>
      <c r="P20" s="121"/>
      <c r="Q20" s="122"/>
      <c r="R20" s="121"/>
      <c r="S20" s="122"/>
      <c r="T20" s="121"/>
      <c r="U20" s="122"/>
      <c r="V20" s="772"/>
    </row>
    <row r="21" spans="1:22" ht="12.75" customHeight="1">
      <c r="A21" s="110" t="s">
        <v>229</v>
      </c>
      <c r="B21" s="435" t="s">
        <v>242</v>
      </c>
      <c r="C21" s="439">
        <f>+C22+C23</f>
        <v>0</v>
      </c>
      <c r="D21" s="123"/>
      <c r="E21" s="440"/>
      <c r="F21" s="123"/>
      <c r="G21" s="440"/>
      <c r="H21" s="123"/>
      <c r="I21" s="123"/>
      <c r="J21" s="711"/>
      <c r="K21" s="440"/>
      <c r="L21" s="435" t="s">
        <v>243</v>
      </c>
      <c r="M21" s="441"/>
      <c r="N21" s="123"/>
      <c r="O21" s="440"/>
      <c r="P21" s="123"/>
      <c r="Q21" s="440"/>
      <c r="R21" s="123"/>
      <c r="S21" s="440"/>
      <c r="T21" s="123"/>
      <c r="U21" s="440"/>
      <c r="V21" s="772"/>
    </row>
    <row r="22" spans="1:22" ht="12.75" customHeight="1">
      <c r="A22" s="110" t="s">
        <v>232</v>
      </c>
      <c r="B22" s="434" t="s">
        <v>245</v>
      </c>
      <c r="C22" s="441"/>
      <c r="D22" s="121"/>
      <c r="E22" s="122"/>
      <c r="F22" s="121"/>
      <c r="G22" s="122"/>
      <c r="H22" s="121"/>
      <c r="I22" s="121"/>
      <c r="J22" s="712"/>
      <c r="K22" s="122"/>
      <c r="L22" s="430" t="s">
        <v>246</v>
      </c>
      <c r="M22" s="441"/>
      <c r="N22" s="121"/>
      <c r="O22" s="122"/>
      <c r="P22" s="121"/>
      <c r="Q22" s="122"/>
      <c r="R22" s="121"/>
      <c r="S22" s="122"/>
      <c r="T22" s="121"/>
      <c r="U22" s="122"/>
      <c r="V22" s="772"/>
    </row>
    <row r="23" spans="1:22" ht="12.75" customHeight="1">
      <c r="A23" s="110" t="s">
        <v>235</v>
      </c>
      <c r="B23" s="435" t="s">
        <v>248</v>
      </c>
      <c r="C23" s="441"/>
      <c r="D23" s="121"/>
      <c r="E23" s="122"/>
      <c r="F23" s="121"/>
      <c r="G23" s="122"/>
      <c r="H23" s="121"/>
      <c r="I23" s="121"/>
      <c r="J23" s="712"/>
      <c r="K23" s="122"/>
      <c r="L23" s="431" t="s">
        <v>249</v>
      </c>
      <c r="M23" s="441"/>
      <c r="N23" s="121"/>
      <c r="O23" s="122"/>
      <c r="P23" s="121"/>
      <c r="Q23" s="122"/>
      <c r="R23" s="121"/>
      <c r="S23" s="122"/>
      <c r="T23" s="121"/>
      <c r="U23" s="122"/>
      <c r="V23" s="772"/>
    </row>
    <row r="24" spans="1:22" ht="12.75" customHeight="1">
      <c r="A24" s="110" t="s">
        <v>238</v>
      </c>
      <c r="B24" s="435" t="s">
        <v>251</v>
      </c>
      <c r="C24" s="441"/>
      <c r="D24" s="121"/>
      <c r="E24" s="122"/>
      <c r="F24" s="121"/>
      <c r="G24" s="122"/>
      <c r="H24" s="121"/>
      <c r="I24" s="121"/>
      <c r="J24" s="712"/>
      <c r="K24" s="122"/>
      <c r="L24" s="431" t="s">
        <v>252</v>
      </c>
      <c r="M24" s="441"/>
      <c r="N24" s="121"/>
      <c r="O24" s="122"/>
      <c r="P24" s="121"/>
      <c r="Q24" s="122"/>
      <c r="R24" s="121"/>
      <c r="S24" s="122"/>
      <c r="T24" s="121"/>
      <c r="U24" s="122"/>
      <c r="V24" s="772"/>
    </row>
    <row r="25" spans="1:22" ht="12.75" customHeight="1">
      <c r="A25" s="110" t="s">
        <v>241</v>
      </c>
      <c r="B25" s="435" t="s">
        <v>254</v>
      </c>
      <c r="C25" s="441"/>
      <c r="D25" s="121"/>
      <c r="E25" s="122"/>
      <c r="F25" s="121"/>
      <c r="G25" s="122"/>
      <c r="H25" s="121"/>
      <c r="I25" s="121"/>
      <c r="J25" s="712"/>
      <c r="K25" s="122"/>
      <c r="L25" s="431" t="s">
        <v>314</v>
      </c>
      <c r="M25" s="441">
        <v>4110757</v>
      </c>
      <c r="N25" s="121"/>
      <c r="O25" s="122">
        <f>M25+N25</f>
        <v>4110757</v>
      </c>
      <c r="P25" s="121"/>
      <c r="Q25" s="122">
        <f>O25+P25</f>
        <v>4110757</v>
      </c>
      <c r="R25" s="121"/>
      <c r="S25" s="122">
        <f>Q25+R25</f>
        <v>4110757</v>
      </c>
      <c r="T25" s="121"/>
      <c r="U25" s="122">
        <f>S25+T25</f>
        <v>4110757</v>
      </c>
      <c r="V25" s="772"/>
    </row>
    <row r="26" spans="1:22" ht="12.75" customHeight="1" thickBot="1">
      <c r="A26" s="110" t="s">
        <v>244</v>
      </c>
      <c r="B26" s="435" t="s">
        <v>254</v>
      </c>
      <c r="C26" s="441"/>
      <c r="D26" s="121"/>
      <c r="E26" s="122"/>
      <c r="F26" s="121"/>
      <c r="G26" s="122"/>
      <c r="H26" s="121"/>
      <c r="I26" s="121"/>
      <c r="J26" s="712"/>
      <c r="K26" s="122"/>
      <c r="L26" s="444" t="s">
        <v>193</v>
      </c>
      <c r="M26" s="441">
        <v>45365338</v>
      </c>
      <c r="N26" s="121"/>
      <c r="O26" s="122">
        <f>M26+N26</f>
        <v>45365338</v>
      </c>
      <c r="P26" s="121"/>
      <c r="Q26" s="122">
        <f>O26+P26</f>
        <v>45365338</v>
      </c>
      <c r="R26" s="121"/>
      <c r="S26" s="122">
        <f>Q26+R26</f>
        <v>45365338</v>
      </c>
      <c r="T26" s="121">
        <v>-16478</v>
      </c>
      <c r="U26" s="122">
        <f>S26+T26</f>
        <v>45348860</v>
      </c>
      <c r="V26" s="772"/>
    </row>
    <row r="27" spans="1:22" ht="20.25" customHeight="1" thickBot="1">
      <c r="A27" s="110" t="s">
        <v>247</v>
      </c>
      <c r="B27" s="714" t="s">
        <v>256</v>
      </c>
      <c r="C27" s="438">
        <f>SUM(C16:C26)</f>
        <v>0</v>
      </c>
      <c r="D27" s="438">
        <f aca="true" t="shared" si="6" ref="D27:K27">SUM(D16:D26)</f>
        <v>0</v>
      </c>
      <c r="E27" s="438">
        <f t="shared" si="6"/>
        <v>0</v>
      </c>
      <c r="F27" s="438">
        <f t="shared" si="6"/>
        <v>0</v>
      </c>
      <c r="G27" s="438">
        <f t="shared" si="6"/>
        <v>0</v>
      </c>
      <c r="H27" s="438">
        <f t="shared" si="6"/>
        <v>0</v>
      </c>
      <c r="I27" s="438">
        <f t="shared" si="6"/>
        <v>0</v>
      </c>
      <c r="J27" s="438">
        <f t="shared" si="6"/>
        <v>3789108</v>
      </c>
      <c r="K27" s="438">
        <f t="shared" si="6"/>
        <v>3789108</v>
      </c>
      <c r="L27" s="433" t="s">
        <v>257</v>
      </c>
      <c r="M27" s="438">
        <f>SUM(M16:M26)</f>
        <v>49476095</v>
      </c>
      <c r="N27" s="438">
        <f aca="true" t="shared" si="7" ref="N27:U27">SUM(N16:N26)</f>
        <v>0</v>
      </c>
      <c r="O27" s="438">
        <f t="shared" si="7"/>
        <v>49476095</v>
      </c>
      <c r="P27" s="438">
        <f t="shared" si="7"/>
        <v>0</v>
      </c>
      <c r="Q27" s="438">
        <f t="shared" si="7"/>
        <v>49476095</v>
      </c>
      <c r="R27" s="438">
        <f t="shared" si="7"/>
        <v>0</v>
      </c>
      <c r="S27" s="438">
        <f t="shared" si="7"/>
        <v>49476095</v>
      </c>
      <c r="T27" s="438">
        <f t="shared" si="7"/>
        <v>-16478</v>
      </c>
      <c r="U27" s="438">
        <f t="shared" si="7"/>
        <v>49459617</v>
      </c>
      <c r="V27" s="772"/>
    </row>
    <row r="28" spans="1:22" ht="13.5" thickBot="1">
      <c r="A28" s="110" t="s">
        <v>250</v>
      </c>
      <c r="B28" s="436" t="s">
        <v>259</v>
      </c>
      <c r="C28" s="436">
        <f aca="true" t="shared" si="8" ref="C28:I28">+C15+C27</f>
        <v>271176288</v>
      </c>
      <c r="D28" s="436">
        <f t="shared" si="8"/>
        <v>2742500</v>
      </c>
      <c r="E28" s="436">
        <f t="shared" si="8"/>
        <v>273918788</v>
      </c>
      <c r="F28" s="436">
        <f t="shared" si="8"/>
        <v>5611454</v>
      </c>
      <c r="G28" s="436">
        <f t="shared" si="8"/>
        <v>280756242</v>
      </c>
      <c r="H28" s="436">
        <f t="shared" si="8"/>
        <v>2871145</v>
      </c>
      <c r="I28" s="124">
        <f t="shared" si="8"/>
        <v>283627387</v>
      </c>
      <c r="J28" s="713">
        <f>+J15+J27</f>
        <v>730208</v>
      </c>
      <c r="K28" s="436">
        <f>+K15+K27</f>
        <v>284357595</v>
      </c>
      <c r="L28" s="436" t="s">
        <v>260</v>
      </c>
      <c r="M28" s="436">
        <f>+M15+M27</f>
        <v>250020821</v>
      </c>
      <c r="N28" s="436">
        <f aca="true" t="shared" si="9" ref="N28:T28">+N15+N27</f>
        <v>753836</v>
      </c>
      <c r="O28" s="436">
        <f t="shared" si="9"/>
        <v>250774657</v>
      </c>
      <c r="P28" s="436">
        <f t="shared" si="9"/>
        <v>10055224</v>
      </c>
      <c r="Q28" s="436">
        <f t="shared" si="9"/>
        <v>260829881</v>
      </c>
      <c r="R28" s="436">
        <f t="shared" si="9"/>
        <v>2879145</v>
      </c>
      <c r="S28" s="436">
        <f t="shared" si="9"/>
        <v>263709026</v>
      </c>
      <c r="T28" s="436">
        <f t="shared" si="9"/>
        <v>-5486117</v>
      </c>
      <c r="U28" s="436">
        <f>+U15+U27</f>
        <v>258222909</v>
      </c>
      <c r="V28" s="772"/>
    </row>
    <row r="29" spans="1:22" ht="13.5" thickBot="1">
      <c r="A29" s="110" t="s">
        <v>253</v>
      </c>
      <c r="B29" s="436" t="s">
        <v>262</v>
      </c>
      <c r="C29" s="442" t="str">
        <f>IF(C15-M15&lt;0,M15-C15,"-")</f>
        <v>-</v>
      </c>
      <c r="D29" s="442" t="str">
        <f aca="true" t="shared" si="10" ref="D29:K29">IF(D15-N15&lt;0,N15-D15,"-")</f>
        <v>-</v>
      </c>
      <c r="E29" s="442" t="str">
        <f t="shared" si="10"/>
        <v>-</v>
      </c>
      <c r="F29" s="442">
        <f t="shared" si="10"/>
        <v>4443770</v>
      </c>
      <c r="G29" s="442" t="str">
        <f t="shared" si="10"/>
        <v>-</v>
      </c>
      <c r="H29" s="442">
        <f t="shared" si="10"/>
        <v>8000</v>
      </c>
      <c r="I29" s="442" t="str">
        <f t="shared" si="10"/>
        <v>-</v>
      </c>
      <c r="J29" s="442" t="str">
        <f t="shared" si="10"/>
        <v>-</v>
      </c>
      <c r="K29" s="442" t="str">
        <f t="shared" si="10"/>
        <v>-</v>
      </c>
      <c r="L29" s="436" t="s">
        <v>263</v>
      </c>
      <c r="M29" s="442">
        <f aca="true" t="shared" si="11" ref="M29:U29">IF(C15-M15&gt;0,C15-M15,"-")</f>
        <v>70631562</v>
      </c>
      <c r="N29" s="442">
        <f t="shared" si="11"/>
        <v>1988664</v>
      </c>
      <c r="O29" s="442">
        <f t="shared" si="11"/>
        <v>72620226</v>
      </c>
      <c r="P29" s="442" t="str">
        <f t="shared" si="11"/>
        <v>-</v>
      </c>
      <c r="Q29" s="442">
        <f t="shared" si="11"/>
        <v>69402456</v>
      </c>
      <c r="R29" s="442" t="str">
        <f t="shared" si="11"/>
        <v>-</v>
      </c>
      <c r="S29" s="442">
        <f t="shared" si="11"/>
        <v>69394456</v>
      </c>
      <c r="T29" s="442">
        <f t="shared" si="11"/>
        <v>2410739</v>
      </c>
      <c r="U29" s="442">
        <f t="shared" si="11"/>
        <v>71805195</v>
      </c>
      <c r="V29" s="772"/>
    </row>
    <row r="30" spans="1:22" ht="13.5" thickBot="1">
      <c r="A30" s="110" t="s">
        <v>255</v>
      </c>
      <c r="B30" s="436" t="s">
        <v>265</v>
      </c>
      <c r="C30" s="443" t="str">
        <f>IF(C15+C27-M28&lt;0,M28-(C15+C27),"-")</f>
        <v>-</v>
      </c>
      <c r="D30" s="443" t="str">
        <f aca="true" t="shared" si="12" ref="D30:K30">IF(D15+D27-N28&lt;0,N28-(D15+D27),"-")</f>
        <v>-</v>
      </c>
      <c r="E30" s="443" t="str">
        <f t="shared" si="12"/>
        <v>-</v>
      </c>
      <c r="F30" s="443">
        <f t="shared" si="12"/>
        <v>4443770</v>
      </c>
      <c r="G30" s="443" t="str">
        <f t="shared" si="12"/>
        <v>-</v>
      </c>
      <c r="H30" s="443">
        <f t="shared" si="12"/>
        <v>8000</v>
      </c>
      <c r="I30" s="443" t="str">
        <f t="shared" si="12"/>
        <v>-</v>
      </c>
      <c r="J30" s="443" t="str">
        <f t="shared" si="12"/>
        <v>-</v>
      </c>
      <c r="K30" s="443" t="str">
        <f t="shared" si="12"/>
        <v>-</v>
      </c>
      <c r="L30" s="436" t="s">
        <v>266</v>
      </c>
      <c r="M30" s="443">
        <f>IF(C15+C27-M28&gt;0,C15+C27-M28,"-")</f>
        <v>21155467</v>
      </c>
      <c r="N30" s="443">
        <f>IF(D15+D27-N28&gt;0,D15+D27-N28,"-")</f>
        <v>1988664</v>
      </c>
      <c r="O30" s="443">
        <f>IF(E15+E27-O28&gt;0,E15+E27-O28,"-")</f>
        <v>23144131</v>
      </c>
      <c r="P30" s="443" t="str">
        <f>IF(F15+F27-P28&gt;0,F15+F27-P28,"-")</f>
        <v>-</v>
      </c>
      <c r="Q30" s="443">
        <f>IF(G15-Q28&gt;0,G15-Q28,"-")</f>
        <v>19926361</v>
      </c>
      <c r="R30" s="443" t="str">
        <f>IF(H15+H27-R28&gt;0,H15+H27-R28,"-")</f>
        <v>-</v>
      </c>
      <c r="S30" s="443">
        <f>IF(I15-S28&gt;0,I15-S28,"-")</f>
        <v>19918361</v>
      </c>
      <c r="T30" s="443">
        <f>IF(J15-T28&gt;0,J15-T28,"-")</f>
        <v>2427217</v>
      </c>
      <c r="U30" s="443">
        <f>IF(K28-U28&gt;0,K28-U28,"-")</f>
        <v>26134686</v>
      </c>
      <c r="V30" s="772"/>
    </row>
    <row r="31" spans="2:12" ht="18.75"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</row>
  </sheetData>
  <sheetProtection/>
  <mergeCells count="5">
    <mergeCell ref="A4:A5"/>
    <mergeCell ref="V1:V30"/>
    <mergeCell ref="B31:L31"/>
    <mergeCell ref="L4:U4"/>
    <mergeCell ref="B4:K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93" customWidth="1"/>
    <col min="2" max="2" width="44.57421875" style="96" customWidth="1"/>
    <col min="3" max="3" width="12.7109375" style="93" customWidth="1"/>
    <col min="4" max="4" width="12.421875" style="93" hidden="1" customWidth="1"/>
    <col min="5" max="5" width="13.28125" style="93" hidden="1" customWidth="1"/>
    <col min="6" max="6" width="12.421875" style="93" hidden="1" customWidth="1"/>
    <col min="7" max="7" width="13.28125" style="93" customWidth="1"/>
    <col min="8" max="8" width="12.421875" style="93" hidden="1" customWidth="1"/>
    <col min="9" max="9" width="13.28125" style="93" hidden="1" customWidth="1"/>
    <col min="10" max="10" width="12.421875" style="93" customWidth="1"/>
    <col min="11" max="11" width="13.28125" style="93" customWidth="1"/>
    <col min="12" max="12" width="41.7109375" style="93" customWidth="1"/>
    <col min="13" max="13" width="13.57421875" style="93" customWidth="1"/>
    <col min="14" max="14" width="12.28125" style="93" hidden="1" customWidth="1"/>
    <col min="15" max="15" width="12.57421875" style="93" hidden="1" customWidth="1"/>
    <col min="16" max="16" width="12.28125" style="93" hidden="1" customWidth="1"/>
    <col min="17" max="17" width="12.57421875" style="93" customWidth="1"/>
    <col min="18" max="18" width="12.28125" style="93" hidden="1" customWidth="1"/>
    <col min="19" max="19" width="12.57421875" style="93" hidden="1" customWidth="1"/>
    <col min="20" max="20" width="12.28125" style="93" customWidth="1"/>
    <col min="21" max="21" width="12.57421875" style="93" customWidth="1"/>
    <col min="22" max="22" width="4.140625" style="93" customWidth="1"/>
    <col min="23" max="16384" width="8.00390625" style="93" customWidth="1"/>
  </cols>
  <sheetData>
    <row r="1" spans="2:22" ht="31.5">
      <c r="B1" s="94" t="s">
        <v>267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772"/>
    </row>
    <row r="2" spans="1:22" ht="19.5" customHeight="1">
      <c r="A2" s="729" t="s">
        <v>791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303"/>
      <c r="N2" s="303"/>
      <c r="O2" s="303" t="s">
        <v>565</v>
      </c>
      <c r="P2" s="303"/>
      <c r="Q2" s="303"/>
      <c r="R2" s="303"/>
      <c r="S2" s="303" t="s">
        <v>747</v>
      </c>
      <c r="T2" s="303"/>
      <c r="U2" s="303" t="s">
        <v>747</v>
      </c>
      <c r="V2" s="772"/>
    </row>
    <row r="3" spans="1:22" ht="16.5" thickBot="1">
      <c r="A3" s="729" t="s">
        <v>792</v>
      </c>
      <c r="M3" s="304"/>
      <c r="N3" s="304"/>
      <c r="O3" s="304" t="s">
        <v>509</v>
      </c>
      <c r="P3" s="304"/>
      <c r="Q3" s="304"/>
      <c r="R3" s="304"/>
      <c r="S3" s="304" t="s">
        <v>509</v>
      </c>
      <c r="T3" s="304"/>
      <c r="U3" s="304" t="s">
        <v>509</v>
      </c>
      <c r="V3" s="772"/>
    </row>
    <row r="4" spans="1:22" ht="13.5" thickBot="1">
      <c r="A4" s="777" t="s">
        <v>211</v>
      </c>
      <c r="B4" s="774" t="s">
        <v>102</v>
      </c>
      <c r="C4" s="775"/>
      <c r="D4" s="775"/>
      <c r="E4" s="775"/>
      <c r="F4" s="775"/>
      <c r="G4" s="775"/>
      <c r="H4" s="775"/>
      <c r="I4" s="496"/>
      <c r="J4" s="496"/>
      <c r="K4" s="496"/>
      <c r="L4" s="496" t="s">
        <v>103</v>
      </c>
      <c r="M4" s="496"/>
      <c r="N4" s="496"/>
      <c r="O4" s="496"/>
      <c r="P4" s="496"/>
      <c r="Q4" s="496"/>
      <c r="R4" s="496"/>
      <c r="S4" s="496"/>
      <c r="T4" s="496"/>
      <c r="U4" s="496"/>
      <c r="V4" s="772"/>
    </row>
    <row r="5" spans="1:22" s="100" customFormat="1" ht="36.75" thickBot="1">
      <c r="A5" s="778"/>
      <c r="B5" s="97" t="s">
        <v>212</v>
      </c>
      <c r="C5" s="98" t="s">
        <v>539</v>
      </c>
      <c r="D5" s="98" t="s">
        <v>558</v>
      </c>
      <c r="E5" s="98" t="s">
        <v>559</v>
      </c>
      <c r="F5" s="98" t="s">
        <v>573</v>
      </c>
      <c r="G5" s="98" t="s">
        <v>616</v>
      </c>
      <c r="H5" s="98" t="s">
        <v>573</v>
      </c>
      <c r="I5" s="98" t="s">
        <v>574</v>
      </c>
      <c r="J5" s="98" t="s">
        <v>625</v>
      </c>
      <c r="K5" s="98" t="s">
        <v>624</v>
      </c>
      <c r="L5" s="428" t="s">
        <v>212</v>
      </c>
      <c r="M5" s="97" t="str">
        <f>+'6,a Műk. mérleg'!C5</f>
        <v>2016. évi előirányzat</v>
      </c>
      <c r="N5" s="98" t="str">
        <f>+'6,a Műk. mérleg'!D5</f>
        <v>Előirányzat módosítás 05.31.</v>
      </c>
      <c r="O5" s="99" t="str">
        <f>+'6,a Műk. mérleg'!E5</f>
        <v>Módosított előirányzat 05.31.</v>
      </c>
      <c r="P5" s="98" t="str">
        <f>+'6,a Műk. mérleg'!F5</f>
        <v>Előirányzat módosítás 08.31.</v>
      </c>
      <c r="Q5" s="99" t="s">
        <v>616</v>
      </c>
      <c r="R5" s="98" t="str">
        <f>+'6,a Műk. mérleg'!H5</f>
        <v>Előirányzat módosítás 10.31.</v>
      </c>
      <c r="S5" s="99" t="str">
        <f>+'6,a Műk. mérleg'!I5</f>
        <v>Módosított előirányzat 10.31.</v>
      </c>
      <c r="T5" s="98" t="s">
        <v>625</v>
      </c>
      <c r="U5" s="99" t="str">
        <f>+'6,a Műk. mérleg'!K5</f>
        <v>Módosított előirányzat 12.31.</v>
      </c>
      <c r="V5" s="772"/>
    </row>
    <row r="6" spans="1:22" s="100" customFormat="1" ht="13.5" thickBot="1">
      <c r="A6" s="101" t="s">
        <v>97</v>
      </c>
      <c r="B6" s="102" t="s">
        <v>98</v>
      </c>
      <c r="C6" s="103" t="s">
        <v>99</v>
      </c>
      <c r="D6" s="103" t="s">
        <v>100</v>
      </c>
      <c r="E6" s="103" t="s">
        <v>101</v>
      </c>
      <c r="F6" s="103" t="s">
        <v>100</v>
      </c>
      <c r="G6" s="103" t="s">
        <v>100</v>
      </c>
      <c r="H6" s="103" t="s">
        <v>101</v>
      </c>
      <c r="I6" s="103" t="s">
        <v>498</v>
      </c>
      <c r="J6" s="103" t="s">
        <v>101</v>
      </c>
      <c r="K6" s="103" t="s">
        <v>498</v>
      </c>
      <c r="L6" s="429" t="s">
        <v>499</v>
      </c>
      <c r="M6" s="102" t="s">
        <v>560</v>
      </c>
      <c r="N6" s="103" t="s">
        <v>560</v>
      </c>
      <c r="O6" s="104" t="s">
        <v>560</v>
      </c>
      <c r="P6" s="103" t="s">
        <v>563</v>
      </c>
      <c r="Q6" s="104" t="s">
        <v>563</v>
      </c>
      <c r="R6" s="103" t="s">
        <v>582</v>
      </c>
      <c r="S6" s="104" t="s">
        <v>208</v>
      </c>
      <c r="T6" s="103" t="s">
        <v>582</v>
      </c>
      <c r="U6" s="104" t="s">
        <v>208</v>
      </c>
      <c r="V6" s="772"/>
    </row>
    <row r="7" spans="1:22" ht="12.75" customHeight="1">
      <c r="A7" s="106" t="s">
        <v>119</v>
      </c>
      <c r="B7" s="107" t="s">
        <v>268</v>
      </c>
      <c r="C7" s="108">
        <v>0</v>
      </c>
      <c r="D7" s="108">
        <v>3703700</v>
      </c>
      <c r="E7" s="108">
        <v>3703700</v>
      </c>
      <c r="F7" s="108">
        <v>-3512700</v>
      </c>
      <c r="G7" s="108">
        <f>E7+F7</f>
        <v>191000</v>
      </c>
      <c r="H7" s="108">
        <v>0</v>
      </c>
      <c r="I7" s="108">
        <f>G7+H7</f>
        <v>191000</v>
      </c>
      <c r="J7" s="108">
        <v>0</v>
      </c>
      <c r="K7" s="108">
        <f>I7+J7</f>
        <v>191000</v>
      </c>
      <c r="L7" s="430" t="s">
        <v>87</v>
      </c>
      <c r="M7" s="450">
        <v>26458831</v>
      </c>
      <c r="N7" s="108">
        <v>2264200</v>
      </c>
      <c r="O7" s="109">
        <f>M7+N7</f>
        <v>28723031</v>
      </c>
      <c r="P7" s="108">
        <v>-6260470</v>
      </c>
      <c r="Q7" s="109">
        <f>O7+P7</f>
        <v>22462561</v>
      </c>
      <c r="R7" s="108">
        <v>0</v>
      </c>
      <c r="S7" s="109">
        <f>Q7+R7</f>
        <v>22462561</v>
      </c>
      <c r="T7" s="108">
        <v>2776500</v>
      </c>
      <c r="U7" s="109">
        <f>S7+T7</f>
        <v>25239061</v>
      </c>
      <c r="V7" s="772"/>
    </row>
    <row r="8" spans="1:22" ht="12.75">
      <c r="A8" s="110" t="s">
        <v>120</v>
      </c>
      <c r="B8" s="111" t="s">
        <v>269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/>
      <c r="I8" s="108">
        <f>G8+H8</f>
        <v>0</v>
      </c>
      <c r="J8" s="112"/>
      <c r="K8" s="108">
        <f>I8+J8</f>
        <v>0</v>
      </c>
      <c r="L8" s="431" t="s">
        <v>270</v>
      </c>
      <c r="M8" s="437"/>
      <c r="N8" s="112"/>
      <c r="O8" s="109">
        <f aca="true" t="shared" si="0" ref="O8:O13">M8+N8</f>
        <v>0</v>
      </c>
      <c r="P8" s="112"/>
      <c r="Q8" s="109">
        <f aca="true" t="shared" si="1" ref="Q8:Q13">O8+P8</f>
        <v>0</v>
      </c>
      <c r="R8" s="112"/>
      <c r="S8" s="109">
        <f aca="true" t="shared" si="2" ref="S8:S13">Q8+R8</f>
        <v>0</v>
      </c>
      <c r="T8" s="112"/>
      <c r="U8" s="109">
        <f aca="true" t="shared" si="3" ref="U8:U13">S8+T8</f>
        <v>0</v>
      </c>
      <c r="V8" s="772"/>
    </row>
    <row r="9" spans="1:22" ht="12.75" customHeight="1">
      <c r="A9" s="110" t="s">
        <v>121</v>
      </c>
      <c r="B9" s="111" t="s">
        <v>42</v>
      </c>
      <c r="C9" s="112">
        <v>0</v>
      </c>
      <c r="D9" s="112">
        <v>0</v>
      </c>
      <c r="E9" s="112">
        <v>0</v>
      </c>
      <c r="F9" s="112">
        <v>2900000</v>
      </c>
      <c r="G9" s="112">
        <v>2908000</v>
      </c>
      <c r="H9" s="112">
        <v>8000</v>
      </c>
      <c r="I9" s="108">
        <f>G9+H9</f>
        <v>2916000</v>
      </c>
      <c r="J9" s="112">
        <v>0</v>
      </c>
      <c r="K9" s="108">
        <f>G9+J9</f>
        <v>2908000</v>
      </c>
      <c r="L9" s="431" t="s">
        <v>89</v>
      </c>
      <c r="M9" s="437">
        <v>5307800</v>
      </c>
      <c r="N9" s="112">
        <v>3430000</v>
      </c>
      <c r="O9" s="109">
        <f t="shared" si="0"/>
        <v>8737800</v>
      </c>
      <c r="P9" s="112">
        <v>3430000</v>
      </c>
      <c r="Q9" s="109">
        <f t="shared" si="1"/>
        <v>12167800</v>
      </c>
      <c r="R9" s="112">
        <v>0</v>
      </c>
      <c r="S9" s="109">
        <f t="shared" si="2"/>
        <v>12167800</v>
      </c>
      <c r="T9" s="112">
        <v>139825</v>
      </c>
      <c r="U9" s="109">
        <f t="shared" si="3"/>
        <v>12307625</v>
      </c>
      <c r="V9" s="772"/>
    </row>
    <row r="10" spans="1:22" ht="12.75" customHeight="1">
      <c r="A10" s="110" t="s">
        <v>122</v>
      </c>
      <c r="B10" s="111" t="s">
        <v>271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431" t="s">
        <v>272</v>
      </c>
      <c r="M10" s="437"/>
      <c r="N10" s="112"/>
      <c r="O10" s="109">
        <f t="shared" si="0"/>
        <v>0</v>
      </c>
      <c r="P10" s="112"/>
      <c r="Q10" s="109">
        <f t="shared" si="1"/>
        <v>0</v>
      </c>
      <c r="R10" s="112"/>
      <c r="S10" s="109">
        <f t="shared" si="2"/>
        <v>0</v>
      </c>
      <c r="T10" s="112"/>
      <c r="U10" s="109">
        <f t="shared" si="3"/>
        <v>0</v>
      </c>
      <c r="V10" s="772"/>
    </row>
    <row r="11" spans="1:22" ht="12.75" customHeight="1">
      <c r="A11" s="110" t="s">
        <v>123</v>
      </c>
      <c r="B11" s="111" t="s">
        <v>273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431" t="s">
        <v>274</v>
      </c>
      <c r="M11" s="437"/>
      <c r="N11" s="112"/>
      <c r="O11" s="109">
        <f t="shared" si="0"/>
        <v>0</v>
      </c>
      <c r="P11" s="112"/>
      <c r="Q11" s="109">
        <f t="shared" si="1"/>
        <v>0</v>
      </c>
      <c r="R11" s="112"/>
      <c r="S11" s="109">
        <f t="shared" si="2"/>
        <v>0</v>
      </c>
      <c r="T11" s="112">
        <v>4300000</v>
      </c>
      <c r="U11" s="109">
        <f t="shared" si="3"/>
        <v>4300000</v>
      </c>
      <c r="V11" s="772"/>
    </row>
    <row r="12" spans="1:22" ht="12.75" customHeight="1">
      <c r="A12" s="110" t="s">
        <v>124</v>
      </c>
      <c r="B12" s="111" t="s">
        <v>275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4" t="s">
        <v>218</v>
      </c>
      <c r="M12" s="451">
        <v>2000000</v>
      </c>
      <c r="N12" s="452">
        <v>0</v>
      </c>
      <c r="O12" s="109">
        <v>1500000</v>
      </c>
      <c r="P12" s="452">
        <v>-500000</v>
      </c>
      <c r="Q12" s="109">
        <f t="shared" si="1"/>
        <v>1000000</v>
      </c>
      <c r="R12" s="452">
        <v>0</v>
      </c>
      <c r="S12" s="109">
        <f t="shared" si="2"/>
        <v>1000000</v>
      </c>
      <c r="T12" s="452">
        <v>-1000000</v>
      </c>
      <c r="U12" s="109">
        <f t="shared" si="3"/>
        <v>0</v>
      </c>
      <c r="V12" s="772"/>
    </row>
    <row r="13" spans="1:22" ht="13.5" thickBot="1">
      <c r="A13" s="110" t="s">
        <v>220</v>
      </c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446"/>
      <c r="M13" s="437"/>
      <c r="N13" s="112"/>
      <c r="O13" s="109">
        <f t="shared" si="0"/>
        <v>0</v>
      </c>
      <c r="P13" s="112"/>
      <c r="Q13" s="109">
        <f t="shared" si="1"/>
        <v>0</v>
      </c>
      <c r="R13" s="112"/>
      <c r="S13" s="109">
        <f t="shared" si="2"/>
        <v>0</v>
      </c>
      <c r="T13" s="112"/>
      <c r="U13" s="109">
        <f t="shared" si="3"/>
        <v>0</v>
      </c>
      <c r="V13" s="772"/>
    </row>
    <row r="14" spans="1:22" ht="15.75" customHeight="1" thickBot="1">
      <c r="A14" s="117" t="s">
        <v>222</v>
      </c>
      <c r="B14" s="118" t="s">
        <v>276</v>
      </c>
      <c r="C14" s="119">
        <f aca="true" t="shared" si="4" ref="C14:I14">+C7+C9+C10+C12+C13</f>
        <v>0</v>
      </c>
      <c r="D14" s="119">
        <f t="shared" si="4"/>
        <v>3703700</v>
      </c>
      <c r="E14" s="119">
        <f t="shared" si="4"/>
        <v>3703700</v>
      </c>
      <c r="F14" s="119">
        <f t="shared" si="4"/>
        <v>-612700</v>
      </c>
      <c r="G14" s="119">
        <f t="shared" si="4"/>
        <v>3099000</v>
      </c>
      <c r="H14" s="119">
        <f t="shared" si="4"/>
        <v>8000</v>
      </c>
      <c r="I14" s="119">
        <f t="shared" si="4"/>
        <v>3107000</v>
      </c>
      <c r="J14" s="119">
        <f>+J7+J9+J10+J12+J13</f>
        <v>0</v>
      </c>
      <c r="K14" s="119">
        <f>+K7+K9+K10+K12+K13</f>
        <v>3099000</v>
      </c>
      <c r="L14" s="433" t="s">
        <v>277</v>
      </c>
      <c r="M14" s="453">
        <f aca="true" t="shared" si="5" ref="M14:S14">+M7+M9+M11+M12+M13</f>
        <v>33766631</v>
      </c>
      <c r="N14" s="119">
        <f t="shared" si="5"/>
        <v>5694200</v>
      </c>
      <c r="O14" s="120">
        <f t="shared" si="5"/>
        <v>38960831</v>
      </c>
      <c r="P14" s="119">
        <f t="shared" si="5"/>
        <v>-3330470</v>
      </c>
      <c r="Q14" s="120">
        <f t="shared" si="5"/>
        <v>35630361</v>
      </c>
      <c r="R14" s="119">
        <f t="shared" si="5"/>
        <v>0</v>
      </c>
      <c r="S14" s="120">
        <f t="shared" si="5"/>
        <v>35630361</v>
      </c>
      <c r="T14" s="119">
        <f>+T7+T9+T11+T12+T13</f>
        <v>6216325</v>
      </c>
      <c r="U14" s="120">
        <f>+U7+U9+U11+U12+U13</f>
        <v>41846686</v>
      </c>
      <c r="V14" s="772"/>
    </row>
    <row r="15" spans="1:22" ht="12.75" customHeight="1">
      <c r="A15" s="106" t="s">
        <v>223</v>
      </c>
      <c r="B15" s="126" t="s">
        <v>278</v>
      </c>
      <c r="C15" s="127">
        <f aca="true" t="shared" si="6" ref="C15:I15">+C16+C17+C18+C19+C20</f>
        <v>12611164</v>
      </c>
      <c r="D15" s="127">
        <f t="shared" si="6"/>
        <v>1836</v>
      </c>
      <c r="E15" s="127">
        <f t="shared" si="6"/>
        <v>12613000</v>
      </c>
      <c r="F15" s="127">
        <f t="shared" si="6"/>
        <v>0</v>
      </c>
      <c r="G15" s="127">
        <f t="shared" si="6"/>
        <v>12613000</v>
      </c>
      <c r="H15" s="127">
        <f t="shared" si="6"/>
        <v>0</v>
      </c>
      <c r="I15" s="127">
        <f t="shared" si="6"/>
        <v>12613000</v>
      </c>
      <c r="J15" s="127">
        <f>+J16+J17+J18+J19+J20</f>
        <v>5000000</v>
      </c>
      <c r="K15" s="127">
        <f>+K16+K17+K18+K19+K20</f>
        <v>17613000</v>
      </c>
      <c r="L15" s="435" t="s">
        <v>228</v>
      </c>
      <c r="M15" s="454"/>
      <c r="N15" s="455"/>
      <c r="O15" s="128"/>
      <c r="P15" s="455"/>
      <c r="Q15" s="128"/>
      <c r="R15" s="455"/>
      <c r="S15" s="128"/>
      <c r="T15" s="455"/>
      <c r="U15" s="128"/>
      <c r="V15" s="772"/>
    </row>
    <row r="16" spans="1:22" ht="12.75" customHeight="1">
      <c r="A16" s="110" t="s">
        <v>226</v>
      </c>
      <c r="B16" s="129" t="s">
        <v>279</v>
      </c>
      <c r="C16" s="121">
        <v>12611164</v>
      </c>
      <c r="D16" s="121">
        <v>1836</v>
      </c>
      <c r="E16" s="121">
        <f>C16+D16</f>
        <v>12613000</v>
      </c>
      <c r="F16" s="121">
        <v>0</v>
      </c>
      <c r="G16" s="121">
        <f>E16+F16</f>
        <v>12613000</v>
      </c>
      <c r="H16" s="121">
        <v>0</v>
      </c>
      <c r="I16" s="121">
        <f>G16+H16</f>
        <v>12613000</v>
      </c>
      <c r="J16" s="121">
        <v>0</v>
      </c>
      <c r="K16" s="121">
        <f>I16+J16</f>
        <v>12613000</v>
      </c>
      <c r="L16" s="435" t="s">
        <v>280</v>
      </c>
      <c r="M16" s="441"/>
      <c r="N16" s="121"/>
      <c r="O16" s="122"/>
      <c r="P16" s="121"/>
      <c r="Q16" s="122"/>
      <c r="R16" s="121"/>
      <c r="S16" s="122"/>
      <c r="T16" s="121"/>
      <c r="U16" s="122"/>
      <c r="V16" s="772"/>
    </row>
    <row r="17" spans="1:22" ht="12.75" customHeight="1">
      <c r="A17" s="106" t="s">
        <v>229</v>
      </c>
      <c r="B17" s="129" t="s">
        <v>281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435" t="s">
        <v>234</v>
      </c>
      <c r="M17" s="441"/>
      <c r="N17" s="121"/>
      <c r="O17" s="122"/>
      <c r="P17" s="121"/>
      <c r="Q17" s="122"/>
      <c r="R17" s="121"/>
      <c r="S17" s="122"/>
      <c r="T17" s="121"/>
      <c r="U17" s="122"/>
      <c r="V17" s="772"/>
    </row>
    <row r="18" spans="1:22" ht="12.75" customHeight="1">
      <c r="A18" s="110" t="s">
        <v>232</v>
      </c>
      <c r="B18" s="129" t="s">
        <v>282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435" t="s">
        <v>237</v>
      </c>
      <c r="M18" s="441"/>
      <c r="N18" s="121"/>
      <c r="O18" s="122"/>
      <c r="P18" s="121"/>
      <c r="Q18" s="122"/>
      <c r="R18" s="121"/>
      <c r="S18" s="122"/>
      <c r="T18" s="121"/>
      <c r="U18" s="122"/>
      <c r="V18" s="772"/>
    </row>
    <row r="19" spans="1:22" ht="12.75" customHeight="1">
      <c r="A19" s="106" t="s">
        <v>235</v>
      </c>
      <c r="B19" s="129" t="s">
        <v>283</v>
      </c>
      <c r="C19" s="121"/>
      <c r="D19" s="121"/>
      <c r="E19" s="121"/>
      <c r="F19" s="121"/>
      <c r="G19" s="121"/>
      <c r="H19" s="121"/>
      <c r="I19" s="121"/>
      <c r="J19" s="121">
        <v>5000000</v>
      </c>
      <c r="K19" s="121">
        <f>J19</f>
        <v>5000000</v>
      </c>
      <c r="L19" s="434" t="s">
        <v>240</v>
      </c>
      <c r="M19" s="441"/>
      <c r="N19" s="121"/>
      <c r="O19" s="122"/>
      <c r="P19" s="121"/>
      <c r="Q19" s="122"/>
      <c r="R19" s="121"/>
      <c r="S19" s="122"/>
      <c r="T19" s="121"/>
      <c r="U19" s="122"/>
      <c r="V19" s="772"/>
    </row>
    <row r="20" spans="1:22" ht="12.75" customHeight="1">
      <c r="A20" s="110" t="s">
        <v>238</v>
      </c>
      <c r="B20" s="130" t="s">
        <v>284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435" t="s">
        <v>285</v>
      </c>
      <c r="M20" s="441"/>
      <c r="N20" s="121"/>
      <c r="O20" s="122"/>
      <c r="P20" s="121"/>
      <c r="Q20" s="122"/>
      <c r="R20" s="121"/>
      <c r="S20" s="122"/>
      <c r="T20" s="121">
        <v>5000000</v>
      </c>
      <c r="U20" s="122">
        <f>T20+Q20</f>
        <v>5000000</v>
      </c>
      <c r="V20" s="772"/>
    </row>
    <row r="21" spans="1:22" ht="12.75" customHeight="1">
      <c r="A21" s="106" t="s">
        <v>241</v>
      </c>
      <c r="B21" s="131" t="s">
        <v>286</v>
      </c>
      <c r="C21" s="123">
        <f aca="true" t="shared" si="7" ref="C21:I21">+C22+C23+C24+C25+C26</f>
        <v>0</v>
      </c>
      <c r="D21" s="123">
        <f t="shared" si="7"/>
        <v>0</v>
      </c>
      <c r="E21" s="123">
        <f t="shared" si="7"/>
        <v>0</v>
      </c>
      <c r="F21" s="123">
        <f t="shared" si="7"/>
        <v>0</v>
      </c>
      <c r="G21" s="123">
        <f t="shared" si="7"/>
        <v>0</v>
      </c>
      <c r="H21" s="123">
        <f t="shared" si="7"/>
        <v>0</v>
      </c>
      <c r="I21" s="123">
        <f t="shared" si="7"/>
        <v>0</v>
      </c>
      <c r="J21" s="123">
        <f>+J22+J23+J24+J25+J26</f>
        <v>0</v>
      </c>
      <c r="K21" s="123">
        <f>+K22+K23+K24+K25+K26</f>
        <v>0</v>
      </c>
      <c r="L21" s="447" t="s">
        <v>287</v>
      </c>
      <c r="M21" s="441"/>
      <c r="N21" s="121"/>
      <c r="O21" s="122"/>
      <c r="P21" s="121"/>
      <c r="Q21" s="122"/>
      <c r="R21" s="121"/>
      <c r="S21" s="122"/>
      <c r="T21" s="121"/>
      <c r="U21" s="122"/>
      <c r="V21" s="772"/>
    </row>
    <row r="22" spans="1:22" ht="12.75" customHeight="1">
      <c r="A22" s="110" t="s">
        <v>244</v>
      </c>
      <c r="B22" s="130" t="s">
        <v>288</v>
      </c>
      <c r="C22" s="121"/>
      <c r="D22" s="121"/>
      <c r="E22" s="121"/>
      <c r="F22" s="121"/>
      <c r="G22" s="121"/>
      <c r="H22" s="121"/>
      <c r="I22" s="121"/>
      <c r="J22" s="121"/>
      <c r="K22" s="121"/>
      <c r="L22" s="447" t="s">
        <v>289</v>
      </c>
      <c r="M22" s="441"/>
      <c r="N22" s="121"/>
      <c r="O22" s="122"/>
      <c r="P22" s="121"/>
      <c r="Q22" s="122"/>
      <c r="R22" s="121"/>
      <c r="S22" s="122"/>
      <c r="T22" s="121"/>
      <c r="U22" s="122"/>
      <c r="V22" s="772"/>
    </row>
    <row r="23" spans="1:22" ht="12.75" customHeight="1">
      <c r="A23" s="106" t="s">
        <v>247</v>
      </c>
      <c r="B23" s="130" t="s">
        <v>290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448"/>
      <c r="M23" s="441"/>
      <c r="N23" s="121"/>
      <c r="O23" s="122"/>
      <c r="P23" s="121"/>
      <c r="Q23" s="122"/>
      <c r="R23" s="121"/>
      <c r="S23" s="122"/>
      <c r="T23" s="121"/>
      <c r="U23" s="122"/>
      <c r="V23" s="772"/>
    </row>
    <row r="24" spans="1:22" ht="12.75" customHeight="1">
      <c r="A24" s="110" t="s">
        <v>250</v>
      </c>
      <c r="B24" s="129" t="s">
        <v>202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449"/>
      <c r="M24" s="441"/>
      <c r="N24" s="121"/>
      <c r="O24" s="122"/>
      <c r="P24" s="121"/>
      <c r="Q24" s="122"/>
      <c r="R24" s="121"/>
      <c r="S24" s="122"/>
      <c r="T24" s="121"/>
      <c r="U24" s="122"/>
      <c r="V24" s="772"/>
    </row>
    <row r="25" spans="1:22" ht="12.75" customHeight="1">
      <c r="A25" s="106" t="s">
        <v>253</v>
      </c>
      <c r="B25" s="132" t="s">
        <v>291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432"/>
      <c r="M25" s="441"/>
      <c r="N25" s="121"/>
      <c r="O25" s="122"/>
      <c r="P25" s="121"/>
      <c r="Q25" s="122"/>
      <c r="R25" s="121"/>
      <c r="S25" s="122"/>
      <c r="T25" s="121"/>
      <c r="U25" s="122"/>
      <c r="V25" s="772"/>
    </row>
    <row r="26" spans="1:22" ht="12.75" customHeight="1" thickBot="1">
      <c r="A26" s="110" t="s">
        <v>255</v>
      </c>
      <c r="B26" s="133" t="s">
        <v>292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449"/>
      <c r="M26" s="441"/>
      <c r="N26" s="121"/>
      <c r="O26" s="122"/>
      <c r="P26" s="121"/>
      <c r="Q26" s="122"/>
      <c r="R26" s="121"/>
      <c r="S26" s="122"/>
      <c r="T26" s="121"/>
      <c r="U26" s="122"/>
      <c r="V26" s="772"/>
    </row>
    <row r="27" spans="1:22" ht="21.75" customHeight="1" thickBot="1">
      <c r="A27" s="117" t="s">
        <v>258</v>
      </c>
      <c r="B27" s="118" t="s">
        <v>293</v>
      </c>
      <c r="C27" s="119">
        <f>+C15+C21</f>
        <v>12611164</v>
      </c>
      <c r="D27" s="119">
        <f>+D15+D21</f>
        <v>1836</v>
      </c>
      <c r="E27" s="119">
        <f>+E15+E21</f>
        <v>12613000</v>
      </c>
      <c r="F27" s="119">
        <v>0</v>
      </c>
      <c r="G27" s="119">
        <f>+G15+G21</f>
        <v>12613000</v>
      </c>
      <c r="H27" s="119">
        <v>0</v>
      </c>
      <c r="I27" s="119">
        <f>+I15+I21</f>
        <v>12613000</v>
      </c>
      <c r="J27" s="119">
        <v>0</v>
      </c>
      <c r="K27" s="119">
        <f>+K15+K21</f>
        <v>17613000</v>
      </c>
      <c r="L27" s="433" t="s">
        <v>294</v>
      </c>
      <c r="M27" s="453">
        <f aca="true" t="shared" si="8" ref="M27:S27">SUM(M15:M26)</f>
        <v>0</v>
      </c>
      <c r="N27" s="119">
        <f t="shared" si="8"/>
        <v>0</v>
      </c>
      <c r="O27" s="120">
        <f t="shared" si="8"/>
        <v>0</v>
      </c>
      <c r="P27" s="119">
        <f t="shared" si="8"/>
        <v>0</v>
      </c>
      <c r="Q27" s="120">
        <f t="shared" si="8"/>
        <v>0</v>
      </c>
      <c r="R27" s="119">
        <f t="shared" si="8"/>
        <v>0</v>
      </c>
      <c r="S27" s="120">
        <f t="shared" si="8"/>
        <v>0</v>
      </c>
      <c r="T27" s="119">
        <f>SUM(T15:T26)</f>
        <v>5000000</v>
      </c>
      <c r="U27" s="120">
        <f>SUM(U15:U26)</f>
        <v>5000000</v>
      </c>
      <c r="V27" s="772"/>
    </row>
    <row r="28" spans="1:22" ht="13.5" thickBot="1">
      <c r="A28" s="117" t="s">
        <v>261</v>
      </c>
      <c r="B28" s="124" t="s">
        <v>295</v>
      </c>
      <c r="C28" s="125">
        <f aca="true" t="shared" si="9" ref="C28:J28">+C14+C27</f>
        <v>12611164</v>
      </c>
      <c r="D28" s="125">
        <f t="shared" si="9"/>
        <v>3705536</v>
      </c>
      <c r="E28" s="125">
        <f t="shared" si="9"/>
        <v>16316700</v>
      </c>
      <c r="F28" s="125">
        <f t="shared" si="9"/>
        <v>-612700</v>
      </c>
      <c r="G28" s="125">
        <f t="shared" si="9"/>
        <v>15712000</v>
      </c>
      <c r="H28" s="125">
        <f t="shared" si="9"/>
        <v>8000</v>
      </c>
      <c r="I28" s="125">
        <f t="shared" si="9"/>
        <v>15720000</v>
      </c>
      <c r="J28" s="125">
        <f t="shared" si="9"/>
        <v>0</v>
      </c>
      <c r="K28" s="125">
        <f>+K14+K27</f>
        <v>20712000</v>
      </c>
      <c r="L28" s="436" t="s">
        <v>296</v>
      </c>
      <c r="M28" s="456">
        <f aca="true" t="shared" si="10" ref="M28:S28">+M14+M27</f>
        <v>33766631</v>
      </c>
      <c r="N28" s="457">
        <f t="shared" si="10"/>
        <v>5694200</v>
      </c>
      <c r="O28" s="458">
        <f t="shared" si="10"/>
        <v>38960831</v>
      </c>
      <c r="P28" s="457">
        <f t="shared" si="10"/>
        <v>-3330470</v>
      </c>
      <c r="Q28" s="458">
        <f t="shared" si="10"/>
        <v>35630361</v>
      </c>
      <c r="R28" s="457">
        <f t="shared" si="10"/>
        <v>0</v>
      </c>
      <c r="S28" s="458">
        <f t="shared" si="10"/>
        <v>35630361</v>
      </c>
      <c r="T28" s="457">
        <f>+T14+T27</f>
        <v>11216325</v>
      </c>
      <c r="U28" s="458">
        <f>+U14+U27</f>
        <v>46846686</v>
      </c>
      <c r="V28" s="772"/>
    </row>
    <row r="29" spans="1:22" ht="13.5" thickBot="1">
      <c r="A29" s="117" t="s">
        <v>264</v>
      </c>
      <c r="B29" s="124" t="s">
        <v>262</v>
      </c>
      <c r="C29" s="125">
        <f>IF(C14-M14&lt;0,M14-C14,"-")</f>
        <v>33766631</v>
      </c>
      <c r="D29" s="125">
        <f aca="true" t="shared" si="11" ref="D29:J29">IF(D14-N14&lt;0,N14-D14,"-")</f>
        <v>1990500</v>
      </c>
      <c r="E29" s="125">
        <f t="shared" si="11"/>
        <v>35257131</v>
      </c>
      <c r="F29" s="125" t="str">
        <f t="shared" si="11"/>
        <v>-</v>
      </c>
      <c r="G29" s="125">
        <f t="shared" si="11"/>
        <v>32531361</v>
      </c>
      <c r="H29" s="125" t="str">
        <f t="shared" si="11"/>
        <v>-</v>
      </c>
      <c r="I29" s="125">
        <f t="shared" si="11"/>
        <v>32523361</v>
      </c>
      <c r="J29" s="125">
        <f t="shared" si="11"/>
        <v>6216325</v>
      </c>
      <c r="K29" s="125">
        <f>IF(K14-U14&lt;0,U14-K14,"-")</f>
        <v>38747686</v>
      </c>
      <c r="L29" s="436" t="s">
        <v>263</v>
      </c>
      <c r="M29" s="456" t="str">
        <f>IF(C14-M14&gt;0,C14-M14,"-")</f>
        <v>-</v>
      </c>
      <c r="N29" s="456" t="str">
        <f aca="true" t="shared" si="12" ref="N29:U29">IF(D14-N14&gt;0,D14-N14,"-")</f>
        <v>-</v>
      </c>
      <c r="O29" s="456" t="str">
        <f t="shared" si="12"/>
        <v>-</v>
      </c>
      <c r="P29" s="456">
        <f t="shared" si="12"/>
        <v>2717770</v>
      </c>
      <c r="Q29" s="456" t="str">
        <f t="shared" si="12"/>
        <v>-</v>
      </c>
      <c r="R29" s="456">
        <f t="shared" si="12"/>
        <v>8000</v>
      </c>
      <c r="S29" s="456" t="str">
        <f t="shared" si="12"/>
        <v>-</v>
      </c>
      <c r="T29" s="456" t="str">
        <f t="shared" si="12"/>
        <v>-</v>
      </c>
      <c r="U29" s="456" t="str">
        <f t="shared" si="12"/>
        <v>-</v>
      </c>
      <c r="V29" s="772"/>
    </row>
    <row r="30" spans="1:22" ht="13.5" thickBot="1">
      <c r="A30" s="117" t="s">
        <v>297</v>
      </c>
      <c r="B30" s="124" t="s">
        <v>265</v>
      </c>
      <c r="C30" s="125">
        <f>C29-C27</f>
        <v>21155467</v>
      </c>
      <c r="D30" s="125">
        <f>D29-D27</f>
        <v>1988664</v>
      </c>
      <c r="E30" s="125">
        <f>E29-E27</f>
        <v>22644131</v>
      </c>
      <c r="F30" s="125" t="str">
        <f>IF(F14-P14&lt;0,P14-F14,"-")</f>
        <v>-</v>
      </c>
      <c r="G30" s="125">
        <f>G29-G27</f>
        <v>19918361</v>
      </c>
      <c r="H30" s="125" t="e">
        <f>H29-H27</f>
        <v>#VALUE!</v>
      </c>
      <c r="I30" s="125">
        <f>I29-I27</f>
        <v>19910361</v>
      </c>
      <c r="J30" s="125">
        <f>J29-J27</f>
        <v>6216325</v>
      </c>
      <c r="K30" s="125">
        <f>K29-K27+U27</f>
        <v>26134686</v>
      </c>
      <c r="L30" s="436" t="s">
        <v>266</v>
      </c>
      <c r="M30" s="456" t="s">
        <v>315</v>
      </c>
      <c r="N30" s="457" t="s">
        <v>315</v>
      </c>
      <c r="O30" s="458" t="s">
        <v>315</v>
      </c>
      <c r="P30" s="457" t="s">
        <v>315</v>
      </c>
      <c r="Q30" s="458" t="s">
        <v>315</v>
      </c>
      <c r="R30" s="457" t="s">
        <v>315</v>
      </c>
      <c r="S30" s="458" t="s">
        <v>315</v>
      </c>
      <c r="T30" s="457" t="s">
        <v>315</v>
      </c>
      <c r="U30" s="458" t="s">
        <v>315</v>
      </c>
      <c r="V30" s="772"/>
    </row>
  </sheetData>
  <sheetProtection/>
  <mergeCells count="3">
    <mergeCell ref="A4:A5"/>
    <mergeCell ref="V1:V30"/>
    <mergeCell ref="B4:H4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A5" sqref="A5:A6"/>
    </sheetView>
  </sheetViews>
  <sheetFormatPr defaultColWidth="9.140625" defaultRowHeight="12.75"/>
  <cols>
    <col min="1" max="1" width="8.421875" style="614" customWidth="1"/>
    <col min="2" max="2" width="44.421875" style="614" customWidth="1"/>
    <col min="3" max="3" width="5.57421875" style="614" hidden="1" customWidth="1"/>
    <col min="4" max="4" width="14.7109375" style="614" customWidth="1"/>
    <col min="5" max="5" width="21.140625" style="614" customWidth="1"/>
    <col min="6" max="16384" width="9.140625" style="614" customWidth="1"/>
  </cols>
  <sheetData>
    <row r="1" spans="1:5" ht="15.75">
      <c r="A1" s="779" t="s">
        <v>690</v>
      </c>
      <c r="B1" s="779"/>
      <c r="C1" s="779"/>
      <c r="D1" s="779"/>
      <c r="E1" s="779"/>
    </row>
    <row r="2" spans="1:5" ht="15.75">
      <c r="A2" s="613"/>
      <c r="B2" s="613"/>
      <c r="C2" s="613"/>
      <c r="D2" s="613"/>
      <c r="E2" s="613"/>
    </row>
    <row r="3" spans="1:5" ht="15.75">
      <c r="A3" s="613"/>
      <c r="B3" s="613"/>
      <c r="C3" s="613"/>
      <c r="D3" s="613"/>
      <c r="E3" s="613"/>
    </row>
    <row r="4" spans="1:5" ht="12.75" customHeight="1">
      <c r="A4" s="615"/>
      <c r="B4" s="615"/>
      <c r="C4" s="615"/>
      <c r="D4" s="615"/>
      <c r="E4" s="616" t="s">
        <v>623</v>
      </c>
    </row>
    <row r="5" spans="1:5" ht="15.75">
      <c r="A5" s="729" t="s">
        <v>793</v>
      </c>
      <c r="B5" s="617"/>
      <c r="C5" s="617"/>
      <c r="D5" s="617"/>
      <c r="E5" s="617" t="s">
        <v>509</v>
      </c>
    </row>
    <row r="6" spans="1:5" ht="16.5" thickBot="1">
      <c r="A6" s="729" t="s">
        <v>794</v>
      </c>
      <c r="B6" s="617"/>
      <c r="C6" s="617"/>
      <c r="D6" s="617"/>
      <c r="E6" s="617"/>
    </row>
    <row r="7" spans="1:5" ht="15.75" customHeight="1" thickBot="1">
      <c r="A7" s="780" t="s">
        <v>691</v>
      </c>
      <c r="B7" s="781" t="s">
        <v>692</v>
      </c>
      <c r="C7" s="781"/>
      <c r="D7" s="782" t="s">
        <v>693</v>
      </c>
      <c r="E7" s="781" t="s">
        <v>694</v>
      </c>
    </row>
    <row r="8" spans="1:5" ht="15.75" customHeight="1" thickBot="1">
      <c r="A8" s="780"/>
      <c r="B8" s="781"/>
      <c r="C8" s="781"/>
      <c r="D8" s="783"/>
      <c r="E8" s="781"/>
    </row>
    <row r="9" spans="1:5" ht="15.75" customHeight="1" thickBot="1">
      <c r="A9" s="780"/>
      <c r="B9" s="781"/>
      <c r="C9" s="781"/>
      <c r="D9" s="783"/>
      <c r="E9" s="781"/>
    </row>
    <row r="10" spans="1:5" ht="15.75" customHeight="1" thickBot="1">
      <c r="A10" s="780"/>
      <c r="B10" s="781"/>
      <c r="C10" s="781"/>
      <c r="D10" s="784"/>
      <c r="E10" s="781"/>
    </row>
    <row r="11" spans="1:5" s="623" customFormat="1" ht="27.75" customHeight="1">
      <c r="A11" s="618" t="s">
        <v>695</v>
      </c>
      <c r="B11" s="619" t="s">
        <v>696</v>
      </c>
      <c r="C11" s="620"/>
      <c r="D11" s="621">
        <v>0</v>
      </c>
      <c r="E11" s="622"/>
    </row>
    <row r="12" spans="1:5" s="623" customFormat="1" ht="27.75" customHeight="1">
      <c r="A12" s="618" t="s">
        <v>697</v>
      </c>
      <c r="B12" s="624" t="s">
        <v>698</v>
      </c>
      <c r="C12" s="625"/>
      <c r="D12" s="621">
        <v>0</v>
      </c>
      <c r="E12" s="622" t="s">
        <v>699</v>
      </c>
    </row>
    <row r="13" spans="1:5" ht="27.75" customHeight="1" thickBot="1">
      <c r="A13" s="626"/>
      <c r="B13" s="627" t="s">
        <v>700</v>
      </c>
      <c r="C13" s="628"/>
      <c r="D13" s="629">
        <f>D11+D12</f>
        <v>0</v>
      </c>
      <c r="E13" s="630"/>
    </row>
    <row r="14" spans="1:5" ht="16.5" customHeight="1">
      <c r="A14" s="631"/>
      <c r="B14" s="631"/>
      <c r="C14" s="631"/>
      <c r="D14" s="631"/>
      <c r="E14" s="63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2017-02-27T14:13:27Z</cp:lastPrinted>
  <dcterms:created xsi:type="dcterms:W3CDTF">2014-10-28T13:28:45Z</dcterms:created>
  <dcterms:modified xsi:type="dcterms:W3CDTF">2017-02-27T14:13:31Z</dcterms:modified>
  <cp:category/>
  <cp:version/>
  <cp:contentType/>
  <cp:contentStatus/>
</cp:coreProperties>
</file>