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feladatos Önk. " sheetId="1" r:id="rId1"/>
  </sheets>
  <externalReferences>
    <externalReference r:id="rId2"/>
  </externalReferences>
  <definedNames>
    <definedName name="_xlnm.Print_Area" localSheetId="0">'feladatos Önk. '!$A$1:$O$57</definedName>
  </definedNames>
  <calcPr calcId="145621"/>
</workbook>
</file>

<file path=xl/calcChain.xml><?xml version="1.0" encoding="utf-8"?>
<calcChain xmlns="http://schemas.openxmlformats.org/spreadsheetml/2006/main">
  <c r="N59" i="1" l="1"/>
  <c r="M59" i="1"/>
  <c r="L59" i="1"/>
  <c r="K59" i="1"/>
  <c r="J59" i="1"/>
  <c r="O59" i="1" s="1"/>
  <c r="G59" i="1"/>
  <c r="F59" i="1"/>
  <c r="E59" i="1"/>
  <c r="D59" i="1"/>
  <c r="C59" i="1"/>
  <c r="H59" i="1" s="1"/>
  <c r="L56" i="1"/>
  <c r="O56" i="1" s="1"/>
  <c r="N55" i="1"/>
  <c r="N57" i="1" s="1"/>
  <c r="N58" i="1" s="1"/>
  <c r="M55" i="1"/>
  <c r="M57" i="1" s="1"/>
  <c r="M58" i="1" s="1"/>
  <c r="L55" i="1"/>
  <c r="L57" i="1" s="1"/>
  <c r="L58" i="1" s="1"/>
  <c r="K55" i="1"/>
  <c r="K57" i="1" s="1"/>
  <c r="K58" i="1" s="1"/>
  <c r="I55" i="1"/>
  <c r="I57" i="1" s="1"/>
  <c r="I58" i="1" s="1"/>
  <c r="E55" i="1"/>
  <c r="E57" i="1" s="1"/>
  <c r="E58" i="1" s="1"/>
  <c r="O54" i="1"/>
  <c r="H54" i="1"/>
  <c r="F54" i="1"/>
  <c r="F55" i="1" s="1"/>
  <c r="F57" i="1" s="1"/>
  <c r="F58" i="1" s="1"/>
  <c r="O53" i="1"/>
  <c r="H53" i="1"/>
  <c r="O51" i="1"/>
  <c r="H51" i="1"/>
  <c r="O50" i="1"/>
  <c r="J50" i="1"/>
  <c r="H50" i="1"/>
  <c r="O49" i="1"/>
  <c r="H49" i="1"/>
  <c r="O48" i="1"/>
  <c r="H48" i="1"/>
  <c r="O47" i="1"/>
  <c r="H47" i="1"/>
  <c r="O46" i="1"/>
  <c r="H46" i="1"/>
  <c r="J44" i="1"/>
  <c r="O44" i="1" s="1"/>
  <c r="H44" i="1"/>
  <c r="O43" i="1"/>
  <c r="J43" i="1"/>
  <c r="H43" i="1"/>
  <c r="C43" i="1"/>
  <c r="O42" i="1"/>
  <c r="C42" i="1"/>
  <c r="H42" i="1" s="1"/>
  <c r="O40" i="1"/>
  <c r="H40" i="1"/>
  <c r="C40" i="1"/>
  <c r="O39" i="1"/>
  <c r="C39" i="1"/>
  <c r="H39" i="1" s="1"/>
  <c r="O38" i="1"/>
  <c r="H38" i="1"/>
  <c r="O37" i="1"/>
  <c r="H37" i="1"/>
  <c r="O36" i="1"/>
  <c r="H36" i="1"/>
  <c r="J34" i="1"/>
  <c r="O34" i="1" s="1"/>
  <c r="C34" i="1"/>
  <c r="H34" i="1" s="1"/>
  <c r="J33" i="1"/>
  <c r="O33" i="1" s="1"/>
  <c r="H33" i="1"/>
  <c r="O32" i="1"/>
  <c r="H32" i="1"/>
  <c r="O31" i="1"/>
  <c r="H31" i="1"/>
  <c r="O29" i="1"/>
  <c r="H29" i="1"/>
  <c r="O28" i="1"/>
  <c r="C28" i="1"/>
  <c r="H28" i="1" s="1"/>
  <c r="O27" i="1"/>
  <c r="H27" i="1"/>
  <c r="O26" i="1"/>
  <c r="H26" i="1"/>
  <c r="O24" i="1"/>
  <c r="H24" i="1"/>
  <c r="O23" i="1"/>
  <c r="H23" i="1"/>
  <c r="J22" i="1"/>
  <c r="O22" i="1" s="1"/>
  <c r="H22" i="1"/>
  <c r="K21" i="1"/>
  <c r="J21" i="1"/>
  <c r="O21" i="1" s="1"/>
  <c r="H21" i="1"/>
  <c r="O20" i="1"/>
  <c r="J20" i="1"/>
  <c r="H20" i="1"/>
  <c r="O19" i="1"/>
  <c r="H19" i="1"/>
  <c r="J17" i="1"/>
  <c r="O17" i="1" s="1"/>
  <c r="H17" i="1"/>
  <c r="O15" i="1"/>
  <c r="G15" i="1"/>
  <c r="H15" i="1" s="1"/>
  <c r="O14" i="1"/>
  <c r="H14" i="1"/>
  <c r="J13" i="1"/>
  <c r="O13" i="1" s="1"/>
  <c r="I13" i="1"/>
  <c r="H13" i="1"/>
  <c r="C13" i="1"/>
  <c r="O12" i="1"/>
  <c r="J12" i="1"/>
  <c r="J55" i="1" s="1"/>
  <c r="J57" i="1" s="1"/>
  <c r="J58" i="1" s="1"/>
  <c r="H12" i="1"/>
  <c r="D12" i="1"/>
  <c r="D55" i="1" s="1"/>
  <c r="D57" i="1" s="1"/>
  <c r="D58" i="1" s="1"/>
  <c r="O11" i="1"/>
  <c r="H11" i="1"/>
  <c r="O10" i="1"/>
  <c r="C10" i="1"/>
  <c r="H10" i="1" s="1"/>
  <c r="H55" i="1" s="1"/>
  <c r="H57" i="1" s="1"/>
  <c r="H58" i="1" s="1"/>
  <c r="A1" i="1"/>
  <c r="O55" i="1" l="1"/>
  <c r="C55" i="1"/>
  <c r="C57" i="1" s="1"/>
  <c r="C58" i="1" s="1"/>
  <c r="G55" i="1"/>
  <c r="G57" i="1" s="1"/>
  <c r="G58" i="1" s="1"/>
  <c r="P55" i="1" l="1"/>
  <c r="O57" i="1"/>
  <c r="O58" i="1" s="1"/>
</calcChain>
</file>

<file path=xl/sharedStrings.xml><?xml version="1.0" encoding="utf-8"?>
<sst xmlns="http://schemas.openxmlformats.org/spreadsheetml/2006/main" count="128" uniqueCount="110">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</sst>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9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"/>
    </xf>
    <xf numFmtId="0" fontId="2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1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20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19" fillId="0" borderId="3" xfId="1" applyNumberFormat="1" applyFont="1" applyBorder="1"/>
    <xf numFmtId="3" fontId="8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8" fillId="0" borderId="6" xfId="1" applyNumberFormat="1" applyFont="1" applyBorder="1"/>
    <xf numFmtId="3" fontId="19" fillId="0" borderId="28" xfId="1" applyNumberFormat="1" applyFont="1" applyBorder="1"/>
    <xf numFmtId="3" fontId="20" fillId="0" borderId="27" xfId="1" applyNumberFormat="1" applyFont="1" applyBorder="1"/>
    <xf numFmtId="3" fontId="22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19" fillId="0" borderId="34" xfId="1" applyNumberFormat="1" applyFont="1" applyBorder="1"/>
    <xf numFmtId="3" fontId="8" fillId="0" borderId="10" xfId="1" applyNumberFormat="1" applyFont="1" applyBorder="1"/>
    <xf numFmtId="3" fontId="19" fillId="0" borderId="44" xfId="1" applyNumberFormat="1" applyFont="1" applyBorder="1"/>
    <xf numFmtId="49" fontId="15" fillId="0" borderId="42" xfId="1" applyNumberFormat="1" applyFont="1" applyBorder="1" applyAlignment="1">
      <alignment horizontal="center"/>
    </xf>
    <xf numFmtId="49" fontId="15" fillId="0" borderId="0" xfId="1" applyNumberFormat="1" applyFont="1" applyBorder="1" applyAlignment="1">
      <alignment horizontal="center"/>
    </xf>
    <xf numFmtId="49" fontId="15" fillId="0" borderId="14" xfId="1" applyNumberFormat="1" applyFont="1" applyBorder="1" applyAlignment="1">
      <alignment horizontal="center"/>
    </xf>
    <xf numFmtId="49" fontId="15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29" xfId="0" applyBorder="1" applyAlignment="1">
      <alignment wrapText="1"/>
    </xf>
    <xf numFmtId="3" fontId="18" fillId="0" borderId="47" xfId="1" applyNumberFormat="1" applyFont="1" applyBorder="1"/>
    <xf numFmtId="3" fontId="14" fillId="0" borderId="28" xfId="1" applyNumberFormat="1" applyFont="1" applyBorder="1"/>
    <xf numFmtId="0" fontId="0" fillId="0" borderId="35" xfId="0" applyBorder="1" applyAlignment="1">
      <alignment wrapText="1"/>
    </xf>
    <xf numFmtId="3" fontId="8" fillId="0" borderId="48" xfId="1" applyNumberFormat="1" applyFont="1" applyBorder="1"/>
    <xf numFmtId="3" fontId="14" fillId="0" borderId="13" xfId="1" applyNumberFormat="1" applyFont="1" applyBorder="1"/>
    <xf numFmtId="0" fontId="23" fillId="0" borderId="42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14" xfId="1" applyFont="1" applyBorder="1" applyAlignment="1">
      <alignment horizontal="center"/>
    </xf>
    <xf numFmtId="0" fontId="23" fillId="0" borderId="46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8" fillId="0" borderId="49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0" xfId="1" applyNumberFormat="1" applyFont="1" applyBorder="1"/>
    <xf numFmtId="3" fontId="14" fillId="0" borderId="9" xfId="1" applyNumberFormat="1" applyFont="1" applyBorder="1"/>
    <xf numFmtId="0" fontId="0" fillId="0" borderId="18" xfId="0" quotePrefix="1" applyBorder="1" applyAlignment="1">
      <alignment vertical="center" wrapText="1"/>
    </xf>
    <xf numFmtId="3" fontId="14" fillId="0" borderId="8" xfId="1" applyNumberFormat="1" applyFont="1" applyBorder="1"/>
    <xf numFmtId="3" fontId="24" fillId="0" borderId="6" xfId="1" applyNumberFormat="1" applyFont="1" applyBorder="1"/>
    <xf numFmtId="0" fontId="25" fillId="0" borderId="0" xfId="1" applyFont="1"/>
    <xf numFmtId="3" fontId="18" fillId="0" borderId="7" xfId="1" applyNumberFormat="1" applyFont="1" applyFill="1" applyBorder="1"/>
    <xf numFmtId="3" fontId="8" fillId="0" borderId="51" xfId="1" applyNumberFormat="1" applyFont="1" applyBorder="1"/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0" xfId="1" applyNumberFormat="1" applyFont="1" applyFill="1" applyBorder="1"/>
    <xf numFmtId="3" fontId="20" fillId="0" borderId="8" xfId="1" applyNumberFormat="1" applyFont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2" xfId="1" applyNumberFormat="1" applyFont="1" applyBorder="1"/>
    <xf numFmtId="3" fontId="14" fillId="0" borderId="52" xfId="1" applyNumberFormat="1" applyFont="1" applyBorder="1"/>
    <xf numFmtId="3" fontId="13" fillId="0" borderId="2" xfId="1" applyNumberFormat="1" applyFont="1" applyBorder="1"/>
    <xf numFmtId="3" fontId="2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3" xfId="1" applyNumberFormat="1" applyFont="1" applyBorder="1"/>
    <xf numFmtId="3" fontId="13" fillId="0" borderId="35" xfId="1" applyNumberFormat="1" applyFont="1" applyBorder="1"/>
    <xf numFmtId="0" fontId="26" fillId="0" borderId="0" xfId="1" quotePrefix="1" applyFont="1" applyBorder="1"/>
    <xf numFmtId="3" fontId="14" fillId="0" borderId="0" xfId="1" applyNumberFormat="1" applyFont="1" applyBorder="1"/>
    <xf numFmtId="3" fontId="8" fillId="0" borderId="0" xfId="1" applyNumberFormat="1" applyFont="1" applyBorder="1"/>
    <xf numFmtId="3" fontId="26" fillId="0" borderId="0" xfId="1" applyNumberFormat="1" applyFont="1" applyFill="1" applyBorder="1"/>
    <xf numFmtId="3" fontId="21" fillId="0" borderId="0" xfId="1" applyNumberFormat="1" applyFont="1" applyFill="1" applyBorder="1"/>
    <xf numFmtId="3" fontId="27" fillId="0" borderId="0" xfId="1" applyNumberFormat="1" applyFont="1" applyBorder="1"/>
    <xf numFmtId="3" fontId="26" fillId="0" borderId="0" xfId="1" applyNumberFormat="1" applyFont="1" applyBorder="1"/>
    <xf numFmtId="0" fontId="11" fillId="0" borderId="0" xfId="1" applyFont="1"/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Göngyölített 12.13 2 2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C9">
            <v>1391839274</v>
          </cell>
        </row>
        <row r="16">
          <cell r="C16">
            <v>232919558</v>
          </cell>
        </row>
        <row r="23">
          <cell r="C23">
            <v>36977634</v>
          </cell>
        </row>
        <row r="30">
          <cell r="C30">
            <v>538000000</v>
          </cell>
        </row>
        <row r="38">
          <cell r="C38">
            <v>47290226</v>
          </cell>
        </row>
        <row r="50">
          <cell r="C50">
            <v>44304508</v>
          </cell>
        </row>
        <row r="56">
          <cell r="C56">
            <v>2175000</v>
          </cell>
        </row>
        <row r="61">
          <cell r="C61">
            <v>0</v>
          </cell>
        </row>
        <row r="67">
          <cell r="C67">
            <v>742411899</v>
          </cell>
        </row>
        <row r="76">
          <cell r="C76">
            <v>941573826</v>
          </cell>
        </row>
        <row r="94">
          <cell r="C94">
            <v>842994124</v>
          </cell>
        </row>
        <row r="112">
          <cell r="C112">
            <v>133240838</v>
          </cell>
        </row>
        <row r="115">
          <cell r="C115">
            <v>920919445</v>
          </cell>
        </row>
        <row r="130">
          <cell r="C130">
            <v>726038434</v>
          </cell>
        </row>
        <row r="141">
          <cell r="C14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6">
          <cell r="C16">
            <v>1487539922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4"/>
  <sheetViews>
    <sheetView tabSelected="1" zoomScaleNormal="100" zoomScaleSheetLayoutView="85" zoomScalePageLayoutView="85" workbookViewId="0">
      <selection activeCell="H12" sqref="H12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0" width="12.6640625" style="2" bestFit="1" customWidth="1"/>
    <col min="11" max="11" width="11.83203125" style="2" bestFit="1" customWidth="1"/>
    <col min="12" max="12" width="13.33203125" style="2" bestFit="1" customWidth="1"/>
    <col min="13" max="14" width="11.83203125" style="2" bestFit="1" customWidth="1"/>
    <col min="15" max="15" width="15.1640625" style="162" bestFit="1" customWidth="1"/>
    <col min="16" max="16" width="15.1640625" style="2" bestFit="1" customWidth="1"/>
    <col min="17" max="16384" width="10.6640625" style="2"/>
  </cols>
  <sheetData>
    <row r="1" spans="1:194" x14ac:dyDescent="0.2">
      <c r="A1" s="1" t="str">
        <f>CONCATENATE("7. számú tájékoztató tábla ",[1]ALAPADATOK!A7," ",[1]ALAPADATOK!B7," ",[1]ALAPADATOK!C7," ",[1]ALAPADATOK!D7," ",[1]ALAPADATOK!E7," ",[1]ALAPADATOK!F7," ",[1]ALAPADATOK!G7," ",[1]ALAPADATOK!H7)</f>
        <v>7. számú tájékoztató tábla a 3 / 2020. ( II.17. ) önkormányzati határozathoz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x14ac:dyDescent="0.2">
      <c r="B2" s="3"/>
      <c r="F2" s="5"/>
      <c r="J2" s="3"/>
      <c r="K2" s="8"/>
      <c r="L2" s="8"/>
      <c r="M2" s="8"/>
      <c r="N2" s="8"/>
      <c r="O2" s="9"/>
    </row>
    <row r="3" spans="1:194" ht="17.25" customHeight="1" x14ac:dyDescent="0.3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94" ht="19.5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/>
    </row>
    <row r="5" spans="1:194" ht="0.75" customHeight="1" thickBot="1" x14ac:dyDescent="0.35">
      <c r="B5" s="13"/>
      <c r="C5" s="14"/>
      <c r="D5" s="14"/>
      <c r="E5" s="14"/>
      <c r="F5" s="14"/>
      <c r="G5" s="14"/>
      <c r="H5" s="15"/>
      <c r="I5" s="16"/>
      <c r="J5" s="17"/>
      <c r="K5" s="17"/>
      <c r="L5" s="17"/>
      <c r="M5" s="17"/>
      <c r="N5" s="17"/>
      <c r="O5" s="9" t="s">
        <v>2</v>
      </c>
      <c r="P5" s="11"/>
    </row>
    <row r="6" spans="1:194" ht="15.75" x14ac:dyDescent="0.25">
      <c r="A6" s="18" t="s">
        <v>3</v>
      </c>
      <c r="B6" s="19" t="s">
        <v>4</v>
      </c>
      <c r="C6" s="20" t="s">
        <v>5</v>
      </c>
      <c r="D6" s="21"/>
      <c r="E6" s="21"/>
      <c r="F6" s="21"/>
      <c r="G6" s="21"/>
      <c r="H6" s="22"/>
      <c r="I6" s="23"/>
      <c r="J6" s="20" t="s">
        <v>6</v>
      </c>
      <c r="K6" s="21"/>
      <c r="L6" s="21"/>
      <c r="M6" s="21"/>
      <c r="N6" s="21"/>
      <c r="O6" s="22"/>
      <c r="P6" s="11"/>
    </row>
    <row r="7" spans="1:194" x14ac:dyDescent="0.2">
      <c r="A7" s="24"/>
      <c r="B7" s="25"/>
      <c r="C7" s="26" t="s">
        <v>7</v>
      </c>
      <c r="D7" s="27" t="s">
        <v>8</v>
      </c>
      <c r="E7" s="27" t="s">
        <v>9</v>
      </c>
      <c r="F7" s="27" t="s">
        <v>10</v>
      </c>
      <c r="G7" s="27" t="s">
        <v>11</v>
      </c>
      <c r="H7" s="28" t="s">
        <v>12</v>
      </c>
      <c r="I7" s="29"/>
      <c r="J7" s="26" t="s">
        <v>7</v>
      </c>
      <c r="K7" s="27" t="s">
        <v>8</v>
      </c>
      <c r="L7" s="27" t="s">
        <v>13</v>
      </c>
      <c r="M7" s="27" t="s">
        <v>14</v>
      </c>
      <c r="N7" s="27" t="s">
        <v>15</v>
      </c>
      <c r="O7" s="30" t="s">
        <v>16</v>
      </c>
      <c r="P7" s="11"/>
    </row>
    <row r="8" spans="1:194" ht="13.5" thickBot="1" x14ac:dyDescent="0.25">
      <c r="A8" s="31"/>
      <c r="B8" s="32"/>
      <c r="C8" s="33" t="s">
        <v>17</v>
      </c>
      <c r="D8" s="34" t="s">
        <v>17</v>
      </c>
      <c r="E8" s="34" t="s">
        <v>17</v>
      </c>
      <c r="F8" s="34" t="s">
        <v>18</v>
      </c>
      <c r="G8" s="34"/>
      <c r="H8" s="35" t="s">
        <v>19</v>
      </c>
      <c r="I8" s="36"/>
      <c r="J8" s="33" t="s">
        <v>20</v>
      </c>
      <c r="K8" s="34" t="s">
        <v>21</v>
      </c>
      <c r="L8" s="34" t="s">
        <v>22</v>
      </c>
      <c r="M8" s="34"/>
      <c r="N8" s="34"/>
      <c r="O8" s="37" t="s">
        <v>23</v>
      </c>
      <c r="P8" s="11"/>
    </row>
    <row r="9" spans="1:194" ht="14.25" thickBot="1" x14ac:dyDescent="0.3">
      <c r="A9" s="38" t="s">
        <v>24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25</v>
      </c>
      <c r="B10" s="44" t="s">
        <v>26</v>
      </c>
      <c r="C10" s="45">
        <f>127000</f>
        <v>127000</v>
      </c>
      <c r="D10" s="46"/>
      <c r="E10" s="46"/>
      <c r="F10" s="46"/>
      <c r="G10" s="46"/>
      <c r="H10" s="47">
        <f>SUM(C10:G10)</f>
        <v>127000</v>
      </c>
      <c r="I10" s="48"/>
      <c r="J10" s="49">
        <v>31040542</v>
      </c>
      <c r="K10" s="50">
        <v>2072640</v>
      </c>
      <c r="L10" s="50"/>
      <c r="M10" s="50"/>
      <c r="N10" s="50"/>
      <c r="O10" s="51">
        <f>SUM(J10:N10)</f>
        <v>33113182</v>
      </c>
      <c r="P10" s="11"/>
    </row>
    <row r="11" spans="1:194" x14ac:dyDescent="0.2">
      <c r="A11" s="52" t="s">
        <v>27</v>
      </c>
      <c r="B11" s="53" t="s">
        <v>28</v>
      </c>
      <c r="C11" s="54"/>
      <c r="D11" s="55"/>
      <c r="E11" s="55"/>
      <c r="F11" s="55"/>
      <c r="G11" s="55"/>
      <c r="H11" s="51">
        <f>SUM(C11:G11)</f>
        <v>0</v>
      </c>
      <c r="I11" s="48"/>
      <c r="J11" s="56">
        <v>1000000</v>
      </c>
      <c r="K11" s="55"/>
      <c r="L11" s="55"/>
      <c r="M11" s="55"/>
      <c r="N11" s="55"/>
      <c r="O11" s="51">
        <f t="shared" ref="O11:O15" si="0">SUM(J11:N11)</f>
        <v>1000000</v>
      </c>
      <c r="P11" s="11"/>
    </row>
    <row r="12" spans="1:194" ht="25.5" x14ac:dyDescent="0.2">
      <c r="A12" s="52" t="s">
        <v>29</v>
      </c>
      <c r="B12" s="53" t="s">
        <v>30</v>
      </c>
      <c r="C12" s="54">
        <v>36271956</v>
      </c>
      <c r="D12" s="55">
        <f>44304508</f>
        <v>44304508</v>
      </c>
      <c r="E12" s="55"/>
      <c r="F12" s="55"/>
      <c r="G12" s="55"/>
      <c r="H12" s="57">
        <f t="shared" ref="H12:H15" si="1">SUM(C12:G12)</f>
        <v>80576464</v>
      </c>
      <c r="I12" s="58"/>
      <c r="J12" s="56">
        <f>30612954</f>
        <v>30612954</v>
      </c>
      <c r="K12" s="55">
        <v>199637534</v>
      </c>
      <c r="L12" s="55"/>
      <c r="M12" s="55"/>
      <c r="N12" s="55"/>
      <c r="O12" s="51">
        <f t="shared" si="0"/>
        <v>230250488</v>
      </c>
      <c r="P12" s="11"/>
    </row>
    <row r="13" spans="1:194" ht="25.5" x14ac:dyDescent="0.2">
      <c r="A13" s="52" t="s">
        <v>31</v>
      </c>
      <c r="B13" s="53" t="s">
        <v>32</v>
      </c>
      <c r="C13" s="54">
        <f>1560000+675000</f>
        <v>2235000</v>
      </c>
      <c r="D13" s="59"/>
      <c r="E13" s="55"/>
      <c r="F13" s="55"/>
      <c r="G13" s="55"/>
      <c r="H13" s="57">
        <f t="shared" si="1"/>
        <v>2235000</v>
      </c>
      <c r="I13" s="60" t="e">
        <f>SUM(#REF!)</f>
        <v>#REF!</v>
      </c>
      <c r="J13" s="56">
        <f>7396164</f>
        <v>7396164</v>
      </c>
      <c r="K13" s="55">
        <v>300000</v>
      </c>
      <c r="L13" s="55"/>
      <c r="M13" s="55"/>
      <c r="N13" s="55"/>
      <c r="O13" s="51">
        <f t="shared" si="0"/>
        <v>7696164</v>
      </c>
      <c r="P13" s="11"/>
    </row>
    <row r="14" spans="1:194" ht="25.5" x14ac:dyDescent="0.2">
      <c r="A14" s="52" t="s">
        <v>33</v>
      </c>
      <c r="B14" s="53" t="s">
        <v>34</v>
      </c>
      <c r="C14" s="54">
        <v>1503038688</v>
      </c>
      <c r="D14" s="61"/>
      <c r="E14" s="55"/>
      <c r="F14" s="61"/>
      <c r="G14" s="61"/>
      <c r="H14" s="57">
        <f t="shared" si="1"/>
        <v>1503038688</v>
      </c>
      <c r="I14" s="48"/>
      <c r="J14" s="56"/>
      <c r="K14" s="55"/>
      <c r="L14" s="61"/>
      <c r="M14" s="61"/>
      <c r="N14" s="61"/>
      <c r="O14" s="51">
        <f t="shared" si="0"/>
        <v>0</v>
      </c>
      <c r="P14" s="11"/>
    </row>
    <row r="15" spans="1:194" ht="13.5" thickBot="1" x14ac:dyDescent="0.25">
      <c r="A15" s="62" t="s">
        <v>35</v>
      </c>
      <c r="B15" s="63" t="s">
        <v>36</v>
      </c>
      <c r="C15" s="64"/>
      <c r="D15" s="65"/>
      <c r="E15" s="66"/>
      <c r="F15" s="66"/>
      <c r="G15" s="66">
        <f>933393998+8179828</f>
        <v>941573826</v>
      </c>
      <c r="H15" s="67">
        <f t="shared" si="1"/>
        <v>941573826</v>
      </c>
      <c r="I15" s="48"/>
      <c r="J15" s="68"/>
      <c r="K15" s="69"/>
      <c r="L15" s="69">
        <v>1487539922</v>
      </c>
      <c r="M15" s="69"/>
      <c r="N15" s="69"/>
      <c r="O15" s="51">
        <f t="shared" si="0"/>
        <v>1487539922</v>
      </c>
      <c r="P15" s="11"/>
    </row>
    <row r="16" spans="1:194" ht="14.25" thickBot="1" x14ac:dyDescent="0.3">
      <c r="A16" s="70" t="s">
        <v>37</v>
      </c>
      <c r="B16" s="7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1"/>
    </row>
    <row r="17" spans="1:16" s="11" customFormat="1" ht="26.25" thickBot="1" x14ac:dyDescent="0.25">
      <c r="A17" s="72" t="s">
        <v>38</v>
      </c>
      <c r="B17" s="73" t="s">
        <v>39</v>
      </c>
      <c r="C17" s="74"/>
      <c r="D17" s="75"/>
      <c r="E17" s="75"/>
      <c r="F17" s="75"/>
      <c r="G17" s="75"/>
      <c r="H17" s="76">
        <f>SUM(C17:G17)</f>
        <v>0</v>
      </c>
      <c r="I17" s="77"/>
      <c r="J17" s="78">
        <f>2000</f>
        <v>2000</v>
      </c>
      <c r="K17" s="75"/>
      <c r="L17" s="75"/>
      <c r="M17" s="75"/>
      <c r="N17" s="75"/>
      <c r="O17" s="51">
        <f>SUM(J17:N17)</f>
        <v>2000</v>
      </c>
    </row>
    <row r="18" spans="1:16" s="11" customFormat="1" ht="14.25" thickBot="1" x14ac:dyDescent="0.3">
      <c r="A18" s="79" t="s">
        <v>40</v>
      </c>
      <c r="B18" s="80" t="s">
        <v>40</v>
      </c>
      <c r="C18" s="39" t="s">
        <v>40</v>
      </c>
      <c r="D18" s="39" t="s">
        <v>40</v>
      </c>
      <c r="E18" s="39" t="s">
        <v>40</v>
      </c>
      <c r="F18" s="39" t="s">
        <v>40</v>
      </c>
      <c r="G18" s="39" t="s">
        <v>40</v>
      </c>
      <c r="H18" s="39" t="s">
        <v>40</v>
      </c>
      <c r="I18" s="40" t="s">
        <v>40</v>
      </c>
      <c r="J18" s="39" t="s">
        <v>40</v>
      </c>
      <c r="K18" s="39" t="s">
        <v>40</v>
      </c>
      <c r="L18" s="39" t="s">
        <v>40</v>
      </c>
      <c r="M18" s="39" t="s">
        <v>40</v>
      </c>
      <c r="N18" s="39" t="s">
        <v>40</v>
      </c>
      <c r="O18" s="81" t="s">
        <v>40</v>
      </c>
    </row>
    <row r="19" spans="1:16" s="11" customFormat="1" x14ac:dyDescent="0.2">
      <c r="A19" s="82" t="s">
        <v>41</v>
      </c>
      <c r="B19" s="83" t="s">
        <v>42</v>
      </c>
      <c r="C19" s="45"/>
      <c r="D19" s="46"/>
      <c r="E19" s="46"/>
      <c r="F19" s="46"/>
      <c r="G19" s="46"/>
      <c r="H19" s="47">
        <f t="shared" ref="H19:H24" si="2">SUM(C19:G19)</f>
        <v>0</v>
      </c>
      <c r="I19" s="84"/>
      <c r="J19" s="85">
        <v>46431577</v>
      </c>
      <c r="K19" s="46">
        <v>10000000</v>
      </c>
      <c r="L19" s="46"/>
      <c r="M19" s="46"/>
      <c r="N19" s="46"/>
      <c r="O19" s="47">
        <f t="shared" ref="O19:O24" si="3">SUM(J19:N19)</f>
        <v>56431577</v>
      </c>
    </row>
    <row r="20" spans="1:16" s="11" customFormat="1" ht="25.5" x14ac:dyDescent="0.2">
      <c r="A20" s="86" t="s">
        <v>43</v>
      </c>
      <c r="B20" s="87" t="s">
        <v>44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4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1" customFormat="1" x14ac:dyDescent="0.2">
      <c r="A21" s="86" t="s">
        <v>45</v>
      </c>
      <c r="B21" s="87" t="s">
        <v>46</v>
      </c>
      <c r="C21" s="54"/>
      <c r="D21" s="55"/>
      <c r="E21" s="55"/>
      <c r="F21" s="55"/>
      <c r="G21" s="55"/>
      <c r="H21" s="57">
        <f t="shared" si="2"/>
        <v>0</v>
      </c>
      <c r="I21" s="84"/>
      <c r="J21" s="56">
        <f>6840212-649147</f>
        <v>6191065</v>
      </c>
      <c r="K21" s="55">
        <f>30209788-2000000+109147</f>
        <v>28318935</v>
      </c>
      <c r="L21" s="55"/>
      <c r="M21" s="55"/>
      <c r="N21" s="55"/>
      <c r="O21" s="57">
        <f t="shared" si="3"/>
        <v>34510000</v>
      </c>
    </row>
    <row r="22" spans="1:16" s="11" customFormat="1" ht="25.5" x14ac:dyDescent="0.2">
      <c r="A22" s="86" t="s">
        <v>47</v>
      </c>
      <c r="B22" s="87" t="s">
        <v>48</v>
      </c>
      <c r="C22" s="54"/>
      <c r="D22" s="55"/>
      <c r="E22" s="55"/>
      <c r="F22" s="55"/>
      <c r="G22" s="55"/>
      <c r="H22" s="57">
        <f t="shared" si="2"/>
        <v>0</v>
      </c>
      <c r="I22" s="84"/>
      <c r="J22" s="56">
        <f>402897+6604733</f>
        <v>7007630</v>
      </c>
      <c r="K22" s="55">
        <v>92092353</v>
      </c>
      <c r="L22" s="55"/>
      <c r="M22" s="55"/>
      <c r="N22" s="55"/>
      <c r="O22" s="57">
        <f t="shared" si="3"/>
        <v>99099983</v>
      </c>
    </row>
    <row r="23" spans="1:16" s="11" customFormat="1" ht="25.5" x14ac:dyDescent="0.2">
      <c r="A23" s="86" t="s">
        <v>49</v>
      </c>
      <c r="B23" s="87" t="s">
        <v>50</v>
      </c>
      <c r="C23" s="54"/>
      <c r="D23" s="55"/>
      <c r="E23" s="55"/>
      <c r="F23" s="55"/>
      <c r="G23" s="55"/>
      <c r="H23" s="57">
        <f t="shared" si="2"/>
        <v>0</v>
      </c>
      <c r="I23" s="84"/>
      <c r="J23" s="56">
        <v>3163512</v>
      </c>
      <c r="K23" s="55">
        <v>5016896</v>
      </c>
      <c r="L23" s="55"/>
      <c r="M23" s="55"/>
      <c r="N23" s="55"/>
      <c r="O23" s="57">
        <f t="shared" si="3"/>
        <v>8180408</v>
      </c>
    </row>
    <row r="24" spans="1:16" s="11" customFormat="1" ht="26.25" thickBot="1" x14ac:dyDescent="0.25">
      <c r="A24" s="88" t="s">
        <v>51</v>
      </c>
      <c r="B24" s="89" t="s">
        <v>52</v>
      </c>
      <c r="C24" s="64"/>
      <c r="D24" s="66"/>
      <c r="E24" s="66"/>
      <c r="F24" s="66"/>
      <c r="G24" s="66"/>
      <c r="H24" s="67">
        <f t="shared" si="2"/>
        <v>0</v>
      </c>
      <c r="I24" s="84"/>
      <c r="J24" s="90">
        <v>723900</v>
      </c>
      <c r="K24" s="66">
        <v>1016000</v>
      </c>
      <c r="L24" s="66"/>
      <c r="M24" s="66"/>
      <c r="N24" s="66"/>
      <c r="O24" s="67">
        <f t="shared" si="3"/>
        <v>1739900</v>
      </c>
    </row>
    <row r="25" spans="1:16" ht="14.25" thickBot="1" x14ac:dyDescent="0.3">
      <c r="A25" s="79" t="s">
        <v>53</v>
      </c>
      <c r="B25" s="80"/>
      <c r="C25" s="80"/>
      <c r="D25" s="80"/>
      <c r="E25" s="80"/>
      <c r="F25" s="80"/>
      <c r="G25" s="80"/>
      <c r="H25" s="80"/>
      <c r="I25" s="40"/>
      <c r="J25" s="80"/>
      <c r="K25" s="80"/>
      <c r="L25" s="80"/>
      <c r="M25" s="80"/>
      <c r="N25" s="80"/>
      <c r="O25" s="91"/>
      <c r="P25" s="11"/>
    </row>
    <row r="26" spans="1:16" ht="25.5" x14ac:dyDescent="0.2">
      <c r="A26" s="92" t="s">
        <v>54</v>
      </c>
      <c r="B26" s="93" t="s">
        <v>55</v>
      </c>
      <c r="C26" s="46">
        <v>507601</v>
      </c>
      <c r="D26" s="94"/>
      <c r="E26" s="94"/>
      <c r="F26" s="94"/>
      <c r="G26" s="94"/>
      <c r="H26" s="47">
        <f t="shared" ref="H26:H29" si="4">SUM(C26:G26)</f>
        <v>507601</v>
      </c>
      <c r="I26" s="95"/>
      <c r="J26" s="85">
        <v>15896113</v>
      </c>
      <c r="K26" s="94"/>
      <c r="L26" s="94"/>
      <c r="M26" s="94"/>
      <c r="N26" s="94"/>
      <c r="O26" s="47">
        <f t="shared" ref="O26:O29" si="5">SUM(J26:N26)</f>
        <v>15896113</v>
      </c>
      <c r="P26" s="11"/>
    </row>
    <row r="27" spans="1:16" ht="25.5" x14ac:dyDescent="0.2">
      <c r="A27" s="96" t="s">
        <v>56</v>
      </c>
      <c r="B27" s="97" t="s">
        <v>57</v>
      </c>
      <c r="C27" s="55"/>
      <c r="D27" s="55"/>
      <c r="E27" s="55"/>
      <c r="F27" s="55"/>
      <c r="G27" s="55"/>
      <c r="H27" s="57">
        <f t="shared" si="4"/>
        <v>0</v>
      </c>
      <c r="I27" s="98"/>
      <c r="J27" s="99">
        <v>835000</v>
      </c>
      <c r="K27" s="61"/>
      <c r="L27" s="61"/>
      <c r="M27" s="61"/>
      <c r="N27" s="61"/>
      <c r="O27" s="57">
        <f t="shared" si="5"/>
        <v>835000</v>
      </c>
      <c r="P27" s="11"/>
    </row>
    <row r="28" spans="1:16" ht="25.5" x14ac:dyDescent="0.2">
      <c r="A28" s="96" t="s">
        <v>58</v>
      </c>
      <c r="B28" s="97" t="s">
        <v>59</v>
      </c>
      <c r="C28" s="55">
        <f>900000</f>
        <v>900000</v>
      </c>
      <c r="D28" s="61"/>
      <c r="E28" s="100"/>
      <c r="F28" s="61"/>
      <c r="G28" s="61"/>
      <c r="H28" s="57">
        <f t="shared" si="4"/>
        <v>900000</v>
      </c>
      <c r="I28" s="98"/>
      <c r="J28" s="101"/>
      <c r="K28" s="55">
        <v>359410</v>
      </c>
      <c r="L28" s="61"/>
      <c r="M28" s="61"/>
      <c r="N28" s="61"/>
      <c r="O28" s="57">
        <f t="shared" si="5"/>
        <v>359410</v>
      </c>
      <c r="P28" s="11"/>
    </row>
    <row r="29" spans="1:16" ht="26.25" thickBot="1" x14ac:dyDescent="0.25">
      <c r="A29" s="102" t="s">
        <v>60</v>
      </c>
      <c r="B29" s="103" t="s">
        <v>61</v>
      </c>
      <c r="C29" s="66">
        <v>16392698</v>
      </c>
      <c r="D29" s="104">
        <v>2634996</v>
      </c>
      <c r="E29" s="65"/>
      <c r="F29" s="104"/>
      <c r="G29" s="104"/>
      <c r="H29" s="57">
        <f t="shared" si="4"/>
        <v>19027694</v>
      </c>
      <c r="I29" s="105"/>
      <c r="J29" s="106">
        <v>16392698</v>
      </c>
      <c r="K29" s="66">
        <v>2634996</v>
      </c>
      <c r="L29" s="104"/>
      <c r="M29" s="104"/>
      <c r="N29" s="104"/>
      <c r="O29" s="57">
        <f t="shared" si="5"/>
        <v>19027694</v>
      </c>
      <c r="P29" s="11"/>
    </row>
    <row r="30" spans="1:16" ht="14.25" thickBot="1" x14ac:dyDescent="0.3">
      <c r="A30" s="107" t="s">
        <v>62</v>
      </c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0"/>
      <c r="P30" s="11"/>
    </row>
    <row r="31" spans="1:16" ht="25.5" x14ac:dyDescent="0.2">
      <c r="A31" s="92" t="s">
        <v>63</v>
      </c>
      <c r="B31" s="111" t="s">
        <v>64</v>
      </c>
      <c r="C31" s="85">
        <v>36497760</v>
      </c>
      <c r="D31" s="46">
        <v>24124550</v>
      </c>
      <c r="E31" s="45"/>
      <c r="F31" s="46"/>
      <c r="G31" s="46"/>
      <c r="H31" s="47">
        <f t="shared" ref="H31:H34" si="6">SUM(C31:G31)</f>
        <v>60622310</v>
      </c>
      <c r="I31" s="98"/>
      <c r="J31" s="85">
        <v>64017704</v>
      </c>
      <c r="K31" s="46">
        <v>505446492</v>
      </c>
      <c r="L31" s="46"/>
      <c r="M31" s="46"/>
      <c r="N31" s="46"/>
      <c r="O31" s="47">
        <f t="shared" ref="O31:O34" si="7">SUM(J31:N31)</f>
        <v>569464196</v>
      </c>
      <c r="P31" s="11"/>
    </row>
    <row r="32" spans="1:16" x14ac:dyDescent="0.2">
      <c r="A32" s="96" t="s">
        <v>65</v>
      </c>
      <c r="B32" s="112" t="s">
        <v>66</v>
      </c>
      <c r="C32" s="49"/>
      <c r="D32" s="50"/>
      <c r="E32" s="113"/>
      <c r="F32" s="50"/>
      <c r="G32" s="50"/>
      <c r="H32" s="51">
        <f t="shared" si="6"/>
        <v>0</v>
      </c>
      <c r="I32" s="98"/>
      <c r="J32" s="49">
        <v>27408638</v>
      </c>
      <c r="K32" s="50">
        <v>381000</v>
      </c>
      <c r="L32" s="50"/>
      <c r="M32" s="50"/>
      <c r="N32" s="50"/>
      <c r="O32" s="51">
        <f t="shared" si="7"/>
        <v>27789638</v>
      </c>
      <c r="P32" s="11"/>
    </row>
    <row r="33" spans="1:16" x14ac:dyDescent="0.2">
      <c r="A33" s="96" t="s">
        <v>67</v>
      </c>
      <c r="B33" s="112" t="s">
        <v>68</v>
      </c>
      <c r="C33" s="114"/>
      <c r="D33" s="55"/>
      <c r="E33" s="55"/>
      <c r="F33" s="55"/>
      <c r="G33" s="55"/>
      <c r="H33" s="57">
        <f t="shared" si="6"/>
        <v>0</v>
      </c>
      <c r="I33" s="98"/>
      <c r="J33" s="56">
        <f>190500+15489215</f>
        <v>15679715</v>
      </c>
      <c r="K33" s="55"/>
      <c r="L33" s="55"/>
      <c r="M33" s="55"/>
      <c r="N33" s="55"/>
      <c r="O33" s="51">
        <f t="shared" si="7"/>
        <v>15679715</v>
      </c>
      <c r="P33" s="11"/>
    </row>
    <row r="34" spans="1:16" ht="26.25" thickBot="1" x14ac:dyDescent="0.25">
      <c r="A34" s="102" t="s">
        <v>69</v>
      </c>
      <c r="B34" s="115" t="s">
        <v>70</v>
      </c>
      <c r="C34" s="90">
        <f>6393254+1350000+200000</f>
        <v>7943254</v>
      </c>
      <c r="D34" s="66"/>
      <c r="E34" s="66">
        <v>8000000</v>
      </c>
      <c r="F34" s="66"/>
      <c r="G34" s="66"/>
      <c r="H34" s="67">
        <f t="shared" si="6"/>
        <v>15943254</v>
      </c>
      <c r="I34" s="116"/>
      <c r="J34" s="90">
        <f>49736618+22713471</f>
        <v>72450089</v>
      </c>
      <c r="K34" s="66">
        <v>40233999</v>
      </c>
      <c r="L34" s="66"/>
      <c r="M34" s="66"/>
      <c r="N34" s="66"/>
      <c r="O34" s="117">
        <f t="shared" si="7"/>
        <v>112684088</v>
      </c>
      <c r="P34" s="11"/>
    </row>
    <row r="35" spans="1:16" ht="15.75" thickBot="1" x14ac:dyDescent="0.3">
      <c r="A35" s="118" t="s">
        <v>71</v>
      </c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1"/>
      <c r="P35" s="11"/>
    </row>
    <row r="36" spans="1:16" x14ac:dyDescent="0.2">
      <c r="A36" s="122" t="s">
        <v>72</v>
      </c>
      <c r="B36" s="53" t="s">
        <v>73</v>
      </c>
      <c r="C36" s="54"/>
      <c r="D36" s="54"/>
      <c r="E36" s="54"/>
      <c r="F36" s="54"/>
      <c r="G36" s="54"/>
      <c r="H36" s="57">
        <f t="shared" ref="H36:H40" si="8">SUM(C36:G36)</f>
        <v>0</v>
      </c>
      <c r="I36" s="123"/>
      <c r="J36" s="124">
        <v>45600000</v>
      </c>
      <c r="K36" s="55"/>
      <c r="L36" s="55"/>
      <c r="M36" s="55"/>
      <c r="N36" s="55"/>
      <c r="O36" s="51">
        <f t="shared" ref="O36:O40" si="9">SUM(J36:N36)</f>
        <v>45600000</v>
      </c>
      <c r="P36" s="11"/>
    </row>
    <row r="37" spans="1:16" x14ac:dyDescent="0.2">
      <c r="A37" s="122" t="s">
        <v>74</v>
      </c>
      <c r="B37" s="53" t="s">
        <v>75</v>
      </c>
      <c r="C37" s="54"/>
      <c r="D37" s="55"/>
      <c r="E37" s="55"/>
      <c r="F37" s="55"/>
      <c r="G37" s="55"/>
      <c r="H37" s="57">
        <f t="shared" si="8"/>
        <v>0</v>
      </c>
      <c r="I37" s="98"/>
      <c r="J37" s="56">
        <v>3600000</v>
      </c>
      <c r="K37" s="55"/>
      <c r="L37" s="55"/>
      <c r="M37" s="55"/>
      <c r="N37" s="55"/>
      <c r="O37" s="51">
        <f t="shared" si="9"/>
        <v>3600000</v>
      </c>
      <c r="P37" s="11"/>
    </row>
    <row r="38" spans="1:16" x14ac:dyDescent="0.2">
      <c r="A38" s="122" t="s">
        <v>76</v>
      </c>
      <c r="B38" s="53" t="s">
        <v>77</v>
      </c>
      <c r="C38" s="54"/>
      <c r="D38" s="55"/>
      <c r="E38" s="55"/>
      <c r="F38" s="55"/>
      <c r="G38" s="55"/>
      <c r="H38" s="57">
        <f t="shared" ref="H38" si="10">SUM(C38:G38)</f>
        <v>0</v>
      </c>
      <c r="I38" s="48"/>
      <c r="J38" s="56">
        <v>18000000</v>
      </c>
      <c r="K38" s="55"/>
      <c r="L38" s="55"/>
      <c r="M38" s="55"/>
      <c r="N38" s="55"/>
      <c r="O38" s="51">
        <f t="shared" si="9"/>
        <v>18000000</v>
      </c>
      <c r="P38" s="11"/>
    </row>
    <row r="39" spans="1:16" ht="25.5" x14ac:dyDescent="0.2">
      <c r="A39" s="122" t="s">
        <v>78</v>
      </c>
      <c r="B39" s="53" t="s">
        <v>79</v>
      </c>
      <c r="C39" s="54">
        <f>2768669</f>
        <v>2768669</v>
      </c>
      <c r="D39" s="55"/>
      <c r="E39" s="55"/>
      <c r="F39" s="55"/>
      <c r="G39" s="55"/>
      <c r="H39" s="57">
        <f t="shared" si="8"/>
        <v>2768669</v>
      </c>
      <c r="I39" s="48"/>
      <c r="J39" s="56">
        <v>45157875</v>
      </c>
      <c r="K39" s="55">
        <v>4127000</v>
      </c>
      <c r="L39" s="55"/>
      <c r="M39" s="55"/>
      <c r="N39" s="55"/>
      <c r="O39" s="51">
        <f t="shared" si="9"/>
        <v>49284875</v>
      </c>
      <c r="P39" s="11"/>
    </row>
    <row r="40" spans="1:16" ht="26.25" thickBot="1" x14ac:dyDescent="0.25">
      <c r="A40" s="125" t="s">
        <v>80</v>
      </c>
      <c r="B40" s="63" t="s">
        <v>81</v>
      </c>
      <c r="C40" s="126">
        <f>94488+25512</f>
        <v>120000</v>
      </c>
      <c r="D40" s="69"/>
      <c r="E40" s="69"/>
      <c r="F40" s="69"/>
      <c r="G40" s="69"/>
      <c r="H40" s="127">
        <f t="shared" si="8"/>
        <v>120000</v>
      </c>
      <c r="I40" s="98"/>
      <c r="J40" s="68">
        <v>325512</v>
      </c>
      <c r="K40" s="69">
        <v>94488</v>
      </c>
      <c r="L40" s="69"/>
      <c r="M40" s="69"/>
      <c r="N40" s="69"/>
      <c r="O40" s="51">
        <f t="shared" si="9"/>
        <v>420000</v>
      </c>
      <c r="P40" s="11"/>
    </row>
    <row r="41" spans="1:16" ht="14.25" thickBot="1" x14ac:dyDescent="0.3">
      <c r="A41" s="79" t="s">
        <v>82</v>
      </c>
      <c r="B41" s="8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11"/>
    </row>
    <row r="42" spans="1:16" x14ac:dyDescent="0.2">
      <c r="A42" s="128" t="s">
        <v>83</v>
      </c>
      <c r="B42" s="44" t="s">
        <v>84</v>
      </c>
      <c r="C42" s="74">
        <f>635000</f>
        <v>635000</v>
      </c>
      <c r="D42" s="75"/>
      <c r="E42" s="75"/>
      <c r="F42" s="75"/>
      <c r="G42" s="75"/>
      <c r="H42" s="51">
        <f t="shared" ref="H42:H44" si="11">SUM(C42:G42)</f>
        <v>635000</v>
      </c>
      <c r="I42" s="98"/>
      <c r="J42" s="78">
        <v>6601335</v>
      </c>
      <c r="K42" s="75"/>
      <c r="L42" s="75"/>
      <c r="M42" s="75"/>
      <c r="N42" s="75"/>
      <c r="O42" s="51">
        <f t="shared" ref="O42:O44" si="12">SUM(J42:N42)</f>
        <v>6601335</v>
      </c>
      <c r="P42" s="11"/>
    </row>
    <row r="43" spans="1:16" s="131" customFormat="1" x14ac:dyDescent="0.2">
      <c r="A43" s="122" t="s">
        <v>85</v>
      </c>
      <c r="B43" s="53" t="s">
        <v>86</v>
      </c>
      <c r="C43" s="126">
        <f>400000</f>
        <v>400000</v>
      </c>
      <c r="D43" s="129"/>
      <c r="E43" s="129"/>
      <c r="F43" s="129"/>
      <c r="G43" s="129"/>
      <c r="H43" s="57">
        <f t="shared" si="11"/>
        <v>400000</v>
      </c>
      <c r="I43" s="130"/>
      <c r="J43" s="68">
        <f>407200+34558462</f>
        <v>34965662</v>
      </c>
      <c r="K43" s="69">
        <v>7901899</v>
      </c>
      <c r="L43" s="69"/>
      <c r="M43" s="69"/>
      <c r="N43" s="69"/>
      <c r="O43" s="51">
        <f t="shared" si="12"/>
        <v>42867561</v>
      </c>
    </row>
    <row r="44" spans="1:16" s="131" customFormat="1" ht="39" thickBot="1" x14ac:dyDescent="0.25">
      <c r="A44" s="125" t="s">
        <v>87</v>
      </c>
      <c r="B44" s="63" t="s">
        <v>88</v>
      </c>
      <c r="C44" s="126">
        <v>62436432</v>
      </c>
      <c r="D44" s="69">
        <v>10218088</v>
      </c>
      <c r="E44" s="129"/>
      <c r="F44" s="129"/>
      <c r="G44" s="129"/>
      <c r="H44" s="127">
        <f t="shared" si="11"/>
        <v>72654520</v>
      </c>
      <c r="I44" s="130"/>
      <c r="J44" s="68">
        <f>9234401+65012000</f>
        <v>74246401</v>
      </c>
      <c r="K44" s="69">
        <v>17650043</v>
      </c>
      <c r="L44" s="69"/>
      <c r="M44" s="69"/>
      <c r="N44" s="69"/>
      <c r="O44" s="51">
        <f t="shared" si="12"/>
        <v>91896444</v>
      </c>
    </row>
    <row r="45" spans="1:16" ht="14.25" thickBot="1" x14ac:dyDescent="0.3">
      <c r="A45" s="79" t="s">
        <v>89</v>
      </c>
      <c r="B45" s="8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1"/>
      <c r="P45" s="11"/>
    </row>
    <row r="46" spans="1:16" x14ac:dyDescent="0.2">
      <c r="A46" s="128" t="s">
        <v>90</v>
      </c>
      <c r="B46" s="44" t="s">
        <v>91</v>
      </c>
      <c r="C46" s="74"/>
      <c r="D46" s="75"/>
      <c r="E46" s="75"/>
      <c r="F46" s="75"/>
      <c r="G46" s="75"/>
      <c r="H46" s="51">
        <f t="shared" ref="H46:H50" si="13">SUM(C46:G46)</f>
        <v>0</v>
      </c>
      <c r="I46" s="98"/>
      <c r="J46" s="78">
        <v>300000</v>
      </c>
      <c r="K46" s="75"/>
      <c r="L46" s="75"/>
      <c r="M46" s="75"/>
      <c r="N46" s="75"/>
      <c r="O46" s="51">
        <f t="shared" ref="O46:O51" si="14">SUM(J46:N46)</f>
        <v>300000</v>
      </c>
      <c r="P46" s="11"/>
    </row>
    <row r="47" spans="1:16" x14ac:dyDescent="0.2">
      <c r="A47" s="122" t="s">
        <v>92</v>
      </c>
      <c r="B47" s="53" t="s">
        <v>93</v>
      </c>
      <c r="C47" s="126"/>
      <c r="D47" s="69"/>
      <c r="E47" s="69"/>
      <c r="F47" s="69"/>
      <c r="G47" s="69"/>
      <c r="H47" s="57">
        <f t="shared" si="13"/>
        <v>0</v>
      </c>
      <c r="I47" s="98"/>
      <c r="J47" s="68">
        <v>54468561</v>
      </c>
      <c r="K47" s="69"/>
      <c r="L47" s="69"/>
      <c r="M47" s="69"/>
      <c r="N47" s="69"/>
      <c r="O47" s="51">
        <f t="shared" si="14"/>
        <v>54468561</v>
      </c>
      <c r="P47" s="11"/>
    </row>
    <row r="48" spans="1:16" x14ac:dyDescent="0.2">
      <c r="A48" s="122" t="s">
        <v>94</v>
      </c>
      <c r="B48" s="53" t="s">
        <v>95</v>
      </c>
      <c r="C48" s="126"/>
      <c r="D48" s="69"/>
      <c r="E48" s="69"/>
      <c r="F48" s="69"/>
      <c r="G48" s="69"/>
      <c r="H48" s="57">
        <f t="shared" si="13"/>
        <v>0</v>
      </c>
      <c r="I48" s="98"/>
      <c r="J48" s="132">
        <v>270951</v>
      </c>
      <c r="K48" s="69">
        <v>403860</v>
      </c>
      <c r="L48" s="69"/>
      <c r="M48" s="69"/>
      <c r="N48" s="69"/>
      <c r="O48" s="51">
        <f t="shared" si="14"/>
        <v>674811</v>
      </c>
      <c r="P48" s="11"/>
    </row>
    <row r="49" spans="1:16" ht="25.5" x14ac:dyDescent="0.2">
      <c r="A49" s="122" t="s">
        <v>96</v>
      </c>
      <c r="B49" s="53" t="s">
        <v>97</v>
      </c>
      <c r="C49" s="126">
        <v>300000</v>
      </c>
      <c r="D49" s="69"/>
      <c r="E49" s="69"/>
      <c r="F49" s="69"/>
      <c r="G49" s="69"/>
      <c r="H49" s="57">
        <f t="shared" si="13"/>
        <v>300000</v>
      </c>
      <c r="I49" s="98"/>
      <c r="J49" s="68">
        <v>2417600</v>
      </c>
      <c r="K49" s="69">
        <v>2540000</v>
      </c>
      <c r="L49" s="69"/>
      <c r="M49" s="69"/>
      <c r="N49" s="69"/>
      <c r="O49" s="51">
        <f t="shared" si="14"/>
        <v>4957600</v>
      </c>
      <c r="P49" s="11"/>
    </row>
    <row r="50" spans="1:16" ht="26.25" thickBot="1" x14ac:dyDescent="0.25">
      <c r="A50" s="125" t="s">
        <v>98</v>
      </c>
      <c r="B50" s="63" t="s">
        <v>99</v>
      </c>
      <c r="C50" s="126">
        <v>500000</v>
      </c>
      <c r="D50" s="69"/>
      <c r="E50" s="69"/>
      <c r="F50" s="69"/>
      <c r="G50" s="69"/>
      <c r="H50" s="127">
        <f t="shared" si="13"/>
        <v>500000</v>
      </c>
      <c r="I50" s="98"/>
      <c r="J50" s="68">
        <f>61300000+526000</f>
        <v>61826000</v>
      </c>
      <c r="K50" s="69"/>
      <c r="L50" s="69"/>
      <c r="M50" s="69"/>
      <c r="N50" s="69"/>
      <c r="O50" s="51">
        <f t="shared" si="14"/>
        <v>61826000</v>
      </c>
      <c r="P50" s="11"/>
    </row>
    <row r="51" spans="1:16" ht="26.25" thickBot="1" x14ac:dyDescent="0.25">
      <c r="A51" s="125" t="s">
        <v>100</v>
      </c>
      <c r="B51" s="63" t="s">
        <v>101</v>
      </c>
      <c r="C51" s="126"/>
      <c r="D51" s="69"/>
      <c r="E51" s="69"/>
      <c r="F51" s="69"/>
      <c r="G51" s="69"/>
      <c r="H51" s="127">
        <f t="shared" ref="H51" si="15">SUM(C51:G51)</f>
        <v>0</v>
      </c>
      <c r="I51" s="133"/>
      <c r="J51" s="68">
        <v>243100</v>
      </c>
      <c r="K51" s="69">
        <v>691900</v>
      </c>
      <c r="L51" s="69"/>
      <c r="M51" s="69"/>
      <c r="N51" s="69"/>
      <c r="O51" s="51">
        <f t="shared" si="14"/>
        <v>935000</v>
      </c>
      <c r="P51" s="11"/>
    </row>
    <row r="52" spans="1:16" ht="14.25" thickBot="1" x14ac:dyDescent="0.3">
      <c r="A52" s="79" t="s">
        <v>102</v>
      </c>
      <c r="B52" s="8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1"/>
      <c r="P52" s="11"/>
    </row>
    <row r="53" spans="1:16" ht="25.5" x14ac:dyDescent="0.2">
      <c r="A53" s="128" t="s">
        <v>103</v>
      </c>
      <c r="B53" s="44" t="s">
        <v>104</v>
      </c>
      <c r="C53" s="134"/>
      <c r="D53" s="75"/>
      <c r="E53" s="75">
        <v>530000000</v>
      </c>
      <c r="F53" s="75"/>
      <c r="G53" s="75"/>
      <c r="H53" s="51">
        <f t="shared" ref="H53:H54" si="16">SUM(C53:G53)</f>
        <v>530000000</v>
      </c>
      <c r="I53" s="98"/>
      <c r="J53" s="78"/>
      <c r="K53" s="75"/>
      <c r="L53" s="135"/>
      <c r="M53" s="75"/>
      <c r="N53" s="75"/>
      <c r="O53" s="51">
        <f t="shared" ref="O53:O54" si="17">SUM(J53:N53)</f>
        <v>0</v>
      </c>
      <c r="P53" s="11"/>
    </row>
    <row r="54" spans="1:16" ht="26.25" thickBot="1" x14ac:dyDescent="0.25">
      <c r="A54" s="125" t="s">
        <v>105</v>
      </c>
      <c r="B54" s="63" t="s">
        <v>106</v>
      </c>
      <c r="C54" s="136"/>
      <c r="D54" s="69"/>
      <c r="E54" s="69"/>
      <c r="F54" s="69">
        <f>700000000+44951899-2540000</f>
        <v>742411899</v>
      </c>
      <c r="G54" s="69"/>
      <c r="H54" s="57">
        <f t="shared" si="16"/>
        <v>742411899</v>
      </c>
      <c r="I54" s="98"/>
      <c r="J54" s="68">
        <v>12952927</v>
      </c>
      <c r="K54" s="137"/>
      <c r="L54" s="69"/>
      <c r="M54" s="69">
        <v>726038434</v>
      </c>
      <c r="N54" s="69">
        <v>133240838</v>
      </c>
      <c r="O54" s="57">
        <f t="shared" si="17"/>
        <v>872232199</v>
      </c>
      <c r="P54" s="11"/>
    </row>
    <row r="55" spans="1:16" ht="13.5" thickBot="1" x14ac:dyDescent="0.25">
      <c r="A55" s="138" t="s">
        <v>107</v>
      </c>
      <c r="B55" s="139"/>
      <c r="C55" s="140">
        <f t="shared" ref="C55:H55" si="18">SUM(C10:C54)</f>
        <v>1674224058</v>
      </c>
      <c r="D55" s="140">
        <f t="shared" si="18"/>
        <v>81282142</v>
      </c>
      <c r="E55" s="140">
        <f t="shared" si="18"/>
        <v>538000000</v>
      </c>
      <c r="F55" s="140">
        <f t="shared" si="18"/>
        <v>742411899</v>
      </c>
      <c r="G55" s="140">
        <f t="shared" si="18"/>
        <v>941573826</v>
      </c>
      <c r="H55" s="141">
        <f t="shared" si="18"/>
        <v>3977491925</v>
      </c>
      <c r="I55" s="142" t="e">
        <f>SUM(I9:I13,I15:I27,I34:I36,I39:I47,I48:I54)</f>
        <v>#REF!</v>
      </c>
      <c r="J55" s="140">
        <f t="shared" ref="J55:O55" si="19">SUM(J10:J54)</f>
        <v>709753286</v>
      </c>
      <c r="K55" s="140">
        <f t="shared" si="19"/>
        <v>920919445</v>
      </c>
      <c r="L55" s="140">
        <f t="shared" si="19"/>
        <v>1487539922</v>
      </c>
      <c r="M55" s="140">
        <f t="shared" si="19"/>
        <v>726038434</v>
      </c>
      <c r="N55" s="140">
        <f t="shared" si="19"/>
        <v>133240838</v>
      </c>
      <c r="O55" s="140">
        <f t="shared" si="19"/>
        <v>3977491925</v>
      </c>
      <c r="P55" s="143">
        <f>O55-H55</f>
        <v>0</v>
      </c>
    </row>
    <row r="56" spans="1:16" ht="13.5" thickBot="1" x14ac:dyDescent="0.25">
      <c r="A56" s="144" t="s">
        <v>108</v>
      </c>
      <c r="B56" s="145"/>
      <c r="C56" s="146"/>
      <c r="D56" s="147"/>
      <c r="E56" s="147"/>
      <c r="F56" s="147"/>
      <c r="G56" s="147"/>
      <c r="H56" s="57"/>
      <c r="I56" s="58"/>
      <c r="J56" s="148"/>
      <c r="K56" s="55"/>
      <c r="L56" s="55">
        <f>SUM(L53:L54,L46:L50,L42:L44,L36:L40,L32:L34,L26:L28,L17,L10:L15)</f>
        <v>1487539922</v>
      </c>
      <c r="M56" s="147"/>
      <c r="N56" s="147"/>
      <c r="O56" s="149">
        <f>SUM(J56:N56)</f>
        <v>1487539922</v>
      </c>
      <c r="P56" s="143"/>
    </row>
    <row r="57" spans="1:16" ht="13.5" thickBot="1" x14ac:dyDescent="0.25">
      <c r="A57" s="138" t="s">
        <v>109</v>
      </c>
      <c r="B57" s="139"/>
      <c r="C57" s="150">
        <f t="shared" ref="C57:N57" si="20">C55-C56</f>
        <v>1674224058</v>
      </c>
      <c r="D57" s="151">
        <f t="shared" si="20"/>
        <v>81282142</v>
      </c>
      <c r="E57" s="151">
        <f t="shared" si="20"/>
        <v>538000000</v>
      </c>
      <c r="F57" s="151">
        <f t="shared" si="20"/>
        <v>742411899</v>
      </c>
      <c r="G57" s="151">
        <f t="shared" si="20"/>
        <v>941573826</v>
      </c>
      <c r="H57" s="152">
        <f t="shared" si="20"/>
        <v>3977491925</v>
      </c>
      <c r="I57" s="153" t="e">
        <f t="shared" si="20"/>
        <v>#REF!</v>
      </c>
      <c r="J57" s="150">
        <f t="shared" si="20"/>
        <v>709753286</v>
      </c>
      <c r="K57" s="151">
        <f t="shared" si="20"/>
        <v>920919445</v>
      </c>
      <c r="L57" s="151">
        <f t="shared" si="20"/>
        <v>0</v>
      </c>
      <c r="M57" s="151">
        <f t="shared" si="20"/>
        <v>726038434</v>
      </c>
      <c r="N57" s="151">
        <f t="shared" si="20"/>
        <v>133240838</v>
      </c>
      <c r="O57" s="154">
        <f>O55-O56</f>
        <v>2489952003</v>
      </c>
      <c r="P57" s="143"/>
    </row>
    <row r="58" spans="1:16" hidden="1" x14ac:dyDescent="0.2">
      <c r="B58" s="155"/>
      <c r="C58" s="84">
        <f>C57-C59</f>
        <v>0</v>
      </c>
      <c r="D58" s="84">
        <f t="shared" ref="D58:O58" si="21">D57-D59</f>
        <v>0</v>
      </c>
      <c r="E58" s="84">
        <f t="shared" si="21"/>
        <v>0</v>
      </c>
      <c r="F58" s="84">
        <f t="shared" si="21"/>
        <v>0</v>
      </c>
      <c r="G58" s="84">
        <f t="shared" si="21"/>
        <v>0</v>
      </c>
      <c r="H58" s="84">
        <f t="shared" si="21"/>
        <v>0</v>
      </c>
      <c r="I58" s="84" t="e">
        <f t="shared" si="21"/>
        <v>#REF!</v>
      </c>
      <c r="J58" s="84">
        <f t="shared" si="21"/>
        <v>0</v>
      </c>
      <c r="K58" s="84">
        <f t="shared" si="21"/>
        <v>0</v>
      </c>
      <c r="L58" s="84">
        <f t="shared" si="21"/>
        <v>-1487539922</v>
      </c>
      <c r="M58" s="84">
        <f t="shared" si="21"/>
        <v>0</v>
      </c>
      <c r="N58" s="84">
        <f t="shared" si="21"/>
        <v>0</v>
      </c>
      <c r="O58" s="84">
        <f t="shared" si="21"/>
        <v>-1487539922</v>
      </c>
    </row>
    <row r="59" spans="1:16" hidden="1" x14ac:dyDescent="0.2">
      <c r="B59" s="155"/>
      <c r="C59" s="84">
        <f>'[1]9.1. sz. mell.'!C9+'[1]9.1. sz. mell.'!C16+'[1]9.1. sz. mell.'!C38+'[1]9.1. sz. mell.'!C56</f>
        <v>1674224058</v>
      </c>
      <c r="D59" s="84">
        <f>'[1]9.1. sz. mell.'!C23+'[1]9.1. sz. mell.'!C50+'[1]9.1. sz. mell.'!C61</f>
        <v>81282142</v>
      </c>
      <c r="E59" s="84">
        <f>'[1]9.1. sz. mell.'!C30</f>
        <v>538000000</v>
      </c>
      <c r="F59" s="84">
        <f>'[1]9.1. sz. mell.'!C67</f>
        <v>742411899</v>
      </c>
      <c r="G59" s="84">
        <f>'[1]9.1. sz. mell.'!C76</f>
        <v>941573826</v>
      </c>
      <c r="H59" s="156">
        <f>SUM(C59:G59)</f>
        <v>3977491925</v>
      </c>
      <c r="I59" s="157"/>
      <c r="J59" s="84">
        <f>'[1]9.1. sz. mell.'!C94-'[1]9.1. sz. mell.'!C112+'[1]9.1. sz. mell.'!C141</f>
        <v>709753286</v>
      </c>
      <c r="K59" s="84">
        <f>'[1]9.1. sz. mell.'!C115</f>
        <v>920919445</v>
      </c>
      <c r="L59" s="158">
        <f>[1]int.összesítő!C16</f>
        <v>1487539922</v>
      </c>
      <c r="M59" s="159">
        <f>'[1]9.1. sz. mell.'!C130</f>
        <v>726038434</v>
      </c>
      <c r="N59" s="159">
        <f>'[1]9.1. sz. mell.'!C112</f>
        <v>133240838</v>
      </c>
      <c r="O59" s="157">
        <f>SUM(J59:N59)</f>
        <v>3977491925</v>
      </c>
    </row>
    <row r="60" spans="1:16" x14ac:dyDescent="0.2">
      <c r="B60" s="155"/>
      <c r="C60" s="84"/>
      <c r="D60" s="84"/>
      <c r="E60" s="84"/>
      <c r="F60" s="84"/>
      <c r="G60" s="84"/>
      <c r="H60" s="156"/>
      <c r="I60" s="157"/>
      <c r="J60" s="160"/>
      <c r="K60" s="84"/>
      <c r="L60" s="161"/>
      <c r="M60" s="84"/>
      <c r="N60" s="84"/>
      <c r="O60" s="157"/>
    </row>
    <row r="61" spans="1:16" x14ac:dyDescent="0.2">
      <c r="B61" s="155"/>
      <c r="C61" s="84"/>
      <c r="D61" s="84"/>
      <c r="E61" s="84"/>
      <c r="F61" s="84"/>
      <c r="G61" s="84"/>
      <c r="H61" s="156"/>
      <c r="I61" s="157"/>
      <c r="J61" s="84"/>
      <c r="K61" s="84"/>
      <c r="L61" s="161"/>
      <c r="M61" s="84"/>
      <c r="N61" s="84"/>
      <c r="O61" s="157"/>
    </row>
    <row r="62" spans="1:16" x14ac:dyDescent="0.2">
      <c r="B62" s="155"/>
      <c r="C62" s="84"/>
      <c r="D62" s="84"/>
      <c r="E62" s="84"/>
      <c r="F62" s="84"/>
      <c r="G62" s="84"/>
      <c r="H62" s="156"/>
      <c r="I62" s="157"/>
      <c r="J62" s="84"/>
      <c r="K62" s="84"/>
      <c r="L62" s="161"/>
      <c r="M62" s="84"/>
      <c r="N62" s="84"/>
      <c r="O62" s="157"/>
    </row>
    <row r="63" spans="1:16" x14ac:dyDescent="0.2">
      <c r="B63" s="155"/>
      <c r="C63" s="84"/>
      <c r="D63" s="84"/>
      <c r="E63" s="84"/>
      <c r="F63" s="84"/>
      <c r="G63" s="84"/>
      <c r="H63" s="156"/>
      <c r="I63" s="157"/>
      <c r="J63" s="84"/>
      <c r="K63" s="84"/>
      <c r="L63" s="161"/>
      <c r="M63" s="84"/>
      <c r="N63" s="84"/>
      <c r="O63" s="157"/>
    </row>
    <row r="64" spans="1:16" x14ac:dyDescent="0.2">
      <c r="B64" s="155"/>
      <c r="C64" s="84"/>
      <c r="D64" s="84"/>
      <c r="E64" s="84"/>
      <c r="F64" s="84"/>
      <c r="G64" s="84"/>
      <c r="H64" s="156"/>
      <c r="I64" s="157"/>
      <c r="J64" s="84"/>
      <c r="K64" s="84"/>
      <c r="L64" s="161"/>
      <c r="M64" s="84"/>
      <c r="N64" s="84"/>
      <c r="O64" s="157"/>
    </row>
  </sheetData>
  <mergeCells count="20">
    <mergeCell ref="A41:O41"/>
    <mergeCell ref="A45:O45"/>
    <mergeCell ref="A52:O52"/>
    <mergeCell ref="A55:B55"/>
    <mergeCell ref="A56:B56"/>
    <mergeCell ref="A57:B57"/>
    <mergeCell ref="A9:O9"/>
    <mergeCell ref="A16:O16"/>
    <mergeCell ref="A18:O18"/>
    <mergeCell ref="A25:O25"/>
    <mergeCell ref="A30:O30"/>
    <mergeCell ref="A35:O35"/>
    <mergeCell ref="A1:O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5" orientation="landscape" r:id="rId1"/>
  <headerFooter alignWithMargins="0">
    <oddHeader>&amp;R&amp;"Times New Roman CE,Félkövér dőlt"&amp;11 7. számú tájékoztató tábla a ../.....(.......) önkormányzati rendelethez</oddHeader>
  </headerFooter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2020-02-17T08:06:11Z</dcterms:created>
  <dcterms:modified xsi:type="dcterms:W3CDTF">2020-02-17T08:06:11Z</dcterms:modified>
</cp:coreProperties>
</file>