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Szakmár\Rendeletek\2017. évi költségvetés\"/>
    </mc:Choice>
  </mc:AlternateContent>
  <bookViews>
    <workbookView xWindow="0" yWindow="0" windowWidth="20490" windowHeight="7755" firstSheet="20" activeTab="3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4.1 Óvoda" sheetId="44" r:id="rId11"/>
    <sheet name="4.1.1 Köznevelés" sheetId="14" r:id="rId12"/>
    <sheet name="4.1.2 Konyha" sheetId="43" r:id="rId13"/>
    <sheet name="4.2 Közös Hivatal" sheetId="21" r:id="rId14"/>
    <sheet name="4.2.1 Szakmár" sheetId="20" r:id="rId15"/>
    <sheet name="4.2.2 Öregcsertő" sheetId="17" r:id="rId16"/>
    <sheet name="4.2.3 Újtelek" sheetId="18" r:id="rId17"/>
    <sheet name="4.2.4 Jegyző" sheetId="19" r:id="rId18"/>
    <sheet name="5. Felhalmozási bev és kiad" sheetId="8" r:id="rId19"/>
    <sheet name="6. 3 éves terv" sheetId="10" r:id="rId20"/>
    <sheet name="7. Felhasználási ütemterv" sheetId="11" r:id="rId21"/>
    <sheet name="8. Adósságot keletkeztető ü" sheetId="23" r:id="rId22"/>
    <sheet name="9. Létszámadatok" sheetId="25" r:id="rId23"/>
    <sheet name="Munka1" sheetId="22" r:id="rId24"/>
    <sheet name="Munka3" sheetId="24" r:id="rId25"/>
    <sheet name="Bevétel" sheetId="27" r:id="rId26"/>
    <sheet name="Kiadás" sheetId="29" r:id="rId27"/>
    <sheet name="R-1,2,3" sheetId="30" r:id="rId28"/>
    <sheet name="Várható támogatások" sheetId="31" r:id="rId29"/>
    <sheet name="R-3.1" sheetId="32" r:id="rId30"/>
    <sheet name="R-3.2" sheetId="33" r:id="rId31"/>
    <sheet name="R3.3" sheetId="34" r:id="rId32"/>
    <sheet name="R3.4" sheetId="35" r:id="rId33"/>
    <sheet name="R.4" sheetId="36" r:id="rId34"/>
    <sheet name="R-5" sheetId="37" r:id="rId35"/>
    <sheet name="R-6" sheetId="38" r:id="rId36"/>
    <sheet name="R-7" sheetId="41" r:id="rId37"/>
    <sheet name="R-8" sheetId="39" r:id="rId38"/>
    <sheet name="R-9" sheetId="40" r:id="rId39"/>
    <sheet name="Konyha felosztás" sheetId="42" r:id="rId40"/>
  </sheets>
  <definedNames>
    <definedName name="_xlnm.Print_Area" localSheetId="9">'4. Finanszírozási '!$A$1:$H$36</definedName>
  </definedNames>
  <calcPr calcId="152511"/>
</workbook>
</file>

<file path=xl/calcChain.xml><?xml version="1.0" encoding="utf-8"?>
<calcChain xmlns="http://schemas.openxmlformats.org/spreadsheetml/2006/main">
  <c r="C14" i="8" l="1"/>
  <c r="B14" i="8"/>
  <c r="D12" i="8"/>
  <c r="D13" i="8"/>
  <c r="D16" i="8"/>
  <c r="D11" i="8"/>
  <c r="D14" i="8" s="1"/>
  <c r="D25" i="6"/>
  <c r="E25" i="6"/>
  <c r="F25" i="6"/>
  <c r="G25" i="6"/>
  <c r="C25" i="6"/>
  <c r="B12" i="4" l="1"/>
  <c r="C13" i="1" l="1"/>
  <c r="W37" i="29" l="1"/>
  <c r="D57" i="29"/>
  <c r="E57" i="29"/>
  <c r="F57" i="29"/>
  <c r="G57" i="29"/>
  <c r="H57" i="29"/>
  <c r="I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V57" i="29"/>
  <c r="W57" i="29"/>
  <c r="X57" i="29"/>
  <c r="Y57" i="29"/>
  <c r="Z57" i="29"/>
  <c r="AA57" i="29"/>
  <c r="AB57" i="29"/>
  <c r="AC57" i="29"/>
  <c r="AD57" i="29"/>
  <c r="AE57" i="29"/>
  <c r="AF57" i="29"/>
  <c r="AG5" i="29"/>
  <c r="AG6" i="29"/>
  <c r="AG7" i="29"/>
  <c r="AG8" i="29"/>
  <c r="AG9" i="29"/>
  <c r="AG10" i="29"/>
  <c r="AG11" i="29"/>
  <c r="AG12" i="29"/>
  <c r="AG13" i="29"/>
  <c r="AG14" i="29"/>
  <c r="AG15" i="29"/>
  <c r="AG16" i="29"/>
  <c r="AG17" i="29"/>
  <c r="AG18" i="29"/>
  <c r="AG19" i="29"/>
  <c r="AG20" i="29"/>
  <c r="AG21" i="29"/>
  <c r="AG22" i="29"/>
  <c r="AG23" i="29"/>
  <c r="AG24" i="29"/>
  <c r="AG25" i="29"/>
  <c r="AG26" i="29"/>
  <c r="AG27" i="29"/>
  <c r="AG28" i="29"/>
  <c r="AG29" i="29"/>
  <c r="AG30" i="29"/>
  <c r="AG31" i="29"/>
  <c r="AG32" i="29"/>
  <c r="AG33" i="29"/>
  <c r="AG34" i="29"/>
  <c r="AG35" i="29"/>
  <c r="AG36" i="29"/>
  <c r="AG37" i="29"/>
  <c r="AG38" i="29"/>
  <c r="AG39" i="29"/>
  <c r="AG40" i="29"/>
  <c r="AG41" i="29"/>
  <c r="AG42" i="29"/>
  <c r="AG43" i="29"/>
  <c r="AG44" i="29"/>
  <c r="AG45" i="29"/>
  <c r="AG46" i="29"/>
  <c r="AG47" i="29"/>
  <c r="AG48" i="29"/>
  <c r="AG49" i="29"/>
  <c r="AG50" i="29"/>
  <c r="AG51" i="29"/>
  <c r="AG52" i="29"/>
  <c r="AG53" i="29"/>
  <c r="AG54" i="29"/>
  <c r="AG55" i="29"/>
  <c r="AG56" i="29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D67" i="27"/>
  <c r="E67" i="27"/>
  <c r="F67" i="27"/>
  <c r="G67" i="27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AC67" i="27"/>
  <c r="AD67" i="27"/>
  <c r="AE67" i="27"/>
  <c r="AF67" i="27"/>
  <c r="AG67" i="27"/>
  <c r="AH67" i="27"/>
  <c r="AI67" i="27"/>
  <c r="C22" i="13" l="1"/>
  <c r="C47" i="21"/>
  <c r="C54" i="44" l="1"/>
  <c r="AA10" i="5"/>
  <c r="AA11" i="5"/>
  <c r="AB11" i="5" s="1"/>
  <c r="AA12" i="5"/>
  <c r="AB12" i="5" s="1"/>
  <c r="AA13" i="5"/>
  <c r="AB13" i="5" s="1"/>
  <c r="AA9" i="5"/>
  <c r="AB9" i="5" s="1"/>
  <c r="Q20" i="5"/>
  <c r="R20" i="5" s="1"/>
  <c r="N10" i="20"/>
  <c r="O10" i="20" s="1"/>
  <c r="N11" i="20"/>
  <c r="O11" i="20" s="1"/>
  <c r="N9" i="20"/>
  <c r="O9" i="20" s="1"/>
  <c r="Q9" i="17"/>
  <c r="R9" i="17" s="1"/>
  <c r="N10" i="18"/>
  <c r="O10" i="18" s="1"/>
  <c r="Q11" i="43"/>
  <c r="R11" i="43" s="1"/>
  <c r="X14" i="5"/>
  <c r="W14" i="5"/>
  <c r="U14" i="5"/>
  <c r="T14" i="5"/>
  <c r="X11" i="5"/>
  <c r="X12" i="5"/>
  <c r="X10" i="5"/>
  <c r="W11" i="5"/>
  <c r="W12" i="5"/>
  <c r="W10" i="5"/>
  <c r="Q16" i="5"/>
  <c r="R16" i="5" s="1"/>
  <c r="I11" i="43"/>
  <c r="I12" i="43"/>
  <c r="I13" i="43"/>
  <c r="O12" i="20" l="1"/>
  <c r="AA14" i="5"/>
  <c r="AB10" i="5"/>
  <c r="AB14" i="5" s="1"/>
  <c r="N12" i="20"/>
  <c r="U10" i="5"/>
  <c r="U11" i="5"/>
  <c r="U12" i="5"/>
  <c r="U9" i="5"/>
  <c r="T10" i="5"/>
  <c r="T11" i="5"/>
  <c r="T12" i="5"/>
  <c r="T9" i="5"/>
  <c r="Q15" i="5"/>
  <c r="R15" i="5" s="1"/>
  <c r="M8" i="19" l="1"/>
  <c r="C52" i="44"/>
  <c r="C53" i="44"/>
  <c r="C56" i="44"/>
  <c r="C58" i="44"/>
  <c r="C51" i="44"/>
  <c r="C9" i="44"/>
  <c r="C10" i="44"/>
  <c r="C11" i="44"/>
  <c r="C12" i="44"/>
  <c r="C13" i="44"/>
  <c r="C16" i="44"/>
  <c r="C20" i="44"/>
  <c r="C21" i="44"/>
  <c r="C22" i="44"/>
  <c r="C23" i="44"/>
  <c r="C24" i="44"/>
  <c r="C26" i="44"/>
  <c r="C27" i="44"/>
  <c r="C28" i="44"/>
  <c r="C30" i="44"/>
  <c r="C31" i="44"/>
  <c r="C33" i="44"/>
  <c r="C34" i="44"/>
  <c r="C35" i="44"/>
  <c r="C36" i="44"/>
  <c r="C37" i="44"/>
  <c r="C39" i="44"/>
  <c r="C40" i="44"/>
  <c r="C41" i="44"/>
  <c r="C44" i="44"/>
  <c r="B12" i="13" s="1"/>
  <c r="C45" i="44"/>
  <c r="C46" i="44"/>
  <c r="C62" i="14"/>
  <c r="C56" i="14"/>
  <c r="C8" i="44"/>
  <c r="C63" i="14" l="1"/>
  <c r="C62" i="43"/>
  <c r="C56" i="43"/>
  <c r="C63" i="43" s="1"/>
  <c r="G19" i="43"/>
  <c r="G18" i="43"/>
  <c r="C64" i="44" l="1"/>
  <c r="C57" i="44"/>
  <c r="M11" i="43"/>
  <c r="M12" i="43"/>
  <c r="M13" i="43"/>
  <c r="M10" i="43"/>
  <c r="L11" i="43"/>
  <c r="L12" i="43"/>
  <c r="L13" i="43"/>
  <c r="L10" i="43"/>
  <c r="K14" i="43"/>
  <c r="J12" i="43"/>
  <c r="J13" i="43"/>
  <c r="H14" i="43"/>
  <c r="G14" i="43"/>
  <c r="J11" i="43"/>
  <c r="I10" i="43"/>
  <c r="J10" i="43" s="1"/>
  <c r="L14" i="43" l="1"/>
  <c r="G20" i="43" s="1"/>
  <c r="M14" i="43"/>
  <c r="G21" i="43" s="1"/>
  <c r="J14" i="43"/>
  <c r="I14" i="43"/>
  <c r="G22" i="20"/>
  <c r="G20" i="18"/>
  <c r="G23" i="17"/>
  <c r="G22" i="17"/>
  <c r="G17" i="19"/>
  <c r="Q20" i="14"/>
  <c r="P20" i="14"/>
  <c r="G24" i="14" l="1"/>
  <c r="G23" i="14"/>
  <c r="C47" i="43"/>
  <c r="C42" i="43"/>
  <c r="C38" i="43"/>
  <c r="C32" i="43"/>
  <c r="C29" i="43"/>
  <c r="C25" i="43"/>
  <c r="C17" i="43"/>
  <c r="C15" i="43"/>
  <c r="C14" i="43"/>
  <c r="H25" i="14"/>
  <c r="C33" i="21"/>
  <c r="C34" i="21"/>
  <c r="C35" i="21"/>
  <c r="G19" i="18"/>
  <c r="G21" i="20"/>
  <c r="I13" i="20"/>
  <c r="J13" i="20" s="1"/>
  <c r="I10" i="20"/>
  <c r="J10" i="20" s="1"/>
  <c r="I11" i="20"/>
  <c r="J11" i="20" s="1"/>
  <c r="I12" i="20"/>
  <c r="J12" i="20" s="1"/>
  <c r="I14" i="20"/>
  <c r="J14" i="20" s="1"/>
  <c r="I9" i="20"/>
  <c r="J9" i="20" s="1"/>
  <c r="I11" i="17"/>
  <c r="J12" i="17"/>
  <c r="N8" i="17"/>
  <c r="I10" i="17"/>
  <c r="J10" i="17" s="1"/>
  <c r="C40" i="19"/>
  <c r="I11" i="18"/>
  <c r="J11" i="18" s="1"/>
  <c r="I10" i="18"/>
  <c r="J10" i="18" s="1"/>
  <c r="L12" i="19"/>
  <c r="L11" i="19"/>
  <c r="L9" i="19"/>
  <c r="M9" i="19" s="1"/>
  <c r="G9" i="19"/>
  <c r="H9" i="19" s="1"/>
  <c r="G16" i="19"/>
  <c r="G19" i="19" s="1"/>
  <c r="G18" i="19"/>
  <c r="H8" i="19"/>
  <c r="O8" i="19" s="1"/>
  <c r="M11" i="14"/>
  <c r="N11" i="14" s="1"/>
  <c r="M12" i="14"/>
  <c r="N12" i="14" s="1"/>
  <c r="M13" i="14"/>
  <c r="N13" i="14" s="1"/>
  <c r="M9" i="14"/>
  <c r="N9" i="14" s="1"/>
  <c r="M10" i="14"/>
  <c r="N10" i="14" s="1"/>
  <c r="M16" i="14"/>
  <c r="L16" i="14"/>
  <c r="O9" i="19" l="1"/>
  <c r="G25" i="14"/>
  <c r="C43" i="43"/>
  <c r="C18" i="43"/>
  <c r="C17" i="4"/>
  <c r="C20" i="9"/>
  <c r="C26" i="2"/>
  <c r="C23" i="3"/>
  <c r="D48" i="26"/>
  <c r="E48" i="26"/>
  <c r="F48" i="26"/>
  <c r="C48" i="26"/>
  <c r="D38" i="7"/>
  <c r="C38" i="7"/>
  <c r="C19" i="43" l="1"/>
  <c r="C48" i="43" s="1"/>
  <c r="C64" i="43" s="1"/>
  <c r="H20" i="6" l="1"/>
  <c r="AG4" i="29" l="1"/>
  <c r="AG58" i="29" s="1"/>
  <c r="N14" i="41" l="1"/>
  <c r="N15" i="41"/>
  <c r="N22" i="41"/>
  <c r="N23" i="41"/>
  <c r="N24" i="41"/>
  <c r="N25" i="41"/>
  <c r="N26" i="41"/>
  <c r="N27" i="41"/>
  <c r="N21" i="41"/>
  <c r="N13" i="41"/>
  <c r="M28" i="41"/>
  <c r="L28" i="41"/>
  <c r="K28" i="41"/>
  <c r="J28" i="41"/>
  <c r="I28" i="41"/>
  <c r="H28" i="41"/>
  <c r="G28" i="41"/>
  <c r="F28" i="41"/>
  <c r="E28" i="41"/>
  <c r="D28" i="41"/>
  <c r="C28" i="41"/>
  <c r="B28" i="41"/>
  <c r="M16" i="41"/>
  <c r="L16" i="41"/>
  <c r="K16" i="41"/>
  <c r="J16" i="41"/>
  <c r="I16" i="41"/>
  <c r="H16" i="41"/>
  <c r="G16" i="41"/>
  <c r="F16" i="41"/>
  <c r="E16" i="41"/>
  <c r="D16" i="41"/>
  <c r="C16" i="41"/>
  <c r="B16" i="41"/>
  <c r="C18" i="4"/>
  <c r="D26" i="38"/>
  <c r="C26" i="38"/>
  <c r="B26" i="38"/>
  <c r="D23" i="38"/>
  <c r="C23" i="38"/>
  <c r="B23" i="38"/>
  <c r="B20" i="38"/>
  <c r="B13" i="36"/>
  <c r="G10" i="33"/>
  <c r="F10" i="33"/>
  <c r="E10" i="33"/>
  <c r="D10" i="33"/>
  <c r="C10" i="33"/>
  <c r="H9" i="33"/>
  <c r="E11" i="32"/>
  <c r="D11" i="32"/>
  <c r="C11" i="32"/>
  <c r="N16" i="41" l="1"/>
  <c r="N28" i="41"/>
  <c r="D13" i="39"/>
  <c r="D18" i="39" s="1"/>
  <c r="C13" i="39"/>
  <c r="C18" i="39" s="1"/>
  <c r="C13" i="38"/>
  <c r="C28" i="38" s="1"/>
  <c r="D13" i="38"/>
  <c r="D28" i="38" s="1"/>
  <c r="B29" i="38"/>
  <c r="B13" i="38"/>
  <c r="B28" i="38" s="1"/>
  <c r="C20" i="38"/>
  <c r="H10" i="33"/>
  <c r="P19" i="30"/>
  <c r="M19" i="30"/>
  <c r="P18" i="30"/>
  <c r="M18" i="30"/>
  <c r="O15" i="30"/>
  <c r="L15" i="30"/>
  <c r="O14" i="30"/>
  <c r="O13" i="30"/>
  <c r="L13" i="30"/>
  <c r="M12" i="30"/>
  <c r="L12" i="30"/>
  <c r="O10" i="30"/>
  <c r="L10" i="30"/>
  <c r="I14" i="30"/>
  <c r="C55" i="30"/>
  <c r="C52" i="30"/>
  <c r="C45" i="30"/>
  <c r="C39" i="30"/>
  <c r="C31" i="30"/>
  <c r="C28" i="30"/>
  <c r="C24" i="30"/>
  <c r="C17" i="30"/>
  <c r="C13" i="30"/>
  <c r="P20" i="30" l="1"/>
  <c r="L17" i="30"/>
  <c r="F13" i="39"/>
  <c r="F18" i="39" s="1"/>
  <c r="E13" i="39"/>
  <c r="E18" i="39" s="1"/>
  <c r="D20" i="38"/>
  <c r="D29" i="38" s="1"/>
  <c r="C29" i="38"/>
  <c r="I23" i="30"/>
  <c r="O17" i="30"/>
  <c r="O21" i="30" s="1"/>
  <c r="M20" i="30"/>
  <c r="C46" i="30"/>
  <c r="C18" i="30"/>
  <c r="L21" i="30" l="1"/>
  <c r="C56" i="30"/>
  <c r="C59" i="30" s="1"/>
  <c r="F6" i="31"/>
  <c r="F7" i="31"/>
  <c r="F8" i="31"/>
  <c r="F5" i="31"/>
  <c r="C9" i="31"/>
  <c r="D9" i="31"/>
  <c r="E9" i="31"/>
  <c r="B9" i="31"/>
  <c r="B19" i="31"/>
  <c r="D13" i="31"/>
  <c r="D12" i="31"/>
  <c r="G9" i="31" l="1"/>
  <c r="F9" i="31"/>
  <c r="AJ4" i="27" l="1"/>
  <c r="AJ67" i="27" s="1"/>
  <c r="C57" i="29"/>
  <c r="C67" i="27"/>
  <c r="AJ68" i="27" s="1"/>
  <c r="V13" i="5"/>
  <c r="V17" i="5" s="1"/>
  <c r="S13" i="5"/>
  <c r="S17" i="5" s="1"/>
  <c r="X9" i="5"/>
  <c r="W9" i="5"/>
  <c r="AG57" i="29" l="1"/>
  <c r="AL56" i="29"/>
  <c r="AL55" i="29"/>
  <c r="W13" i="5"/>
  <c r="W17" i="5" s="1"/>
  <c r="X13" i="5"/>
  <c r="X17" i="5" s="1"/>
  <c r="AL57" i="29" l="1"/>
  <c r="M17" i="5"/>
  <c r="I17" i="5"/>
  <c r="Q19" i="5"/>
  <c r="R19" i="5" s="1"/>
  <c r="J13" i="5"/>
  <c r="K13" i="5"/>
  <c r="L13" i="5"/>
  <c r="M13" i="5"/>
  <c r="N13" i="5"/>
  <c r="O13" i="5"/>
  <c r="P13" i="5"/>
  <c r="I13" i="5"/>
  <c r="Q9" i="5"/>
  <c r="R9" i="5" s="1"/>
  <c r="Q10" i="5"/>
  <c r="R10" i="5" s="1"/>
  <c r="Q11" i="5"/>
  <c r="R11" i="5" s="1"/>
  <c r="Q12" i="5"/>
  <c r="R12" i="5" s="1"/>
  <c r="Q14" i="5"/>
  <c r="R14" i="5" s="1"/>
  <c r="R13" i="5" l="1"/>
  <c r="T13" i="5"/>
  <c r="T17" i="5" s="1"/>
  <c r="U13" i="5"/>
  <c r="U17" i="5" s="1"/>
  <c r="R17" i="5"/>
  <c r="R21" i="5" s="1"/>
  <c r="Q13" i="5"/>
  <c r="Q17" i="5"/>
  <c r="C27" i="20" l="1"/>
  <c r="I17" i="20"/>
  <c r="I26" i="20"/>
  <c r="I29" i="20" s="1"/>
  <c r="I15" i="20"/>
  <c r="I15" i="17"/>
  <c r="J11" i="17"/>
  <c r="I9" i="17"/>
  <c r="J9" i="17" s="1"/>
  <c r="I8" i="17"/>
  <c r="C40" i="18"/>
  <c r="I15" i="18"/>
  <c r="G12" i="19"/>
  <c r="G11" i="19"/>
  <c r="I16" i="18" l="1"/>
  <c r="I17" i="18"/>
  <c r="G18" i="20"/>
  <c r="G24" i="20" s="1"/>
  <c r="G19" i="20"/>
  <c r="G23" i="20" s="1"/>
  <c r="G20" i="17"/>
  <c r="G19" i="17"/>
  <c r="J8" i="17"/>
  <c r="J13" i="17" s="1"/>
  <c r="I13" i="17"/>
  <c r="J12" i="18"/>
  <c r="G25" i="17"/>
  <c r="G24" i="17"/>
  <c r="I12" i="18"/>
  <c r="G21" i="18"/>
  <c r="J15" i="20"/>
  <c r="G22" i="18"/>
  <c r="M18" i="14"/>
  <c r="G36" i="14" s="1"/>
  <c r="L18" i="14"/>
  <c r="G37" i="14" s="1"/>
  <c r="H16" i="14"/>
  <c r="H18" i="14" s="1"/>
  <c r="G35" i="14" s="1"/>
  <c r="O10" i="14" l="1"/>
  <c r="O13" i="14"/>
  <c r="M8" i="14"/>
  <c r="N8" i="14" s="1"/>
  <c r="M14" i="14" l="1"/>
  <c r="G33" i="14" s="1"/>
  <c r="O8" i="14"/>
  <c r="O12" i="14"/>
  <c r="O11" i="14"/>
  <c r="O9" i="14"/>
  <c r="C12" i="7"/>
  <c r="N14" i="14" l="1"/>
  <c r="G34" i="14" s="1"/>
  <c r="C9" i="23"/>
  <c r="C8" i="23"/>
  <c r="C24" i="10"/>
  <c r="D24" i="10"/>
  <c r="C27" i="10"/>
  <c r="D27" i="10"/>
  <c r="C21" i="26"/>
  <c r="C24" i="26" s="1"/>
  <c r="C25" i="26" s="1"/>
  <c r="C17" i="26"/>
  <c r="C12" i="26"/>
  <c r="O14" i="14" l="1"/>
  <c r="C47" i="14"/>
  <c r="C42" i="14"/>
  <c r="C42" i="44" s="1"/>
  <c r="C38" i="14"/>
  <c r="C38" i="44" s="1"/>
  <c r="C29" i="14"/>
  <c r="C29" i="44" s="1"/>
  <c r="C25" i="14"/>
  <c r="C25" i="44" s="1"/>
  <c r="B10" i="13" s="1"/>
  <c r="C14" i="14"/>
  <c r="C14" i="44" s="1"/>
  <c r="C32" i="14"/>
  <c r="C32" i="44" s="1"/>
  <c r="C17" i="14"/>
  <c r="C17" i="44" s="1"/>
  <c r="C15" i="14"/>
  <c r="C15" i="44" s="1"/>
  <c r="C47" i="44" l="1"/>
  <c r="C43" i="14"/>
  <c r="C43" i="44" s="1"/>
  <c r="B11" i="13" s="1"/>
  <c r="C18" i="14"/>
  <c r="C18" i="44" s="1"/>
  <c r="B13" i="13" l="1"/>
  <c r="C19" i="14"/>
  <c r="C34" i="3"/>
  <c r="C19" i="44" l="1"/>
  <c r="C48" i="14"/>
  <c r="C48" i="44" s="1"/>
  <c r="C65" i="44" s="1"/>
  <c r="B15" i="4"/>
  <c r="B22" i="10"/>
  <c r="C12" i="4"/>
  <c r="N11" i="11"/>
  <c r="C21" i="9"/>
  <c r="C19" i="9"/>
  <c r="C14" i="9"/>
  <c r="B11" i="4" s="1"/>
  <c r="C12" i="3"/>
  <c r="B9" i="13" l="1"/>
  <c r="E48" i="44"/>
  <c r="B12" i="10"/>
  <c r="C12" i="10" s="1"/>
  <c r="N13" i="11"/>
  <c r="C8" i="9"/>
  <c r="C75" i="1"/>
  <c r="C78" i="1" s="1"/>
  <c r="C69" i="1"/>
  <c r="F18" i="4" s="1"/>
  <c r="B26" i="10" s="1"/>
  <c r="C64" i="1"/>
  <c r="C59" i="1"/>
  <c r="C52" i="1"/>
  <c r="C53" i="1" s="1"/>
  <c r="C46" i="1"/>
  <c r="C40" i="1"/>
  <c r="C31" i="1"/>
  <c r="C28" i="1"/>
  <c r="C24" i="1"/>
  <c r="C17" i="1"/>
  <c r="C33" i="2"/>
  <c r="C29" i="2"/>
  <c r="C15" i="2"/>
  <c r="C10" i="23" s="1"/>
  <c r="C11" i="2"/>
  <c r="C38" i="3"/>
  <c r="C16" i="9" s="1"/>
  <c r="C36" i="3"/>
  <c r="C29" i="3"/>
  <c r="C13" i="9" s="1"/>
  <c r="C12" i="9"/>
  <c r="C25" i="3"/>
  <c r="C11" i="9" s="1"/>
  <c r="C15" i="3"/>
  <c r="C9" i="9" s="1"/>
  <c r="C43" i="2" l="1"/>
  <c r="C11" i="23" s="1"/>
  <c r="C10" i="9"/>
  <c r="B10" i="4" s="1"/>
  <c r="C39" i="3"/>
  <c r="B15" i="10"/>
  <c r="C15" i="10" s="1"/>
  <c r="N21" i="11"/>
  <c r="E11" i="4"/>
  <c r="B19" i="10"/>
  <c r="C19" i="10" s="1"/>
  <c r="N25" i="11"/>
  <c r="E15" i="4"/>
  <c r="C79" i="1"/>
  <c r="B18" i="10" s="1"/>
  <c r="C18" i="10" s="1"/>
  <c r="N24" i="11"/>
  <c r="E14" i="4"/>
  <c r="B23" i="10"/>
  <c r="C15" i="9"/>
  <c r="C16" i="2"/>
  <c r="C47" i="1"/>
  <c r="B17" i="10"/>
  <c r="C17" i="10" s="1"/>
  <c r="N23" i="11"/>
  <c r="E13" i="4"/>
  <c r="N26" i="11"/>
  <c r="F17" i="4"/>
  <c r="B25" i="10" s="1"/>
  <c r="B27" i="10" s="1"/>
  <c r="C18" i="1"/>
  <c r="C47" i="2" l="1"/>
  <c r="C48" i="2" s="1"/>
  <c r="B13" i="4"/>
  <c r="B9" i="10"/>
  <c r="C9" i="10" s="1"/>
  <c r="C18" i="9"/>
  <c r="N10" i="11"/>
  <c r="N12" i="11"/>
  <c r="B11" i="10"/>
  <c r="B10" i="10"/>
  <c r="C10" i="10" s="1"/>
  <c r="C17" i="9"/>
  <c r="N22" i="11"/>
  <c r="B16" i="10"/>
  <c r="C16" i="10" s="1"/>
  <c r="E12" i="4"/>
  <c r="C70" i="1"/>
  <c r="C80" i="1" s="1"/>
  <c r="N20" i="11"/>
  <c r="B14" i="10"/>
  <c r="C14" i="10" s="1"/>
  <c r="E10" i="4"/>
  <c r="B14" i="13"/>
  <c r="C9" i="21" l="1"/>
  <c r="C10" i="21"/>
  <c r="C11" i="21"/>
  <c r="C12" i="21"/>
  <c r="C14" i="21"/>
  <c r="C15" i="21"/>
  <c r="C16" i="21"/>
  <c r="C19" i="21"/>
  <c r="C20" i="21"/>
  <c r="C21" i="21"/>
  <c r="C22" i="21"/>
  <c r="C23" i="21"/>
  <c r="C25" i="21"/>
  <c r="C26" i="21"/>
  <c r="C28" i="21"/>
  <c r="C29" i="21"/>
  <c r="C31" i="21"/>
  <c r="C32" i="21"/>
  <c r="C37" i="21"/>
  <c r="C38" i="21"/>
  <c r="C39" i="21"/>
  <c r="C8" i="21"/>
  <c r="C28" i="13" l="1"/>
  <c r="C40" i="20" l="1"/>
  <c r="C36" i="20"/>
  <c r="C30" i="20"/>
  <c r="C24" i="20"/>
  <c r="C17" i="20"/>
  <c r="C13" i="20"/>
  <c r="C40" i="17"/>
  <c r="C36" i="17"/>
  <c r="C30" i="17"/>
  <c r="C27" i="17"/>
  <c r="C24" i="17"/>
  <c r="C17" i="17"/>
  <c r="C13" i="17"/>
  <c r="C27" i="19"/>
  <c r="C27" i="18"/>
  <c r="C36" i="18"/>
  <c r="C30" i="18"/>
  <c r="C24" i="18"/>
  <c r="C17" i="18"/>
  <c r="C13" i="18"/>
  <c r="C36" i="19"/>
  <c r="C30" i="19"/>
  <c r="C24" i="19"/>
  <c r="C13" i="19"/>
  <c r="C17" i="19"/>
  <c r="C18" i="19" l="1"/>
  <c r="C18" i="18"/>
  <c r="C18" i="17"/>
  <c r="C17" i="21"/>
  <c r="C41" i="20"/>
  <c r="C27" i="21"/>
  <c r="C36" i="21"/>
  <c r="C41" i="19"/>
  <c r="C18" i="20"/>
  <c r="C13" i="21"/>
  <c r="C24" i="21"/>
  <c r="C30" i="21"/>
  <c r="C40" i="21"/>
  <c r="C41" i="17"/>
  <c r="C41" i="18"/>
  <c r="C42" i="20" l="1"/>
  <c r="B25" i="13" s="1"/>
  <c r="D25" i="13" s="1"/>
  <c r="D19" i="13" s="1"/>
  <c r="E19" i="13" s="1"/>
  <c r="C42" i="18"/>
  <c r="B27" i="13" s="1"/>
  <c r="D27" i="13" s="1"/>
  <c r="D21" i="13" s="1"/>
  <c r="E21" i="13" s="1"/>
  <c r="C42" i="17"/>
  <c r="B26" i="13" s="1"/>
  <c r="D26" i="13" s="1"/>
  <c r="D20" i="13" s="1"/>
  <c r="E20" i="13" s="1"/>
  <c r="C42" i="19"/>
  <c r="C18" i="21"/>
  <c r="C41" i="21"/>
  <c r="E17" i="5"/>
  <c r="K34" i="13"/>
  <c r="J33" i="13"/>
  <c r="L33" i="13" s="1"/>
  <c r="M33" i="13" s="1"/>
  <c r="J32" i="13"/>
  <c r="L32" i="13" s="1"/>
  <c r="M32" i="13" s="1"/>
  <c r="J31" i="13"/>
  <c r="I34" i="13"/>
  <c r="C17" i="5"/>
  <c r="D11" i="23"/>
  <c r="E11" i="23" s="1"/>
  <c r="F11" i="23" s="1"/>
  <c r="D10" i="23"/>
  <c r="E10" i="23" s="1"/>
  <c r="F10" i="23" s="1"/>
  <c r="D9" i="23"/>
  <c r="D8" i="23"/>
  <c r="E8" i="23" s="1"/>
  <c r="F8" i="23" s="1"/>
  <c r="C12" i="23"/>
  <c r="C13" i="23" s="1"/>
  <c r="C18" i="23" s="1"/>
  <c r="C19" i="4"/>
  <c r="N14" i="11" s="1"/>
  <c r="N15" i="11" s="1"/>
  <c r="C22" i="9"/>
  <c r="B28" i="25"/>
  <c r="M27" i="11"/>
  <c r="L27" i="11"/>
  <c r="K27" i="11"/>
  <c r="J27" i="11"/>
  <c r="I27" i="11"/>
  <c r="H27" i="11"/>
  <c r="G27" i="11"/>
  <c r="F27" i="11"/>
  <c r="E27" i="11"/>
  <c r="D27" i="11"/>
  <c r="C27" i="11"/>
  <c r="B27" i="11"/>
  <c r="O26" i="11"/>
  <c r="O25" i="11"/>
  <c r="O24" i="11"/>
  <c r="O23" i="11"/>
  <c r="O22" i="11"/>
  <c r="O21" i="11"/>
  <c r="O20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O14" i="11"/>
  <c r="O13" i="11"/>
  <c r="O12" i="11"/>
  <c r="O11" i="11"/>
  <c r="O10" i="11"/>
  <c r="N27" i="11"/>
  <c r="D11" i="10"/>
  <c r="D10" i="10"/>
  <c r="D19" i="10"/>
  <c r="D18" i="10"/>
  <c r="D17" i="10"/>
  <c r="D16" i="10"/>
  <c r="D15" i="10"/>
  <c r="D14" i="10"/>
  <c r="D12" i="10"/>
  <c r="D9" i="10"/>
  <c r="B24" i="10"/>
  <c r="B20" i="10"/>
  <c r="B29" i="10" s="1"/>
  <c r="B13" i="10"/>
  <c r="B34" i="13"/>
  <c r="C33" i="13" s="1"/>
  <c r="H22" i="6"/>
  <c r="H21" i="6"/>
  <c r="H19" i="6"/>
  <c r="H18" i="6"/>
  <c r="H17" i="6"/>
  <c r="H16" i="6"/>
  <c r="H15" i="6"/>
  <c r="H14" i="6"/>
  <c r="H13" i="6"/>
  <c r="H12" i="6"/>
  <c r="H11" i="6"/>
  <c r="H10" i="6"/>
  <c r="H9" i="6"/>
  <c r="F19" i="4"/>
  <c r="E16" i="4"/>
  <c r="B16" i="4"/>
  <c r="C9" i="7"/>
  <c r="D17" i="5"/>
  <c r="D22" i="13" l="1"/>
  <c r="D28" i="13"/>
  <c r="B28" i="13"/>
  <c r="D42" i="21"/>
  <c r="C42" i="21"/>
  <c r="C31" i="13"/>
  <c r="C13" i="10"/>
  <c r="C28" i="10" s="1"/>
  <c r="O15" i="11"/>
  <c r="O27" i="11"/>
  <c r="B20" i="4"/>
  <c r="C32" i="13"/>
  <c r="B28" i="10"/>
  <c r="C20" i="10"/>
  <c r="D20" i="10" s="1"/>
  <c r="D29" i="10" s="1"/>
  <c r="J34" i="13"/>
  <c r="L31" i="13"/>
  <c r="D13" i="10"/>
  <c r="D28" i="10" s="1"/>
  <c r="D12" i="23"/>
  <c r="D13" i="23" s="1"/>
  <c r="D18" i="23" s="1"/>
  <c r="E9" i="23"/>
  <c r="E20" i="4"/>
  <c r="B22" i="13" l="1"/>
  <c r="E22" i="13" s="1"/>
  <c r="C34" i="13"/>
  <c r="C29" i="10"/>
  <c r="M31" i="13"/>
  <c r="M34" i="13" s="1"/>
  <c r="L34" i="13"/>
  <c r="F9" i="23"/>
  <c r="F12" i="23" s="1"/>
  <c r="F13" i="23" s="1"/>
  <c r="F18" i="23" s="1"/>
  <c r="E12" i="23"/>
  <c r="E13" i="23" s="1"/>
  <c r="E18" i="23" s="1"/>
  <c r="H25" i="6" l="1"/>
</calcChain>
</file>

<file path=xl/sharedStrings.xml><?xml version="1.0" encoding="utf-8"?>
<sst xmlns="http://schemas.openxmlformats.org/spreadsheetml/2006/main" count="2403" uniqueCount="804">
  <si>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</si>
  <si>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</si>
  <si>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</si>
  <si>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</si>
  <si>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</si>
  <si>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</si>
  <si>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</si>
  <si>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</si>
  <si>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</si>
  <si>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</si>
  <si>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</si>
  <si>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</si>
  <si>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</si>
  <si>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</si>
  <si>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</si>
  <si>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</si>
  <si>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</si>
  <si>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</si>
  <si>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</si>
  <si>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</si>
  <si>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</si>
  <si>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</si>
  <si>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</si>
  <si>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</si>
  <si>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</si>
  <si>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</si>
  <si>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</si>
  <si>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</si>
  <si>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</si>
  <si>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</si>
  <si>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</si>
  <si>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</si>
  <si>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</si>
  <si>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</si>
  <si>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</si>
  <si>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</si>
  <si>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</si>
  <si>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</si>
  <si>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</si>
  <si>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</si>
  <si>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</si>
  <si>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</si>
  <si>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</si>
  <si>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</si>
  <si>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</si>
  <si>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</si>
  <si>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</si>
  <si>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</si>
  <si>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</si>
  <si>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</si>
  <si>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</si>
  <si>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</si>
  <si>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</si>
  <si>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</si>
  <si>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</si>
  <si>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</si>
  <si>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</si>
  <si>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</si>
  <si>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</si>
  <si>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</si>
  <si>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</si>
  <si>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</si>
  <si>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</si>
  <si>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</si>
  <si>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</si>
  <si>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</si>
  <si>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</si>
  <si>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</si>
  <si>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</si>
  <si>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</si>
  <si>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</si>
  <si>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</si>
  <si>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</si>
  <si>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</si>
  <si>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</si>
  <si>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</si>
  <si>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</si>
  <si>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</si>
  <si>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</si>
  <si>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</si>
  <si>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</si>
  <si>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</si>
  <si>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</si>
  <si>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>Intézményi működési bevételek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</si>
  <si>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</si>
  <si>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</si>
  <si>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</si>
  <si>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</si>
  <si>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</si>
  <si>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</si>
  <si>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</si>
  <si>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</si>
  <si>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Felhalmozási célú támogatás államháztartáson belülről</t>
  </si>
  <si>
    <t>Működési célú átvett pénzeszközök</t>
  </si>
  <si>
    <t>Felhalmozási célú bevételek összesen</t>
  </si>
  <si>
    <t>Működési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</si>
  <si>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</si>
  <si>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</si>
  <si>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</si>
  <si>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</si>
  <si>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</si>
  <si>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</si>
  <si>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</si>
  <si>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</si>
  <si>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</si>
  <si>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Köztemető fenntartása</t>
  </si>
  <si>
    <t>Vagyonnal kapcsolatos gazdálkodás</t>
  </si>
  <si>
    <t>Közvilágítás</t>
  </si>
  <si>
    <t>Zölderület kezelés</t>
  </si>
  <si>
    <t>Város községgazdálkodás</t>
  </si>
  <si>
    <t>Sportlétesítmények</t>
  </si>
  <si>
    <t>Előző évi felhalmozási célú pénzmaradvány igénybevégele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</si>
  <si>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</si>
  <si>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</si>
  <si>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</si>
  <si>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</si>
  <si>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</si>
  <si>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Önk. működési c. költségvetési támogatása</t>
  </si>
  <si>
    <t>Műk. c. támogatásértékű bevételek</t>
  </si>
  <si>
    <t>Működési célú bevét. összesen:</t>
  </si>
  <si>
    <t>Munkaadókat terhelő járulékok</t>
  </si>
  <si>
    <t>Működési célú kiadások összesen:</t>
  </si>
  <si>
    <t>II. Felhalmozási célú bevételek és kiadások</t>
  </si>
  <si>
    <t>Felhalm. célú bevételek összesen</t>
  </si>
  <si>
    <t>Felújítások (ÁFA-val)</t>
  </si>
  <si>
    <t>Felhalmozási célú kiadások összesen</t>
  </si>
  <si>
    <t>Önkormányzat bevételei összesen</t>
  </si>
  <si>
    <t>Önkormányzat kiadásai összesen</t>
  </si>
  <si>
    <t>Az önkormányzat 3 éves pénzügyi terve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</si>
  <si>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</si>
  <si>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</si>
  <si>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</si>
  <si>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</si>
  <si>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</si>
  <si>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</si>
  <si>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</si>
  <si>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</si>
  <si>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</si>
  <si>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</si>
  <si>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</si>
  <si>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</si>
  <si>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</si>
  <si>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1. Intézményi működési bevételek</t>
  </si>
  <si>
    <t>2. Közhatalmi bevételek</t>
  </si>
  <si>
    <t>BEVÉTELEK ÖSSZESEN:</t>
  </si>
  <si>
    <t>1. Személyi juttatások</t>
  </si>
  <si>
    <t>2. Munkaadókat terhelő járulékok</t>
  </si>
  <si>
    <t>3. Dologi kiadások és egyéb folyó kiadások</t>
  </si>
  <si>
    <t>KIADÁSOK ÖSSZESEN: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</si>
  <si>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</si>
  <si>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</si>
  <si>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</si>
  <si>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</si>
  <si>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</si>
  <si>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</si>
  <si>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</si>
  <si>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</si>
  <si>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</si>
  <si>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</si>
  <si>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</si>
  <si>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</si>
  <si>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</si>
  <si>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</si>
  <si>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>Jegyző költsége</t>
  </si>
  <si>
    <t xml:space="preserve">Szakmár Község Önkormányzata </t>
  </si>
  <si>
    <t>Szakmár Községi Önkormányzat</t>
  </si>
  <si>
    <t>2. számú melléklet</t>
  </si>
  <si>
    <t>Eredeti előirányzatok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</si>
  <si>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</si>
  <si>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</si>
  <si>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</si>
  <si>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</si>
  <si>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</si>
  <si>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</si>
  <si>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</si>
  <si>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</si>
  <si>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</si>
  <si>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</si>
  <si>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</si>
  <si>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</si>
  <si>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</si>
  <si>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</si>
  <si>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</si>
  <si>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4.1. számú melléklet</t>
  </si>
  <si>
    <t xml:space="preserve">Szakmár Közös Önkormányzati Hivatal </t>
  </si>
  <si>
    <t>4.3. számú melléklet</t>
  </si>
  <si>
    <t>Létszám: 5 fő</t>
  </si>
  <si>
    <t>4.4. számú melléklet</t>
  </si>
  <si>
    <t>Létszám: 2 fő</t>
  </si>
  <si>
    <t>4.5. számú melléklet</t>
  </si>
  <si>
    <t>4.6. számú melléklet</t>
  </si>
  <si>
    <t>Lakosok számának alakulása</t>
  </si>
  <si>
    <t>%</t>
  </si>
  <si>
    <t>Fő</t>
  </si>
  <si>
    <t>4. számú melléklet</t>
  </si>
  <si>
    <t>3.3 számú melléklet</t>
  </si>
  <si>
    <t>Intézményi ellátottak /Bursa/</t>
  </si>
  <si>
    <t>Egyéb nem intézményi /RSZS, temetési, átmeneti/</t>
  </si>
  <si>
    <t>Egyéb működési célú támogatások államháztartáson kívülre /orvosok, nonprofit szervezetek/</t>
  </si>
  <si>
    <t>Kiadások összesen:</t>
  </si>
  <si>
    <t>6. számú melléklet</t>
  </si>
  <si>
    <t>I. Működési bevételek és kiadások</t>
  </si>
  <si>
    <t>Nettó</t>
  </si>
  <si>
    <t>Áfa</t>
  </si>
  <si>
    <t>Felújítási költség</t>
  </si>
  <si>
    <t xml:space="preserve">Önerő </t>
  </si>
  <si>
    <t>Intézményi működési bevételek összesen</t>
  </si>
  <si>
    <t>Műk. célú támogatások államháztartáson kív.</t>
  </si>
  <si>
    <t>Felhalmozási célú támogatás államháztatáson belülről</t>
  </si>
  <si>
    <t>Önkormányztok működési célú költségvetési támogtásai</t>
  </si>
  <si>
    <t>4. Ellátottak pénzbeni juttatásai</t>
  </si>
  <si>
    <t>5. Finanszírozási kiadások</t>
  </si>
  <si>
    <t>5. számú melléklet</t>
  </si>
  <si>
    <t>3. Önkormányztok működési célú költségvetési támogtásai</t>
  </si>
  <si>
    <t>5. Felhalmozási bevételek</t>
  </si>
  <si>
    <t>4. Működési célú támogatások államházt. belülről</t>
  </si>
  <si>
    <t>7. számú melléklet</t>
  </si>
  <si>
    <t>6. Működési célú támogatás államháztartáson kívülre</t>
  </si>
  <si>
    <t>öltségvetési törvény tervezete meghatározza az elvárt bevétel alapján történő csökkentés jogcímek szerinti sorrendjét is. Ez a sorrend az alábbi:</t>
  </si>
  <si>
    <t>1. hozzájárulás a pénzbeli szociális ellátásokhoz,</t>
  </si>
  <si>
    <t>2. egyéb önkormányzati feladatok támogatása,</t>
  </si>
  <si>
    <t>3. zöldterület-gazdálkodással kapcsolatos feladatok ellátásának támogatása,</t>
  </si>
  <si>
    <t>4. közvilágítás fenntartásának támogatása,</t>
  </si>
  <si>
    <t>5. köztemető fenntartással kapcsolatos feladatok támogatása,</t>
  </si>
  <si>
    <t>6. közutak fenntartásának támogatása,</t>
  </si>
  <si>
    <t>7. önkormányzati hivatal működésének támogatása.</t>
  </si>
  <si>
    <t>Az elvárt bevételt tehát a fenti sorrendben kell levonni az érintett előirányzatok összegéből.  A levonás 2014-ben sem haladhatja meg az önkormányzatot fenti jogcímeken megillető támogatás összegét. A beszámítással kapcsolatos változás az is, hogy a közös önkormányzati hivatal fenntartása esetén a hivatal székhelye szerinti önkormányzatra irányadó beszámítás mértéke 5 százalékponttal csökken.</t>
  </si>
  <si>
    <r>
      <t>2. § (1)</t>
    </r>
    <r>
      <rPr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Az önkormányzat saját bevételének minősül</t>
    </r>
  </si>
  <si>
    <r>
      <t>1.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helyi adóból származó bevétel,</t>
    </r>
  </si>
  <si>
    <r>
      <t>2.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önkormányzati vagyon és az önkormányzatot megillető vagyoni értékű jog értékesítéséből és hasznosításából származó bevétel,</t>
    </r>
  </si>
  <si>
    <r>
      <t>3.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osztalék, a koncessziós díj és a hozambevétel,</t>
    </r>
  </si>
  <si>
    <r>
      <t>4.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tárgyi eszköz és az immateriális jószág, részvény, részesedés, vállalat értékesítéséből vagy privatizációból származó bevétel,</t>
    </r>
  </si>
  <si>
    <r>
      <t>5.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bírság-, pótlék- és díjbevétel, valamint</t>
    </r>
  </si>
  <si>
    <r>
      <t>6.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kezességvállalással kapcsolatos megtérülés.”</t>
    </r>
  </si>
  <si>
    <t>Sor szám</t>
  </si>
  <si>
    <t>Tárgyév</t>
  </si>
  <si>
    <t>I. év</t>
  </si>
  <si>
    <t>II. év</t>
  </si>
  <si>
    <t>III. év</t>
  </si>
  <si>
    <t>Átengedett közhatalmi bevételek</t>
  </si>
  <si>
    <t>Helyi adók, adó jellegű bevételek</t>
  </si>
  <si>
    <t>Díjak, pótlékok, bírságok</t>
  </si>
  <si>
    <t>Tárgyi eszközök, immateriális javak, vagyoni értékű jog értékesítése, vagyonhasznosításból származó bevétel</t>
  </si>
  <si>
    <t>Saját bevételek ( 01-04)</t>
  </si>
  <si>
    <t>Saját bevételek 50%-a</t>
  </si>
  <si>
    <t>Előző években keletkezett tárgyévet terhelő fizetési kötelezettség ( 08 )</t>
  </si>
  <si>
    <t>Felvett, átvállalt hitel és annak tőketartozása</t>
  </si>
  <si>
    <t>Tárgyévben keletkezett, illetve keletkező tárgyévet terhelő fizetési kötelezettség</t>
  </si>
  <si>
    <t>Fizetési kötelezettség összesen ( 07+09)</t>
  </si>
  <si>
    <t>Fizetési kötelezettséggel csökkentett saját bevétel (06-10)</t>
  </si>
  <si>
    <t>8. számú melléklet</t>
  </si>
  <si>
    <t>Óvoda</t>
  </si>
  <si>
    <t>Létszám / fő</t>
  </si>
  <si>
    <t>9. számú melléklet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</si>
  <si>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</si>
  <si>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</si>
  <si>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</si>
  <si>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</si>
  <si>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</si>
  <si>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</si>
  <si>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</si>
  <si>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</si>
  <si>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</si>
  <si>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</si>
  <si>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</si>
  <si>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</si>
  <si>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</si>
  <si>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</si>
  <si>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3. számú melléklet</t>
  </si>
  <si>
    <t>Kormányzati funkció</t>
  </si>
  <si>
    <t>011130</t>
  </si>
  <si>
    <t>081071</t>
  </si>
  <si>
    <t>082092</t>
  </si>
  <si>
    <t>074031</t>
  </si>
  <si>
    <t>074032</t>
  </si>
  <si>
    <t>081030</t>
  </si>
  <si>
    <t>082042</t>
  </si>
  <si>
    <t>096010</t>
  </si>
  <si>
    <t>096020</t>
  </si>
  <si>
    <t>041231</t>
  </si>
  <si>
    <t>041232</t>
  </si>
  <si>
    <t>041233</t>
  </si>
  <si>
    <t>041236</t>
  </si>
  <si>
    <t>041237</t>
  </si>
  <si>
    <t>082091</t>
  </si>
  <si>
    <t>Összesített</t>
  </si>
  <si>
    <t>K31 Készletbeszerzés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</si>
  <si>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</si>
  <si>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</si>
  <si>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</si>
  <si>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</si>
  <si>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</si>
  <si>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</si>
  <si>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</si>
  <si>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</si>
  <si>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</si>
  <si>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</si>
  <si>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</si>
  <si>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</si>
  <si>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</si>
  <si>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</si>
  <si>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</si>
  <si>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</si>
  <si>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</si>
  <si>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</si>
  <si>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</si>
  <si>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</si>
  <si>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</si>
  <si>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</si>
  <si>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</si>
  <si>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</si>
  <si>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</si>
  <si>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</si>
  <si>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</si>
  <si>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K334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</si>
  <si>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</si>
  <si>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</si>
  <si>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</si>
  <si>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</si>
  <si>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</si>
  <si>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</si>
  <si>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</si>
  <si>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</si>
  <si>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</si>
  <si>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</si>
  <si>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</si>
  <si>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</si>
  <si>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</si>
  <si>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</si>
  <si>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</si>
  <si>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</si>
  <si>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</si>
  <si>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</si>
  <si>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</si>
  <si>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</si>
  <si>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</si>
  <si>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Hozzájárulás</t>
  </si>
  <si>
    <t>B111</t>
  </si>
  <si>
    <t>B112</t>
  </si>
  <si>
    <t>B113</t>
  </si>
  <si>
    <t>Települési önkormányzatok szociális feladatainak támogatása</t>
  </si>
  <si>
    <t>B114</t>
  </si>
  <si>
    <t>B115</t>
  </si>
  <si>
    <t>E-útdíj ellentételezése</t>
  </si>
  <si>
    <t>B116</t>
  </si>
  <si>
    <t>Helyi Önkormányzatok kiegészítő támogatásai - 2014 évi kompenzáció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</si>
  <si>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</si>
  <si>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</si>
  <si>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</si>
  <si>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</si>
  <si>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</si>
  <si>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</si>
  <si>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</si>
  <si>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</si>
  <si>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</si>
  <si>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</si>
  <si>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</si>
  <si>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</si>
  <si>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</si>
  <si>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</si>
  <si>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</si>
  <si>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</si>
  <si>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Egyéb közhatalmi bevételek  /pótlék, bírság/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</si>
  <si>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</si>
  <si>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</si>
  <si>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</si>
  <si>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</si>
  <si>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</si>
  <si>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</si>
  <si>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</si>
  <si>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</si>
  <si>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B4031</t>
  </si>
  <si>
    <t>Közvetített szolg bevétele áh belülről</t>
  </si>
  <si>
    <t>B4039</t>
  </si>
  <si>
    <t>Egyéb közvetített szolgáltatások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</si>
  <si>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</si>
  <si>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</si>
  <si>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</si>
  <si>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</si>
  <si>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</si>
  <si>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</si>
  <si>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</si>
  <si>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</si>
  <si>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</si>
  <si>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</si>
  <si>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B4101</t>
  </si>
  <si>
    <t>Kártérítések</t>
  </si>
  <si>
    <t>B4103</t>
  </si>
  <si>
    <t>Költségek visszatérítése</t>
  </si>
  <si>
    <t>Egyéb működési bevételek</t>
  </si>
  <si>
    <t>B4</t>
  </si>
  <si>
    <t>Egyéb működési c átvett pénzeszköz vállalkozástól</t>
  </si>
  <si>
    <t>B8131</t>
  </si>
  <si>
    <t>Összes bevétel</t>
  </si>
  <si>
    <t>K1103</t>
  </si>
  <si>
    <t>Egyéb személyi juttatások</t>
  </si>
  <si>
    <t>Foglalkoztatottak személyi juttatásai</t>
  </si>
  <si>
    <t>Üzemeltetési anyagok/Élelmiszer</t>
  </si>
  <si>
    <t>Üzemeltetési anyagok/Irodaszer, hajtó, kenőanyagok, munka-védőruha, egyéb</t>
  </si>
  <si>
    <t>K332</t>
  </si>
  <si>
    <t>K333</t>
  </si>
  <si>
    <t>K3359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</si>
  <si>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</si>
  <si>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</si>
  <si>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</si>
  <si>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</si>
  <si>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</si>
  <si>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</si>
  <si>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</si>
  <si>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K3539</t>
  </si>
  <si>
    <t>Egyéb kamatkiadások</t>
  </si>
  <si>
    <t>K3553</t>
  </si>
  <si>
    <t>K472</t>
  </si>
  <si>
    <t>K4824</t>
  </si>
  <si>
    <t>Önkormányzat saját hatáskörben adott települési segély</t>
  </si>
  <si>
    <t>K48</t>
  </si>
  <si>
    <t>K4</t>
  </si>
  <si>
    <t>K50501</t>
  </si>
  <si>
    <t>Működési támogatás visszatérítése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</si>
  <si>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</si>
  <si>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</si>
  <si>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</si>
  <si>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</si>
  <si>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</si>
  <si>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</si>
  <si>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</si>
  <si>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</si>
  <si>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</si>
  <si>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</si>
  <si>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</si>
  <si>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</si>
  <si>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</si>
  <si>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</si>
  <si>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</si>
  <si>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</si>
  <si>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</si>
  <si>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</si>
  <si>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</si>
  <si>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</si>
  <si>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</si>
  <si>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</si>
  <si>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</si>
  <si>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</si>
  <si>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Helyi önkormányzatok kiegészítő támogatásai</t>
  </si>
  <si>
    <t>B6</t>
  </si>
  <si>
    <t>B8</t>
  </si>
  <si>
    <t>B3541</t>
  </si>
  <si>
    <t>B35502</t>
  </si>
  <si>
    <t>B36111</t>
  </si>
  <si>
    <t>B3616</t>
  </si>
  <si>
    <t>Szolgáltatások</t>
  </si>
  <si>
    <t>Tárgyi eszköz bérbeadás</t>
  </si>
  <si>
    <t>B4081</t>
  </si>
  <si>
    <t>Egyéb működési célú átvett pénzeszközök</t>
  </si>
  <si>
    <t>K1 Személyi juttatások</t>
  </si>
  <si>
    <t>K513</t>
  </si>
  <si>
    <t>Működési célú támogtás</t>
  </si>
  <si>
    <t>Eredeti ei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</si>
  <si>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</si>
  <si>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</si>
  <si>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</si>
  <si>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</si>
  <si>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</si>
  <si>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</si>
  <si>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</si>
  <si>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K47</t>
  </si>
  <si>
    <t>3.4 számú melléklet</t>
  </si>
  <si>
    <t>K9</t>
  </si>
  <si>
    <t>Áh belüli megelőlegezések visszafizetése</t>
  </si>
  <si>
    <t>064010</t>
  </si>
  <si>
    <t>066010</t>
  </si>
  <si>
    <t>066020</t>
  </si>
  <si>
    <t>K35 Különféle befizetések</t>
  </si>
  <si>
    <t>7. Beruházási és Felújítási kiadások (ÁFA-val)</t>
  </si>
  <si>
    <t>3.1.számú melléklet</t>
  </si>
  <si>
    <t>Ferenczné</t>
  </si>
  <si>
    <t>Nagyné</t>
  </si>
  <si>
    <t>Pappné</t>
  </si>
  <si>
    <t>Tóth K</t>
  </si>
  <si>
    <t>Szochó</t>
  </si>
  <si>
    <t>Cafetéria</t>
  </si>
  <si>
    <t>Marosváriné</t>
  </si>
  <si>
    <t>Jubileumi Jutalom</t>
  </si>
  <si>
    <t>SZJA</t>
  </si>
  <si>
    <t>EHO</t>
  </si>
  <si>
    <t>Telefonszámlák szja vonzata</t>
  </si>
  <si>
    <t>Létszám 6 fő</t>
  </si>
  <si>
    <t>Bér</t>
  </si>
  <si>
    <t>Szha</t>
  </si>
  <si>
    <t>C- EHO</t>
  </si>
  <si>
    <t>C-Szja</t>
  </si>
  <si>
    <t>Közlekedési</t>
  </si>
  <si>
    <t>20 nap/hó</t>
  </si>
  <si>
    <t>11 hó</t>
  </si>
  <si>
    <t xml:space="preserve">Telefon </t>
  </si>
  <si>
    <t>T-SZJA</t>
  </si>
  <si>
    <t>T-EHO</t>
  </si>
  <si>
    <t>Romsics R</t>
  </si>
  <si>
    <t>Tóth T</t>
  </si>
  <si>
    <t>Össz</t>
  </si>
  <si>
    <t>c-SZJA</t>
  </si>
  <si>
    <t>c-EHO</t>
  </si>
  <si>
    <t>2fő</t>
  </si>
  <si>
    <t>Teher össz</t>
  </si>
  <si>
    <t>Telefon</t>
  </si>
  <si>
    <t>Vén Z</t>
  </si>
  <si>
    <t>Paplanos Kné</t>
  </si>
  <si>
    <t>Csóti R</t>
  </si>
  <si>
    <t>Bartáné</t>
  </si>
  <si>
    <t>SZHA</t>
  </si>
  <si>
    <t>C-Eho</t>
  </si>
  <si>
    <t>T-Szja</t>
  </si>
  <si>
    <t>T-Eho</t>
  </si>
  <si>
    <t>Tóth Iné</t>
  </si>
  <si>
    <t>Szigeti Csné</t>
  </si>
  <si>
    <t>Szakács Sz</t>
  </si>
  <si>
    <t>c-Eho</t>
  </si>
  <si>
    <t>Bérlet</t>
  </si>
  <si>
    <t>20 nap</t>
  </si>
  <si>
    <t>K1109 :</t>
  </si>
  <si>
    <t>ktgtérítés</t>
  </si>
  <si>
    <t>30 km</t>
  </si>
  <si>
    <t>Létszám: 4 fő</t>
  </si>
  <si>
    <t>Gatti A</t>
  </si>
  <si>
    <t>Pécsi Zs</t>
  </si>
  <si>
    <t>Pertics Cs</t>
  </si>
  <si>
    <t>András G</t>
  </si>
  <si>
    <t>Képviselők</t>
  </si>
  <si>
    <t>K1106</t>
  </si>
  <si>
    <t>Matosné</t>
  </si>
  <si>
    <t>Alap</t>
  </si>
  <si>
    <t>Alpolgármester</t>
  </si>
  <si>
    <t>Ktg térítés</t>
  </si>
  <si>
    <t>- Polgármester</t>
  </si>
  <si>
    <t>- Alpolgármester</t>
  </si>
  <si>
    <t>Kapitányné</t>
  </si>
  <si>
    <t>Szja</t>
  </si>
  <si>
    <t>Eho</t>
  </si>
  <si>
    <t>Forgatási célú értékpapír beváltása</t>
  </si>
  <si>
    <t>B812</t>
  </si>
  <si>
    <t>Felhalmozási célú átvett pénzeszközök- nonprofit-Jeta</t>
  </si>
  <si>
    <t>B7502</t>
  </si>
  <si>
    <t>B65</t>
  </si>
  <si>
    <t>B41</t>
  </si>
  <si>
    <t>Kerekítések</t>
  </si>
  <si>
    <t>B411</t>
  </si>
  <si>
    <t>Tárgyi eszköz bérbeadása</t>
  </si>
  <si>
    <t>Szociális ágazati pótlék</t>
  </si>
  <si>
    <t>egyéb szoc.tám</t>
  </si>
  <si>
    <t>gyermekvédelmi</t>
  </si>
  <si>
    <t>Igazgatás</t>
  </si>
  <si>
    <t>K336</t>
  </si>
  <si>
    <t>Szakmai tevékenységet segítő szolgáltatások</t>
  </si>
  <si>
    <t>K429</t>
  </si>
  <si>
    <t>Gyermekvédelmi támogatások</t>
  </si>
  <si>
    <t>K4825</t>
  </si>
  <si>
    <t>Település támogatás</t>
  </si>
  <si>
    <t>K487</t>
  </si>
  <si>
    <t>Köztemetés</t>
  </si>
  <si>
    <t>K483</t>
  </si>
  <si>
    <t>K502</t>
  </si>
  <si>
    <t>Előző évi elszámolás különbözete</t>
  </si>
  <si>
    <t>K61</t>
  </si>
  <si>
    <t>Immateriális javak beszerzése</t>
  </si>
  <si>
    <t xml:space="preserve">B113 </t>
  </si>
  <si>
    <t>Elszámolás központi ktgvetéssel</t>
  </si>
  <si>
    <t>Finanszírozás</t>
  </si>
  <si>
    <t>Befektetés</t>
  </si>
  <si>
    <t>Vagyon- gazdálkodás</t>
  </si>
  <si>
    <t>Község- gazdálkodás</t>
  </si>
  <si>
    <t>Zöldterület</t>
  </si>
  <si>
    <t>Köztemető</t>
  </si>
  <si>
    <t>Közút</t>
  </si>
  <si>
    <t>Fogorvos</t>
  </si>
  <si>
    <t>Művház</t>
  </si>
  <si>
    <t>Védőnő</t>
  </si>
  <si>
    <t>Falug- gondnok</t>
  </si>
  <si>
    <t>Házi segítségny</t>
  </si>
  <si>
    <t>Üdülő</t>
  </si>
  <si>
    <t>Falu- gondnok</t>
  </si>
  <si>
    <t>Házi segítésgny</t>
  </si>
  <si>
    <t>Szociális feladatok támogatása</t>
  </si>
  <si>
    <t>Sport létesítmények üzemeltetése</t>
  </si>
  <si>
    <t>Sport létesítmények üzememeltetése</t>
  </si>
  <si>
    <t>Ingatlan bérbeadás</t>
  </si>
  <si>
    <t>Egyéb ingatlan bérbeadás</t>
  </si>
  <si>
    <t>41232 - MG</t>
  </si>
  <si>
    <t>Intézményfinanszírozás - Köznevelési támogatás</t>
  </si>
  <si>
    <t>Intézményfinanszírozás - Saját kiegészítés</t>
  </si>
  <si>
    <t>B816</t>
  </si>
  <si>
    <t>Költségvetési bevételek összesen</t>
  </si>
  <si>
    <t>Oep finanszírozás 2016. januári utalást alapulvéve</t>
  </si>
  <si>
    <t>Visszafizetés MÁK</t>
  </si>
  <si>
    <t>Jkv alapján</t>
  </si>
  <si>
    <t>2015. utolsó utalás alapján</t>
  </si>
  <si>
    <t>alap</t>
  </si>
  <si>
    <t>kamat</t>
  </si>
  <si>
    <t>41233-11.05</t>
  </si>
  <si>
    <t>41233-03.04</t>
  </si>
  <si>
    <t>Támogatott</t>
  </si>
  <si>
    <t>Saját ktg</t>
  </si>
  <si>
    <t>2016.évre várható támogatások</t>
  </si>
  <si>
    <t>Bevétel</t>
  </si>
  <si>
    <t>Hiány/többlet</t>
  </si>
  <si>
    <t>Hiány</t>
  </si>
  <si>
    <t>Többlet</t>
  </si>
  <si>
    <t>Szakmári Roma Nemzetiségi Önkormányzat</t>
  </si>
  <si>
    <t>2016. évi kiadási előirányzatok</t>
  </si>
  <si>
    <t>B1602</t>
  </si>
  <si>
    <t>Egyéb működési célú támogatások bevételei államháztartáson belülről-központi kezelésá eli</t>
  </si>
  <si>
    <t>B5</t>
  </si>
  <si>
    <t>B7</t>
  </si>
  <si>
    <t>Pénzmaradvány igénybevétele</t>
  </si>
  <si>
    <t>Adatok: Ft-ban</t>
  </si>
  <si>
    <t>2016.évi működési és felhalmozási célú költségvetési támogatások és saját bevételek előirányzatai</t>
  </si>
  <si>
    <t>2. mellékelet</t>
  </si>
  <si>
    <t xml:space="preserve">Szakmári Roma Nemzetiségi Önkormányzat </t>
  </si>
  <si>
    <t>Működési és fejleszétsi célú bevétel és kiadás előirányzatainak 2016. évi alakulását bemutató összevont mérlege</t>
  </si>
  <si>
    <t>011140</t>
  </si>
  <si>
    <t xml:space="preserve">2016. évi előirányzata </t>
  </si>
  <si>
    <t>Adatok Ft</t>
  </si>
  <si>
    <t>2016. évi dologi kiadás előirányzatok</t>
  </si>
  <si>
    <t>Országos és helyi nemzetiségi önkormányzatok igazgatási tevékenysége</t>
  </si>
  <si>
    <t>Egyéb működési célú támogatások</t>
  </si>
  <si>
    <t>K8</t>
  </si>
  <si>
    <t>Finanaszírozási bevételek</t>
  </si>
  <si>
    <t>2016. évi beruházások, felújítások, finanszírozási kiadások előirányzatai</t>
  </si>
  <si>
    <t>Szakmári Roma Nemzetiség Önkormányzat</t>
  </si>
  <si>
    <t>2016. évi felhalmozási és pénzügyi befektetések</t>
  </si>
  <si>
    <t>Adatok Ft-ban</t>
  </si>
  <si>
    <t>2016. évi finanszírozott intéményeinek előírányzatai</t>
  </si>
  <si>
    <t>2016. évi adósságot keletkezetető ügyleteiből eredő fizetési kötelezettség bemutatása</t>
  </si>
  <si>
    <t>2016. évi előirányzat felhasználási ütemterve</t>
  </si>
  <si>
    <t>6. Pénzmaradvány igénybevétele</t>
  </si>
  <si>
    <t>2016. évi engedélyezett létszámadatok</t>
  </si>
  <si>
    <t>Szakmári Roma Nemezetiségi Önkormányzat</t>
  </si>
  <si>
    <t>-Elnök</t>
  </si>
  <si>
    <t>-Elnök-helyettes</t>
  </si>
  <si>
    <t>-Képviselő</t>
  </si>
  <si>
    <t>2016. évi ellátottak pénzbeni juttatásai és egyéb működési kiadások előirányzatai</t>
  </si>
  <si>
    <t>Ö hiv műk támogatása</t>
  </si>
  <si>
    <t>Szoc  - dolgozók bértámogatása</t>
  </si>
  <si>
    <t>Szoc - üzemeltetési támogatás</t>
  </si>
  <si>
    <t>Könyvtári és közművelődési támog</t>
  </si>
  <si>
    <t>Felhalmozási célú bev áh belülről</t>
  </si>
  <si>
    <t>Működési célű központosított eir</t>
  </si>
  <si>
    <t>Egyéb működési célú támogatások áh kívülre /nonprofit szervezetek/</t>
  </si>
  <si>
    <t>Egyéb működési célú támogatások áh kívülre /orvosok/</t>
  </si>
  <si>
    <t>Felújítási célú  áfa</t>
  </si>
  <si>
    <t>Létszám: 12 fő</t>
  </si>
  <si>
    <t>K1113</t>
  </si>
  <si>
    <t>K337</t>
  </si>
  <si>
    <t>2015.12. havi bérkompenzáció</t>
  </si>
  <si>
    <t>045160</t>
  </si>
  <si>
    <t>Jegyző</t>
  </si>
  <si>
    <t>A Jegyző költsége és a hivatal móködésére kapott támogatás a lakossászám arányában került megosztásra.</t>
  </si>
  <si>
    <t>018010</t>
  </si>
  <si>
    <t>018030</t>
  </si>
  <si>
    <t>072390</t>
  </si>
  <si>
    <t>Elszámolás a központi ktgvetéssel</t>
  </si>
  <si>
    <t>Finanszírozási műveletek</t>
  </si>
  <si>
    <t>Fogorvos finanszírozás</t>
  </si>
  <si>
    <t>K6 Beruházások</t>
  </si>
  <si>
    <t>K7 Felújítások</t>
  </si>
  <si>
    <t>K9 Finanszírozási kiadások</t>
  </si>
  <si>
    <t xml:space="preserve">K8 Egyéb felhalmozási célú kiadásások </t>
  </si>
  <si>
    <t>Előző évi elszámolási különbözet</t>
  </si>
  <si>
    <t>103010</t>
  </si>
  <si>
    <t>Elhunyt személyek hátramaradottainak pénzbeli ellátásai</t>
  </si>
  <si>
    <t>Lakásfenntartási támogatások</t>
  </si>
  <si>
    <t>Egyéb szociális támogatások</t>
  </si>
  <si>
    <t>Rászorultságtól függő kedvezmények</t>
  </si>
  <si>
    <t>Települési támogatás</t>
  </si>
  <si>
    <t>Egyén rendeletben megállapított juttatás</t>
  </si>
  <si>
    <t>Intézmények kívüli szünidei étkeztetés</t>
  </si>
  <si>
    <t>Közvetített szolg bevétele áh kívülről</t>
  </si>
  <si>
    <t>B6508</t>
  </si>
  <si>
    <t>Egyéb felhalmozásicélú átvett pénzeszközök-nonprofit gt</t>
  </si>
  <si>
    <t>Egyéb felhalmozási célú átvet pénzeszközök</t>
  </si>
  <si>
    <t>Felhalmozási célú átvett pénzeszközök</t>
  </si>
  <si>
    <t>Előző évi pénzmaradvány igénybevégele</t>
  </si>
  <si>
    <t>4. Működési célú támogatások államházt kívülről, átvettt pénzeszközök</t>
  </si>
  <si>
    <t>Baksa Lné</t>
  </si>
  <si>
    <t>1,18-szorosa után 15% illetve 14%</t>
  </si>
  <si>
    <t>Élelmiszer</t>
  </si>
  <si>
    <t>Üzemeltetési anyagok-egyéb</t>
  </si>
  <si>
    <t>K335</t>
  </si>
  <si>
    <t>Közvetítet szolgáltatások</t>
  </si>
  <si>
    <t>Céljuttatás, projektprémium</t>
  </si>
  <si>
    <t>Csefkóné</t>
  </si>
  <si>
    <t>Rab Petra</t>
  </si>
  <si>
    <t>15Ft/km</t>
  </si>
  <si>
    <t>35 km</t>
  </si>
  <si>
    <t>Központi irányítószevi támogatás</t>
  </si>
  <si>
    <t>Központi irányítószevi támogatás - saját hozzájárulás</t>
  </si>
  <si>
    <t>Előre sorolás</t>
  </si>
  <si>
    <t>Előresorolási</t>
  </si>
  <si>
    <t>Szakmai tevékenységet segítő szolgáltatás</t>
  </si>
  <si>
    <t>Szabó Ivett</t>
  </si>
  <si>
    <t>10 km</t>
  </si>
  <si>
    <t xml:space="preserve">K336 </t>
  </si>
  <si>
    <t>Munkaruha</t>
  </si>
  <si>
    <t>Laptop</t>
  </si>
  <si>
    <t>2017. évi elemi költségvetése</t>
  </si>
  <si>
    <t>ASP</t>
  </si>
  <si>
    <t>Mácsai P</t>
  </si>
  <si>
    <t>2017. évi költségvetése</t>
  </si>
  <si>
    <t>%! Konyha !</t>
  </si>
  <si>
    <t>25 éves !</t>
  </si>
  <si>
    <t>Az alap 1.18-szerese után</t>
  </si>
  <si>
    <t>Tóthné Salacz M</t>
  </si>
  <si>
    <t>Balogh Ignácné</t>
  </si>
  <si>
    <t>Bende Tímea</t>
  </si>
  <si>
    <t>Kocsis Margit</t>
  </si>
  <si>
    <t>Bruttó</t>
  </si>
  <si>
    <t>Utazási</t>
  </si>
  <si>
    <t>Intézményfinanszírozás - Gyermekétkeztetés</t>
  </si>
  <si>
    <t>Intézményfinanszírozás - Szociális étkeztetés</t>
  </si>
  <si>
    <t>Intézményfinanszírozás - Szünidei étkeztetés</t>
  </si>
  <si>
    <t>eho</t>
  </si>
  <si>
    <t>szja</t>
  </si>
  <si>
    <t>Kiszámlázott általános forgalmi adó</t>
  </si>
  <si>
    <t>Intézményfinanszírozás összesen</t>
  </si>
  <si>
    <t>Intézményfinanszírozás - saját kiegészítés</t>
  </si>
  <si>
    <t>2017. évi finanszírozott intéményeinek előírányzatai</t>
  </si>
  <si>
    <t>simba</t>
  </si>
  <si>
    <t>Jubileumi jutalom</t>
  </si>
  <si>
    <t>Komp</t>
  </si>
  <si>
    <t>jan</t>
  </si>
  <si>
    <t>Dec</t>
  </si>
  <si>
    <t>Adók</t>
  </si>
  <si>
    <t>Szoc - szünidei étkeztetés</t>
  </si>
  <si>
    <t>Kompszha</t>
  </si>
  <si>
    <t>szha</t>
  </si>
  <si>
    <t>Össsz:</t>
  </si>
  <si>
    <t>KOMP</t>
  </si>
  <si>
    <t>Komp2016-2017</t>
  </si>
  <si>
    <t>Egyéb működési célú átvett pénzeszköz</t>
  </si>
  <si>
    <t>Egyéb működési célú átvett pénzeszközök - Simaba</t>
  </si>
  <si>
    <t>Létszám 4 fő</t>
  </si>
  <si>
    <t xml:space="preserve">Szakmár Község Óvodája </t>
  </si>
  <si>
    <t>Konyha</t>
  </si>
  <si>
    <t>Létszám 10 fő</t>
  </si>
  <si>
    <t>B408</t>
  </si>
  <si>
    <t>Egyéb kapott kamatok és kamat jellegű bevételek</t>
  </si>
  <si>
    <t>Központi, irányítószervi támogatás</t>
  </si>
  <si>
    <t>Költésgvetési bevételek összesen</t>
  </si>
  <si>
    <t>Óbánya</t>
  </si>
  <si>
    <t>Harkány</t>
  </si>
  <si>
    <t>lakhatási tüzifa</t>
  </si>
  <si>
    <t>RH</t>
  </si>
  <si>
    <t>Hosszú</t>
  </si>
  <si>
    <t>Hosszú/1fő</t>
  </si>
  <si>
    <t xml:space="preserve">Eho </t>
  </si>
  <si>
    <t>házi</t>
  </si>
  <si>
    <t>fg</t>
  </si>
  <si>
    <t>védő</t>
  </si>
  <si>
    <t>művház</t>
  </si>
  <si>
    <t xml:space="preserve">2017. évi előirányzata </t>
  </si>
  <si>
    <t>Közfogi létszám</t>
  </si>
  <si>
    <t>12 hó</t>
  </si>
  <si>
    <t>43fő</t>
  </si>
  <si>
    <t>01-02hó</t>
  </si>
  <si>
    <t>42+1fő</t>
  </si>
  <si>
    <t>Lakott területek támogatása</t>
  </si>
  <si>
    <t>Gyermek étkeztetés</t>
  </si>
  <si>
    <t>Szünidei</t>
  </si>
  <si>
    <t>Hosszú 1fő</t>
  </si>
  <si>
    <t>MG</t>
  </si>
  <si>
    <t>Szoc. étkezők</t>
  </si>
  <si>
    <t>Óvoda-konyha</t>
  </si>
  <si>
    <t>lakhatási szoc tűzifa</t>
  </si>
  <si>
    <t>Elszámolásból származó bevételek</t>
  </si>
  <si>
    <t>2015. évi elszámolás miatti pótigény</t>
  </si>
  <si>
    <t>2016 . december havi bérkompenzáció</t>
  </si>
  <si>
    <t>2017. évi dologi kiadás előirányzatok</t>
  </si>
  <si>
    <t>091140</t>
  </si>
  <si>
    <t>Óvoda működése</t>
  </si>
  <si>
    <t>Elszámolás a központi költségvetéssel</t>
  </si>
  <si>
    <t>2017.évi működési és felhalmozási célú költségvetési támogatások előirányzatai</t>
  </si>
  <si>
    <t>2017. évi saját bevételi előirányzatai</t>
  </si>
  <si>
    <t>2017. évi kiadási előirányzatok</t>
  </si>
  <si>
    <t>Egyéb működési c.t áh kívülre /nonprofit szervezetek/</t>
  </si>
  <si>
    <t>Egyéb működési c.t áh kívülre /orvosok/</t>
  </si>
  <si>
    <t>Egyéb működési c.t áh kívülre /civil szervezetek/</t>
  </si>
  <si>
    <t>K353</t>
  </si>
  <si>
    <t>2017. évi ellátottak pénzbeni juttatásai és egyéb működési kiadások előirányzatai</t>
  </si>
  <si>
    <t>2017. évi beruházások, felújítások, finanszírozási kiadások előirányzatai</t>
  </si>
  <si>
    <t>Beruházási költségek</t>
  </si>
  <si>
    <t>Pályázatok</t>
  </si>
  <si>
    <t>2017. évi felhalmozási és pénzügyi befektetések</t>
  </si>
  <si>
    <t>ASP pályázat</t>
  </si>
  <si>
    <t>Működési kiadások</t>
  </si>
  <si>
    <t>Összes költség</t>
  </si>
  <si>
    <t>Az önkormányzat 2017. évi 3 éves pénzügyi terve</t>
  </si>
  <si>
    <t>2017. évi előirányzat felhasználási ütemterve</t>
  </si>
  <si>
    <t>2017. évi adósságot keletkezetető ügyleteiből eredő fizetési kötelezettség bemutatása</t>
  </si>
  <si>
    <t>2017. évi engedélyezett létszámadatok</t>
  </si>
  <si>
    <t xml:space="preserve"> - Étkeztetési feladatok</t>
  </si>
  <si>
    <t>2017. évi bevételi előirányzatok</t>
  </si>
  <si>
    <t>Működési és fejleszétsi célú bevétel és kiadás előirányzatainak 2017. évi alakulását bemutató összevont mérlege</t>
  </si>
  <si>
    <t>4.1.1. számú melléklet</t>
  </si>
  <si>
    <t>4.1.2. számú melléklet</t>
  </si>
  <si>
    <t xml:space="preserve">Helyi Önkormányzatok kiegészítő támogatásai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</si>
</sst>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7" fillId="0" borderId="0" applyFont="0" applyFill="0" applyBorder="0" applyAlignment="0" applyProtection="0"/>
  </cellStyleXfs>
  <cellXfs count="38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0" xfId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3" fillId="0" borderId="1" xfId="1" applyFont="1" applyBorder="1"/>
    <xf numFmtId="0" fontId="10" fillId="0" borderId="0" xfId="1" applyFont="1"/>
    <xf numFmtId="0" fontId="10" fillId="0" borderId="1" xfId="1" applyFont="1" applyBorder="1"/>
    <xf numFmtId="0" fontId="10" fillId="0" borderId="3" xfId="1" applyFont="1" applyBorder="1" applyAlignment="1">
      <alignment horizontal="right"/>
    </xf>
    <xf numFmtId="0" fontId="10" fillId="0" borderId="1" xfId="1" applyFont="1" applyBorder="1" applyAlignment="1">
      <alignment wrapText="1"/>
    </xf>
    <xf numFmtId="0" fontId="10" fillId="0" borderId="0" xfId="1" applyFont="1" applyAlignment="1">
      <alignment horizontal="right"/>
    </xf>
    <xf numFmtId="0" fontId="11" fillId="0" borderId="0" xfId="0" applyFont="1"/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2" fontId="6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Fill="1" applyBorder="1"/>
    <xf numFmtId="0" fontId="6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1" fontId="5" fillId="0" borderId="1" xfId="0" applyNumberFormat="1" applyFont="1" applyBorder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right" vertical="top" wrapText="1"/>
    </xf>
    <xf numFmtId="1" fontId="6" fillId="0" borderId="2" xfId="0" applyNumberFormat="1" applyFont="1" applyBorder="1"/>
    <xf numFmtId="0" fontId="3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justify"/>
    </xf>
    <xf numFmtId="0" fontId="14" fillId="0" borderId="0" xfId="0" applyFont="1"/>
    <xf numFmtId="0" fontId="3" fillId="0" borderId="0" xfId="0" applyFont="1" applyAlignment="1">
      <alignment horizontal="justify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6" fillId="0" borderId="1" xfId="0" applyFont="1" applyFill="1" applyBorder="1"/>
    <xf numFmtId="0" fontId="5" fillId="0" borderId="1" xfId="0" applyFont="1" applyFill="1" applyBorder="1"/>
    <xf numFmtId="0" fontId="17" fillId="0" borderId="1" xfId="0" applyFont="1" applyBorder="1"/>
    <xf numFmtId="0" fontId="9" fillId="0" borderId="1" xfId="0" applyFont="1" applyFill="1" applyBorder="1"/>
    <xf numFmtId="0" fontId="17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6" fillId="0" borderId="0" xfId="0" applyFont="1" applyAlignment="1"/>
    <xf numFmtId="1" fontId="3" fillId="0" borderId="6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0" borderId="0" xfId="0" applyFont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10" fillId="0" borderId="1" xfId="0" applyFont="1" applyBorder="1" applyAlignment="1"/>
    <xf numFmtId="164" fontId="6" fillId="0" borderId="1" xfId="0" applyNumberFormat="1" applyFont="1" applyBorder="1"/>
    <xf numFmtId="0" fontId="2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5" fillId="0" borderId="1" xfId="0" applyFont="1" applyBorder="1"/>
    <xf numFmtId="0" fontId="9" fillId="0" borderId="1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6" fillId="0" borderId="1" xfId="0" applyFont="1" applyBorder="1"/>
    <xf numFmtId="0" fontId="22" fillId="0" borderId="1" xfId="0" applyFont="1" applyFill="1" applyBorder="1"/>
    <xf numFmtId="0" fontId="5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/>
    <xf numFmtId="0" fontId="19" fillId="0" borderId="1" xfId="0" applyFont="1" applyBorder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/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22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9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" fontId="0" fillId="4" borderId="0" xfId="0" applyNumberFormat="1" applyFill="1"/>
    <xf numFmtId="1" fontId="0" fillId="5" borderId="0" xfId="0" applyNumberFormat="1" applyFill="1"/>
    <xf numFmtId="0" fontId="0" fillId="5" borderId="0" xfId="0" applyFill="1"/>
    <xf numFmtId="1" fontId="0" fillId="6" borderId="0" xfId="0" applyNumberFormat="1" applyFill="1"/>
    <xf numFmtId="0" fontId="0" fillId="0" borderId="1" xfId="0" applyFill="1" applyBorder="1"/>
    <xf numFmtId="0" fontId="0" fillId="0" borderId="0" xfId="0" applyFont="1" applyAlignment="1"/>
    <xf numFmtId="0" fontId="0" fillId="0" borderId="0" xfId="0" applyNumberFormat="1"/>
    <xf numFmtId="1" fontId="0" fillId="7" borderId="0" xfId="0" applyNumberFormat="1" applyFill="1"/>
    <xf numFmtId="10" fontId="0" fillId="0" borderId="0" xfId="0" applyNumberFormat="1"/>
    <xf numFmtId="1" fontId="2" fillId="0" borderId="0" xfId="1" applyNumberFormat="1"/>
    <xf numFmtId="1" fontId="0" fillId="2" borderId="0" xfId="0" applyNumberFormat="1" applyFill="1"/>
    <xf numFmtId="0" fontId="0" fillId="0" borderId="1" xfId="0" applyBorder="1" applyAlignment="1">
      <alignment horizontal="center"/>
    </xf>
    <xf numFmtId="49" fontId="22" fillId="0" borderId="0" xfId="0" applyNumberFormat="1" applyFont="1"/>
    <xf numFmtId="1" fontId="22" fillId="0" borderId="0" xfId="0" applyNumberFormat="1" applyFont="1"/>
    <xf numFmtId="0" fontId="22" fillId="2" borderId="0" xfId="0" applyFont="1" applyFill="1"/>
    <xf numFmtId="0" fontId="22" fillId="8" borderId="0" xfId="0" applyFont="1" applyFill="1"/>
    <xf numFmtId="0" fontId="22" fillId="0" borderId="0" xfId="0" applyFont="1" applyFill="1"/>
    <xf numFmtId="1" fontId="22" fillId="8" borderId="0" xfId="0" applyNumberFormat="1" applyFont="1" applyFill="1"/>
    <xf numFmtId="1" fontId="22" fillId="10" borderId="0" xfId="0" applyNumberFormat="1" applyFont="1" applyFill="1"/>
    <xf numFmtId="0" fontId="22" fillId="10" borderId="0" xfId="0" applyFont="1" applyFill="1"/>
    <xf numFmtId="0" fontId="28" fillId="0" borderId="0" xfId="0" applyFont="1"/>
    <xf numFmtId="0" fontId="0" fillId="9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14" fontId="0" fillId="0" borderId="1" xfId="0" applyNumberFormat="1" applyFill="1" applyBorder="1"/>
    <xf numFmtId="0" fontId="7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49" fontId="9" fillId="0" borderId="1" xfId="0" applyNumberFormat="1" applyFont="1" applyBorder="1"/>
    <xf numFmtId="0" fontId="29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29" fillId="0" borderId="1" xfId="0" applyFont="1" applyBorder="1"/>
    <xf numFmtId="0" fontId="0" fillId="0" borderId="1" xfId="0" applyBorder="1" applyAlignment="1">
      <alignment horizontal="center"/>
    </xf>
    <xf numFmtId="165" fontId="0" fillId="0" borderId="0" xfId="0" applyNumberFormat="1"/>
    <xf numFmtId="0" fontId="6" fillId="0" borderId="1" xfId="0" applyFont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1" fontId="0" fillId="0" borderId="1" xfId="0" applyNumberFormat="1" applyBorder="1"/>
    <xf numFmtId="14" fontId="0" fillId="0" borderId="0" xfId="0" applyNumberFormat="1"/>
    <xf numFmtId="0" fontId="0" fillId="0" borderId="0" xfId="2" applyNumberFormat="1" applyFont="1" applyFill="1"/>
    <xf numFmtId="0" fontId="6" fillId="0" borderId="0" xfId="0" applyFont="1" applyAlignment="1">
      <alignment horizontal="right"/>
    </xf>
    <xf numFmtId="0" fontId="30" fillId="0" borderId="0" xfId="0" applyFont="1"/>
    <xf numFmtId="0" fontId="0" fillId="0" borderId="1" xfId="0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2" xfId="0" applyBorder="1" applyAlignment="1">
      <alignment vertical="center" wrapText="1"/>
    </xf>
    <xf numFmtId="1" fontId="0" fillId="0" borderId="0" xfId="0" applyNumberFormat="1" applyFont="1"/>
    <xf numFmtId="1" fontId="22" fillId="2" borderId="0" xfId="0" applyNumberFormat="1" applyFont="1" applyFill="1"/>
    <xf numFmtId="0" fontId="31" fillId="0" borderId="0" xfId="1" applyFont="1"/>
    <xf numFmtId="0" fontId="11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22" fillId="0" borderId="0" xfId="0" applyFont="1" applyBorder="1"/>
    <xf numFmtId="0" fontId="11" fillId="0" borderId="0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24" fillId="0" borderId="2" xfId="0" applyFont="1" applyFill="1" applyBorder="1"/>
    <xf numFmtId="0" fontId="11" fillId="0" borderId="1" xfId="0" applyFont="1" applyFill="1" applyBorder="1" applyAlignment="1">
      <alignment wrapText="1"/>
    </xf>
    <xf numFmtId="0" fontId="24" fillId="0" borderId="1" xfId="0" applyFont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0" fontId="11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/>
    <xf numFmtId="49" fontId="0" fillId="0" borderId="0" xfId="0" applyNumberFormat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3" xfId="0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49" fontId="22" fillId="0" borderId="1" xfId="0" applyNumberFormat="1" applyFont="1" applyBorder="1" applyAlignment="1">
      <alignment horizontal="center" vertical="center"/>
    </xf>
    <xf numFmtId="16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Border="1" applyAlignment="1"/>
    <xf numFmtId="49" fontId="22" fillId="0" borderId="1" xfId="0" applyNumberFormat="1" applyFont="1" applyBorder="1" applyAlignment="1"/>
    <xf numFmtId="49" fontId="22" fillId="0" borderId="1" xfId="0" applyNumberFormat="1" applyFont="1" applyBorder="1" applyAlignment="1">
      <alignment horizontal="left" vertical="center"/>
    </xf>
    <xf numFmtId="0" fontId="6" fillId="0" borderId="12" xfId="0" applyFont="1" applyBorder="1"/>
    <xf numFmtId="49" fontId="22" fillId="0" borderId="1" xfId="0" applyNumberFormat="1" applyFont="1" applyBorder="1" applyAlignment="1">
      <alignment wrapText="1"/>
    </xf>
    <xf numFmtId="49" fontId="22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5" fillId="0" borderId="4" xfId="0" applyFont="1" applyBorder="1" applyAlignment="1">
      <alignment vertical="top" wrapText="1"/>
    </xf>
    <xf numFmtId="1" fontId="5" fillId="0" borderId="4" xfId="0" applyNumberFormat="1" applyFont="1" applyBorder="1" applyAlignment="1">
      <alignment horizontal="right" vertical="top" wrapText="1"/>
    </xf>
    <xf numFmtId="0" fontId="22" fillId="0" borderId="7" xfId="0" applyFont="1" applyBorder="1" applyAlignment="1">
      <alignment horizontal="right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1" fontId="6" fillId="0" borderId="6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1" fontId="5" fillId="0" borderId="6" xfId="0" applyNumberFormat="1" applyFont="1" applyBorder="1" applyAlignment="1">
      <alignment horizontal="right" vertical="top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/>
    </xf>
    <xf numFmtId="49" fontId="24" fillId="0" borderId="12" xfId="0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0" borderId="1" xfId="0" applyFont="1" applyBorder="1" applyAlignment="1">
      <alignment horizontal="left" vertical="center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sqref="A1:F20"/>
    </sheetView>
  </sheetViews>
  <sheetFormatPr defaultRowHeight="15" x14ac:dyDescent="0.25"/>
  <cols>
    <col min="1" max="1" width="40.7109375" customWidth="1"/>
    <col min="2" max="2" width="14.28515625" customWidth="1"/>
    <col min="3" max="3" width="12.28515625" customWidth="1"/>
    <col min="4" max="4" width="36.28515625" customWidth="1"/>
    <col min="5" max="5" width="13.85546875" customWidth="1"/>
    <col min="6" max="6" width="11.7109375" customWidth="1"/>
  </cols>
  <sheetData>
    <row r="1" spans="1:6" ht="16.5" x14ac:dyDescent="0.25">
      <c r="A1" s="286" t="s">
        <v>164</v>
      </c>
      <c r="B1" s="286"/>
      <c r="C1" s="286"/>
      <c r="D1" s="286"/>
      <c r="E1" s="286"/>
      <c r="F1" s="286"/>
    </row>
    <row r="2" spans="1:6" x14ac:dyDescent="0.25">
      <c r="A2" s="291" t="s">
        <v>800</v>
      </c>
      <c r="B2" s="291"/>
      <c r="C2" s="291"/>
      <c r="D2" s="291"/>
      <c r="E2" s="291"/>
      <c r="F2" s="291"/>
    </row>
    <row r="3" spans="1:6" x14ac:dyDescent="0.25">
      <c r="A3" s="19"/>
      <c r="B3" s="19"/>
      <c r="C3" s="107"/>
      <c r="D3" s="19"/>
      <c r="E3" s="107"/>
      <c r="F3" s="19"/>
    </row>
    <row r="4" spans="1:6" x14ac:dyDescent="0.25">
      <c r="A4" s="7"/>
      <c r="B4" s="7"/>
      <c r="C4" s="7"/>
      <c r="D4" s="7"/>
      <c r="E4" s="7"/>
      <c r="F4" s="8" t="s">
        <v>113</v>
      </c>
    </row>
    <row r="5" spans="1:6" x14ac:dyDescent="0.25">
      <c r="A5" s="7"/>
      <c r="B5" s="7"/>
      <c r="C5" s="7"/>
      <c r="D5" s="7"/>
      <c r="E5" s="7"/>
      <c r="F5" s="8" t="s">
        <v>613</v>
      </c>
    </row>
    <row r="6" spans="1:6" x14ac:dyDescent="0.25">
      <c r="A6" s="7"/>
      <c r="B6" s="7"/>
      <c r="C6" s="7"/>
      <c r="D6" s="7"/>
      <c r="E6" s="296" t="s">
        <v>167</v>
      </c>
      <c r="F6" s="296"/>
    </row>
    <row r="7" spans="1:6" x14ac:dyDescent="0.25">
      <c r="A7" s="7"/>
      <c r="B7" s="7"/>
      <c r="C7" s="7"/>
      <c r="D7" s="7"/>
      <c r="E7" s="29"/>
      <c r="F7" s="29"/>
    </row>
    <row r="8" spans="1:6" s="4" customFormat="1" ht="16.5" x14ac:dyDescent="0.25">
      <c r="A8" s="294" t="s">
        <v>45</v>
      </c>
      <c r="B8" s="295"/>
      <c r="C8" s="112"/>
      <c r="D8" s="294" t="s">
        <v>82</v>
      </c>
      <c r="E8" s="297"/>
      <c r="F8" s="295"/>
    </row>
    <row r="9" spans="1:6" s="4" customFormat="1" x14ac:dyDescent="0.25">
      <c r="A9" s="9" t="s">
        <v>1</v>
      </c>
      <c r="B9" s="9" t="s">
        <v>265</v>
      </c>
      <c r="C9" s="9" t="s">
        <v>266</v>
      </c>
      <c r="D9" s="9" t="s">
        <v>1</v>
      </c>
      <c r="E9" s="9" t="s">
        <v>265</v>
      </c>
      <c r="F9" s="9" t="s">
        <v>266</v>
      </c>
    </row>
    <row r="10" spans="1:6" s="4" customFormat="1" ht="30" customHeight="1" x14ac:dyDescent="0.25">
      <c r="A10" s="10" t="s">
        <v>209</v>
      </c>
      <c r="B10" s="14">
        <f>'2.Bevételek'!C8+'2.Bevételek'!C9+'2.Bevételek'!C10+'2.Bevételek'!C11+'2.Bevételek'!C12+'2.Bevételek'!C13</f>
        <v>104148590</v>
      </c>
      <c r="C10" s="14"/>
      <c r="D10" s="10" t="s">
        <v>5</v>
      </c>
      <c r="E10" s="16">
        <f>'3. Kiadások'!C18</f>
        <v>28294943</v>
      </c>
      <c r="F10" s="113"/>
    </row>
    <row r="11" spans="1:6" s="4" customFormat="1" ht="30" x14ac:dyDescent="0.25">
      <c r="A11" s="10" t="s">
        <v>91</v>
      </c>
      <c r="B11" s="14">
        <f>'2.Bevételek'!C14</f>
        <v>24034091</v>
      </c>
      <c r="C11" s="14"/>
      <c r="D11" s="10" t="s">
        <v>86</v>
      </c>
      <c r="E11" s="16">
        <f>'3. Kiadások'!C24</f>
        <v>5211350</v>
      </c>
      <c r="F11" s="113"/>
    </row>
    <row r="12" spans="1:6" s="4" customFormat="1" x14ac:dyDescent="0.25">
      <c r="A12" s="10" t="s">
        <v>70</v>
      </c>
      <c r="B12" s="14">
        <f>'2.2 Működési bevételek'!C8+'2.2 Működési bevételek'!C9+'2.2 Működési bevételek'!C10+'2.2 Működési bevételek'!C13+'2.2 Működési bevételek'!C14+'2.2 Működési bevételek'!C12</f>
        <v>31135000</v>
      </c>
      <c r="C12" s="14">
        <f>'2.2 Működési bevételek'!C7</f>
        <v>1800000</v>
      </c>
      <c r="D12" s="10" t="s">
        <v>87</v>
      </c>
      <c r="E12" s="16">
        <f>'3. Kiadások'!C47</f>
        <v>30983168</v>
      </c>
      <c r="F12" s="113"/>
    </row>
    <row r="13" spans="1:6" s="4" customFormat="1" x14ac:dyDescent="0.25">
      <c r="A13" s="287" t="s">
        <v>206</v>
      </c>
      <c r="B13" s="289">
        <f>'2.2 Működési bevételek'!C43</f>
        <v>8526220</v>
      </c>
      <c r="C13" s="292"/>
      <c r="D13" s="10" t="s">
        <v>88</v>
      </c>
      <c r="E13" s="16">
        <f>'3. Kiadások'!C53</f>
        <v>5945000</v>
      </c>
      <c r="F13" s="113"/>
    </row>
    <row r="14" spans="1:6" s="4" customFormat="1" x14ac:dyDescent="0.25">
      <c r="A14" s="288"/>
      <c r="B14" s="290"/>
      <c r="C14" s="293"/>
      <c r="D14" s="10" t="s">
        <v>112</v>
      </c>
      <c r="E14" s="16">
        <f>'3. Kiadások'!C78</f>
        <v>96629898</v>
      </c>
      <c r="F14" s="113"/>
    </row>
    <row r="15" spans="1:6" s="4" customFormat="1" ht="30" x14ac:dyDescent="0.25">
      <c r="A15" s="10" t="s">
        <v>93</v>
      </c>
      <c r="B15" s="14">
        <f>'2.2 Működési bevételek'!C44</f>
        <v>500000</v>
      </c>
      <c r="C15" s="14"/>
      <c r="D15" s="10" t="s">
        <v>89</v>
      </c>
      <c r="E15" s="16">
        <f>'3. Kiadások'!C59</f>
        <v>3079542</v>
      </c>
      <c r="F15" s="113"/>
    </row>
    <row r="16" spans="1:6" s="4" customFormat="1" x14ac:dyDescent="0.25">
      <c r="A16" s="11" t="s">
        <v>95</v>
      </c>
      <c r="B16" s="15">
        <f>SUM(B10:B15)</f>
        <v>168343901</v>
      </c>
      <c r="C16" s="14"/>
      <c r="D16" s="11" t="s">
        <v>97</v>
      </c>
      <c r="E16" s="26">
        <f>SUM(E10:E15)</f>
        <v>170143901</v>
      </c>
      <c r="F16" s="113"/>
    </row>
    <row r="17" spans="1:8" s="4" customFormat="1" x14ac:dyDescent="0.25">
      <c r="A17" s="10" t="s">
        <v>679</v>
      </c>
      <c r="B17" s="113"/>
      <c r="C17" s="14">
        <f>'2.2 Működési bevételek'!C45</f>
        <v>0</v>
      </c>
      <c r="D17" s="12" t="s">
        <v>90</v>
      </c>
      <c r="E17" s="106"/>
      <c r="F17" s="17">
        <f>'3. Kiadások'!C64</f>
        <v>6000000</v>
      </c>
    </row>
    <row r="18" spans="1:8" s="4" customFormat="1" ht="31.5" customHeight="1" x14ac:dyDescent="0.25">
      <c r="A18" s="10" t="s">
        <v>680</v>
      </c>
      <c r="B18" s="113"/>
      <c r="C18" s="14">
        <f>'2.2 Működési bevételek'!C46</f>
        <v>6000000</v>
      </c>
      <c r="D18" s="12" t="s">
        <v>36</v>
      </c>
      <c r="E18" s="106"/>
      <c r="F18" s="17">
        <f>'3. Kiadások'!C69</f>
        <v>0</v>
      </c>
    </row>
    <row r="19" spans="1:8" s="4" customFormat="1" ht="39.75" customHeight="1" x14ac:dyDescent="0.25">
      <c r="A19" s="11" t="s">
        <v>94</v>
      </c>
      <c r="B19" s="113"/>
      <c r="C19" s="15">
        <f>SUM(C12:C18)</f>
        <v>7800000</v>
      </c>
      <c r="D19" s="11" t="s">
        <v>114</v>
      </c>
      <c r="E19" s="11"/>
      <c r="F19" s="26">
        <f>SUM(F17:F18)</f>
        <v>6000000</v>
      </c>
    </row>
    <row r="20" spans="1:8" s="4" customFormat="1" ht="16.5" x14ac:dyDescent="0.25">
      <c r="A20" s="13" t="s">
        <v>96</v>
      </c>
      <c r="B20" s="294">
        <f>B16+C19</f>
        <v>176143901</v>
      </c>
      <c r="C20" s="295"/>
      <c r="D20" s="13" t="s">
        <v>115</v>
      </c>
      <c r="E20" s="294">
        <f>SUM(E16+F19)</f>
        <v>176143901</v>
      </c>
      <c r="F20" s="295"/>
    </row>
    <row r="21" spans="1:8" s="4" customFormat="1" x14ac:dyDescent="0.25">
      <c r="A21"/>
      <c r="B21" s="6"/>
      <c r="C21" s="6"/>
      <c r="D21"/>
      <c r="E21"/>
      <c r="F21"/>
      <c r="H21" s="5"/>
    </row>
    <row r="22" spans="1:8" s="4" customFormat="1" x14ac:dyDescent="0.25">
      <c r="A22"/>
      <c r="B22"/>
      <c r="C22"/>
      <c r="D22"/>
      <c r="E22"/>
      <c r="F22"/>
    </row>
    <row r="23" spans="1:8" s="4" customFormat="1" x14ac:dyDescent="0.25">
      <c r="A23"/>
      <c r="B23"/>
      <c r="C23"/>
      <c r="D23"/>
      <c r="E23"/>
      <c r="F23"/>
    </row>
  </sheetData>
  <mergeCells count="10">
    <mergeCell ref="B20:C20"/>
    <mergeCell ref="E20:F20"/>
    <mergeCell ref="E6:F6"/>
    <mergeCell ref="A8:B8"/>
    <mergeCell ref="D8:F8"/>
    <mergeCell ref="A1:F1"/>
    <mergeCell ref="A13:A14"/>
    <mergeCell ref="B13:B14"/>
    <mergeCell ref="A2:F2"/>
    <mergeCell ref="C13:C1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D12" sqref="D12"/>
    </sheetView>
  </sheetViews>
  <sheetFormatPr defaultRowHeight="15" x14ac:dyDescent="0.25"/>
  <cols>
    <col min="1" max="1" width="27.7109375" customWidth="1"/>
    <col min="2" max="2" width="19.7109375" customWidth="1"/>
    <col min="3" max="3" width="17" customWidth="1"/>
    <col min="4" max="4" width="21.85546875" customWidth="1"/>
    <col min="5" max="5" width="14.28515625" customWidth="1"/>
  </cols>
  <sheetData>
    <row r="1" spans="1:4" ht="15.75" x14ac:dyDescent="0.25">
      <c r="A1" s="326" t="s">
        <v>44</v>
      </c>
      <c r="B1" s="326"/>
      <c r="C1" s="326"/>
      <c r="D1" s="326"/>
    </row>
    <row r="2" spans="1:4" x14ac:dyDescent="0.25">
      <c r="A2" s="301" t="s">
        <v>724</v>
      </c>
      <c r="B2" s="301"/>
      <c r="C2" s="301"/>
      <c r="D2" s="301"/>
    </row>
    <row r="3" spans="1:4" x14ac:dyDescent="0.25">
      <c r="A3" s="301" t="s">
        <v>167</v>
      </c>
      <c r="B3" s="301"/>
      <c r="C3" s="301"/>
      <c r="D3" s="301"/>
    </row>
    <row r="4" spans="1:4" x14ac:dyDescent="0.25">
      <c r="A4" s="7"/>
      <c r="B4" s="7"/>
      <c r="C4" s="7"/>
      <c r="D4" s="8" t="s">
        <v>194</v>
      </c>
    </row>
    <row r="5" spans="1:4" x14ac:dyDescent="0.25">
      <c r="A5" s="7"/>
      <c r="B5" s="7"/>
      <c r="C5" s="7"/>
      <c r="D5" s="8" t="s">
        <v>629</v>
      </c>
    </row>
    <row r="6" spans="1:4" x14ac:dyDescent="0.25">
      <c r="A6" s="7"/>
      <c r="B6" s="7"/>
      <c r="C6" s="7"/>
      <c r="D6" s="8"/>
    </row>
    <row r="7" spans="1:4" x14ac:dyDescent="0.25">
      <c r="A7" s="316" t="s">
        <v>152</v>
      </c>
      <c r="B7" s="316"/>
      <c r="C7" s="7"/>
      <c r="D7" s="8"/>
    </row>
    <row r="8" spans="1:4" x14ac:dyDescent="0.25">
      <c r="A8" s="7"/>
      <c r="B8" s="7"/>
      <c r="C8" s="7"/>
      <c r="D8" s="8"/>
    </row>
    <row r="9" spans="1:4" x14ac:dyDescent="0.25">
      <c r="A9" s="52" t="s">
        <v>5</v>
      </c>
      <c r="B9" s="50">
        <f>'4.1 Óvoda'!C19</f>
        <v>27418192</v>
      </c>
      <c r="C9" s="7"/>
      <c r="D9" s="8"/>
    </row>
    <row r="10" spans="1:4" ht="30" x14ac:dyDescent="0.25">
      <c r="A10" s="52" t="s">
        <v>6</v>
      </c>
      <c r="B10" s="50">
        <f>'4.1 Óvoda'!C25</f>
        <v>6425091</v>
      </c>
      <c r="C10" s="7"/>
      <c r="D10" s="8"/>
    </row>
    <row r="11" spans="1:4" x14ac:dyDescent="0.25">
      <c r="A11" s="52" t="s">
        <v>150</v>
      </c>
      <c r="B11" s="50">
        <f>'4.1 Óvoda'!C43</f>
        <v>20043567</v>
      </c>
      <c r="C11" s="7"/>
      <c r="D11" s="8"/>
    </row>
    <row r="12" spans="1:4" x14ac:dyDescent="0.25">
      <c r="A12" s="52" t="s">
        <v>420</v>
      </c>
      <c r="B12" s="50">
        <f>'4.1 Óvoda'!C44</f>
        <v>0</v>
      </c>
      <c r="C12" s="7"/>
      <c r="D12" s="219"/>
    </row>
    <row r="13" spans="1:4" x14ac:dyDescent="0.25">
      <c r="A13" s="52" t="s">
        <v>31</v>
      </c>
      <c r="B13" s="50">
        <f>'4.1 Óvoda'!C47</f>
        <v>3960000</v>
      </c>
      <c r="C13" s="7"/>
      <c r="D13" s="137"/>
    </row>
    <row r="14" spans="1:4" ht="15.75" x14ac:dyDescent="0.25">
      <c r="A14" s="48" t="s">
        <v>43</v>
      </c>
      <c r="B14" s="48">
        <f>SUM(B9:B13)</f>
        <v>57846850</v>
      </c>
      <c r="C14" s="7"/>
      <c r="D14" s="8"/>
    </row>
    <row r="15" spans="1:4" x14ac:dyDescent="0.25">
      <c r="A15" s="7"/>
      <c r="B15" s="7"/>
      <c r="C15" s="7"/>
      <c r="D15" s="7"/>
    </row>
    <row r="16" spans="1:4" x14ac:dyDescent="0.25">
      <c r="A16" s="316" t="s">
        <v>85</v>
      </c>
      <c r="B16" s="316"/>
      <c r="C16" s="65"/>
      <c r="D16" s="65"/>
    </row>
    <row r="17" spans="1:13" x14ac:dyDescent="0.25">
      <c r="A17" s="61"/>
      <c r="B17" s="61"/>
      <c r="C17" s="61"/>
      <c r="D17" s="61"/>
    </row>
    <row r="18" spans="1:13" ht="15.75" x14ac:dyDescent="0.25">
      <c r="A18" s="47" t="s">
        <v>45</v>
      </c>
      <c r="B18" s="47" t="s">
        <v>161</v>
      </c>
      <c r="C18" s="47" t="s">
        <v>45</v>
      </c>
      <c r="D18" s="136" t="s">
        <v>0</v>
      </c>
      <c r="E18" s="129" t="s">
        <v>336</v>
      </c>
    </row>
    <row r="19" spans="1:13" x14ac:dyDescent="0.25">
      <c r="A19" s="21" t="s">
        <v>158</v>
      </c>
      <c r="B19" s="55">
        <v>17948104</v>
      </c>
      <c r="C19" s="55">
        <v>3500</v>
      </c>
      <c r="D19" s="216">
        <f>D25</f>
        <v>21882898</v>
      </c>
      <c r="E19" s="55">
        <f>D19-B19-C19</f>
        <v>3931294</v>
      </c>
    </row>
    <row r="20" spans="1:13" x14ac:dyDescent="0.25">
      <c r="A20" s="21" t="s">
        <v>159</v>
      </c>
      <c r="B20" s="55">
        <v>11764005</v>
      </c>
      <c r="C20" s="55">
        <v>0</v>
      </c>
      <c r="D20" s="216">
        <f t="shared" ref="D20:D21" si="0">D26</f>
        <v>15162527</v>
      </c>
      <c r="E20" s="55">
        <f t="shared" ref="E20:E22" si="1">D20-B20-C20</f>
        <v>3398522</v>
      </c>
    </row>
    <row r="21" spans="1:13" x14ac:dyDescent="0.25">
      <c r="A21" s="21" t="s">
        <v>160</v>
      </c>
      <c r="B21" s="55">
        <v>5828691</v>
      </c>
      <c r="C21" s="55">
        <v>0</v>
      </c>
      <c r="D21" s="216">
        <f t="shared" si="0"/>
        <v>8390660</v>
      </c>
      <c r="E21" s="55">
        <f t="shared" si="1"/>
        <v>2561969</v>
      </c>
    </row>
    <row r="22" spans="1:13" x14ac:dyDescent="0.25">
      <c r="A22" s="43" t="s">
        <v>141</v>
      </c>
      <c r="B22" s="58">
        <f>SUM(B19:B21)</f>
        <v>35540800</v>
      </c>
      <c r="C22" s="58">
        <f>SUM(C19:C21)</f>
        <v>3500</v>
      </c>
      <c r="D22" s="58">
        <f t="shared" ref="D22" si="2">SUM(D19:D21)</f>
        <v>45436085</v>
      </c>
      <c r="E22" s="78">
        <f t="shared" si="1"/>
        <v>9891785</v>
      </c>
    </row>
    <row r="23" spans="1:13" x14ac:dyDescent="0.25">
      <c r="A23" s="7"/>
      <c r="B23" s="7"/>
      <c r="C23" s="7"/>
      <c r="D23" s="7"/>
    </row>
    <row r="24" spans="1:13" x14ac:dyDescent="0.25">
      <c r="A24" s="59" t="s">
        <v>0</v>
      </c>
      <c r="B24" s="59" t="s">
        <v>162</v>
      </c>
      <c r="C24" s="59" t="s">
        <v>163</v>
      </c>
      <c r="D24" s="59" t="s">
        <v>141</v>
      </c>
    </row>
    <row r="25" spans="1:13" x14ac:dyDescent="0.25">
      <c r="A25" s="21" t="s">
        <v>158</v>
      </c>
      <c r="B25" s="21">
        <f>'4.2.1 Szakmár'!C42</f>
        <v>19023307</v>
      </c>
      <c r="C25" s="55">
        <v>2859591</v>
      </c>
      <c r="D25" s="55">
        <f>SUM(B25:C25)</f>
        <v>21882898</v>
      </c>
    </row>
    <row r="26" spans="1:13" x14ac:dyDescent="0.25">
      <c r="A26" s="21" t="s">
        <v>159</v>
      </c>
      <c r="B26" s="21">
        <f>'4.2.2 Öregcsertő'!C42</f>
        <v>13288221</v>
      </c>
      <c r="C26" s="55">
        <v>1874306</v>
      </c>
      <c r="D26" s="55">
        <f t="shared" ref="D26:D27" si="3">SUM(B26:C26)</f>
        <v>15162527</v>
      </c>
    </row>
    <row r="27" spans="1:13" x14ac:dyDescent="0.25">
      <c r="A27" s="21" t="s">
        <v>160</v>
      </c>
      <c r="B27" s="21">
        <f>'4.2.3 Újtelek'!C42</f>
        <v>7462000</v>
      </c>
      <c r="C27" s="55">
        <v>928660</v>
      </c>
      <c r="D27" s="55">
        <f t="shared" si="3"/>
        <v>8390660</v>
      </c>
    </row>
    <row r="28" spans="1:13" ht="15.75" x14ac:dyDescent="0.25">
      <c r="A28" s="25" t="s">
        <v>141</v>
      </c>
      <c r="B28" s="25">
        <f>SUM(B25:B27)</f>
        <v>39773528</v>
      </c>
      <c r="C28" s="25">
        <f t="shared" ref="C28:D28" si="4">SUM(C25:C27)</f>
        <v>5662557</v>
      </c>
      <c r="D28" s="25">
        <f t="shared" si="4"/>
        <v>45436085</v>
      </c>
    </row>
    <row r="29" spans="1:13" x14ac:dyDescent="0.25">
      <c r="A29" s="7"/>
      <c r="B29" s="7"/>
      <c r="C29" s="7"/>
      <c r="D29" s="7"/>
    </row>
    <row r="30" spans="1:13" x14ac:dyDescent="0.25">
      <c r="A30" s="60" t="s">
        <v>191</v>
      </c>
      <c r="B30" s="45" t="s">
        <v>193</v>
      </c>
      <c r="C30" s="45" t="s">
        <v>192</v>
      </c>
      <c r="D30" s="7"/>
    </row>
    <row r="31" spans="1:13" x14ac:dyDescent="0.25">
      <c r="A31" s="21" t="s">
        <v>158</v>
      </c>
      <c r="B31" s="21">
        <v>1228</v>
      </c>
      <c r="C31" s="135">
        <f>B31/B34*100</f>
        <v>50.472667488697084</v>
      </c>
      <c r="H31" s="7">
        <v>35540800</v>
      </c>
      <c r="I31">
        <v>5</v>
      </c>
      <c r="J31">
        <f>I31/10</f>
        <v>0.5</v>
      </c>
      <c r="K31">
        <v>16850</v>
      </c>
      <c r="L31">
        <f>5100*J31</f>
        <v>2550</v>
      </c>
      <c r="M31">
        <f>SUM(K31:L31)</f>
        <v>19400</v>
      </c>
    </row>
    <row r="32" spans="1:13" x14ac:dyDescent="0.25">
      <c r="A32" s="21" t="s">
        <v>159</v>
      </c>
      <c r="B32" s="21">
        <v>805</v>
      </c>
      <c r="C32" s="135">
        <f>B32/B34*100</f>
        <v>33.086724208795729</v>
      </c>
      <c r="H32" s="7">
        <v>5943000</v>
      </c>
      <c r="I32">
        <v>3</v>
      </c>
      <c r="J32">
        <f t="shared" ref="J32:J33" si="5">I32/10</f>
        <v>0.3</v>
      </c>
      <c r="K32">
        <v>10230</v>
      </c>
      <c r="L32">
        <f t="shared" ref="L32:L33" si="6">5100*J32</f>
        <v>1530</v>
      </c>
      <c r="M32">
        <f t="shared" ref="M32:M33" si="7">SUM(K32:L32)</f>
        <v>11760</v>
      </c>
    </row>
    <row r="33" spans="1:13" x14ac:dyDescent="0.25">
      <c r="A33" s="21" t="s">
        <v>160</v>
      </c>
      <c r="B33" s="21">
        <v>400</v>
      </c>
      <c r="C33" s="135">
        <f>B33/B34*100</f>
        <v>16.440608302507194</v>
      </c>
      <c r="D33" s="7"/>
      <c r="I33">
        <v>2</v>
      </c>
      <c r="J33">
        <f t="shared" si="5"/>
        <v>0.2</v>
      </c>
      <c r="K33">
        <v>6400</v>
      </c>
      <c r="L33">
        <f t="shared" si="6"/>
        <v>1020</v>
      </c>
      <c r="M33">
        <f t="shared" si="7"/>
        <v>7420</v>
      </c>
    </row>
    <row r="34" spans="1:13" x14ac:dyDescent="0.25">
      <c r="A34" s="21" t="s">
        <v>141</v>
      </c>
      <c r="B34" s="21">
        <f>SUM(B31:B33)</f>
        <v>2433</v>
      </c>
      <c r="C34" s="57">
        <f>SUM(C31:C33)</f>
        <v>100</v>
      </c>
      <c r="D34" s="7"/>
      <c r="I34">
        <f>SUM(I31:I33)</f>
        <v>10</v>
      </c>
      <c r="J34">
        <f>SUM(J31:J33)</f>
        <v>1</v>
      </c>
      <c r="K34">
        <f>SUM(K31:K33)</f>
        <v>33480</v>
      </c>
      <c r="L34">
        <f>SUM(L31:L33)</f>
        <v>5100</v>
      </c>
      <c r="M34">
        <f>SUM(M31:M33)</f>
        <v>38580</v>
      </c>
    </row>
    <row r="35" spans="1:13" x14ac:dyDescent="0.25">
      <c r="A35" s="7"/>
      <c r="B35" s="7"/>
      <c r="C35" s="7"/>
      <c r="D35" s="7"/>
    </row>
    <row r="36" spans="1:13" x14ac:dyDescent="0.25">
      <c r="A36" s="72" t="s">
        <v>655</v>
      </c>
    </row>
  </sheetData>
  <mergeCells count="5">
    <mergeCell ref="A1:D1"/>
    <mergeCell ref="A2:D2"/>
    <mergeCell ref="A7:B7"/>
    <mergeCell ref="A16:B16"/>
    <mergeCell ref="A3:D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3" workbookViewId="0">
      <selection sqref="A1:C64"/>
    </sheetView>
  </sheetViews>
  <sheetFormatPr defaultRowHeight="15" x14ac:dyDescent="0.25"/>
  <cols>
    <col min="2" max="2" width="53.7109375" customWidth="1"/>
    <col min="3" max="3" width="19.28515625" customWidth="1"/>
  </cols>
  <sheetData>
    <row r="1" spans="1:3" x14ac:dyDescent="0.25">
      <c r="A1" s="151"/>
      <c r="B1" s="327" t="s">
        <v>152</v>
      </c>
      <c r="C1" s="327"/>
    </row>
    <row r="2" spans="1:3" x14ac:dyDescent="0.25">
      <c r="A2" s="151"/>
      <c r="B2" s="328" t="s">
        <v>706</v>
      </c>
      <c r="C2" s="328"/>
    </row>
    <row r="3" spans="1:3" x14ac:dyDescent="0.25">
      <c r="A3" s="151"/>
      <c r="B3" s="327" t="s">
        <v>742</v>
      </c>
      <c r="C3" s="327"/>
    </row>
    <row r="4" spans="1:3" x14ac:dyDescent="0.25">
      <c r="A4" s="151"/>
      <c r="B4" s="49"/>
      <c r="C4" s="49"/>
    </row>
    <row r="5" spans="1:3" x14ac:dyDescent="0.25">
      <c r="A5" s="151"/>
      <c r="B5" s="49"/>
      <c r="C5" s="53" t="s">
        <v>183</v>
      </c>
    </row>
    <row r="6" spans="1:3" x14ac:dyDescent="0.25">
      <c r="A6" s="151"/>
      <c r="B6" s="49"/>
      <c r="C6" s="51" t="s">
        <v>613</v>
      </c>
    </row>
    <row r="7" spans="1:3" x14ac:dyDescent="0.25">
      <c r="A7" s="131"/>
      <c r="B7" s="228" t="s">
        <v>1</v>
      </c>
      <c r="C7" s="228" t="s">
        <v>461</v>
      </c>
    </row>
    <row r="8" spans="1:3" x14ac:dyDescent="0.25">
      <c r="A8" s="131" t="s">
        <v>292</v>
      </c>
      <c r="B8" s="16" t="s">
        <v>3</v>
      </c>
      <c r="C8" s="21">
        <f>'4.1.1 Köznevelés'!C8+'4.1.2 Konyha'!C8</f>
        <v>24794736</v>
      </c>
    </row>
    <row r="9" spans="1:3" x14ac:dyDescent="0.25">
      <c r="A9" s="131" t="s">
        <v>394</v>
      </c>
      <c r="B9" s="16" t="s">
        <v>688</v>
      </c>
      <c r="C9" s="21">
        <f>'4.1.1 Köznevelés'!C9+'4.1.2 Konyha'!C9</f>
        <v>0</v>
      </c>
    </row>
    <row r="10" spans="1:3" x14ac:dyDescent="0.25">
      <c r="A10" s="131" t="s">
        <v>528</v>
      </c>
      <c r="B10" s="16" t="s">
        <v>482</v>
      </c>
      <c r="C10" s="21">
        <f>'4.1.1 Köznevelés'!C10+'4.1.2 Konyha'!C10</f>
        <v>1328406</v>
      </c>
    </row>
    <row r="11" spans="1:3" x14ac:dyDescent="0.25">
      <c r="A11" s="131" t="s">
        <v>295</v>
      </c>
      <c r="B11" s="16" t="s">
        <v>151</v>
      </c>
      <c r="C11" s="21">
        <f>'4.1.1 Köznevelés'!C11+'4.1.2 Konyha'!C11</f>
        <v>745050</v>
      </c>
    </row>
    <row r="12" spans="1:3" x14ac:dyDescent="0.25">
      <c r="A12" s="131" t="s">
        <v>296</v>
      </c>
      <c r="B12" s="16" t="s">
        <v>4</v>
      </c>
      <c r="C12" s="21">
        <f>'4.1.1 Köznevelés'!C12+'4.1.2 Konyha'!C12</f>
        <v>200000</v>
      </c>
    </row>
    <row r="13" spans="1:3" x14ac:dyDescent="0.25">
      <c r="A13" s="131" t="s">
        <v>650</v>
      </c>
      <c r="B13" s="16" t="s">
        <v>334</v>
      </c>
      <c r="C13" s="21">
        <f>'4.1.1 Köznevelés'!C13+'4.1.2 Konyha'!C13</f>
        <v>200000</v>
      </c>
    </row>
    <row r="14" spans="1:3" x14ac:dyDescent="0.25">
      <c r="A14" s="132" t="s">
        <v>297</v>
      </c>
      <c r="B14" s="36" t="s">
        <v>5</v>
      </c>
      <c r="C14" s="23">
        <f>'4.1.1 Köznevelés'!C14+'4.1.2 Konyha'!C14</f>
        <v>27268192</v>
      </c>
    </row>
    <row r="15" spans="1:3" x14ac:dyDescent="0.25">
      <c r="A15" s="131" t="s">
        <v>298</v>
      </c>
      <c r="B15" s="32" t="s">
        <v>21</v>
      </c>
      <c r="C15" s="21">
        <f>'4.1.1 Köznevelés'!C15+'4.1.2 Konyha'!C15</f>
        <v>0</v>
      </c>
    </row>
    <row r="16" spans="1:3" x14ac:dyDescent="0.25">
      <c r="A16" s="131" t="s">
        <v>299</v>
      </c>
      <c r="B16" s="32" t="s">
        <v>323</v>
      </c>
      <c r="C16" s="21">
        <f>'4.1.1 Köznevelés'!C16+'4.1.2 Konyha'!C16</f>
        <v>150000</v>
      </c>
    </row>
    <row r="17" spans="1:3" x14ac:dyDescent="0.25">
      <c r="A17" s="131" t="s">
        <v>300</v>
      </c>
      <c r="B17" s="32" t="s">
        <v>324</v>
      </c>
      <c r="C17" s="21">
        <f>'4.1.1 Köznevelés'!C17+'4.1.2 Konyha'!C17</f>
        <v>0</v>
      </c>
    </row>
    <row r="18" spans="1:3" x14ac:dyDescent="0.25">
      <c r="A18" s="132" t="s">
        <v>301</v>
      </c>
      <c r="B18" s="36" t="s">
        <v>22</v>
      </c>
      <c r="C18" s="23">
        <f>'4.1.1 Köznevelés'!C18+'4.1.2 Konyha'!C18</f>
        <v>150000</v>
      </c>
    </row>
    <row r="19" spans="1:3" x14ac:dyDescent="0.25">
      <c r="A19" s="133" t="s">
        <v>302</v>
      </c>
      <c r="B19" s="33" t="s">
        <v>5</v>
      </c>
      <c r="C19" s="21">
        <f>'4.1.1 Köznevelés'!C19+'4.1.2 Konyha'!C19</f>
        <v>27418192</v>
      </c>
    </row>
    <row r="20" spans="1:3" x14ac:dyDescent="0.25">
      <c r="A20" s="131" t="s">
        <v>303</v>
      </c>
      <c r="B20" s="32" t="s">
        <v>325</v>
      </c>
      <c r="C20" s="21">
        <f>'4.1.1 Köznevelés'!C20+'4.1.2 Konyha'!C20</f>
        <v>5802091</v>
      </c>
    </row>
    <row r="21" spans="1:3" x14ac:dyDescent="0.25">
      <c r="A21" s="131" t="s">
        <v>304</v>
      </c>
      <c r="B21" s="32" t="s">
        <v>326</v>
      </c>
      <c r="C21" s="21">
        <f>'4.1.1 Köznevelés'!C21+'4.1.2 Konyha'!C21</f>
        <v>0</v>
      </c>
    </row>
    <row r="22" spans="1:3" x14ac:dyDescent="0.25">
      <c r="A22" s="131" t="s">
        <v>305</v>
      </c>
      <c r="B22" s="32" t="s">
        <v>327</v>
      </c>
      <c r="C22" s="21">
        <f>'4.1.1 Köznevelés'!C22+'4.1.2 Konyha'!C22</f>
        <v>135000</v>
      </c>
    </row>
    <row r="23" spans="1:3" x14ac:dyDescent="0.25">
      <c r="A23" s="131" t="s">
        <v>328</v>
      </c>
      <c r="B23" s="32" t="s">
        <v>329</v>
      </c>
      <c r="C23" s="21">
        <f>'4.1.1 Köznevelés'!C23+'4.1.2 Konyha'!C23</f>
        <v>350000</v>
      </c>
    </row>
    <row r="24" spans="1:3" x14ac:dyDescent="0.25">
      <c r="A24" s="131" t="s">
        <v>306</v>
      </c>
      <c r="B24" s="32" t="s">
        <v>330</v>
      </c>
      <c r="C24" s="21">
        <f>'4.1.1 Köznevelés'!C24+'4.1.2 Konyha'!C24</f>
        <v>138000</v>
      </c>
    </row>
    <row r="25" spans="1:3" x14ac:dyDescent="0.25">
      <c r="A25" s="133" t="s">
        <v>307</v>
      </c>
      <c r="B25" s="38" t="s">
        <v>331</v>
      </c>
      <c r="C25" s="21">
        <f>'4.1.1 Köznevelés'!C25+'4.1.2 Konyha'!C25</f>
        <v>6425091</v>
      </c>
    </row>
    <row r="26" spans="1:3" x14ac:dyDescent="0.25">
      <c r="A26" s="131" t="s">
        <v>332</v>
      </c>
      <c r="B26" s="134" t="s">
        <v>7</v>
      </c>
      <c r="C26" s="21">
        <f>'4.1.1 Köznevelés'!C26+'4.1.2 Konyha'!C26</f>
        <v>65000</v>
      </c>
    </row>
    <row r="27" spans="1:3" x14ac:dyDescent="0.25">
      <c r="A27" s="131" t="s">
        <v>308</v>
      </c>
      <c r="B27" s="134" t="s">
        <v>684</v>
      </c>
      <c r="C27" s="21">
        <f>'4.1.1 Köznevelés'!C27+'4.1.2 Konyha'!C27</f>
        <v>10000000</v>
      </c>
    </row>
    <row r="28" spans="1:3" x14ac:dyDescent="0.25">
      <c r="A28" s="131" t="s">
        <v>308</v>
      </c>
      <c r="B28" s="16" t="s">
        <v>685</v>
      </c>
      <c r="C28" s="21">
        <f>'4.1.1 Köznevelés'!C28+'4.1.2 Konyha'!C28</f>
        <v>1963000</v>
      </c>
    </row>
    <row r="29" spans="1:3" x14ac:dyDescent="0.25">
      <c r="A29" s="132" t="s">
        <v>309</v>
      </c>
      <c r="B29" s="36" t="s">
        <v>9</v>
      </c>
      <c r="C29" s="23">
        <f>'4.1.1 Köznevelés'!C29+'4.1.2 Konyha'!C29</f>
        <v>12028000</v>
      </c>
    </row>
    <row r="30" spans="1:3" x14ac:dyDescent="0.25">
      <c r="A30" s="131" t="s">
        <v>310</v>
      </c>
      <c r="B30" s="32" t="s">
        <v>10</v>
      </c>
      <c r="C30" s="21">
        <f>'4.1.1 Köznevelés'!C30+'4.1.2 Konyha'!C30</f>
        <v>150000</v>
      </c>
    </row>
    <row r="31" spans="1:3" x14ac:dyDescent="0.25">
      <c r="A31" s="131" t="s">
        <v>311</v>
      </c>
      <c r="B31" s="32" t="s">
        <v>11</v>
      </c>
      <c r="C31" s="21">
        <f>'4.1.1 Köznevelés'!C31+'4.1.2 Konyha'!C31</f>
        <v>120000</v>
      </c>
    </row>
    <row r="32" spans="1:3" x14ac:dyDescent="0.25">
      <c r="A32" s="132" t="s">
        <v>312</v>
      </c>
      <c r="B32" s="36" t="s">
        <v>12</v>
      </c>
      <c r="C32" s="23">
        <f>'4.1.1 Köznevelés'!C32+'4.1.2 Konyha'!C32</f>
        <v>270000</v>
      </c>
    </row>
    <row r="33" spans="1:5" x14ac:dyDescent="0.25">
      <c r="A33" s="131" t="s">
        <v>313</v>
      </c>
      <c r="B33" s="32" t="s">
        <v>13</v>
      </c>
      <c r="C33" s="21">
        <f>'4.1.1 Köznevelés'!C33+'4.1.2 Konyha'!C33</f>
        <v>1911000</v>
      </c>
    </row>
    <row r="34" spans="1:5" x14ac:dyDescent="0.25">
      <c r="A34" s="131" t="s">
        <v>400</v>
      </c>
      <c r="B34" s="16" t="s">
        <v>14</v>
      </c>
      <c r="C34" s="21">
        <f>'4.1.1 Köznevelés'!C34+'4.1.2 Konyha'!C34</f>
        <v>0</v>
      </c>
    </row>
    <row r="35" spans="1:5" x14ac:dyDescent="0.25">
      <c r="A35" s="131" t="s">
        <v>314</v>
      </c>
      <c r="B35" s="16" t="s">
        <v>335</v>
      </c>
      <c r="C35" s="21">
        <f>'4.1.1 Köznevelés'!C35+'4.1.2 Konyha'!C35</f>
        <v>400000</v>
      </c>
    </row>
    <row r="36" spans="1:5" x14ac:dyDescent="0.25">
      <c r="A36" s="131" t="s">
        <v>686</v>
      </c>
      <c r="B36" s="16" t="s">
        <v>687</v>
      </c>
      <c r="C36" s="21">
        <f>'4.1.1 Köznevelés'!C36+'4.1.2 Konyha'!C36</f>
        <v>0</v>
      </c>
    </row>
    <row r="37" spans="1:5" x14ac:dyDescent="0.25">
      <c r="A37" s="131" t="s">
        <v>651</v>
      </c>
      <c r="B37" s="16" t="s">
        <v>15</v>
      </c>
      <c r="C37" s="21">
        <f>'4.1.1 Köznevelés'!C37+'4.1.2 Konyha'!C37</f>
        <v>1400000</v>
      </c>
    </row>
    <row r="38" spans="1:5" x14ac:dyDescent="0.25">
      <c r="A38" s="132" t="s">
        <v>315</v>
      </c>
      <c r="B38" s="36" t="s">
        <v>16</v>
      </c>
      <c r="C38" s="23">
        <f>'4.1.1 Köznevelés'!C38+'4.1.2 Konyha'!C38</f>
        <v>3711000</v>
      </c>
    </row>
    <row r="39" spans="1:5" x14ac:dyDescent="0.25">
      <c r="A39" s="132" t="s">
        <v>316</v>
      </c>
      <c r="B39" s="36" t="s">
        <v>154</v>
      </c>
      <c r="C39" s="23">
        <f>'4.1.1 Köznevelés'!C39+'4.1.2 Konyha'!C39</f>
        <v>10000</v>
      </c>
    </row>
    <row r="40" spans="1:5" x14ac:dyDescent="0.25">
      <c r="A40" s="131" t="s">
        <v>317</v>
      </c>
      <c r="B40" s="32" t="s">
        <v>322</v>
      </c>
      <c r="C40" s="21">
        <f>'4.1.1 Köznevelés'!C40+'4.1.2 Konyha'!C40</f>
        <v>4012830</v>
      </c>
    </row>
    <row r="41" spans="1:5" x14ac:dyDescent="0.25">
      <c r="A41" s="131" t="s">
        <v>319</v>
      </c>
      <c r="B41" s="32" t="s">
        <v>320</v>
      </c>
      <c r="C41" s="21">
        <f>'4.1.1 Köznevelés'!C41+'4.1.2 Konyha'!C41</f>
        <v>11737</v>
      </c>
    </row>
    <row r="42" spans="1:5" x14ac:dyDescent="0.25">
      <c r="A42" s="132" t="s">
        <v>321</v>
      </c>
      <c r="B42" s="36" t="s">
        <v>320</v>
      </c>
      <c r="C42" s="23">
        <f>'4.1.1 Köznevelés'!C42+'4.1.2 Konyha'!C42</f>
        <v>4024567</v>
      </c>
    </row>
    <row r="43" spans="1:5" x14ac:dyDescent="0.25">
      <c r="A43" s="133" t="s">
        <v>318</v>
      </c>
      <c r="B43" s="33" t="s">
        <v>150</v>
      </c>
      <c r="C43" s="21">
        <f>'4.1.1 Köznevelés'!C43+'4.1.2 Konyha'!C43</f>
        <v>20043567</v>
      </c>
    </row>
    <row r="44" spans="1:5" x14ac:dyDescent="0.25">
      <c r="A44" s="133" t="s">
        <v>455</v>
      </c>
      <c r="B44" s="33" t="s">
        <v>420</v>
      </c>
      <c r="C44" s="21">
        <f>'4.1.1 Köznevelés'!C44+'4.1.2 Konyha'!C44</f>
        <v>0</v>
      </c>
    </row>
    <row r="45" spans="1:5" x14ac:dyDescent="0.25">
      <c r="A45" s="131" t="s">
        <v>424</v>
      </c>
      <c r="B45" s="32" t="s">
        <v>425</v>
      </c>
      <c r="C45" s="21">
        <f>'4.1.1 Köznevelés'!C45+'4.1.2 Konyha'!C45</f>
        <v>3118110</v>
      </c>
    </row>
    <row r="46" spans="1:5" x14ac:dyDescent="0.25">
      <c r="A46" s="131" t="s">
        <v>426</v>
      </c>
      <c r="B46" s="32" t="s">
        <v>462</v>
      </c>
      <c r="C46" s="21">
        <f>'4.1.1 Köznevelés'!C46+'4.1.2 Konyha'!C46</f>
        <v>841890</v>
      </c>
    </row>
    <row r="47" spans="1:5" x14ac:dyDescent="0.25">
      <c r="A47" s="133" t="s">
        <v>463</v>
      </c>
      <c r="B47" s="33" t="s">
        <v>464</v>
      </c>
      <c r="C47" s="21">
        <f>'4.1.1 Köznevelés'!C47+'4.1.2 Konyha'!C47</f>
        <v>3960000</v>
      </c>
    </row>
    <row r="48" spans="1:5" x14ac:dyDescent="0.25">
      <c r="A48" s="131"/>
      <c r="B48" s="33" t="s">
        <v>149</v>
      </c>
      <c r="C48" s="21">
        <f>'4.1.1 Köznevelés'!C48+'4.1.2 Konyha'!C48</f>
        <v>57846850</v>
      </c>
      <c r="E48">
        <f>C19+C25+C43+C44+C47</f>
        <v>57846850</v>
      </c>
    </row>
    <row r="49" spans="1:3" x14ac:dyDescent="0.25">
      <c r="A49" s="230"/>
      <c r="B49" s="231"/>
      <c r="C49" s="66"/>
    </row>
    <row r="50" spans="1:3" x14ac:dyDescent="0.25">
      <c r="A50" s="151"/>
      <c r="B50" s="151"/>
      <c r="C50" s="151"/>
    </row>
    <row r="51" spans="1:3" x14ac:dyDescent="0.25">
      <c r="A51" s="131" t="s">
        <v>365</v>
      </c>
      <c r="B51" s="32" t="s">
        <v>71</v>
      </c>
      <c r="C51" s="131">
        <f>'4.1.1 Köznevelés'!C51+'4.1.2 Konyha'!C51</f>
        <v>2300000</v>
      </c>
    </row>
    <row r="52" spans="1:3" x14ac:dyDescent="0.25">
      <c r="A52" s="131" t="s">
        <v>379</v>
      </c>
      <c r="B52" s="32" t="s">
        <v>78</v>
      </c>
      <c r="C52" s="131">
        <f>'4.1.1 Köznevelés'!C52+'4.1.2 Konyha'!C52</f>
        <v>3700000</v>
      </c>
    </row>
    <row r="53" spans="1:3" x14ac:dyDescent="0.25">
      <c r="A53" s="142" t="s">
        <v>382</v>
      </c>
      <c r="B53" s="232" t="s">
        <v>721</v>
      </c>
      <c r="C53" s="131">
        <f>'4.1.1 Köznevelés'!C53+'4.1.2 Konyha'!C53</f>
        <v>1620000</v>
      </c>
    </row>
    <row r="54" spans="1:3" x14ac:dyDescent="0.25">
      <c r="A54" s="142" t="s">
        <v>383</v>
      </c>
      <c r="B54" s="232" t="s">
        <v>384</v>
      </c>
      <c r="C54" s="131">
        <f>'4.1.1 Köznevelés'!C54+'4.1.2 Konyha'!C54</f>
        <v>2655000</v>
      </c>
    </row>
    <row r="55" spans="1:3" x14ac:dyDescent="0.25">
      <c r="A55" s="142"/>
      <c r="B55" s="232"/>
      <c r="C55" s="131">
        <v>2000</v>
      </c>
    </row>
    <row r="56" spans="1:3" x14ac:dyDescent="0.25">
      <c r="A56" s="142" t="s">
        <v>545</v>
      </c>
      <c r="B56" s="232" t="s">
        <v>389</v>
      </c>
      <c r="C56" s="131">
        <f>'4.1.1 Köznevelés'!C55+'4.1.2 Konyha'!C55</f>
        <v>10000</v>
      </c>
    </row>
    <row r="57" spans="1:3" x14ac:dyDescent="0.25">
      <c r="A57" s="233" t="s">
        <v>390</v>
      </c>
      <c r="B57" s="234" t="s">
        <v>80</v>
      </c>
      <c r="C57" s="131">
        <f>'4.1.1 Köznevelés'!C56+'4.1.2 Konyha'!C56</f>
        <v>10285000</v>
      </c>
    </row>
    <row r="58" spans="1:3" x14ac:dyDescent="0.25">
      <c r="A58" s="233" t="s">
        <v>542</v>
      </c>
      <c r="B58" s="234" t="s">
        <v>453</v>
      </c>
      <c r="C58" s="131">
        <f>'4.1.1 Köznevelés'!C57+'4.1.2 Konyha'!C57</f>
        <v>150000</v>
      </c>
    </row>
    <row r="59" spans="1:3" x14ac:dyDescent="0.25">
      <c r="A59" s="329" t="s">
        <v>589</v>
      </c>
      <c r="B59" s="329" t="s">
        <v>722</v>
      </c>
      <c r="C59" s="332">
        <v>47409850</v>
      </c>
    </row>
    <row r="60" spans="1:3" x14ac:dyDescent="0.25">
      <c r="A60" s="330"/>
      <c r="B60" s="330"/>
      <c r="C60" s="333"/>
    </row>
    <row r="61" spans="1:3" x14ac:dyDescent="0.25">
      <c r="A61" s="330"/>
      <c r="B61" s="330"/>
      <c r="C61" s="333"/>
    </row>
    <row r="62" spans="1:3" x14ac:dyDescent="0.25">
      <c r="A62" s="330"/>
      <c r="B62" s="330"/>
      <c r="C62" s="333"/>
    </row>
    <row r="63" spans="1:3" x14ac:dyDescent="0.25">
      <c r="A63" s="331"/>
      <c r="B63" s="331"/>
      <c r="C63" s="334"/>
    </row>
    <row r="64" spans="1:3" x14ac:dyDescent="0.25">
      <c r="A64" s="235"/>
      <c r="B64" s="133" t="s">
        <v>590</v>
      </c>
      <c r="C64" s="131">
        <f>'4.1.1 Köznevelés'!C63+'4.1.2 Konyha'!C63</f>
        <v>57846850</v>
      </c>
    </row>
    <row r="65" spans="3:3" x14ac:dyDescent="0.25">
      <c r="C65">
        <f>C48-C64</f>
        <v>0</v>
      </c>
    </row>
  </sheetData>
  <mergeCells count="6">
    <mergeCell ref="B1:C1"/>
    <mergeCell ref="B2:C2"/>
    <mergeCell ref="B3:C3"/>
    <mergeCell ref="A59:A63"/>
    <mergeCell ref="B59:B63"/>
    <mergeCell ref="C59:C6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sqref="A1:C63"/>
    </sheetView>
  </sheetViews>
  <sheetFormatPr defaultRowHeight="15" x14ac:dyDescent="0.25"/>
  <cols>
    <col min="2" max="2" width="53.7109375" customWidth="1"/>
    <col min="3" max="3" width="19.28515625" customWidth="1"/>
    <col min="6" max="6" width="13.140625" customWidth="1"/>
    <col min="7" max="7" width="12.5703125" customWidth="1"/>
    <col min="8" max="8" width="10.5703125" bestFit="1" customWidth="1"/>
    <col min="9" max="9" width="11.5703125" customWidth="1"/>
    <col min="11" max="11" width="11.7109375" customWidth="1"/>
    <col min="12" max="12" width="9.5703125" bestFit="1" customWidth="1"/>
    <col min="14" max="14" width="9.5703125" bestFit="1" customWidth="1"/>
  </cols>
  <sheetData>
    <row r="1" spans="1:15" ht="16.5" customHeight="1" x14ac:dyDescent="0.25">
      <c r="A1" s="151"/>
      <c r="B1" s="327" t="s">
        <v>152</v>
      </c>
      <c r="C1" s="327"/>
    </row>
    <row r="2" spans="1:15" ht="16.5" customHeight="1" x14ac:dyDescent="0.25">
      <c r="A2" s="151"/>
      <c r="B2" s="328" t="s">
        <v>706</v>
      </c>
      <c r="C2" s="328"/>
    </row>
    <row r="3" spans="1:15" ht="16.5" customHeight="1" x14ac:dyDescent="0.25">
      <c r="A3" s="151"/>
      <c r="B3" s="327" t="s">
        <v>486</v>
      </c>
      <c r="C3" s="327"/>
    </row>
    <row r="4" spans="1:15" ht="16.5" customHeight="1" x14ac:dyDescent="0.25">
      <c r="A4" s="151"/>
      <c r="B4" s="49"/>
      <c r="C4" s="49"/>
    </row>
    <row r="5" spans="1:15" ht="16.5" customHeight="1" x14ac:dyDescent="0.25">
      <c r="A5" s="151"/>
      <c r="B5" s="49"/>
      <c r="C5" s="53" t="s">
        <v>801</v>
      </c>
    </row>
    <row r="6" spans="1:15" ht="16.5" customHeight="1" x14ac:dyDescent="0.25">
      <c r="A6" s="151"/>
      <c r="B6" s="49"/>
      <c r="C6" s="51" t="s">
        <v>613</v>
      </c>
    </row>
    <row r="7" spans="1:15" ht="16.5" customHeight="1" x14ac:dyDescent="0.25">
      <c r="A7" s="131"/>
      <c r="B7" s="228" t="s">
        <v>1</v>
      </c>
      <c r="C7" s="228" t="s">
        <v>461</v>
      </c>
      <c r="F7" s="1"/>
      <c r="G7" s="336">
        <v>75576</v>
      </c>
      <c r="H7" s="336"/>
      <c r="I7" s="336"/>
      <c r="J7" s="336">
        <v>75617</v>
      </c>
      <c r="K7" s="337"/>
      <c r="L7" s="337"/>
      <c r="M7" s="1" t="s">
        <v>141</v>
      </c>
      <c r="N7" s="1" t="s">
        <v>479</v>
      </c>
      <c r="O7" s="1" t="s">
        <v>141</v>
      </c>
    </row>
    <row r="8" spans="1:15" ht="16.5" customHeight="1" x14ac:dyDescent="0.25">
      <c r="A8" s="131" t="s">
        <v>292</v>
      </c>
      <c r="B8" s="16" t="s">
        <v>3</v>
      </c>
      <c r="C8" s="21">
        <v>17372236</v>
      </c>
      <c r="F8" s="1" t="s">
        <v>475</v>
      </c>
      <c r="G8" s="1">
        <v>129000</v>
      </c>
      <c r="H8" s="1">
        <v>10000</v>
      </c>
      <c r="I8" s="1"/>
      <c r="J8" s="1">
        <v>161000</v>
      </c>
      <c r="K8" s="1">
        <v>9000</v>
      </c>
      <c r="L8" s="1"/>
      <c r="M8" s="1">
        <f>(G8+H8+I8)+(11*(J8+K8+L8))</f>
        <v>2009000</v>
      </c>
      <c r="N8" s="1">
        <f>M8*22%</f>
        <v>441980</v>
      </c>
      <c r="O8" s="1">
        <f>M8+N8</f>
        <v>2450980</v>
      </c>
    </row>
    <row r="9" spans="1:15" ht="16.5" customHeight="1" x14ac:dyDescent="0.25">
      <c r="A9" s="131" t="s">
        <v>394</v>
      </c>
      <c r="B9" s="16" t="s">
        <v>688</v>
      </c>
      <c r="C9" s="21">
        <v>0</v>
      </c>
      <c r="F9" s="1" t="s">
        <v>476</v>
      </c>
      <c r="G9" s="1">
        <v>283400</v>
      </c>
      <c r="H9" s="1"/>
      <c r="I9" s="1"/>
      <c r="J9" s="1">
        <v>283400</v>
      </c>
      <c r="K9" s="1"/>
      <c r="L9" s="1"/>
      <c r="M9" s="1">
        <f t="shared" ref="M9:M13" si="0">(G9+H9+I9)+(11*(J9+K9+L9))</f>
        <v>3400800</v>
      </c>
      <c r="N9" s="1">
        <f t="shared" ref="N9:N13" si="1">M9*22%</f>
        <v>748176</v>
      </c>
      <c r="O9" s="1">
        <f t="shared" ref="O9:O14" si="2">M9+N9</f>
        <v>4148976</v>
      </c>
    </row>
    <row r="10" spans="1:15" ht="16.5" customHeight="1" x14ac:dyDescent="0.25">
      <c r="A10" s="131" t="s">
        <v>528</v>
      </c>
      <c r="B10" s="16" t="s">
        <v>726</v>
      </c>
      <c r="C10" s="21">
        <v>1328406</v>
      </c>
      <c r="F10" s="1" t="s">
        <v>477</v>
      </c>
      <c r="G10" s="1">
        <v>129000</v>
      </c>
      <c r="H10" s="1">
        <v>10000</v>
      </c>
      <c r="I10" s="1"/>
      <c r="J10" s="1">
        <v>161000</v>
      </c>
      <c r="K10" s="1">
        <v>9000</v>
      </c>
      <c r="L10" s="1"/>
      <c r="M10" s="1">
        <f t="shared" si="0"/>
        <v>2009000</v>
      </c>
      <c r="N10" s="1">
        <f t="shared" si="1"/>
        <v>441980</v>
      </c>
      <c r="O10" s="1">
        <f t="shared" si="2"/>
        <v>2450980</v>
      </c>
    </row>
    <row r="11" spans="1:15" ht="16.5" customHeight="1" x14ac:dyDescent="0.25">
      <c r="A11" s="131" t="s">
        <v>295</v>
      </c>
      <c r="B11" s="16" t="s">
        <v>151</v>
      </c>
      <c r="C11" s="21">
        <v>447030</v>
      </c>
      <c r="F11" s="1" t="s">
        <v>481</v>
      </c>
      <c r="G11" s="1">
        <v>309956</v>
      </c>
      <c r="H11" s="1"/>
      <c r="I11" s="1">
        <v>70847</v>
      </c>
      <c r="J11" s="1">
        <v>309956</v>
      </c>
      <c r="K11" s="1"/>
      <c r="L11" s="1">
        <v>70847</v>
      </c>
      <c r="M11" s="1">
        <f t="shared" si="0"/>
        <v>4569636</v>
      </c>
      <c r="N11" s="1">
        <f t="shared" si="1"/>
        <v>1005319.92</v>
      </c>
      <c r="O11" s="1">
        <f t="shared" si="2"/>
        <v>5574955.9199999999</v>
      </c>
    </row>
    <row r="12" spans="1:15" ht="16.5" customHeight="1" x14ac:dyDescent="0.25">
      <c r="A12" s="131" t="s">
        <v>296</v>
      </c>
      <c r="B12" s="16" t="s">
        <v>4</v>
      </c>
      <c r="C12" s="21">
        <v>100000</v>
      </c>
      <c r="F12" s="1" t="s">
        <v>682</v>
      </c>
      <c r="G12" s="1">
        <v>239100</v>
      </c>
      <c r="H12" s="1"/>
      <c r="I12" s="1"/>
      <c r="J12" s="1">
        <v>239100</v>
      </c>
      <c r="K12" s="1"/>
      <c r="L12" s="1"/>
      <c r="M12" s="1">
        <f t="shared" si="0"/>
        <v>2869200</v>
      </c>
      <c r="N12" s="1">
        <f t="shared" si="1"/>
        <v>631224</v>
      </c>
      <c r="O12" s="1">
        <f t="shared" si="2"/>
        <v>3500424</v>
      </c>
    </row>
    <row r="13" spans="1:15" ht="16.5" customHeight="1" x14ac:dyDescent="0.25">
      <c r="A13" s="131" t="s">
        <v>333</v>
      </c>
      <c r="B13" s="16" t="s">
        <v>334</v>
      </c>
      <c r="C13" s="21">
        <v>100000</v>
      </c>
      <c r="F13" s="1" t="s">
        <v>478</v>
      </c>
      <c r="G13" s="1">
        <v>177100</v>
      </c>
      <c r="H13" s="1"/>
      <c r="I13" s="1"/>
      <c r="J13" s="1">
        <v>212500</v>
      </c>
      <c r="K13" s="1"/>
      <c r="L13" s="1"/>
      <c r="M13" s="1">
        <f t="shared" si="0"/>
        <v>2514600</v>
      </c>
      <c r="N13" s="216">
        <f t="shared" si="1"/>
        <v>553212</v>
      </c>
      <c r="O13" s="1">
        <f t="shared" si="2"/>
        <v>3067812</v>
      </c>
    </row>
    <row r="14" spans="1:15" ht="16.5" customHeight="1" x14ac:dyDescent="0.25">
      <c r="A14" s="132" t="s">
        <v>297</v>
      </c>
      <c r="B14" s="36" t="s">
        <v>5</v>
      </c>
      <c r="C14" s="21">
        <f>SUM(C8:C13)</f>
        <v>19347672</v>
      </c>
      <c r="F14" s="1" t="s">
        <v>141</v>
      </c>
      <c r="G14" s="1"/>
      <c r="H14" s="1"/>
      <c r="I14" s="1"/>
      <c r="J14" s="1"/>
      <c r="K14" s="1"/>
      <c r="L14" s="1"/>
      <c r="M14" s="163">
        <f>SUM(M8:M13)</f>
        <v>17372236</v>
      </c>
      <c r="N14" s="1">
        <f>SUM(N8:N13)</f>
        <v>3821891.92</v>
      </c>
      <c r="O14" s="1">
        <f t="shared" si="2"/>
        <v>21194127.920000002</v>
      </c>
    </row>
    <row r="15" spans="1:15" ht="16.5" customHeight="1" x14ac:dyDescent="0.25">
      <c r="A15" s="131" t="s">
        <v>298</v>
      </c>
      <c r="B15" s="32" t="s">
        <v>21</v>
      </c>
      <c r="C15" s="21">
        <f>'4.2.1 Szakmár'!C14+'4.2.2 Öregcsertő'!C14+'4.2.3 Újtelek'!C14+'4.2.4 Jegyző'!C14</f>
        <v>0</v>
      </c>
      <c r="F15" t="s">
        <v>480</v>
      </c>
      <c r="G15" t="s">
        <v>503</v>
      </c>
      <c r="H15" s="173">
        <v>0.3422</v>
      </c>
      <c r="I15" t="s">
        <v>683</v>
      </c>
      <c r="L15" t="s">
        <v>483</v>
      </c>
      <c r="M15" t="s">
        <v>484</v>
      </c>
      <c r="O15" t="s">
        <v>485</v>
      </c>
    </row>
    <row r="16" spans="1:15" ht="16.5" customHeight="1" x14ac:dyDescent="0.25">
      <c r="A16" s="131" t="s">
        <v>299</v>
      </c>
      <c r="B16" s="32" t="s">
        <v>323</v>
      </c>
      <c r="C16" s="21">
        <v>150000</v>
      </c>
      <c r="F16">
        <v>74505</v>
      </c>
      <c r="G16">
        <v>6</v>
      </c>
      <c r="H16">
        <f>F16*G16</f>
        <v>447030</v>
      </c>
      <c r="L16" s="157">
        <f>F16*1.18*15%*G16</f>
        <v>79124.31</v>
      </c>
      <c r="M16" s="157">
        <f>F16*1.18*14%*6</f>
        <v>73849.356</v>
      </c>
      <c r="N16" s="157"/>
      <c r="O16">
        <v>90000</v>
      </c>
    </row>
    <row r="17" spans="1:18" ht="16.5" customHeight="1" x14ac:dyDescent="0.25">
      <c r="A17" s="131" t="s">
        <v>300</v>
      </c>
      <c r="B17" s="32" t="s">
        <v>324</v>
      </c>
      <c r="C17" s="21">
        <f>'4.2.1 Szakmár'!C16+'4.2.2 Öregcsertő'!C16+'4.2.3 Újtelek'!C16+'4.2.4 Jegyző'!C16</f>
        <v>0</v>
      </c>
      <c r="H17" s="157"/>
      <c r="L17" s="157"/>
      <c r="M17" s="157"/>
      <c r="O17" s="162">
        <v>0.2</v>
      </c>
    </row>
    <row r="18" spans="1:18" ht="16.5" customHeight="1" x14ac:dyDescent="0.25">
      <c r="A18" s="132" t="s">
        <v>301</v>
      </c>
      <c r="B18" s="36" t="s">
        <v>22</v>
      </c>
      <c r="C18" s="21">
        <f>SUM(C15:C17)</f>
        <v>150000</v>
      </c>
      <c r="H18" s="172">
        <f>H16+H17</f>
        <v>447030</v>
      </c>
      <c r="L18" s="166">
        <f>L16+L17</f>
        <v>79124.31</v>
      </c>
      <c r="M18" s="168">
        <f>M16+M17</f>
        <v>73849.356</v>
      </c>
      <c r="O18">
        <v>18000</v>
      </c>
      <c r="P18" t="s">
        <v>483</v>
      </c>
      <c r="Q18" t="s">
        <v>484</v>
      </c>
    </row>
    <row r="19" spans="1:18" ht="16.5" customHeight="1" x14ac:dyDescent="0.25">
      <c r="A19" s="133" t="s">
        <v>302</v>
      </c>
      <c r="B19" s="33" t="s">
        <v>5</v>
      </c>
      <c r="C19" s="21">
        <f>C14+C18</f>
        <v>19497672</v>
      </c>
      <c r="P19" s="162">
        <v>0.15</v>
      </c>
      <c r="Q19" s="162">
        <v>0.22</v>
      </c>
      <c r="R19" t="s">
        <v>709</v>
      </c>
    </row>
    <row r="20" spans="1:18" ht="16.5" customHeight="1" x14ac:dyDescent="0.25">
      <c r="A20" s="131" t="s">
        <v>303</v>
      </c>
      <c r="B20" s="32" t="s">
        <v>325</v>
      </c>
      <c r="C20" s="21">
        <v>4169141</v>
      </c>
      <c r="E20">
        <v>4107892</v>
      </c>
      <c r="P20" s="167">
        <f>O18*1.18*15%</f>
        <v>3186</v>
      </c>
      <c r="Q20" s="168">
        <f>O18*1.18*22%</f>
        <v>4672.8</v>
      </c>
    </row>
    <row r="21" spans="1:18" ht="16.5" customHeight="1" x14ac:dyDescent="0.25">
      <c r="A21" s="131" t="s">
        <v>304</v>
      </c>
      <c r="B21" s="32" t="s">
        <v>326</v>
      </c>
      <c r="C21" s="21">
        <v>0</v>
      </c>
    </row>
    <row r="22" spans="1:18" ht="16.5" customHeight="1" x14ac:dyDescent="0.25">
      <c r="A22" s="131" t="s">
        <v>305</v>
      </c>
      <c r="B22" s="32" t="s">
        <v>327</v>
      </c>
      <c r="C22" s="21">
        <v>80000</v>
      </c>
      <c r="N22" s="335"/>
      <c r="O22" s="335"/>
    </row>
    <row r="23" spans="1:18" ht="16.5" customHeight="1" x14ac:dyDescent="0.25">
      <c r="A23" s="131" t="s">
        <v>328</v>
      </c>
      <c r="B23" s="32" t="s">
        <v>329</v>
      </c>
      <c r="C23" s="21">
        <v>150000</v>
      </c>
      <c r="F23" t="s">
        <v>708</v>
      </c>
      <c r="G23">
        <f>2*G9</f>
        <v>566800</v>
      </c>
      <c r="H23">
        <v>691496</v>
      </c>
      <c r="K23" s="218"/>
      <c r="O23" s="214"/>
    </row>
    <row r="24" spans="1:18" ht="16.5" customHeight="1" x14ac:dyDescent="0.25">
      <c r="A24" s="131" t="s">
        <v>306</v>
      </c>
      <c r="B24" s="32" t="s">
        <v>330</v>
      </c>
      <c r="C24" s="21">
        <v>83000</v>
      </c>
      <c r="F24" t="s">
        <v>476</v>
      </c>
      <c r="G24">
        <f>2*(J11+L11)</f>
        <v>761606</v>
      </c>
      <c r="H24">
        <v>929159</v>
      </c>
    </row>
    <row r="25" spans="1:18" ht="16.5" customHeight="1" x14ac:dyDescent="0.25">
      <c r="A25" s="133" t="s">
        <v>307</v>
      </c>
      <c r="B25" s="38" t="s">
        <v>331</v>
      </c>
      <c r="C25" s="21">
        <f>SUM(C20:C24)</f>
        <v>4482141</v>
      </c>
      <c r="F25" t="s">
        <v>481</v>
      </c>
      <c r="G25">
        <f>G23+G24</f>
        <v>1328406</v>
      </c>
      <c r="H25">
        <f>H23+H24</f>
        <v>1620655</v>
      </c>
      <c r="P25" s="215"/>
    </row>
    <row r="26" spans="1:18" ht="16.5" customHeight="1" x14ac:dyDescent="0.25">
      <c r="A26" s="131" t="s">
        <v>332</v>
      </c>
      <c r="B26" s="134" t="s">
        <v>7</v>
      </c>
      <c r="C26" s="21">
        <v>65000</v>
      </c>
    </row>
    <row r="27" spans="1:18" ht="16.5" customHeight="1" x14ac:dyDescent="0.25">
      <c r="A27" s="131" t="s">
        <v>308</v>
      </c>
      <c r="B27" s="134" t="s">
        <v>684</v>
      </c>
      <c r="C27" s="21">
        <v>0</v>
      </c>
    </row>
    <row r="28" spans="1:18" ht="16.5" customHeight="1" x14ac:dyDescent="0.25">
      <c r="A28" s="131" t="s">
        <v>308</v>
      </c>
      <c r="B28" s="16" t="s">
        <v>685</v>
      </c>
      <c r="C28" s="21">
        <v>363000</v>
      </c>
      <c r="E28" t="s">
        <v>701</v>
      </c>
    </row>
    <row r="29" spans="1:18" x14ac:dyDescent="0.25">
      <c r="A29" s="132" t="s">
        <v>309</v>
      </c>
      <c r="B29" s="36" t="s">
        <v>9</v>
      </c>
      <c r="C29" s="23">
        <f>SUM(C26:C28)</f>
        <v>428000</v>
      </c>
    </row>
    <row r="30" spans="1:18" x14ac:dyDescent="0.25">
      <c r="A30" s="131" t="s">
        <v>310</v>
      </c>
      <c r="B30" s="32" t="s">
        <v>10</v>
      </c>
      <c r="C30" s="21">
        <v>0</v>
      </c>
      <c r="E30" t="s">
        <v>705</v>
      </c>
      <c r="F30" s="214" t="s">
        <v>707</v>
      </c>
      <c r="G30" s="214"/>
      <c r="H30" s="214"/>
      <c r="I30" s="214"/>
      <c r="J30" s="214"/>
      <c r="K30" s="214"/>
      <c r="L30" s="214"/>
      <c r="M30" s="214"/>
    </row>
    <row r="31" spans="1:18" x14ac:dyDescent="0.25">
      <c r="A31" s="131" t="s">
        <v>311</v>
      </c>
      <c r="B31" s="32" t="s">
        <v>11</v>
      </c>
      <c r="C31" s="21">
        <v>90000</v>
      </c>
      <c r="F31" s="214"/>
      <c r="G31" s="214"/>
      <c r="H31" s="214"/>
      <c r="I31" s="215"/>
      <c r="J31" s="215"/>
      <c r="K31" s="215"/>
      <c r="L31" s="214"/>
      <c r="M31" s="214"/>
    </row>
    <row r="32" spans="1:18" x14ac:dyDescent="0.25">
      <c r="A32" s="132" t="s">
        <v>312</v>
      </c>
      <c r="B32" s="36" t="s">
        <v>12</v>
      </c>
      <c r="C32" s="23">
        <f>SUM(C30:C31)</f>
        <v>90000</v>
      </c>
    </row>
    <row r="33" spans="1:7" x14ac:dyDescent="0.25">
      <c r="A33" s="131" t="s">
        <v>313</v>
      </c>
      <c r="B33" s="32" t="s">
        <v>13</v>
      </c>
      <c r="C33" s="21">
        <v>411000</v>
      </c>
      <c r="F33" t="s">
        <v>292</v>
      </c>
      <c r="G33" s="175">
        <f>M14+M30+O23</f>
        <v>17372236</v>
      </c>
    </row>
    <row r="34" spans="1:7" x14ac:dyDescent="0.25">
      <c r="A34" s="131" t="s">
        <v>400</v>
      </c>
      <c r="B34" s="16" t="s">
        <v>14</v>
      </c>
      <c r="C34" s="21">
        <v>0</v>
      </c>
      <c r="F34" t="s">
        <v>303</v>
      </c>
      <c r="G34" s="165">
        <f>N14</f>
        <v>3821891.92</v>
      </c>
    </row>
    <row r="35" spans="1:7" x14ac:dyDescent="0.25">
      <c r="A35" s="131" t="s">
        <v>314</v>
      </c>
      <c r="B35" s="16" t="s">
        <v>335</v>
      </c>
      <c r="C35" s="21">
        <v>200000</v>
      </c>
      <c r="F35" t="s">
        <v>295</v>
      </c>
      <c r="G35" s="172">
        <f>H18</f>
        <v>447030</v>
      </c>
    </row>
    <row r="36" spans="1:7" x14ac:dyDescent="0.25">
      <c r="A36" s="131" t="s">
        <v>686</v>
      </c>
      <c r="B36" s="16" t="s">
        <v>687</v>
      </c>
      <c r="C36" s="21">
        <v>0</v>
      </c>
      <c r="F36" t="s">
        <v>305</v>
      </c>
      <c r="G36" s="168">
        <f>M18+Q20</f>
        <v>78522.156000000003</v>
      </c>
    </row>
    <row r="37" spans="1:7" x14ac:dyDescent="0.25">
      <c r="A37" s="131" t="s">
        <v>651</v>
      </c>
      <c r="B37" s="16" t="s">
        <v>15</v>
      </c>
      <c r="C37" s="21">
        <v>300000</v>
      </c>
      <c r="F37" t="s">
        <v>306</v>
      </c>
      <c r="G37" s="166">
        <f>L18+P20</f>
        <v>82310.31</v>
      </c>
    </row>
    <row r="38" spans="1:7" x14ac:dyDescent="0.25">
      <c r="A38" s="132" t="s">
        <v>315</v>
      </c>
      <c r="B38" s="36" t="s">
        <v>16</v>
      </c>
      <c r="C38" s="23">
        <f>SUM(C33:C37)</f>
        <v>911000</v>
      </c>
    </row>
    <row r="39" spans="1:7" x14ac:dyDescent="0.25">
      <c r="A39" s="131" t="s">
        <v>316</v>
      </c>
      <c r="B39" s="36" t="s">
        <v>154</v>
      </c>
      <c r="C39" s="23">
        <v>0</v>
      </c>
    </row>
    <row r="40" spans="1:7" x14ac:dyDescent="0.25">
      <c r="A40" s="131" t="s">
        <v>317</v>
      </c>
      <c r="B40" s="32" t="s">
        <v>322</v>
      </c>
      <c r="C40" s="21">
        <v>412830</v>
      </c>
    </row>
    <row r="41" spans="1:7" x14ac:dyDescent="0.25">
      <c r="A41" s="131" t="s">
        <v>319</v>
      </c>
      <c r="B41" s="32" t="s">
        <v>320</v>
      </c>
      <c r="C41" s="21">
        <v>1737</v>
      </c>
    </row>
    <row r="42" spans="1:7" x14ac:dyDescent="0.25">
      <c r="A42" s="132" t="s">
        <v>321</v>
      </c>
      <c r="B42" s="36" t="s">
        <v>320</v>
      </c>
      <c r="C42" s="23">
        <f>SUM(C40:C41)</f>
        <v>414567</v>
      </c>
    </row>
    <row r="43" spans="1:7" x14ac:dyDescent="0.25">
      <c r="A43" s="133" t="s">
        <v>318</v>
      </c>
      <c r="B43" s="33" t="s">
        <v>150</v>
      </c>
      <c r="C43" s="21">
        <f>C29+C32+C38+C39+C42</f>
        <v>1843567</v>
      </c>
    </row>
    <row r="44" spans="1:7" x14ac:dyDescent="0.25">
      <c r="A44" s="133" t="s">
        <v>455</v>
      </c>
      <c r="B44" s="33" t="s">
        <v>420</v>
      </c>
      <c r="C44" s="21">
        <v>0</v>
      </c>
    </row>
    <row r="45" spans="1:7" x14ac:dyDescent="0.25">
      <c r="A45" s="131" t="s">
        <v>424</v>
      </c>
      <c r="B45" s="32" t="s">
        <v>425</v>
      </c>
      <c r="C45" s="21">
        <v>618110</v>
      </c>
      <c r="E45" t="s">
        <v>702</v>
      </c>
      <c r="F45" t="s">
        <v>725</v>
      </c>
    </row>
    <row r="46" spans="1:7" x14ac:dyDescent="0.25">
      <c r="A46" s="131" t="s">
        <v>426</v>
      </c>
      <c r="B46" s="32" t="s">
        <v>462</v>
      </c>
      <c r="C46" s="21">
        <v>166890</v>
      </c>
    </row>
    <row r="47" spans="1:7" x14ac:dyDescent="0.25">
      <c r="A47" s="133" t="s">
        <v>463</v>
      </c>
      <c r="B47" s="33" t="s">
        <v>464</v>
      </c>
      <c r="C47" s="21">
        <f>SUM(C45:C46)</f>
        <v>785000</v>
      </c>
    </row>
    <row r="48" spans="1:7" x14ac:dyDescent="0.25">
      <c r="A48" s="131"/>
      <c r="B48" s="33" t="s">
        <v>149</v>
      </c>
      <c r="C48" s="27">
        <f>C19+C25+C43+C44+C47</f>
        <v>26608380</v>
      </c>
    </row>
    <row r="49" spans="1:9" x14ac:dyDescent="0.25">
      <c r="A49" s="230"/>
      <c r="B49" s="231"/>
      <c r="C49" s="80"/>
    </row>
    <row r="50" spans="1:9" x14ac:dyDescent="0.25">
      <c r="A50" s="151"/>
      <c r="B50" s="151"/>
      <c r="C50" s="151"/>
    </row>
    <row r="51" spans="1:9" x14ac:dyDescent="0.25">
      <c r="A51" s="131" t="s">
        <v>365</v>
      </c>
      <c r="B51" s="32" t="s">
        <v>71</v>
      </c>
      <c r="C51" s="21">
        <v>0</v>
      </c>
    </row>
    <row r="52" spans="1:9" x14ac:dyDescent="0.25">
      <c r="A52" s="131" t="s">
        <v>379</v>
      </c>
      <c r="B52" s="32" t="s">
        <v>78</v>
      </c>
      <c r="C52" s="21">
        <v>0</v>
      </c>
      <c r="I52">
        <v>22945280</v>
      </c>
    </row>
    <row r="53" spans="1:9" x14ac:dyDescent="0.25">
      <c r="A53" s="142" t="s">
        <v>382</v>
      </c>
      <c r="B53" s="232" t="s">
        <v>721</v>
      </c>
      <c r="C53" s="131">
        <v>0</v>
      </c>
      <c r="I53">
        <v>3513100</v>
      </c>
    </row>
    <row r="54" spans="1:9" x14ac:dyDescent="0.25">
      <c r="A54" s="142" t="s">
        <v>383</v>
      </c>
      <c r="B54" s="232" t="s">
        <v>384</v>
      </c>
      <c r="C54" s="131">
        <v>0</v>
      </c>
    </row>
    <row r="55" spans="1:9" x14ac:dyDescent="0.25">
      <c r="A55" s="142" t="s">
        <v>545</v>
      </c>
      <c r="B55" s="232" t="s">
        <v>389</v>
      </c>
      <c r="C55" s="131">
        <v>0</v>
      </c>
    </row>
    <row r="56" spans="1:9" x14ac:dyDescent="0.25">
      <c r="A56" s="233" t="s">
        <v>390</v>
      </c>
      <c r="B56" s="234" t="s">
        <v>80</v>
      </c>
      <c r="C56" s="133">
        <f>SUM(C51:C55)</f>
        <v>0</v>
      </c>
    </row>
    <row r="57" spans="1:9" x14ac:dyDescent="0.25">
      <c r="A57" s="233" t="s">
        <v>542</v>
      </c>
      <c r="B57" s="234" t="s">
        <v>738</v>
      </c>
      <c r="C57" s="133">
        <v>150000</v>
      </c>
    </row>
    <row r="58" spans="1:9" ht="15.75" customHeight="1" x14ac:dyDescent="0.25">
      <c r="A58" s="338" t="s">
        <v>589</v>
      </c>
      <c r="B58" s="338" t="s">
        <v>587</v>
      </c>
      <c r="C58" s="332">
        <v>26458380</v>
      </c>
    </row>
    <row r="59" spans="1:9" ht="15.75" customHeight="1" x14ac:dyDescent="0.25">
      <c r="A59" s="340"/>
      <c r="B59" s="339"/>
      <c r="C59" s="334"/>
    </row>
    <row r="60" spans="1:9" ht="15.75" customHeight="1" x14ac:dyDescent="0.25">
      <c r="A60" s="340"/>
      <c r="B60" s="338" t="s">
        <v>588</v>
      </c>
      <c r="C60" s="341">
        <v>0</v>
      </c>
    </row>
    <row r="61" spans="1:9" ht="15.75" customHeight="1" x14ac:dyDescent="0.25">
      <c r="A61" s="339"/>
      <c r="B61" s="339"/>
      <c r="C61" s="342"/>
    </row>
    <row r="62" spans="1:9" ht="15.75" customHeight="1" x14ac:dyDescent="0.25">
      <c r="A62" s="235" t="s">
        <v>589</v>
      </c>
      <c r="B62" s="133" t="s">
        <v>722</v>
      </c>
      <c r="C62" s="133">
        <f>SUM(C58:C61)</f>
        <v>26458380</v>
      </c>
    </row>
    <row r="63" spans="1:9" x14ac:dyDescent="0.25">
      <c r="A63" s="235"/>
      <c r="B63" s="133" t="s">
        <v>590</v>
      </c>
      <c r="C63" s="133">
        <f>C56+C62+C57</f>
        <v>26608380</v>
      </c>
    </row>
  </sheetData>
  <mergeCells count="11">
    <mergeCell ref="B58:B59"/>
    <mergeCell ref="C58:C59"/>
    <mergeCell ref="B60:B61"/>
    <mergeCell ref="A58:A61"/>
    <mergeCell ref="C60:C61"/>
    <mergeCell ref="N22:O22"/>
    <mergeCell ref="B1:C1"/>
    <mergeCell ref="B2:C2"/>
    <mergeCell ref="B3:C3"/>
    <mergeCell ref="G7:I7"/>
    <mergeCell ref="J7:L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37" workbookViewId="0">
      <selection sqref="A1:C63"/>
    </sheetView>
  </sheetViews>
  <sheetFormatPr defaultRowHeight="15" x14ac:dyDescent="0.25"/>
  <cols>
    <col min="2" max="2" width="53.7109375" customWidth="1"/>
    <col min="3" max="3" width="19.28515625" customWidth="1"/>
    <col min="6" max="6" width="18.28515625" customWidth="1"/>
    <col min="13" max="13" width="9.5703125" bestFit="1" customWidth="1"/>
  </cols>
  <sheetData>
    <row r="1" spans="1:18" x14ac:dyDescent="0.25">
      <c r="A1" s="327" t="s">
        <v>740</v>
      </c>
      <c r="B1" s="327"/>
      <c r="C1" s="327"/>
    </row>
    <row r="2" spans="1:18" x14ac:dyDescent="0.25">
      <c r="A2" s="328" t="s">
        <v>706</v>
      </c>
      <c r="B2" s="328"/>
      <c r="C2" s="328"/>
    </row>
    <row r="3" spans="1:18" x14ac:dyDescent="0.25">
      <c r="A3" s="327" t="s">
        <v>739</v>
      </c>
      <c r="B3" s="327"/>
      <c r="C3" s="327"/>
    </row>
    <row r="4" spans="1:18" x14ac:dyDescent="0.25">
      <c r="A4" s="328" t="s">
        <v>741</v>
      </c>
      <c r="B4" s="328"/>
      <c r="C4" s="328"/>
    </row>
    <row r="5" spans="1:18" x14ac:dyDescent="0.25">
      <c r="A5" s="151"/>
      <c r="B5" s="49"/>
      <c r="C5" s="53" t="s">
        <v>802</v>
      </c>
    </row>
    <row r="6" spans="1:18" x14ac:dyDescent="0.25">
      <c r="A6" s="151"/>
      <c r="B6" s="49"/>
      <c r="C6" s="51" t="s">
        <v>613</v>
      </c>
    </row>
    <row r="7" spans="1:18" x14ac:dyDescent="0.25">
      <c r="A7" s="131"/>
      <c r="B7" s="228" t="s">
        <v>1</v>
      </c>
      <c r="C7" s="228" t="s">
        <v>461</v>
      </c>
    </row>
    <row r="8" spans="1:18" x14ac:dyDescent="0.25">
      <c r="A8" s="131" t="s">
        <v>292</v>
      </c>
      <c r="B8" s="16" t="s">
        <v>3</v>
      </c>
      <c r="C8" s="21">
        <v>7422500</v>
      </c>
    </row>
    <row r="9" spans="1:18" x14ac:dyDescent="0.25">
      <c r="A9" s="131" t="s">
        <v>394</v>
      </c>
      <c r="B9" s="16" t="s">
        <v>688</v>
      </c>
      <c r="C9" s="21">
        <v>0</v>
      </c>
      <c r="G9">
        <v>2016</v>
      </c>
      <c r="H9">
        <v>2017</v>
      </c>
      <c r="I9" t="s">
        <v>714</v>
      </c>
      <c r="J9" t="s">
        <v>488</v>
      </c>
      <c r="K9" t="s">
        <v>480</v>
      </c>
      <c r="L9" t="s">
        <v>537</v>
      </c>
      <c r="M9" t="s">
        <v>536</v>
      </c>
      <c r="O9" t="s">
        <v>727</v>
      </c>
      <c r="Q9" t="s">
        <v>727</v>
      </c>
      <c r="R9" t="s">
        <v>732</v>
      </c>
    </row>
    <row r="10" spans="1:18" x14ac:dyDescent="0.25">
      <c r="A10" s="131" t="s">
        <v>528</v>
      </c>
      <c r="B10" s="16" t="s">
        <v>482</v>
      </c>
      <c r="C10" s="21">
        <v>0</v>
      </c>
      <c r="F10" t="s">
        <v>710</v>
      </c>
      <c r="G10">
        <v>129000</v>
      </c>
      <c r="H10">
        <v>180000</v>
      </c>
      <c r="I10">
        <f>G10+(H10*11)</f>
        <v>2109000</v>
      </c>
      <c r="J10">
        <f>I10*22%</f>
        <v>463980</v>
      </c>
      <c r="K10">
        <v>74505</v>
      </c>
      <c r="L10" s="157">
        <f>K10*1.18*14%</f>
        <v>12308.226000000001</v>
      </c>
      <c r="M10" s="157">
        <f>K10*1.18*15%</f>
        <v>13187.384999999998</v>
      </c>
      <c r="O10" t="s">
        <v>729</v>
      </c>
      <c r="P10" t="s">
        <v>728</v>
      </c>
    </row>
    <row r="11" spans="1:18" x14ac:dyDescent="0.25">
      <c r="A11" s="131" t="s">
        <v>295</v>
      </c>
      <c r="B11" s="16" t="s">
        <v>151</v>
      </c>
      <c r="C11" s="21">
        <v>298020</v>
      </c>
      <c r="F11" t="s">
        <v>711</v>
      </c>
      <c r="G11">
        <v>129000</v>
      </c>
      <c r="H11">
        <v>161000</v>
      </c>
      <c r="I11">
        <f t="shared" ref="I11:I13" si="0">G11+(H11*11)</f>
        <v>1900000</v>
      </c>
      <c r="J11">
        <f t="shared" ref="J11:J13" si="1">I11*22%</f>
        <v>418000</v>
      </c>
      <c r="K11">
        <v>74505</v>
      </c>
      <c r="L11" s="157">
        <f t="shared" ref="L11:L13" si="2">K11*1.18*14%</f>
        <v>12308.226000000001</v>
      </c>
      <c r="M11" s="157">
        <f t="shared" ref="M11:M13" si="3">K11*1.18*15%</f>
        <v>13187.384999999998</v>
      </c>
      <c r="O11">
        <v>3400</v>
      </c>
      <c r="P11">
        <v>1925</v>
      </c>
      <c r="Q11">
        <f>O11+(11*P11)</f>
        <v>24575</v>
      </c>
      <c r="R11" s="157">
        <f>Q11*22%</f>
        <v>5406.5</v>
      </c>
    </row>
    <row r="12" spans="1:18" x14ac:dyDescent="0.25">
      <c r="A12" s="131" t="s">
        <v>296</v>
      </c>
      <c r="B12" s="16" t="s">
        <v>4</v>
      </c>
      <c r="C12" s="21">
        <v>100000</v>
      </c>
      <c r="F12" t="s">
        <v>712</v>
      </c>
      <c r="G12">
        <v>129000</v>
      </c>
      <c r="H12">
        <v>161000</v>
      </c>
      <c r="I12">
        <f t="shared" si="0"/>
        <v>1900000</v>
      </c>
      <c r="J12">
        <f t="shared" si="1"/>
        <v>418000</v>
      </c>
      <c r="K12">
        <v>74505</v>
      </c>
      <c r="L12" s="157">
        <f t="shared" si="2"/>
        <v>12308.226000000001</v>
      </c>
      <c r="M12" s="157">
        <f t="shared" si="3"/>
        <v>13187.384999999998</v>
      </c>
    </row>
    <row r="13" spans="1:18" x14ac:dyDescent="0.25">
      <c r="A13" s="131" t="s">
        <v>650</v>
      </c>
      <c r="B13" s="16" t="s">
        <v>334</v>
      </c>
      <c r="C13" s="21">
        <v>100000</v>
      </c>
      <c r="F13" t="s">
        <v>713</v>
      </c>
      <c r="G13">
        <v>111000</v>
      </c>
      <c r="H13">
        <v>127500</v>
      </c>
      <c r="I13">
        <f t="shared" si="0"/>
        <v>1513500</v>
      </c>
      <c r="J13">
        <f t="shared" si="1"/>
        <v>332970</v>
      </c>
      <c r="K13">
        <v>74505</v>
      </c>
      <c r="L13" s="157">
        <f t="shared" si="2"/>
        <v>12308.226000000001</v>
      </c>
      <c r="M13" s="157">
        <f t="shared" si="3"/>
        <v>13187.384999999998</v>
      </c>
    </row>
    <row r="14" spans="1:18" s="3" customFormat="1" x14ac:dyDescent="0.25">
      <c r="A14" s="132" t="s">
        <v>297</v>
      </c>
      <c r="B14" s="36" t="s">
        <v>5</v>
      </c>
      <c r="C14" s="23">
        <f>SUM(C8:C13)</f>
        <v>7920520</v>
      </c>
      <c r="F14" s="3" t="s">
        <v>141</v>
      </c>
      <c r="G14" s="3">
        <f>SUM(G10:G13)</f>
        <v>498000</v>
      </c>
      <c r="H14" s="3">
        <f t="shared" ref="H14:M14" si="4">SUM(H10:H13)</f>
        <v>629500</v>
      </c>
      <c r="I14" s="3">
        <f t="shared" si="4"/>
        <v>7422500</v>
      </c>
      <c r="J14" s="3">
        <f t="shared" si="4"/>
        <v>1632950</v>
      </c>
      <c r="K14" s="3">
        <f t="shared" si="4"/>
        <v>298020</v>
      </c>
      <c r="L14" s="225">
        <f t="shared" si="4"/>
        <v>49232.904000000002</v>
      </c>
      <c r="M14" s="225">
        <f t="shared" si="4"/>
        <v>52749.539999999994</v>
      </c>
    </row>
    <row r="15" spans="1:18" x14ac:dyDescent="0.25">
      <c r="A15" s="131" t="s">
        <v>298</v>
      </c>
      <c r="B15" s="32" t="s">
        <v>21</v>
      </c>
      <c r="C15" s="21">
        <f>'4.2.1 Szakmár'!C14+'4.2.2 Öregcsertő'!C14+'4.2.3 Újtelek'!C14+'4.2.4 Jegyző'!C14</f>
        <v>0</v>
      </c>
    </row>
    <row r="16" spans="1:18" x14ac:dyDescent="0.25">
      <c r="A16" s="131" t="s">
        <v>299</v>
      </c>
      <c r="B16" s="32" t="s">
        <v>323</v>
      </c>
      <c r="C16" s="21">
        <v>0</v>
      </c>
      <c r="F16" t="s">
        <v>715</v>
      </c>
      <c r="G16">
        <v>8240</v>
      </c>
    </row>
    <row r="17" spans="1:7" x14ac:dyDescent="0.25">
      <c r="A17" s="131" t="s">
        <v>300</v>
      </c>
      <c r="B17" s="32" t="s">
        <v>324</v>
      </c>
      <c r="C17" s="21">
        <f>'4.2.1 Szakmár'!C16+'4.2.2 Öregcsertő'!C16+'4.2.3 Újtelek'!C16+'4.2.4 Jegyző'!C16</f>
        <v>0</v>
      </c>
      <c r="F17" t="s">
        <v>504</v>
      </c>
      <c r="G17">
        <v>30000</v>
      </c>
    </row>
    <row r="18" spans="1:7" x14ac:dyDescent="0.25">
      <c r="A18" s="132" t="s">
        <v>301</v>
      </c>
      <c r="B18" s="36" t="s">
        <v>22</v>
      </c>
      <c r="C18" s="23">
        <f>SUM(C15:C17)</f>
        <v>0</v>
      </c>
      <c r="F18" t="s">
        <v>511</v>
      </c>
      <c r="G18">
        <f>G17*0.2*1.18*15%</f>
        <v>1062</v>
      </c>
    </row>
    <row r="19" spans="1:7" x14ac:dyDescent="0.25">
      <c r="A19" s="133" t="s">
        <v>302</v>
      </c>
      <c r="B19" s="33" t="s">
        <v>5</v>
      </c>
      <c r="C19" s="21">
        <f>C14+C18</f>
        <v>7920520</v>
      </c>
      <c r="F19" t="s">
        <v>496</v>
      </c>
      <c r="G19" s="157">
        <f>G17*0.2*1.18*22%</f>
        <v>1557.6</v>
      </c>
    </row>
    <row r="20" spans="1:7" x14ac:dyDescent="0.25">
      <c r="A20" s="131" t="s">
        <v>303</v>
      </c>
      <c r="B20" s="32" t="s">
        <v>325</v>
      </c>
      <c r="C20" s="21">
        <v>1632950</v>
      </c>
      <c r="F20" t="s">
        <v>719</v>
      </c>
      <c r="G20" s="157">
        <f>L14+G19</f>
        <v>50790.504000000001</v>
      </c>
    </row>
    <row r="21" spans="1:7" x14ac:dyDescent="0.25">
      <c r="A21" s="131" t="s">
        <v>304</v>
      </c>
      <c r="B21" s="32" t="s">
        <v>326</v>
      </c>
      <c r="C21" s="21">
        <v>0</v>
      </c>
      <c r="F21" t="s">
        <v>720</v>
      </c>
      <c r="G21" s="157">
        <f>G18+M14</f>
        <v>53811.539999999994</v>
      </c>
    </row>
    <row r="22" spans="1:7" x14ac:dyDescent="0.25">
      <c r="A22" s="131" t="s">
        <v>305</v>
      </c>
      <c r="B22" s="32" t="s">
        <v>327</v>
      </c>
      <c r="C22" s="21">
        <v>55000</v>
      </c>
    </row>
    <row r="23" spans="1:7" x14ac:dyDescent="0.25">
      <c r="A23" s="131" t="s">
        <v>328</v>
      </c>
      <c r="B23" s="32" t="s">
        <v>329</v>
      </c>
      <c r="C23" s="21">
        <v>200000</v>
      </c>
    </row>
    <row r="24" spans="1:7" x14ac:dyDescent="0.25">
      <c r="A24" s="131" t="s">
        <v>306</v>
      </c>
      <c r="B24" s="32" t="s">
        <v>330</v>
      </c>
      <c r="C24" s="21">
        <v>55000</v>
      </c>
    </row>
    <row r="25" spans="1:7" x14ac:dyDescent="0.25">
      <c r="A25" s="133" t="s">
        <v>307</v>
      </c>
      <c r="B25" s="38" t="s">
        <v>331</v>
      </c>
      <c r="C25" s="21">
        <f>SUM(C20:C24)</f>
        <v>1942950</v>
      </c>
    </row>
    <row r="26" spans="1:7" x14ac:dyDescent="0.25">
      <c r="A26" s="131" t="s">
        <v>332</v>
      </c>
      <c r="B26" s="134" t="s">
        <v>7</v>
      </c>
      <c r="C26" s="21">
        <v>0</v>
      </c>
    </row>
    <row r="27" spans="1:7" x14ac:dyDescent="0.25">
      <c r="A27" s="131" t="s">
        <v>308</v>
      </c>
      <c r="B27" s="134" t="s">
        <v>684</v>
      </c>
      <c r="C27" s="21">
        <v>10000000</v>
      </c>
    </row>
    <row r="28" spans="1:7" x14ac:dyDescent="0.25">
      <c r="A28" s="131" t="s">
        <v>308</v>
      </c>
      <c r="B28" s="16" t="s">
        <v>685</v>
      </c>
      <c r="C28" s="21">
        <v>1600000</v>
      </c>
    </row>
    <row r="29" spans="1:7" s="130" customFormat="1" x14ac:dyDescent="0.25">
      <c r="A29" s="132" t="s">
        <v>309</v>
      </c>
      <c r="B29" s="36" t="s">
        <v>9</v>
      </c>
      <c r="C29" s="23">
        <f>SUM(C26:C28)</f>
        <v>11600000</v>
      </c>
    </row>
    <row r="30" spans="1:7" x14ac:dyDescent="0.25">
      <c r="A30" s="131" t="s">
        <v>310</v>
      </c>
      <c r="B30" s="32" t="s">
        <v>10</v>
      </c>
      <c r="C30" s="21">
        <v>150000</v>
      </c>
    </row>
    <row r="31" spans="1:7" x14ac:dyDescent="0.25">
      <c r="A31" s="131" t="s">
        <v>311</v>
      </c>
      <c r="B31" s="32" t="s">
        <v>11</v>
      </c>
      <c r="C31" s="21">
        <v>30000</v>
      </c>
    </row>
    <row r="32" spans="1:7" s="130" customFormat="1" x14ac:dyDescent="0.25">
      <c r="A32" s="132" t="s">
        <v>312</v>
      </c>
      <c r="B32" s="36" t="s">
        <v>12</v>
      </c>
      <c r="C32" s="23">
        <f>SUM(C30:C31)</f>
        <v>180000</v>
      </c>
    </row>
    <row r="33" spans="1:3" x14ac:dyDescent="0.25">
      <c r="A33" s="131" t="s">
        <v>313</v>
      </c>
      <c r="B33" s="32" t="s">
        <v>13</v>
      </c>
      <c r="C33" s="21">
        <v>1500000</v>
      </c>
    </row>
    <row r="34" spans="1:3" x14ac:dyDescent="0.25">
      <c r="A34" s="131" t="s">
        <v>400</v>
      </c>
      <c r="B34" s="16" t="s">
        <v>14</v>
      </c>
      <c r="C34" s="21">
        <v>0</v>
      </c>
    </row>
    <row r="35" spans="1:3" x14ac:dyDescent="0.25">
      <c r="A35" s="131" t="s">
        <v>314</v>
      </c>
      <c r="B35" s="16" t="s">
        <v>335</v>
      </c>
      <c r="C35" s="21">
        <v>200000</v>
      </c>
    </row>
    <row r="36" spans="1:3" x14ac:dyDescent="0.25">
      <c r="A36" s="131" t="s">
        <v>686</v>
      </c>
      <c r="B36" s="16" t="s">
        <v>376</v>
      </c>
      <c r="C36" s="21">
        <v>0</v>
      </c>
    </row>
    <row r="37" spans="1:3" x14ac:dyDescent="0.25">
      <c r="A37" s="131" t="s">
        <v>651</v>
      </c>
      <c r="B37" s="16" t="s">
        <v>15</v>
      </c>
      <c r="C37" s="21">
        <v>1100000</v>
      </c>
    </row>
    <row r="38" spans="1:3" x14ac:dyDescent="0.25">
      <c r="A38" s="132" t="s">
        <v>315</v>
      </c>
      <c r="B38" s="36" t="s">
        <v>16</v>
      </c>
      <c r="C38" s="23">
        <f>SUM(C33:C37)</f>
        <v>2800000</v>
      </c>
    </row>
    <row r="39" spans="1:3" x14ac:dyDescent="0.25">
      <c r="A39" s="132" t="s">
        <v>316</v>
      </c>
      <c r="B39" s="36" t="s">
        <v>154</v>
      </c>
      <c r="C39" s="23">
        <v>10000</v>
      </c>
    </row>
    <row r="40" spans="1:3" x14ac:dyDescent="0.25">
      <c r="A40" s="131" t="s">
        <v>317</v>
      </c>
      <c r="B40" s="32" t="s">
        <v>322</v>
      </c>
      <c r="C40" s="21">
        <v>3600000</v>
      </c>
    </row>
    <row r="41" spans="1:3" x14ac:dyDescent="0.25">
      <c r="A41" s="131" t="s">
        <v>319</v>
      </c>
      <c r="B41" s="32" t="s">
        <v>320</v>
      </c>
      <c r="C41" s="21">
        <v>10000</v>
      </c>
    </row>
    <row r="42" spans="1:3" x14ac:dyDescent="0.25">
      <c r="A42" s="132" t="s">
        <v>321</v>
      </c>
      <c r="B42" s="36" t="s">
        <v>320</v>
      </c>
      <c r="C42" s="23">
        <f>SUM(C40:C41)</f>
        <v>3610000</v>
      </c>
    </row>
    <row r="43" spans="1:3" x14ac:dyDescent="0.25">
      <c r="A43" s="133" t="s">
        <v>318</v>
      </c>
      <c r="B43" s="33" t="s">
        <v>150</v>
      </c>
      <c r="C43" s="21">
        <f>C29+C32+C38+C39+C42</f>
        <v>18200000</v>
      </c>
    </row>
    <row r="44" spans="1:3" x14ac:dyDescent="0.25">
      <c r="A44" s="133" t="s">
        <v>455</v>
      </c>
      <c r="B44" s="33" t="s">
        <v>420</v>
      </c>
      <c r="C44" s="21">
        <v>0</v>
      </c>
    </row>
    <row r="45" spans="1:3" x14ac:dyDescent="0.25">
      <c r="A45" s="131" t="s">
        <v>424</v>
      </c>
      <c r="B45" s="32" t="s">
        <v>425</v>
      </c>
      <c r="C45" s="21">
        <v>2500000</v>
      </c>
    </row>
    <row r="46" spans="1:3" x14ac:dyDescent="0.25">
      <c r="A46" s="131" t="s">
        <v>426</v>
      </c>
      <c r="B46" s="32" t="s">
        <v>462</v>
      </c>
      <c r="C46" s="21">
        <v>675000</v>
      </c>
    </row>
    <row r="47" spans="1:3" x14ac:dyDescent="0.25">
      <c r="A47" s="133" t="s">
        <v>463</v>
      </c>
      <c r="B47" s="33" t="s">
        <v>464</v>
      </c>
      <c r="C47" s="21">
        <f>SUM(C45:C46)</f>
        <v>3175000</v>
      </c>
    </row>
    <row r="48" spans="1:3" x14ac:dyDescent="0.25">
      <c r="A48" s="131"/>
      <c r="B48" s="33" t="s">
        <v>149</v>
      </c>
      <c r="C48" s="27">
        <f>C19+C25+C43+C47</f>
        <v>31238470</v>
      </c>
    </row>
    <row r="49" spans="1:3" x14ac:dyDescent="0.25">
      <c r="A49" s="230"/>
      <c r="B49" s="231"/>
      <c r="C49" s="80"/>
    </row>
    <row r="50" spans="1:3" x14ac:dyDescent="0.25">
      <c r="A50" s="230"/>
      <c r="B50" s="231"/>
      <c r="C50" s="80"/>
    </row>
    <row r="51" spans="1:3" x14ac:dyDescent="0.25">
      <c r="A51" s="131" t="s">
        <v>365</v>
      </c>
      <c r="B51" s="32" t="s">
        <v>71</v>
      </c>
      <c r="C51" s="21">
        <v>2300000</v>
      </c>
    </row>
    <row r="52" spans="1:3" x14ac:dyDescent="0.25">
      <c r="A52" s="131" t="s">
        <v>379</v>
      </c>
      <c r="B52" s="32" t="s">
        <v>78</v>
      </c>
      <c r="C52" s="21">
        <v>3700000</v>
      </c>
    </row>
    <row r="53" spans="1:3" x14ac:dyDescent="0.25">
      <c r="A53" s="142" t="s">
        <v>382</v>
      </c>
      <c r="B53" s="232" t="s">
        <v>721</v>
      </c>
      <c r="C53" s="131">
        <v>1620000</v>
      </c>
    </row>
    <row r="54" spans="1:3" x14ac:dyDescent="0.25">
      <c r="A54" s="142" t="s">
        <v>383</v>
      </c>
      <c r="B54" s="232" t="s">
        <v>384</v>
      </c>
      <c r="C54" s="131">
        <v>2655000</v>
      </c>
    </row>
    <row r="55" spans="1:3" x14ac:dyDescent="0.25">
      <c r="A55" s="142" t="s">
        <v>545</v>
      </c>
      <c r="B55" s="232" t="s">
        <v>389</v>
      </c>
      <c r="C55" s="131">
        <v>10000</v>
      </c>
    </row>
    <row r="56" spans="1:3" x14ac:dyDescent="0.25">
      <c r="A56" s="233" t="s">
        <v>390</v>
      </c>
      <c r="B56" s="234" t="s">
        <v>80</v>
      </c>
      <c r="C56" s="133">
        <f>SUM(C51:C55)</f>
        <v>10285000</v>
      </c>
    </row>
    <row r="57" spans="1:3" x14ac:dyDescent="0.25">
      <c r="A57" s="233" t="s">
        <v>542</v>
      </c>
      <c r="B57" s="234" t="s">
        <v>737</v>
      </c>
      <c r="C57" s="133">
        <v>0</v>
      </c>
    </row>
    <row r="58" spans="1:3" x14ac:dyDescent="0.25">
      <c r="A58" s="343" t="s">
        <v>589</v>
      </c>
      <c r="B58" s="131" t="s">
        <v>716</v>
      </c>
      <c r="C58" s="131">
        <v>14817276</v>
      </c>
    </row>
    <row r="59" spans="1:3" x14ac:dyDescent="0.25">
      <c r="A59" s="343"/>
      <c r="B59" s="131" t="s">
        <v>717</v>
      </c>
      <c r="C59" s="131">
        <v>1162560</v>
      </c>
    </row>
    <row r="60" spans="1:3" x14ac:dyDescent="0.25">
      <c r="A60" s="343"/>
      <c r="B60" s="131" t="s">
        <v>718</v>
      </c>
      <c r="C60" s="131">
        <v>936576</v>
      </c>
    </row>
    <row r="61" spans="1:3" x14ac:dyDescent="0.25">
      <c r="A61" s="343"/>
      <c r="B61" s="131" t="s">
        <v>723</v>
      </c>
      <c r="C61" s="131">
        <v>4037058</v>
      </c>
    </row>
    <row r="62" spans="1:3" x14ac:dyDescent="0.25">
      <c r="A62" s="236" t="s">
        <v>589</v>
      </c>
      <c r="B62" s="133" t="s">
        <v>722</v>
      </c>
      <c r="C62" s="133">
        <f>SUM(C58:C61)</f>
        <v>20953470</v>
      </c>
    </row>
    <row r="63" spans="1:3" x14ac:dyDescent="0.25">
      <c r="A63" s="235"/>
      <c r="B63" s="133" t="s">
        <v>590</v>
      </c>
      <c r="C63" s="133">
        <f>C56+C62+C57</f>
        <v>31238470</v>
      </c>
    </row>
    <row r="64" spans="1:3" ht="15.75" x14ac:dyDescent="0.25">
      <c r="A64" s="220"/>
      <c r="B64" s="220"/>
      <c r="C64" s="220">
        <f>C48-C63</f>
        <v>0</v>
      </c>
    </row>
  </sheetData>
  <mergeCells count="5">
    <mergeCell ref="A4:C4"/>
    <mergeCell ref="A1:C1"/>
    <mergeCell ref="A2:C2"/>
    <mergeCell ref="A3:C3"/>
    <mergeCell ref="A58:A6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B1" workbookViewId="0">
      <selection sqref="A1:C47"/>
    </sheetView>
  </sheetViews>
  <sheetFormatPr defaultRowHeight="12.75" x14ac:dyDescent="0.2"/>
  <cols>
    <col min="1" max="1" width="9.140625" style="18"/>
    <col min="2" max="2" width="46.5703125" style="18" customWidth="1"/>
    <col min="3" max="3" width="20.42578125" style="18" customWidth="1"/>
    <col min="4" max="16384" width="9.140625" style="18"/>
  </cols>
  <sheetData>
    <row r="1" spans="1:3" ht="15" x14ac:dyDescent="0.25">
      <c r="A1" s="344" t="s">
        <v>184</v>
      </c>
      <c r="B1" s="344"/>
      <c r="C1" s="49"/>
    </row>
    <row r="2" spans="1:3" ht="15" x14ac:dyDescent="0.25">
      <c r="A2" s="345" t="s">
        <v>703</v>
      </c>
      <c r="B2" s="345"/>
      <c r="C2" s="49"/>
    </row>
    <row r="3" spans="1:3" ht="15" x14ac:dyDescent="0.25">
      <c r="A3" s="327" t="s">
        <v>649</v>
      </c>
      <c r="B3" s="327"/>
      <c r="C3" s="49"/>
    </row>
    <row r="4" spans="1:3" ht="15" x14ac:dyDescent="0.25">
      <c r="A4" s="222"/>
      <c r="B4" s="222"/>
      <c r="C4" s="49"/>
    </row>
    <row r="5" spans="1:3" ht="15" x14ac:dyDescent="0.25">
      <c r="A5" s="49"/>
      <c r="B5" s="53" t="s">
        <v>182</v>
      </c>
      <c r="C5" s="49"/>
    </row>
    <row r="6" spans="1:3" ht="15" x14ac:dyDescent="0.25">
      <c r="A6" s="49"/>
      <c r="B6" s="51" t="s">
        <v>613</v>
      </c>
      <c r="C6" s="49"/>
    </row>
    <row r="7" spans="1:3" ht="16.5" customHeight="1" x14ac:dyDescent="0.25">
      <c r="A7" s="131"/>
      <c r="B7" s="228" t="s">
        <v>1</v>
      </c>
      <c r="C7" s="228" t="s">
        <v>461</v>
      </c>
    </row>
    <row r="8" spans="1:3" ht="15" x14ac:dyDescent="0.25">
      <c r="A8" s="131" t="s">
        <v>292</v>
      </c>
      <c r="B8" s="16" t="s">
        <v>3</v>
      </c>
      <c r="C8" s="21">
        <f>'4.2.1 Szakmár'!C8+'4.2.2 Öregcsertő'!C8+'4.2.3 Újtelek'!C8+'4.2.4 Jegyző'!C8</f>
        <v>29642202</v>
      </c>
    </row>
    <row r="9" spans="1:3" ht="15" x14ac:dyDescent="0.25">
      <c r="A9" s="131" t="s">
        <v>293</v>
      </c>
      <c r="B9" s="16" t="s">
        <v>294</v>
      </c>
      <c r="C9" s="21">
        <f>'4.2.1 Szakmár'!C9+'4.2.2 Öregcsertő'!C9+'4.2.3 Újtelek'!C9+'4.2.4 Jegyző'!C9</f>
        <v>0</v>
      </c>
    </row>
    <row r="10" spans="1:3" ht="15" x14ac:dyDescent="0.25">
      <c r="A10" s="131" t="s">
        <v>295</v>
      </c>
      <c r="B10" s="16" t="s">
        <v>151</v>
      </c>
      <c r="C10" s="21">
        <f>'4.2.1 Szakmár'!C10+'4.2.2 Öregcsertő'!C10+'4.2.3 Újtelek'!C10+'4.2.4 Jegyző'!C10</f>
        <v>1639099</v>
      </c>
    </row>
    <row r="11" spans="1:3" ht="15" x14ac:dyDescent="0.25">
      <c r="A11" s="131" t="s">
        <v>296</v>
      </c>
      <c r="B11" s="16" t="s">
        <v>4</v>
      </c>
      <c r="C11" s="21">
        <f>'4.2.1 Szakmár'!C11+'4.2.2 Öregcsertő'!C11+'4.2.3 Újtelek'!C11+'4.2.4 Jegyző'!C11</f>
        <v>335500</v>
      </c>
    </row>
    <row r="12" spans="1:3" ht="15" x14ac:dyDescent="0.25">
      <c r="A12" s="131" t="s">
        <v>333</v>
      </c>
      <c r="B12" s="16" t="s">
        <v>334</v>
      </c>
      <c r="C12" s="21">
        <f>'4.2.1 Szakmár'!C12+'4.2.2 Öregcsertő'!C12+'4.2.3 Újtelek'!C12+'4.2.4 Jegyző'!C12</f>
        <v>650000</v>
      </c>
    </row>
    <row r="13" spans="1:3" ht="15" x14ac:dyDescent="0.25">
      <c r="A13" s="132" t="s">
        <v>297</v>
      </c>
      <c r="B13" s="36" t="s">
        <v>5</v>
      </c>
      <c r="C13" s="23">
        <f>'4.2.1 Szakmár'!C13+'4.2.2 Öregcsertő'!C13+'4.2.3 Újtelek'!C13+'4.2.4 Jegyző'!C13</f>
        <v>32266801</v>
      </c>
    </row>
    <row r="14" spans="1:3" ht="15" x14ac:dyDescent="0.25">
      <c r="A14" s="131" t="s">
        <v>298</v>
      </c>
      <c r="B14" s="32" t="s">
        <v>21</v>
      </c>
      <c r="C14" s="21">
        <f>'4.2.1 Szakmár'!C14+'4.2.2 Öregcsertő'!C14+'4.2.3 Újtelek'!C14+'4.2.4 Jegyző'!C14</f>
        <v>0</v>
      </c>
    </row>
    <row r="15" spans="1:3" ht="15" x14ac:dyDescent="0.25">
      <c r="A15" s="131" t="s">
        <v>299</v>
      </c>
      <c r="B15" s="32" t="s">
        <v>323</v>
      </c>
      <c r="C15" s="21">
        <f>'4.2.1 Szakmár'!C15+'4.2.2 Öregcsertő'!C15+'4.2.3 Újtelek'!C15+'4.2.4 Jegyző'!C15</f>
        <v>0</v>
      </c>
    </row>
    <row r="16" spans="1:3" ht="15" x14ac:dyDescent="0.25">
      <c r="A16" s="131" t="s">
        <v>300</v>
      </c>
      <c r="B16" s="32" t="s">
        <v>324</v>
      </c>
      <c r="C16" s="21">
        <f>'4.2.1 Szakmár'!C16+'4.2.2 Öregcsertő'!C16+'4.2.3 Újtelek'!C16+'4.2.4 Jegyző'!C16</f>
        <v>0</v>
      </c>
    </row>
    <row r="17" spans="1:3" ht="15" x14ac:dyDescent="0.25">
      <c r="A17" s="132" t="s">
        <v>301</v>
      </c>
      <c r="B17" s="36" t="s">
        <v>22</v>
      </c>
      <c r="C17" s="23">
        <f>'4.2.1 Szakmár'!C17+'4.2.2 Öregcsertő'!C17+'4.2.3 Újtelek'!C17+'4.2.4 Jegyző'!C17</f>
        <v>0</v>
      </c>
    </row>
    <row r="18" spans="1:3" ht="15" x14ac:dyDescent="0.25">
      <c r="A18" s="133" t="s">
        <v>302</v>
      </c>
      <c r="B18" s="33" t="s">
        <v>5</v>
      </c>
      <c r="C18" s="21">
        <f>'4.2.1 Szakmár'!C18+'4.2.2 Öregcsertő'!C18+'4.2.3 Újtelek'!C18+'4.2.4 Jegyző'!C18</f>
        <v>32266801</v>
      </c>
    </row>
    <row r="19" spans="1:3" ht="15" x14ac:dyDescent="0.25">
      <c r="A19" s="131" t="s">
        <v>303</v>
      </c>
      <c r="B19" s="32" t="s">
        <v>325</v>
      </c>
      <c r="C19" s="21">
        <f>'4.2.1 Szakmár'!C19+'4.2.2 Öregcsertő'!C19+'4.2.3 Újtelek'!C19+'4.2.4 Jegyző'!C19</f>
        <v>6664284</v>
      </c>
    </row>
    <row r="20" spans="1:3" ht="15" x14ac:dyDescent="0.25">
      <c r="A20" s="131" t="s">
        <v>304</v>
      </c>
      <c r="B20" s="32" t="s">
        <v>326</v>
      </c>
      <c r="C20" s="21">
        <f>'4.2.1 Szakmár'!C20+'4.2.2 Öregcsertő'!C20+'4.2.3 Újtelek'!C20+'4.2.4 Jegyző'!C20</f>
        <v>0</v>
      </c>
    </row>
    <row r="21" spans="1:3" ht="15" x14ac:dyDescent="0.25">
      <c r="A21" s="131" t="s">
        <v>305</v>
      </c>
      <c r="B21" s="32" t="s">
        <v>327</v>
      </c>
      <c r="C21" s="21">
        <f>'4.2.1 Szakmár'!C21+'4.2.2 Öregcsertő'!C21+'4.2.3 Újtelek'!C21+'4.2.4 Jegyző'!C21</f>
        <v>307000</v>
      </c>
    </row>
    <row r="22" spans="1:3" ht="15" x14ac:dyDescent="0.25">
      <c r="A22" s="131" t="s">
        <v>328</v>
      </c>
      <c r="B22" s="32" t="s">
        <v>329</v>
      </c>
      <c r="C22" s="21">
        <f>'4.2.1 Szakmár'!C22+'4.2.2 Öregcsertő'!C22+'4.2.3 Újtelek'!C22+'4.2.4 Jegyző'!C22</f>
        <v>0</v>
      </c>
    </row>
    <row r="23" spans="1:3" ht="15" x14ac:dyDescent="0.25">
      <c r="A23" s="131" t="s">
        <v>306</v>
      </c>
      <c r="B23" s="32" t="s">
        <v>330</v>
      </c>
      <c r="C23" s="21">
        <f>'4.2.1 Szakmár'!C23+'4.2.2 Öregcsertő'!C23+'4.2.3 Újtelek'!C23+'4.2.4 Jegyző'!C23</f>
        <v>313000</v>
      </c>
    </row>
    <row r="24" spans="1:3" ht="15" x14ac:dyDescent="0.25">
      <c r="A24" s="133" t="s">
        <v>307</v>
      </c>
      <c r="B24" s="38" t="s">
        <v>331</v>
      </c>
      <c r="C24" s="21">
        <f>'4.2.1 Szakmár'!C24+'4.2.2 Öregcsertő'!C24+'4.2.3 Újtelek'!C24+'4.2.4 Jegyző'!C24</f>
        <v>7284284</v>
      </c>
    </row>
    <row r="25" spans="1:3" ht="15" x14ac:dyDescent="0.25">
      <c r="A25" s="131" t="s">
        <v>332</v>
      </c>
      <c r="B25" s="134" t="s">
        <v>7</v>
      </c>
      <c r="C25" s="21">
        <f>'4.2.1 Szakmár'!C25+'4.2.2 Öregcsertő'!C25+'4.2.3 Újtelek'!C25+'4.2.4 Jegyző'!C25</f>
        <v>150000</v>
      </c>
    </row>
    <row r="26" spans="1:3" ht="15" x14ac:dyDescent="0.25">
      <c r="A26" s="131" t="s">
        <v>308</v>
      </c>
      <c r="B26" s="16" t="s">
        <v>8</v>
      </c>
      <c r="C26" s="21">
        <f>'4.2.1 Szakmár'!C26+'4.2.2 Öregcsertő'!C26+'4.2.3 Újtelek'!C26+'4.2.4 Jegyző'!C26</f>
        <v>540000</v>
      </c>
    </row>
    <row r="27" spans="1:3" ht="15" x14ac:dyDescent="0.25">
      <c r="A27" s="132" t="s">
        <v>309</v>
      </c>
      <c r="B27" s="36" t="s">
        <v>9</v>
      </c>
      <c r="C27" s="23">
        <f>'4.2.1 Szakmár'!C27+'4.2.2 Öregcsertő'!C27+'4.2.3 Újtelek'!C27+'4.2.4 Jegyző'!C27</f>
        <v>690000</v>
      </c>
    </row>
    <row r="28" spans="1:3" ht="15" x14ac:dyDescent="0.25">
      <c r="A28" s="131" t="s">
        <v>310</v>
      </c>
      <c r="B28" s="32" t="s">
        <v>10</v>
      </c>
      <c r="C28" s="21">
        <f>'4.2.1 Szakmár'!C28+'4.2.2 Öregcsertő'!C28+'4.2.3 Újtelek'!C28+'4.2.4 Jegyző'!C28</f>
        <v>705000</v>
      </c>
    </row>
    <row r="29" spans="1:3" ht="15" x14ac:dyDescent="0.25">
      <c r="A29" s="131" t="s">
        <v>311</v>
      </c>
      <c r="B29" s="32" t="s">
        <v>11</v>
      </c>
      <c r="C29" s="21">
        <f>'4.2.1 Szakmár'!C29+'4.2.2 Öregcsertő'!C29+'4.2.3 Újtelek'!C29+'4.2.4 Jegyző'!C29</f>
        <v>500000</v>
      </c>
    </row>
    <row r="30" spans="1:3" ht="15" x14ac:dyDescent="0.25">
      <c r="A30" s="132" t="s">
        <v>312</v>
      </c>
      <c r="B30" s="36" t="s">
        <v>12</v>
      </c>
      <c r="C30" s="23">
        <f>'4.2.1 Szakmár'!C30+'4.2.2 Öregcsertő'!C30+'4.2.3 Újtelek'!C30+'4.2.4 Jegyző'!C30</f>
        <v>1205000</v>
      </c>
    </row>
    <row r="31" spans="1:3" ht="15" x14ac:dyDescent="0.25">
      <c r="A31" s="131" t="s">
        <v>313</v>
      </c>
      <c r="B31" s="32" t="s">
        <v>13</v>
      </c>
      <c r="C31" s="21">
        <f>'4.2.1 Szakmár'!C31+'4.2.2 Öregcsertő'!C31+'4.2.3 Újtelek'!C31+'4.2.4 Jegyző'!C31</f>
        <v>1090000</v>
      </c>
    </row>
    <row r="32" spans="1:3" ht="15" x14ac:dyDescent="0.25">
      <c r="A32" s="131" t="s">
        <v>400</v>
      </c>
      <c r="B32" s="16" t="s">
        <v>14</v>
      </c>
      <c r="C32" s="21">
        <f>'4.2.1 Szakmár'!C32+'4.2.2 Öregcsertő'!C32+'4.2.3 Újtelek'!C32+'4.2.4 Jegyző'!C32</f>
        <v>0</v>
      </c>
    </row>
    <row r="33" spans="1:4" ht="15" x14ac:dyDescent="0.25">
      <c r="A33" s="131" t="s">
        <v>314</v>
      </c>
      <c r="B33" s="16" t="s">
        <v>335</v>
      </c>
      <c r="C33" s="21">
        <f>'4.2.1 Szakmár'!C33+'4.2.2 Öregcsertő'!C33+'4.2.3 Újtelek'!C33+'4.2.4 Jegyző'!C33</f>
        <v>0</v>
      </c>
    </row>
    <row r="34" spans="1:4" ht="15" x14ac:dyDescent="0.25">
      <c r="A34" s="131" t="s">
        <v>700</v>
      </c>
      <c r="B34" s="16" t="s">
        <v>552</v>
      </c>
      <c r="C34" s="21">
        <f>'4.2.1 Szakmár'!C34+'4.2.2 Öregcsertő'!C34+'4.2.3 Újtelek'!C34+'4.2.4 Jegyző'!C34</f>
        <v>60000</v>
      </c>
    </row>
    <row r="35" spans="1:4" ht="15" x14ac:dyDescent="0.25">
      <c r="A35" s="131" t="s">
        <v>651</v>
      </c>
      <c r="B35" s="16" t="s">
        <v>15</v>
      </c>
      <c r="C35" s="21">
        <f>'4.2.1 Szakmár'!C35+'4.2.2 Öregcsertő'!C35+'4.2.3 Újtelek'!C35+'4.2.4 Jegyző'!C35</f>
        <v>1350000</v>
      </c>
    </row>
    <row r="36" spans="1:4" ht="15" x14ac:dyDescent="0.25">
      <c r="A36" s="132" t="s">
        <v>315</v>
      </c>
      <c r="B36" s="36" t="s">
        <v>16</v>
      </c>
      <c r="C36" s="23">
        <f>'4.2.1 Szakmár'!C36+'4.2.2 Öregcsertő'!C36+'4.2.3 Újtelek'!C36+'4.2.4 Jegyző'!C36</f>
        <v>2500000</v>
      </c>
    </row>
    <row r="37" spans="1:4" ht="15" x14ac:dyDescent="0.25">
      <c r="A37" s="132" t="s">
        <v>316</v>
      </c>
      <c r="B37" s="36" t="s">
        <v>154</v>
      </c>
      <c r="C37" s="23">
        <f>'4.2.1 Szakmár'!C37+'4.2.2 Öregcsertő'!C37+'4.2.3 Újtelek'!C37+'4.2.4 Jegyző'!C37</f>
        <v>340000</v>
      </c>
    </row>
    <row r="38" spans="1:4" ht="15" x14ac:dyDescent="0.25">
      <c r="A38" s="131" t="s">
        <v>317</v>
      </c>
      <c r="B38" s="32" t="s">
        <v>322</v>
      </c>
      <c r="C38" s="21">
        <f>'4.2.1 Szakmár'!C38+'4.2.2 Öregcsertő'!C38+'4.2.3 Újtelek'!C38+'4.2.4 Jegyző'!C38</f>
        <v>1148000</v>
      </c>
    </row>
    <row r="39" spans="1:4" ht="15" x14ac:dyDescent="0.25">
      <c r="A39" s="131" t="s">
        <v>319</v>
      </c>
      <c r="B39" s="32" t="s">
        <v>320</v>
      </c>
      <c r="C39" s="21">
        <f>'4.2.1 Szakmár'!C39+'4.2.2 Öregcsertő'!C39+'4.2.3 Újtelek'!C39+'4.2.4 Jegyző'!C39</f>
        <v>2000</v>
      </c>
    </row>
    <row r="40" spans="1:4" ht="15" x14ac:dyDescent="0.25">
      <c r="A40" s="132" t="s">
        <v>321</v>
      </c>
      <c r="B40" s="36" t="s">
        <v>320</v>
      </c>
      <c r="C40" s="23">
        <f>'4.2.1 Szakmár'!C40+'4.2.2 Öregcsertő'!C40+'4.2.3 Újtelek'!C40+'4.2.4 Jegyző'!C40</f>
        <v>1150000</v>
      </c>
    </row>
    <row r="41" spans="1:4" ht="15" x14ac:dyDescent="0.25">
      <c r="A41" s="131" t="s">
        <v>318</v>
      </c>
      <c r="B41" s="33" t="s">
        <v>150</v>
      </c>
      <c r="C41" s="21">
        <f>'4.2.1 Szakmár'!C41+'4.2.2 Öregcsertő'!C41+'4.2.3 Újtelek'!C41+'4.2.4 Jegyző'!C41</f>
        <v>5885000</v>
      </c>
    </row>
    <row r="42" spans="1:4" ht="15" x14ac:dyDescent="0.25">
      <c r="A42" s="131"/>
      <c r="B42" s="33" t="s">
        <v>149</v>
      </c>
      <c r="C42" s="27">
        <f>'4.2.1 Szakmár'!C42+'4.2.2 Öregcsertő'!C42+'4.2.3 Újtelek'!C42+'4.2.4 Jegyző'!C42</f>
        <v>45436085</v>
      </c>
      <c r="D42" s="18">
        <f>C18+C24+C41</f>
        <v>45436085</v>
      </c>
    </row>
    <row r="43" spans="1:4" ht="15" x14ac:dyDescent="0.25">
      <c r="A43" s="49"/>
      <c r="B43" s="49"/>
      <c r="C43" s="49"/>
    </row>
    <row r="44" spans="1:4" ht="15" x14ac:dyDescent="0.25">
      <c r="A44" s="50" t="s">
        <v>743</v>
      </c>
      <c r="B44" s="50" t="s">
        <v>744</v>
      </c>
      <c r="C44" s="50">
        <v>1500</v>
      </c>
    </row>
    <row r="45" spans="1:4" ht="15" x14ac:dyDescent="0.25">
      <c r="A45" s="50" t="s">
        <v>545</v>
      </c>
      <c r="B45" s="50" t="s">
        <v>389</v>
      </c>
      <c r="C45" s="50">
        <v>2000</v>
      </c>
    </row>
    <row r="46" spans="1:4" ht="15" x14ac:dyDescent="0.25">
      <c r="A46" s="50" t="s">
        <v>589</v>
      </c>
      <c r="B46" s="50" t="s">
        <v>745</v>
      </c>
      <c r="C46" s="50">
        <v>45432585</v>
      </c>
    </row>
    <row r="47" spans="1:4" ht="14.25" x14ac:dyDescent="0.2">
      <c r="A47" s="237"/>
      <c r="B47" s="237" t="s">
        <v>746</v>
      </c>
      <c r="C47" s="237">
        <f>SUM(C44:C46)</f>
        <v>45436085</v>
      </c>
    </row>
  </sheetData>
  <mergeCells count="3">
    <mergeCell ref="A1:B1"/>
    <mergeCell ref="A2:B2"/>
    <mergeCell ref="A3:B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C1" zoomScaleNormal="100" workbookViewId="0">
      <selection activeCell="F8" sqref="F8:O30"/>
    </sheetView>
  </sheetViews>
  <sheetFormatPr defaultRowHeight="12.75" x14ac:dyDescent="0.2"/>
  <cols>
    <col min="1" max="1" width="9.140625" style="18"/>
    <col min="2" max="2" width="46.5703125" style="18" customWidth="1"/>
    <col min="3" max="3" width="20.42578125" style="18" customWidth="1"/>
    <col min="4" max="5" width="9.140625" style="18"/>
    <col min="6" max="6" width="11.85546875" style="18" customWidth="1"/>
    <col min="7" max="16384" width="9.140625" style="18"/>
  </cols>
  <sheetData>
    <row r="1" spans="1:15" ht="15" x14ac:dyDescent="0.25">
      <c r="A1" s="344" t="s">
        <v>157</v>
      </c>
      <c r="B1" s="344"/>
      <c r="C1" s="49"/>
    </row>
    <row r="2" spans="1:15" ht="15" x14ac:dyDescent="0.25">
      <c r="A2" s="345" t="s">
        <v>703</v>
      </c>
      <c r="B2" s="345"/>
      <c r="C2" s="49"/>
    </row>
    <row r="3" spans="1:15" ht="15" x14ac:dyDescent="0.25">
      <c r="A3" s="327" t="s">
        <v>186</v>
      </c>
      <c r="B3" s="327"/>
      <c r="C3" s="49"/>
    </row>
    <row r="4" spans="1:15" ht="15" x14ac:dyDescent="0.25">
      <c r="A4" s="49"/>
      <c r="B4" s="49"/>
      <c r="C4" s="49"/>
    </row>
    <row r="5" spans="1:15" ht="15" x14ac:dyDescent="0.25">
      <c r="A5" s="49"/>
      <c r="B5" s="53" t="s">
        <v>185</v>
      </c>
      <c r="C5" s="49"/>
    </row>
    <row r="6" spans="1:15" ht="15" x14ac:dyDescent="0.25">
      <c r="A6" s="49"/>
      <c r="B6" s="51" t="s">
        <v>613</v>
      </c>
      <c r="C6" s="49"/>
    </row>
    <row r="7" spans="1:15" ht="16.5" customHeight="1" x14ac:dyDescent="0.25">
      <c r="A7" s="131"/>
      <c r="B7" s="228" t="s">
        <v>1</v>
      </c>
      <c r="C7" s="228" t="s">
        <v>2</v>
      </c>
    </row>
    <row r="8" spans="1:15" ht="15" x14ac:dyDescent="0.25">
      <c r="A8" s="131" t="s">
        <v>292</v>
      </c>
      <c r="B8" s="16" t="s">
        <v>3</v>
      </c>
      <c r="C8" s="21">
        <v>12287100</v>
      </c>
      <c r="G8" s="18">
        <v>2016</v>
      </c>
      <c r="H8" s="18">
        <v>2017</v>
      </c>
      <c r="J8" s="18" t="s">
        <v>488</v>
      </c>
      <c r="M8" s="18" t="s">
        <v>727</v>
      </c>
      <c r="N8" s="18" t="s">
        <v>727</v>
      </c>
      <c r="O8" s="18" t="s">
        <v>488</v>
      </c>
    </row>
    <row r="9" spans="1:15" ht="15" x14ac:dyDescent="0.25">
      <c r="A9" s="131" t="s">
        <v>293</v>
      </c>
      <c r="B9" s="16" t="s">
        <v>294</v>
      </c>
      <c r="C9" s="21">
        <v>0</v>
      </c>
      <c r="F9" s="18" t="s">
        <v>535</v>
      </c>
      <c r="G9" s="18">
        <v>185500</v>
      </c>
      <c r="H9" s="18">
        <v>200000</v>
      </c>
      <c r="I9" s="18">
        <f>G9+(H9*11)</f>
        <v>2385500</v>
      </c>
      <c r="J9" s="18">
        <f>I9*22%</f>
        <v>524810</v>
      </c>
      <c r="L9" s="18">
        <v>11500</v>
      </c>
      <c r="M9" s="18">
        <v>10600</v>
      </c>
      <c r="N9" s="18">
        <f>L9+(11*M9)</f>
        <v>128100</v>
      </c>
      <c r="O9" s="18">
        <f>N9*22%</f>
        <v>28182</v>
      </c>
    </row>
    <row r="10" spans="1:15" ht="15" x14ac:dyDescent="0.25">
      <c r="A10" s="131" t="s">
        <v>295</v>
      </c>
      <c r="B10" s="16" t="s">
        <v>151</v>
      </c>
      <c r="C10" s="21">
        <v>745045</v>
      </c>
      <c r="F10" s="18" t="s">
        <v>513</v>
      </c>
      <c r="G10" s="18">
        <v>204100</v>
      </c>
      <c r="H10" s="18">
        <v>220000</v>
      </c>
      <c r="I10" s="18">
        <f t="shared" ref="I10:I14" si="0">G10+(H10*11)</f>
        <v>2624100</v>
      </c>
      <c r="J10" s="18">
        <f t="shared" ref="J10:J14" si="1">I10*22%</f>
        <v>577302</v>
      </c>
      <c r="L10" s="18">
        <v>10300</v>
      </c>
      <c r="M10" s="18">
        <v>0</v>
      </c>
      <c r="N10" s="18">
        <f t="shared" ref="N10:N11" si="2">L10+(11*M10)</f>
        <v>10300</v>
      </c>
      <c r="O10" s="18">
        <f t="shared" ref="O10:O11" si="3">N10*22%</f>
        <v>2266</v>
      </c>
    </row>
    <row r="11" spans="1:15" ht="15" x14ac:dyDescent="0.25">
      <c r="A11" s="131" t="s">
        <v>296</v>
      </c>
      <c r="B11" s="16" t="s">
        <v>4</v>
      </c>
      <c r="C11" s="21">
        <v>220000</v>
      </c>
      <c r="F11" s="18" t="s">
        <v>514</v>
      </c>
      <c r="G11" s="18">
        <v>153000</v>
      </c>
      <c r="H11" s="18">
        <v>190000</v>
      </c>
      <c r="I11" s="18">
        <f t="shared" si="0"/>
        <v>2243000</v>
      </c>
      <c r="J11" s="18">
        <f t="shared" si="1"/>
        <v>493460</v>
      </c>
      <c r="L11" s="18">
        <v>13500</v>
      </c>
      <c r="M11" s="18">
        <v>11200</v>
      </c>
      <c r="N11" s="18">
        <f t="shared" si="2"/>
        <v>136700</v>
      </c>
      <c r="O11" s="18">
        <f t="shared" si="3"/>
        <v>30074</v>
      </c>
    </row>
    <row r="12" spans="1:15" ht="15" x14ac:dyDescent="0.25">
      <c r="A12" s="131" t="s">
        <v>333</v>
      </c>
      <c r="B12" s="16" t="s">
        <v>334</v>
      </c>
      <c r="C12" s="21">
        <v>350000</v>
      </c>
      <c r="F12" s="18" t="s">
        <v>515</v>
      </c>
      <c r="G12" s="18">
        <v>241200</v>
      </c>
      <c r="H12" s="18">
        <v>260000</v>
      </c>
      <c r="I12" s="18">
        <f t="shared" si="0"/>
        <v>3101200</v>
      </c>
      <c r="J12" s="18">
        <f t="shared" si="1"/>
        <v>682264</v>
      </c>
      <c r="L12" s="18" t="s">
        <v>734</v>
      </c>
      <c r="N12" s="227">
        <f>SUM(N9:N11)</f>
        <v>275100</v>
      </c>
      <c r="O12" s="227">
        <f>SUM(O9:O11)</f>
        <v>60522</v>
      </c>
    </row>
    <row r="13" spans="1:15" ht="15" x14ac:dyDescent="0.25">
      <c r="A13" s="132" t="s">
        <v>297</v>
      </c>
      <c r="B13" s="36" t="s">
        <v>5</v>
      </c>
      <c r="C13" s="37">
        <f>SUM(C8:C12)</f>
        <v>13602145</v>
      </c>
      <c r="F13" s="18" t="s">
        <v>690</v>
      </c>
      <c r="G13" s="18">
        <v>162300</v>
      </c>
      <c r="I13" s="18">
        <f t="shared" si="0"/>
        <v>162300</v>
      </c>
      <c r="J13" s="18">
        <f t="shared" si="1"/>
        <v>35706</v>
      </c>
    </row>
    <row r="14" spans="1:15" ht="15" x14ac:dyDescent="0.25">
      <c r="A14" s="131" t="s">
        <v>298</v>
      </c>
      <c r="B14" s="32" t="s">
        <v>21</v>
      </c>
      <c r="C14" s="35">
        <v>0</v>
      </c>
      <c r="F14" s="18" t="s">
        <v>698</v>
      </c>
      <c r="H14" s="18">
        <v>161000</v>
      </c>
      <c r="I14" s="18">
        <f t="shared" si="0"/>
        <v>1771000</v>
      </c>
      <c r="J14" s="18">
        <f t="shared" si="1"/>
        <v>389620</v>
      </c>
    </row>
    <row r="15" spans="1:15" ht="15" x14ac:dyDescent="0.25">
      <c r="A15" s="131" t="s">
        <v>299</v>
      </c>
      <c r="B15" s="32" t="s">
        <v>323</v>
      </c>
      <c r="C15" s="35">
        <v>0</v>
      </c>
      <c r="I15" s="227">
        <f>SUM(I9:I14)</f>
        <v>12287100</v>
      </c>
      <c r="J15" s="227">
        <f>SUM(J9:J14)</f>
        <v>2703162</v>
      </c>
    </row>
    <row r="16" spans="1:15" ht="15" x14ac:dyDescent="0.25">
      <c r="A16" s="131" t="s">
        <v>300</v>
      </c>
      <c r="B16" s="32" t="s">
        <v>324</v>
      </c>
      <c r="C16" s="35">
        <v>0</v>
      </c>
    </row>
    <row r="17" spans="1:9" ht="15" x14ac:dyDescent="0.25">
      <c r="A17" s="132" t="s">
        <v>301</v>
      </c>
      <c r="B17" s="36" t="s">
        <v>22</v>
      </c>
      <c r="C17" s="34">
        <f>SUM(C15:C16)</f>
        <v>0</v>
      </c>
      <c r="F17" s="18" t="s">
        <v>480</v>
      </c>
      <c r="G17" s="18">
        <v>149009</v>
      </c>
      <c r="H17" s="18">
        <v>5</v>
      </c>
      <c r="I17" s="18">
        <f>G17*5</f>
        <v>745045</v>
      </c>
    </row>
    <row r="18" spans="1:9" ht="14.25" x14ac:dyDescent="0.2">
      <c r="A18" s="133" t="s">
        <v>302</v>
      </c>
      <c r="B18" s="33" t="s">
        <v>5</v>
      </c>
      <c r="C18" s="34">
        <f>C13+C17</f>
        <v>13602145</v>
      </c>
      <c r="F18" s="18" t="s">
        <v>490</v>
      </c>
      <c r="G18" s="18">
        <f>I17*1.18*15%</f>
        <v>131872.965</v>
      </c>
    </row>
    <row r="19" spans="1:9" ht="15" x14ac:dyDescent="0.25">
      <c r="A19" s="131" t="s">
        <v>303</v>
      </c>
      <c r="B19" s="32" t="s">
        <v>325</v>
      </c>
      <c r="C19" s="35">
        <v>2780162</v>
      </c>
      <c r="F19" s="18" t="s">
        <v>516</v>
      </c>
      <c r="G19" s="174">
        <f>I17*1.18*14%</f>
        <v>123081.43400000001</v>
      </c>
    </row>
    <row r="20" spans="1:9" ht="15" x14ac:dyDescent="0.25">
      <c r="A20" s="131" t="s">
        <v>304</v>
      </c>
      <c r="B20" s="32" t="s">
        <v>326</v>
      </c>
      <c r="C20" s="35">
        <v>0</v>
      </c>
      <c r="F20" s="18" t="s">
        <v>504</v>
      </c>
      <c r="G20" s="18">
        <v>350000</v>
      </c>
    </row>
    <row r="21" spans="1:9" ht="15" x14ac:dyDescent="0.25">
      <c r="A21" s="131" t="s">
        <v>305</v>
      </c>
      <c r="B21" s="32" t="s">
        <v>327</v>
      </c>
      <c r="C21" s="35">
        <v>145000</v>
      </c>
      <c r="F21" s="18" t="s">
        <v>511</v>
      </c>
      <c r="G21" s="18">
        <f>G20*0.2*1.18*15%</f>
        <v>12390</v>
      </c>
    </row>
    <row r="22" spans="1:9" ht="15" x14ac:dyDescent="0.25">
      <c r="A22" s="131" t="s">
        <v>328</v>
      </c>
      <c r="B22" s="32" t="s">
        <v>329</v>
      </c>
      <c r="C22" s="35"/>
      <c r="F22" s="18" t="s">
        <v>512</v>
      </c>
      <c r="G22" s="18">
        <f>G20*0.2*1.18*22%</f>
        <v>18172</v>
      </c>
    </row>
    <row r="23" spans="1:9" ht="15" x14ac:dyDescent="0.25">
      <c r="A23" s="131" t="s">
        <v>306</v>
      </c>
      <c r="B23" s="32" t="s">
        <v>330</v>
      </c>
      <c r="C23" s="35">
        <v>145000</v>
      </c>
      <c r="F23" s="18" t="s">
        <v>484</v>
      </c>
      <c r="G23" s="174">
        <f>G19+G22</f>
        <v>141253.43400000001</v>
      </c>
    </row>
    <row r="24" spans="1:9" ht="14.25" x14ac:dyDescent="0.2">
      <c r="A24" s="133" t="s">
        <v>307</v>
      </c>
      <c r="B24" s="38" t="s">
        <v>331</v>
      </c>
      <c r="C24" s="27">
        <f>SUM(C19:C23)</f>
        <v>3070162</v>
      </c>
      <c r="F24" s="18" t="s">
        <v>483</v>
      </c>
      <c r="G24" s="18">
        <f>G18+G21</f>
        <v>144262.965</v>
      </c>
    </row>
    <row r="25" spans="1:9" ht="15" x14ac:dyDescent="0.25">
      <c r="A25" s="131" t="s">
        <v>332</v>
      </c>
      <c r="B25" s="134" t="s">
        <v>7</v>
      </c>
      <c r="C25" s="21">
        <v>20000</v>
      </c>
      <c r="F25" s="18" t="s">
        <v>519</v>
      </c>
      <c r="G25" s="18" t="s">
        <v>520</v>
      </c>
    </row>
    <row r="26" spans="1:9" ht="15" x14ac:dyDescent="0.25">
      <c r="A26" s="131" t="s">
        <v>308</v>
      </c>
      <c r="B26" s="16" t="s">
        <v>8</v>
      </c>
      <c r="C26" s="21">
        <v>200000</v>
      </c>
      <c r="F26" s="18" t="s">
        <v>517</v>
      </c>
      <c r="G26" s="18">
        <v>10234</v>
      </c>
      <c r="H26" s="18">
        <v>12</v>
      </c>
      <c r="I26" s="18">
        <f>G26*12</f>
        <v>122808</v>
      </c>
    </row>
    <row r="27" spans="1:9" ht="15" x14ac:dyDescent="0.25">
      <c r="A27" s="132" t="s">
        <v>309</v>
      </c>
      <c r="B27" s="36" t="s">
        <v>9</v>
      </c>
      <c r="C27" s="37">
        <f>SUM(C25:C26)</f>
        <v>220000</v>
      </c>
      <c r="F27" s="18" t="s">
        <v>691</v>
      </c>
      <c r="G27" s="18" t="s">
        <v>518</v>
      </c>
      <c r="H27" s="18" t="s">
        <v>699</v>
      </c>
      <c r="I27" s="18">
        <v>33000</v>
      </c>
    </row>
    <row r="28" spans="1:9" ht="15" x14ac:dyDescent="0.25">
      <c r="A28" s="131" t="s">
        <v>310</v>
      </c>
      <c r="B28" s="32" t="s">
        <v>10</v>
      </c>
      <c r="C28" s="35">
        <v>300000</v>
      </c>
      <c r="F28" s="18" t="s">
        <v>691</v>
      </c>
      <c r="G28" s="18" t="s">
        <v>518</v>
      </c>
      <c r="H28" s="18" t="s">
        <v>521</v>
      </c>
      <c r="I28" s="18">
        <v>100000</v>
      </c>
    </row>
    <row r="29" spans="1:9" ht="15" x14ac:dyDescent="0.25">
      <c r="A29" s="131" t="s">
        <v>311</v>
      </c>
      <c r="B29" s="32" t="s">
        <v>11</v>
      </c>
      <c r="C29" s="35">
        <v>300000</v>
      </c>
      <c r="I29" s="18">
        <f>I26+I28</f>
        <v>222808</v>
      </c>
    </row>
    <row r="30" spans="1:9" ht="15" x14ac:dyDescent="0.25">
      <c r="A30" s="132" t="s">
        <v>312</v>
      </c>
      <c r="B30" s="36" t="s">
        <v>12</v>
      </c>
      <c r="C30" s="37">
        <f>SUM(C28:C29)</f>
        <v>600000</v>
      </c>
    </row>
    <row r="31" spans="1:9" ht="15" x14ac:dyDescent="0.25">
      <c r="A31" s="131" t="s">
        <v>313</v>
      </c>
      <c r="B31" s="32" t="s">
        <v>13</v>
      </c>
      <c r="C31" s="35">
        <v>290000</v>
      </c>
    </row>
    <row r="32" spans="1:9" ht="15" x14ac:dyDescent="0.25">
      <c r="A32" s="131" t="s">
        <v>400</v>
      </c>
      <c r="B32" s="16" t="s">
        <v>14</v>
      </c>
      <c r="C32" s="21">
        <v>0</v>
      </c>
    </row>
    <row r="33" spans="1:6" ht="15" x14ac:dyDescent="0.25">
      <c r="A33" s="131" t="s">
        <v>314</v>
      </c>
      <c r="B33" s="16" t="s">
        <v>335</v>
      </c>
      <c r="C33" s="21">
        <v>0</v>
      </c>
    </row>
    <row r="34" spans="1:6" ht="15" x14ac:dyDescent="0.25">
      <c r="A34" s="131" t="s">
        <v>551</v>
      </c>
      <c r="B34" s="16" t="s">
        <v>552</v>
      </c>
      <c r="C34" s="21">
        <v>15000</v>
      </c>
    </row>
    <row r="35" spans="1:6" ht="15" x14ac:dyDescent="0.25">
      <c r="A35" s="131" t="s">
        <v>651</v>
      </c>
      <c r="B35" s="16" t="s">
        <v>15</v>
      </c>
      <c r="C35" s="21">
        <v>600000</v>
      </c>
    </row>
    <row r="36" spans="1:6" ht="15" x14ac:dyDescent="0.25">
      <c r="A36" s="132" t="s">
        <v>315</v>
      </c>
      <c r="B36" s="36" t="s">
        <v>16</v>
      </c>
      <c r="C36" s="37">
        <f>SUM(C31:C35)</f>
        <v>905000</v>
      </c>
    </row>
    <row r="37" spans="1:6" ht="15" x14ac:dyDescent="0.25">
      <c r="A37" s="132" t="s">
        <v>316</v>
      </c>
      <c r="B37" s="36" t="s">
        <v>154</v>
      </c>
      <c r="C37" s="37">
        <v>160000</v>
      </c>
      <c r="F37" s="18" t="s">
        <v>704</v>
      </c>
    </row>
    <row r="38" spans="1:6" ht="15" x14ac:dyDescent="0.25">
      <c r="A38" s="131" t="s">
        <v>317</v>
      </c>
      <c r="B38" s="32" t="s">
        <v>322</v>
      </c>
      <c r="C38" s="35">
        <v>465000</v>
      </c>
    </row>
    <row r="39" spans="1:6" ht="15" x14ac:dyDescent="0.25">
      <c r="A39" s="131" t="s">
        <v>319</v>
      </c>
      <c r="B39" s="32" t="s">
        <v>320</v>
      </c>
      <c r="C39" s="35">
        <v>1000</v>
      </c>
    </row>
    <row r="40" spans="1:6" ht="15" x14ac:dyDescent="0.25">
      <c r="A40" s="132" t="s">
        <v>321</v>
      </c>
      <c r="B40" s="36" t="s">
        <v>320</v>
      </c>
      <c r="C40" s="37">
        <f>SUM(C38:C39)</f>
        <v>466000</v>
      </c>
    </row>
    <row r="41" spans="1:6" ht="15" x14ac:dyDescent="0.25">
      <c r="A41" s="131" t="s">
        <v>318</v>
      </c>
      <c r="B41" s="33" t="s">
        <v>150</v>
      </c>
      <c r="C41" s="34">
        <f>C27+C30+C36+C37+C40</f>
        <v>2351000</v>
      </c>
    </row>
    <row r="42" spans="1:6" ht="15" x14ac:dyDescent="0.25">
      <c r="A42" s="131"/>
      <c r="B42" s="33" t="s">
        <v>149</v>
      </c>
      <c r="C42" s="34">
        <f>C18+C24+C41</f>
        <v>19023307</v>
      </c>
    </row>
    <row r="44" spans="1:6" ht="15" x14ac:dyDescent="0.25">
      <c r="A44" t="s">
        <v>589</v>
      </c>
      <c r="B44" t="s">
        <v>693</v>
      </c>
      <c r="C44">
        <v>17938390</v>
      </c>
    </row>
    <row r="45" spans="1:6" ht="15" x14ac:dyDescent="0.25">
      <c r="A45"/>
      <c r="B45" t="s">
        <v>694</v>
      </c>
      <c r="C45">
        <v>60000</v>
      </c>
      <c r="D45" s="18" t="s">
        <v>704</v>
      </c>
    </row>
  </sheetData>
  <mergeCells count="3">
    <mergeCell ref="A1:B1"/>
    <mergeCell ref="A2:B2"/>
    <mergeCell ref="A3:B3"/>
  </mergeCells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C1" zoomScaleNormal="100" workbookViewId="0">
      <selection activeCell="F7" sqref="F7:R25"/>
    </sheetView>
  </sheetViews>
  <sheetFormatPr defaultRowHeight="15" x14ac:dyDescent="0.25"/>
  <cols>
    <col min="2" max="2" width="46.5703125" customWidth="1"/>
    <col min="3" max="3" width="20.42578125" customWidth="1"/>
    <col min="6" max="6" width="17.85546875" customWidth="1"/>
    <col min="12" max="12" width="10.140625" bestFit="1" customWidth="1"/>
  </cols>
  <sheetData>
    <row r="1" spans="1:18" x14ac:dyDescent="0.25">
      <c r="A1" s="307" t="s">
        <v>156</v>
      </c>
      <c r="B1" s="307"/>
      <c r="C1" s="151"/>
    </row>
    <row r="2" spans="1:18" x14ac:dyDescent="0.25">
      <c r="A2" s="308" t="s">
        <v>703</v>
      </c>
      <c r="B2" s="308"/>
      <c r="C2" s="151"/>
    </row>
    <row r="3" spans="1:18" x14ac:dyDescent="0.25">
      <c r="A3" s="346" t="s">
        <v>522</v>
      </c>
      <c r="B3" s="346"/>
      <c r="C3" s="151"/>
    </row>
    <row r="4" spans="1:18" x14ac:dyDescent="0.25">
      <c r="A4" s="7"/>
      <c r="B4" s="7"/>
      <c r="C4" s="151"/>
    </row>
    <row r="5" spans="1:18" x14ac:dyDescent="0.25">
      <c r="A5" s="7"/>
      <c r="B5" s="223" t="s">
        <v>187</v>
      </c>
      <c r="C5" s="151"/>
    </row>
    <row r="6" spans="1:18" x14ac:dyDescent="0.25">
      <c r="A6" s="7"/>
      <c r="B6" s="29" t="s">
        <v>613</v>
      </c>
      <c r="C6" s="151"/>
    </row>
    <row r="7" spans="1:18" ht="16.5" customHeight="1" x14ac:dyDescent="0.25">
      <c r="A7" s="131"/>
      <c r="B7" s="228" t="s">
        <v>1</v>
      </c>
      <c r="C7" s="228" t="s">
        <v>2</v>
      </c>
      <c r="G7">
        <v>2016</v>
      </c>
      <c r="H7">
        <v>2017</v>
      </c>
      <c r="I7" t="s">
        <v>499</v>
      </c>
      <c r="J7" t="s">
        <v>509</v>
      </c>
      <c r="L7" t="s">
        <v>695</v>
      </c>
      <c r="O7" s="335" t="s">
        <v>727</v>
      </c>
      <c r="P7" s="335"/>
      <c r="Q7" t="s">
        <v>727</v>
      </c>
      <c r="R7" t="s">
        <v>488</v>
      </c>
    </row>
    <row r="8" spans="1:18" x14ac:dyDescent="0.25">
      <c r="A8" s="131" t="s">
        <v>292</v>
      </c>
      <c r="B8" s="16" t="s">
        <v>3</v>
      </c>
      <c r="C8" s="21">
        <v>8643602</v>
      </c>
      <c r="F8" t="s">
        <v>505</v>
      </c>
      <c r="G8">
        <v>220300</v>
      </c>
      <c r="I8">
        <f>G8*12</f>
        <v>2643600</v>
      </c>
      <c r="J8">
        <f>I8*22%</f>
        <v>581592</v>
      </c>
      <c r="L8" s="217">
        <v>42934</v>
      </c>
      <c r="M8">
        <v>224170</v>
      </c>
      <c r="N8">
        <f>(M8-G8)*4+2122</f>
        <v>17602</v>
      </c>
    </row>
    <row r="9" spans="1:18" x14ac:dyDescent="0.25">
      <c r="A9" s="131" t="s">
        <v>293</v>
      </c>
      <c r="B9" s="16" t="s">
        <v>294</v>
      </c>
      <c r="C9" s="21">
        <v>0</v>
      </c>
      <c r="F9" t="s">
        <v>506</v>
      </c>
      <c r="G9">
        <v>170100</v>
      </c>
      <c r="I9">
        <f>G9*12</f>
        <v>2041200</v>
      </c>
      <c r="J9">
        <f t="shared" ref="J9:J12" si="0">I9*22%</f>
        <v>449064</v>
      </c>
      <c r="O9">
        <v>12400</v>
      </c>
      <c r="P9">
        <v>12400</v>
      </c>
      <c r="Q9">
        <f>12*P9</f>
        <v>148800</v>
      </c>
      <c r="R9">
        <f>Q9*22%</f>
        <v>32736</v>
      </c>
    </row>
    <row r="10" spans="1:18" x14ac:dyDescent="0.25">
      <c r="A10" s="131" t="s">
        <v>295</v>
      </c>
      <c r="B10" s="16" t="s">
        <v>151</v>
      </c>
      <c r="C10" s="21">
        <v>447027</v>
      </c>
      <c r="F10" t="s">
        <v>507</v>
      </c>
      <c r="G10">
        <v>129000</v>
      </c>
      <c r="H10">
        <v>161000</v>
      </c>
      <c r="I10">
        <f>G10+(H10*11)</f>
        <v>1900000</v>
      </c>
      <c r="J10">
        <f t="shared" si="0"/>
        <v>418000</v>
      </c>
      <c r="L10" s="217">
        <v>42799</v>
      </c>
    </row>
    <row r="11" spans="1:18" x14ac:dyDescent="0.25">
      <c r="A11" s="131" t="s">
        <v>296</v>
      </c>
      <c r="B11" s="16" t="s">
        <v>4</v>
      </c>
      <c r="C11" s="21">
        <v>0</v>
      </c>
      <c r="F11" t="s">
        <v>508</v>
      </c>
      <c r="G11">
        <v>170100</v>
      </c>
      <c r="I11">
        <f>G11*12</f>
        <v>2041200</v>
      </c>
      <c r="J11">
        <f t="shared" si="0"/>
        <v>449064</v>
      </c>
    </row>
    <row r="12" spans="1:18" x14ac:dyDescent="0.25">
      <c r="A12" s="131" t="s">
        <v>333</v>
      </c>
      <c r="B12" s="16" t="s">
        <v>334</v>
      </c>
      <c r="C12" s="21">
        <v>200000</v>
      </c>
      <c r="F12" t="s">
        <v>696</v>
      </c>
      <c r="I12">
        <v>17602</v>
      </c>
      <c r="J12" s="157">
        <f t="shared" si="0"/>
        <v>3872.44</v>
      </c>
    </row>
    <row r="13" spans="1:18" x14ac:dyDescent="0.25">
      <c r="A13" s="132" t="s">
        <v>297</v>
      </c>
      <c r="B13" s="36" t="s">
        <v>5</v>
      </c>
      <c r="C13" s="37">
        <f>SUM(C8:C12)</f>
        <v>9290629</v>
      </c>
      <c r="F13" t="s">
        <v>499</v>
      </c>
      <c r="I13">
        <f>SUM(I8:I12)</f>
        <v>8643602</v>
      </c>
      <c r="J13">
        <f>SUM(J8:J12)</f>
        <v>1901592.44</v>
      </c>
    </row>
    <row r="14" spans="1:18" x14ac:dyDescent="0.25">
      <c r="A14" s="131" t="s">
        <v>298</v>
      </c>
      <c r="B14" s="32" t="s">
        <v>21</v>
      </c>
      <c r="C14" s="35">
        <v>0</v>
      </c>
    </row>
    <row r="15" spans="1:18" x14ac:dyDescent="0.25">
      <c r="A15" s="131" t="s">
        <v>299</v>
      </c>
      <c r="B15" s="32" t="s">
        <v>323</v>
      </c>
      <c r="C15" s="35">
        <v>0</v>
      </c>
      <c r="F15" t="s">
        <v>480</v>
      </c>
      <c r="G15">
        <v>149009</v>
      </c>
      <c r="H15">
        <v>4</v>
      </c>
      <c r="I15">
        <f>G15*3</f>
        <v>447027</v>
      </c>
    </row>
    <row r="16" spans="1:18" x14ac:dyDescent="0.25">
      <c r="A16" s="131" t="s">
        <v>300</v>
      </c>
      <c r="B16" s="32" t="s">
        <v>324</v>
      </c>
      <c r="C16" s="35">
        <v>0</v>
      </c>
    </row>
    <row r="17" spans="1:7" x14ac:dyDescent="0.25">
      <c r="A17" s="132" t="s">
        <v>301</v>
      </c>
      <c r="B17" s="36" t="s">
        <v>22</v>
      </c>
      <c r="C17" s="229">
        <f>SUM(C15:C16)</f>
        <v>0</v>
      </c>
      <c r="F17" t="s">
        <v>499</v>
      </c>
    </row>
    <row r="18" spans="1:7" x14ac:dyDescent="0.25">
      <c r="A18" s="133" t="s">
        <v>302</v>
      </c>
      <c r="B18" s="33" t="s">
        <v>5</v>
      </c>
      <c r="C18" s="34">
        <f>C13+C17</f>
        <v>9290629</v>
      </c>
    </row>
    <row r="19" spans="1:7" x14ac:dyDescent="0.25">
      <c r="A19" s="131" t="s">
        <v>303</v>
      </c>
      <c r="B19" s="32" t="s">
        <v>325</v>
      </c>
      <c r="C19" s="35">
        <v>1945592</v>
      </c>
      <c r="F19" t="s">
        <v>490</v>
      </c>
      <c r="G19" s="157">
        <f>I15*1.18*15%</f>
        <v>79123.778999999995</v>
      </c>
    </row>
    <row r="20" spans="1:7" x14ac:dyDescent="0.25">
      <c r="A20" s="131" t="s">
        <v>304</v>
      </c>
      <c r="B20" s="32" t="s">
        <v>326</v>
      </c>
      <c r="C20" s="35">
        <v>0</v>
      </c>
      <c r="F20" t="s">
        <v>510</v>
      </c>
      <c r="G20" s="157">
        <f>I15*1.18*14%</f>
        <v>73848.860400000005</v>
      </c>
    </row>
    <row r="21" spans="1:7" x14ac:dyDescent="0.25">
      <c r="A21" s="131" t="s">
        <v>305</v>
      </c>
      <c r="B21" s="32" t="s">
        <v>327</v>
      </c>
      <c r="C21" s="35">
        <v>80000</v>
      </c>
      <c r="F21" t="s">
        <v>504</v>
      </c>
      <c r="G21">
        <v>100000</v>
      </c>
    </row>
    <row r="22" spans="1:7" x14ac:dyDescent="0.25">
      <c r="A22" s="131" t="s">
        <v>328</v>
      </c>
      <c r="B22" s="32" t="s">
        <v>329</v>
      </c>
      <c r="C22" s="35"/>
      <c r="F22" t="s">
        <v>511</v>
      </c>
      <c r="G22">
        <f>G21*0.2*1.18*15%</f>
        <v>3540</v>
      </c>
    </row>
    <row r="23" spans="1:7" x14ac:dyDescent="0.25">
      <c r="A23" s="131" t="s">
        <v>306</v>
      </c>
      <c r="B23" s="32" t="s">
        <v>330</v>
      </c>
      <c r="C23" s="35">
        <v>83000</v>
      </c>
      <c r="F23" t="s">
        <v>512</v>
      </c>
      <c r="G23" s="157">
        <f>G21*0.2*1.18*22%</f>
        <v>5192</v>
      </c>
    </row>
    <row r="24" spans="1:7" x14ac:dyDescent="0.25">
      <c r="A24" s="133" t="s">
        <v>307</v>
      </c>
      <c r="B24" s="38" t="s">
        <v>331</v>
      </c>
      <c r="C24" s="27">
        <f>SUM(C19:C23)</f>
        <v>2108592</v>
      </c>
      <c r="F24" t="s">
        <v>484</v>
      </c>
      <c r="G24" s="157">
        <f>G20+G23</f>
        <v>79040.860400000005</v>
      </c>
    </row>
    <row r="25" spans="1:7" x14ac:dyDescent="0.25">
      <c r="A25" s="131" t="s">
        <v>332</v>
      </c>
      <c r="B25" s="134" t="s">
        <v>7</v>
      </c>
      <c r="C25" s="21">
        <v>10000</v>
      </c>
      <c r="F25" t="s">
        <v>483</v>
      </c>
      <c r="G25" s="157">
        <f>G19+G22</f>
        <v>82663.778999999995</v>
      </c>
    </row>
    <row r="26" spans="1:7" x14ac:dyDescent="0.25">
      <c r="A26" s="131" t="s">
        <v>308</v>
      </c>
      <c r="B26" s="16" t="s">
        <v>8</v>
      </c>
      <c r="C26" s="21">
        <v>340000</v>
      </c>
    </row>
    <row r="27" spans="1:7" x14ac:dyDescent="0.25">
      <c r="A27" s="132" t="s">
        <v>309</v>
      </c>
      <c r="B27" s="36" t="s">
        <v>9</v>
      </c>
      <c r="C27" s="37">
        <f>SUM(C25:C26)</f>
        <v>350000</v>
      </c>
    </row>
    <row r="28" spans="1:7" x14ac:dyDescent="0.25">
      <c r="A28" s="131" t="s">
        <v>310</v>
      </c>
      <c r="B28" s="32" t="s">
        <v>10</v>
      </c>
      <c r="C28" s="35">
        <v>170000</v>
      </c>
    </row>
    <row r="29" spans="1:7" x14ac:dyDescent="0.25">
      <c r="A29" s="131" t="s">
        <v>311</v>
      </c>
      <c r="B29" s="32" t="s">
        <v>11</v>
      </c>
      <c r="C29" s="35">
        <v>100000</v>
      </c>
    </row>
    <row r="30" spans="1:7" x14ac:dyDescent="0.25">
      <c r="A30" s="132" t="s">
        <v>312</v>
      </c>
      <c r="B30" s="36" t="s">
        <v>12</v>
      </c>
      <c r="C30" s="37">
        <f>SUM(C28:C29)</f>
        <v>270000</v>
      </c>
    </row>
    <row r="31" spans="1:7" x14ac:dyDescent="0.25">
      <c r="A31" s="131" t="s">
        <v>313</v>
      </c>
      <c r="B31" s="32" t="s">
        <v>13</v>
      </c>
      <c r="C31" s="35">
        <v>200000</v>
      </c>
    </row>
    <row r="32" spans="1:7" x14ac:dyDescent="0.25">
      <c r="A32" s="131" t="s">
        <v>400</v>
      </c>
      <c r="B32" s="16" t="s">
        <v>14</v>
      </c>
      <c r="C32" s="21">
        <v>0</v>
      </c>
    </row>
    <row r="33" spans="1:4" x14ac:dyDescent="0.25">
      <c r="A33" s="131" t="s">
        <v>314</v>
      </c>
      <c r="B33" s="16" t="s">
        <v>335</v>
      </c>
      <c r="C33" s="21">
        <v>0</v>
      </c>
    </row>
    <row r="34" spans="1:4" x14ac:dyDescent="0.25">
      <c r="A34" s="131" t="s">
        <v>686</v>
      </c>
      <c r="B34" s="16" t="s">
        <v>697</v>
      </c>
      <c r="C34" s="21">
        <v>15000</v>
      </c>
    </row>
    <row r="35" spans="1:4" x14ac:dyDescent="0.25">
      <c r="A35" s="131" t="s">
        <v>651</v>
      </c>
      <c r="B35" s="16" t="s">
        <v>15</v>
      </c>
      <c r="C35" s="21">
        <v>600000</v>
      </c>
    </row>
    <row r="36" spans="1:4" x14ac:dyDescent="0.25">
      <c r="A36" s="132" t="s">
        <v>315</v>
      </c>
      <c r="B36" s="36" t="s">
        <v>16</v>
      </c>
      <c r="C36" s="37">
        <f>SUM(C31:C35)</f>
        <v>815000</v>
      </c>
    </row>
    <row r="37" spans="1:4" x14ac:dyDescent="0.25">
      <c r="A37" s="132" t="s">
        <v>316</v>
      </c>
      <c r="B37" s="36" t="s">
        <v>154</v>
      </c>
      <c r="C37" s="37">
        <v>70000</v>
      </c>
    </row>
    <row r="38" spans="1:4" x14ac:dyDescent="0.25">
      <c r="A38" s="131" t="s">
        <v>317</v>
      </c>
      <c r="B38" s="32" t="s">
        <v>322</v>
      </c>
      <c r="C38" s="35">
        <v>383000</v>
      </c>
    </row>
    <row r="39" spans="1:4" x14ac:dyDescent="0.25">
      <c r="A39" s="131" t="s">
        <v>319</v>
      </c>
      <c r="B39" s="32" t="s">
        <v>320</v>
      </c>
      <c r="C39" s="35">
        <v>1000</v>
      </c>
    </row>
    <row r="40" spans="1:4" x14ac:dyDescent="0.25">
      <c r="A40" s="132" t="s">
        <v>321</v>
      </c>
      <c r="B40" s="36" t="s">
        <v>320</v>
      </c>
      <c r="C40" s="37">
        <f>SUM(C38:C39)</f>
        <v>384000</v>
      </c>
    </row>
    <row r="41" spans="1:4" x14ac:dyDescent="0.25">
      <c r="A41" s="131" t="s">
        <v>318</v>
      </c>
      <c r="B41" s="33" t="s">
        <v>150</v>
      </c>
      <c r="C41" s="34">
        <f>C27+C30+C36+C37+C40</f>
        <v>1889000</v>
      </c>
    </row>
    <row r="42" spans="1:4" x14ac:dyDescent="0.25">
      <c r="A42" s="131"/>
      <c r="B42" s="33" t="s">
        <v>149</v>
      </c>
      <c r="C42" s="34">
        <f>C18+C24+C41</f>
        <v>13288221</v>
      </c>
    </row>
    <row r="44" spans="1:4" x14ac:dyDescent="0.25">
      <c r="A44" t="s">
        <v>589</v>
      </c>
      <c r="B44" t="s">
        <v>693</v>
      </c>
      <c r="C44">
        <v>11759286</v>
      </c>
    </row>
    <row r="45" spans="1:4" x14ac:dyDescent="0.25">
      <c r="B45" t="s">
        <v>694</v>
      </c>
      <c r="D45" t="s">
        <v>704</v>
      </c>
    </row>
  </sheetData>
  <mergeCells count="4">
    <mergeCell ref="A1:B1"/>
    <mergeCell ref="A2:B2"/>
    <mergeCell ref="A3:B3"/>
    <mergeCell ref="O7:P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C1" zoomScaleNormal="100" workbookViewId="0">
      <selection activeCell="E9" sqref="E9:O22"/>
    </sheetView>
  </sheetViews>
  <sheetFormatPr defaultRowHeight="15" x14ac:dyDescent="0.25"/>
  <cols>
    <col min="2" max="2" width="46.5703125" customWidth="1"/>
    <col min="3" max="3" width="20.42578125" customWidth="1"/>
    <col min="12" max="12" width="10.140625" customWidth="1"/>
  </cols>
  <sheetData>
    <row r="1" spans="1:15" x14ac:dyDescent="0.25">
      <c r="A1" s="307" t="s">
        <v>155</v>
      </c>
      <c r="B1" s="307"/>
      <c r="C1" s="151"/>
    </row>
    <row r="2" spans="1:15" x14ac:dyDescent="0.25">
      <c r="A2" s="308" t="s">
        <v>703</v>
      </c>
      <c r="B2" s="308"/>
      <c r="C2" s="151"/>
    </row>
    <row r="3" spans="1:15" x14ac:dyDescent="0.25">
      <c r="A3" s="346" t="s">
        <v>188</v>
      </c>
      <c r="B3" s="346"/>
      <c r="C3" s="151"/>
    </row>
    <row r="4" spans="1:15" x14ac:dyDescent="0.25">
      <c r="A4" s="7"/>
      <c r="B4" s="7"/>
      <c r="C4" s="151"/>
    </row>
    <row r="5" spans="1:15" x14ac:dyDescent="0.25">
      <c r="A5" s="7"/>
      <c r="B5" s="223" t="s">
        <v>189</v>
      </c>
      <c r="C5" s="151"/>
    </row>
    <row r="6" spans="1:15" x14ac:dyDescent="0.25">
      <c r="A6" s="7"/>
      <c r="B6" s="29" t="s">
        <v>613</v>
      </c>
      <c r="C6" s="151"/>
    </row>
    <row r="7" spans="1:15" ht="16.5" customHeight="1" x14ac:dyDescent="0.25">
      <c r="A7" s="131"/>
      <c r="B7" s="228" t="s">
        <v>1</v>
      </c>
      <c r="C7" s="228" t="s">
        <v>2</v>
      </c>
    </row>
    <row r="8" spans="1:15" x14ac:dyDescent="0.25">
      <c r="A8" s="131" t="s">
        <v>292</v>
      </c>
      <c r="B8" s="16" t="s">
        <v>3</v>
      </c>
      <c r="C8" s="21">
        <v>4713100</v>
      </c>
    </row>
    <row r="9" spans="1:15" x14ac:dyDescent="0.25">
      <c r="A9" s="131" t="s">
        <v>293</v>
      </c>
      <c r="B9" s="16" t="s">
        <v>294</v>
      </c>
      <c r="C9" s="21">
        <v>0</v>
      </c>
      <c r="G9" s="171">
        <v>2016</v>
      </c>
      <c r="H9">
        <v>2017</v>
      </c>
      <c r="I9" t="s">
        <v>499</v>
      </c>
      <c r="J9" t="s">
        <v>488</v>
      </c>
      <c r="M9" t="s">
        <v>727</v>
      </c>
      <c r="N9" t="s">
        <v>727</v>
      </c>
      <c r="O9" t="s">
        <v>733</v>
      </c>
    </row>
    <row r="10" spans="1:15" x14ac:dyDescent="0.25">
      <c r="A10" s="131" t="s">
        <v>295</v>
      </c>
      <c r="B10" s="16" t="s">
        <v>151</v>
      </c>
      <c r="C10" s="21">
        <v>298018</v>
      </c>
      <c r="F10" t="s">
        <v>497</v>
      </c>
      <c r="G10">
        <v>214800</v>
      </c>
      <c r="H10">
        <v>225300</v>
      </c>
      <c r="I10">
        <f>G10+(H10*11)</f>
        <v>2693100</v>
      </c>
      <c r="J10">
        <f>I10*22%</f>
        <v>592482</v>
      </c>
      <c r="L10">
        <v>8400</v>
      </c>
      <c r="M10">
        <v>5300</v>
      </c>
      <c r="N10">
        <f>L10+(11*M10)</f>
        <v>66700</v>
      </c>
      <c r="O10">
        <f>N10*22%</f>
        <v>14674</v>
      </c>
    </row>
    <row r="11" spans="1:15" x14ac:dyDescent="0.25">
      <c r="A11" s="131" t="s">
        <v>296</v>
      </c>
      <c r="B11" s="16" t="s">
        <v>4</v>
      </c>
      <c r="C11" s="21">
        <v>0</v>
      </c>
      <c r="F11" t="s">
        <v>498</v>
      </c>
      <c r="G11">
        <v>139000</v>
      </c>
      <c r="H11">
        <v>171000</v>
      </c>
      <c r="I11">
        <f>G11+(H11*11)</f>
        <v>2020000</v>
      </c>
      <c r="J11">
        <f>I11*22%</f>
        <v>444400</v>
      </c>
    </row>
    <row r="12" spans="1:15" x14ac:dyDescent="0.25">
      <c r="A12" s="131" t="s">
        <v>650</v>
      </c>
      <c r="B12" s="16" t="s">
        <v>334</v>
      </c>
      <c r="C12" s="21">
        <v>100000</v>
      </c>
      <c r="F12" t="s">
        <v>499</v>
      </c>
      <c r="I12">
        <f>I10+I11</f>
        <v>4713100</v>
      </c>
      <c r="J12">
        <f>J10+J11</f>
        <v>1036882</v>
      </c>
    </row>
    <row r="13" spans="1:15" x14ac:dyDescent="0.25">
      <c r="A13" s="132" t="s">
        <v>297</v>
      </c>
      <c r="B13" s="36" t="s">
        <v>5</v>
      </c>
      <c r="C13" s="37">
        <f>SUM(C8:C12)</f>
        <v>5111118</v>
      </c>
    </row>
    <row r="14" spans="1:15" x14ac:dyDescent="0.25">
      <c r="A14" s="131" t="s">
        <v>298</v>
      </c>
      <c r="B14" s="32" t="s">
        <v>21</v>
      </c>
      <c r="C14" s="35">
        <v>0</v>
      </c>
    </row>
    <row r="15" spans="1:15" x14ac:dyDescent="0.25">
      <c r="A15" s="131" t="s">
        <v>299</v>
      </c>
      <c r="B15" s="32" t="s">
        <v>323</v>
      </c>
      <c r="C15" s="35">
        <v>0</v>
      </c>
      <c r="F15" t="s">
        <v>480</v>
      </c>
      <c r="G15">
        <v>149009</v>
      </c>
      <c r="H15" t="s">
        <v>502</v>
      </c>
      <c r="I15">
        <f>G15*2</f>
        <v>298018</v>
      </c>
    </row>
    <row r="16" spans="1:15" x14ac:dyDescent="0.25">
      <c r="A16" s="131" t="s">
        <v>300</v>
      </c>
      <c r="B16" s="32" t="s">
        <v>324</v>
      </c>
      <c r="C16" s="35">
        <v>0</v>
      </c>
      <c r="F16" t="s">
        <v>500</v>
      </c>
      <c r="I16" s="157">
        <f>I15*1.18*15%</f>
        <v>52749.185999999994</v>
      </c>
    </row>
    <row r="17" spans="1:9" x14ac:dyDescent="0.25">
      <c r="A17" s="132" t="s">
        <v>301</v>
      </c>
      <c r="B17" s="36" t="s">
        <v>22</v>
      </c>
      <c r="C17" s="229">
        <f>SUM(C15:C16)</f>
        <v>0</v>
      </c>
      <c r="F17" t="s">
        <v>501</v>
      </c>
      <c r="I17" s="157">
        <f>I15*1.18*14%</f>
        <v>49232.573600000003</v>
      </c>
    </row>
    <row r="18" spans="1:9" x14ac:dyDescent="0.25">
      <c r="A18" s="133" t="s">
        <v>302</v>
      </c>
      <c r="B18" s="33" t="s">
        <v>5</v>
      </c>
      <c r="C18" s="34">
        <f>C13+C17</f>
        <v>5111118</v>
      </c>
      <c r="F18" t="s">
        <v>504</v>
      </c>
      <c r="G18">
        <v>40000</v>
      </c>
    </row>
    <row r="19" spans="1:9" x14ac:dyDescent="0.25">
      <c r="A19" s="131" t="s">
        <v>303</v>
      </c>
      <c r="B19" s="32" t="s">
        <v>325</v>
      </c>
      <c r="C19" s="35">
        <v>1058882</v>
      </c>
      <c r="F19" t="s">
        <v>495</v>
      </c>
      <c r="G19">
        <f>G18*0.2*1.18*15%</f>
        <v>1416</v>
      </c>
    </row>
    <row r="20" spans="1:9" x14ac:dyDescent="0.25">
      <c r="A20" s="131" t="s">
        <v>304</v>
      </c>
      <c r="B20" s="32" t="s">
        <v>326</v>
      </c>
      <c r="C20" s="35">
        <v>0</v>
      </c>
      <c r="F20" t="s">
        <v>496</v>
      </c>
      <c r="G20" s="157">
        <f>G18*0.2*1.18*22%</f>
        <v>2076.8000000000002</v>
      </c>
    </row>
    <row r="21" spans="1:9" x14ac:dyDescent="0.25">
      <c r="A21" s="131" t="s">
        <v>305</v>
      </c>
      <c r="B21" s="32" t="s">
        <v>327</v>
      </c>
      <c r="C21" s="35">
        <v>52000</v>
      </c>
      <c r="F21" t="s">
        <v>483</v>
      </c>
      <c r="G21" s="157">
        <f>I16+G19</f>
        <v>54165.185999999994</v>
      </c>
    </row>
    <row r="22" spans="1:9" x14ac:dyDescent="0.25">
      <c r="A22" s="131" t="s">
        <v>328</v>
      </c>
      <c r="B22" s="32" t="s">
        <v>329</v>
      </c>
      <c r="C22" s="35">
        <v>0</v>
      </c>
      <c r="F22" t="s">
        <v>484</v>
      </c>
      <c r="G22" s="157">
        <f>I17+G20</f>
        <v>51309.373600000006</v>
      </c>
    </row>
    <row r="23" spans="1:9" x14ac:dyDescent="0.25">
      <c r="A23" s="131" t="s">
        <v>306</v>
      </c>
      <c r="B23" s="32" t="s">
        <v>330</v>
      </c>
      <c r="C23" s="35">
        <v>55000</v>
      </c>
    </row>
    <row r="24" spans="1:9" x14ac:dyDescent="0.25">
      <c r="A24" s="133" t="s">
        <v>307</v>
      </c>
      <c r="B24" s="38" t="s">
        <v>331</v>
      </c>
      <c r="C24" s="27">
        <f>SUM(C19:C23)</f>
        <v>1165882</v>
      </c>
    </row>
    <row r="25" spans="1:9" x14ac:dyDescent="0.25">
      <c r="A25" s="131" t="s">
        <v>332</v>
      </c>
      <c r="B25" s="134" t="s">
        <v>7</v>
      </c>
      <c r="C25" s="21">
        <v>0</v>
      </c>
    </row>
    <row r="26" spans="1:9" x14ac:dyDescent="0.25">
      <c r="A26" s="131" t="s">
        <v>308</v>
      </c>
      <c r="B26" s="16" t="s">
        <v>8</v>
      </c>
      <c r="C26" s="21">
        <v>0</v>
      </c>
    </row>
    <row r="27" spans="1:9" x14ac:dyDescent="0.25">
      <c r="A27" s="132" t="s">
        <v>309</v>
      </c>
      <c r="B27" s="36" t="s">
        <v>9</v>
      </c>
      <c r="C27" s="37">
        <f>SUM(C25:C26)</f>
        <v>0</v>
      </c>
    </row>
    <row r="28" spans="1:9" x14ac:dyDescent="0.25">
      <c r="A28" s="131" t="s">
        <v>310</v>
      </c>
      <c r="B28" s="32" t="s">
        <v>10</v>
      </c>
      <c r="C28" s="35">
        <v>150000</v>
      </c>
    </row>
    <row r="29" spans="1:9" x14ac:dyDescent="0.25">
      <c r="A29" s="131" t="s">
        <v>311</v>
      </c>
      <c r="B29" s="32" t="s">
        <v>11</v>
      </c>
      <c r="C29" s="35">
        <v>40000</v>
      </c>
    </row>
    <row r="30" spans="1:9" x14ac:dyDescent="0.25">
      <c r="A30" s="132" t="s">
        <v>312</v>
      </c>
      <c r="B30" s="36" t="s">
        <v>12</v>
      </c>
      <c r="C30" s="37">
        <f>SUM(C28:C29)</f>
        <v>190000</v>
      </c>
    </row>
    <row r="31" spans="1:9" x14ac:dyDescent="0.25">
      <c r="A31" s="131" t="s">
        <v>313</v>
      </c>
      <c r="B31" s="32" t="s">
        <v>13</v>
      </c>
      <c r="C31" s="35">
        <v>600000</v>
      </c>
    </row>
    <row r="32" spans="1:9" x14ac:dyDescent="0.25">
      <c r="A32" s="131" t="s">
        <v>400</v>
      </c>
      <c r="B32" s="16" t="s">
        <v>14</v>
      </c>
      <c r="C32" s="21">
        <v>0</v>
      </c>
    </row>
    <row r="33" spans="1:4" x14ac:dyDescent="0.25">
      <c r="A33" s="131" t="s">
        <v>314</v>
      </c>
      <c r="B33" s="16" t="s">
        <v>335</v>
      </c>
      <c r="C33" s="21">
        <v>0</v>
      </c>
    </row>
    <row r="34" spans="1:4" x14ac:dyDescent="0.25">
      <c r="A34" s="131" t="s">
        <v>551</v>
      </c>
      <c r="B34" s="16" t="s">
        <v>697</v>
      </c>
      <c r="C34" s="21">
        <v>15000</v>
      </c>
    </row>
    <row r="35" spans="1:4" x14ac:dyDescent="0.25">
      <c r="A35" s="131" t="s">
        <v>651</v>
      </c>
      <c r="B35" s="16" t="s">
        <v>15</v>
      </c>
      <c r="C35" s="21">
        <v>100000</v>
      </c>
    </row>
    <row r="36" spans="1:4" x14ac:dyDescent="0.25">
      <c r="A36" s="132" t="s">
        <v>315</v>
      </c>
      <c r="B36" s="36" t="s">
        <v>16</v>
      </c>
      <c r="C36" s="37">
        <f>SUM(C31:C35)</f>
        <v>715000</v>
      </c>
    </row>
    <row r="37" spans="1:4" x14ac:dyDescent="0.25">
      <c r="A37" s="132" t="s">
        <v>316</v>
      </c>
      <c r="B37" s="36" t="s">
        <v>154</v>
      </c>
      <c r="C37" s="37">
        <v>60000</v>
      </c>
    </row>
    <row r="38" spans="1:4" x14ac:dyDescent="0.25">
      <c r="A38" s="131" t="s">
        <v>317</v>
      </c>
      <c r="B38" s="32" t="s">
        <v>322</v>
      </c>
      <c r="C38" s="35">
        <v>220000</v>
      </c>
    </row>
    <row r="39" spans="1:4" x14ac:dyDescent="0.25">
      <c r="A39" s="131" t="s">
        <v>319</v>
      </c>
      <c r="B39" s="32" t="s">
        <v>320</v>
      </c>
      <c r="C39" s="35">
        <v>0</v>
      </c>
    </row>
    <row r="40" spans="1:4" x14ac:dyDescent="0.25">
      <c r="A40" s="132" t="s">
        <v>321</v>
      </c>
      <c r="B40" s="36" t="s">
        <v>320</v>
      </c>
      <c r="C40" s="37">
        <f>C38+C39</f>
        <v>220000</v>
      </c>
    </row>
    <row r="41" spans="1:4" x14ac:dyDescent="0.25">
      <c r="A41" s="131" t="s">
        <v>318</v>
      </c>
      <c r="B41" s="33" t="s">
        <v>150</v>
      </c>
      <c r="C41" s="34">
        <f>C27+C30+C36+C37+C40</f>
        <v>1185000</v>
      </c>
    </row>
    <row r="42" spans="1:4" x14ac:dyDescent="0.25">
      <c r="A42" s="131"/>
      <c r="B42" s="33" t="s">
        <v>149</v>
      </c>
      <c r="C42" s="34">
        <f>C18+C24+C41</f>
        <v>7462000</v>
      </c>
    </row>
    <row r="44" spans="1:4" x14ac:dyDescent="0.25">
      <c r="A44" t="s">
        <v>589</v>
      </c>
      <c r="B44" t="s">
        <v>693</v>
      </c>
      <c r="C44">
        <v>5843124</v>
      </c>
    </row>
    <row r="45" spans="1:4" x14ac:dyDescent="0.25">
      <c r="B45" t="s">
        <v>694</v>
      </c>
      <c r="C45">
        <v>60000</v>
      </c>
      <c r="D45" t="s">
        <v>704</v>
      </c>
    </row>
  </sheetData>
  <mergeCells count="3">
    <mergeCell ref="A1:B1"/>
    <mergeCell ref="A2:B2"/>
    <mergeCell ref="A3:B3"/>
  </mergeCells>
  <phoneticPr fontId="18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C1" workbookViewId="0">
      <selection activeCell="F7" sqref="F7:O19"/>
    </sheetView>
  </sheetViews>
  <sheetFormatPr defaultRowHeight="15" x14ac:dyDescent="0.25"/>
  <cols>
    <col min="1" max="1" width="9.140625" style="3"/>
    <col min="2" max="2" width="46.5703125" customWidth="1"/>
    <col min="3" max="3" width="20.42578125" customWidth="1"/>
    <col min="6" max="6" width="23.28515625" customWidth="1"/>
  </cols>
  <sheetData>
    <row r="1" spans="1:15" ht="16.5" customHeight="1" x14ac:dyDescent="0.25">
      <c r="A1" s="151"/>
      <c r="B1" s="307" t="s">
        <v>153</v>
      </c>
      <c r="C1" s="307"/>
    </row>
    <row r="2" spans="1:15" ht="16.5" customHeight="1" x14ac:dyDescent="0.25">
      <c r="A2" s="151"/>
      <c r="B2" s="308" t="s">
        <v>703</v>
      </c>
      <c r="C2" s="308"/>
    </row>
    <row r="3" spans="1:15" ht="16.5" customHeight="1" x14ac:dyDescent="0.25">
      <c r="A3" s="151"/>
      <c r="B3" s="54"/>
      <c r="C3" s="7"/>
    </row>
    <row r="4" spans="1:15" ht="16.5" customHeight="1" x14ac:dyDescent="0.25">
      <c r="A4" s="151"/>
      <c r="B4" s="7"/>
      <c r="C4" s="7"/>
    </row>
    <row r="5" spans="1:15" ht="16.5" customHeight="1" x14ac:dyDescent="0.25">
      <c r="A5" s="151"/>
      <c r="B5" s="7"/>
      <c r="C5" s="7" t="s">
        <v>190</v>
      </c>
    </row>
    <row r="6" spans="1:15" ht="16.5" customHeight="1" x14ac:dyDescent="0.25">
      <c r="A6" s="151"/>
      <c r="B6" s="7"/>
      <c r="C6" s="29" t="s">
        <v>613</v>
      </c>
    </row>
    <row r="7" spans="1:15" ht="16.5" customHeight="1" x14ac:dyDescent="0.25">
      <c r="A7" s="131"/>
      <c r="B7" s="228" t="s">
        <v>1</v>
      </c>
      <c r="C7" s="228" t="s">
        <v>2</v>
      </c>
      <c r="F7" t="s">
        <v>654</v>
      </c>
      <c r="G7" t="s">
        <v>689</v>
      </c>
      <c r="L7" t="s">
        <v>690</v>
      </c>
      <c r="O7" t="s">
        <v>141</v>
      </c>
    </row>
    <row r="8" spans="1:15" ht="16.5" customHeight="1" x14ac:dyDescent="0.25">
      <c r="A8" s="131" t="s">
        <v>292</v>
      </c>
      <c r="B8" s="16" t="s">
        <v>3</v>
      </c>
      <c r="C8" s="21">
        <v>3998400</v>
      </c>
      <c r="F8" t="s">
        <v>487</v>
      </c>
      <c r="G8">
        <v>338200</v>
      </c>
      <c r="H8">
        <f>G8*2</f>
        <v>676400</v>
      </c>
      <c r="L8">
        <v>302000</v>
      </c>
      <c r="M8">
        <f>L8*11</f>
        <v>3322000</v>
      </c>
      <c r="O8">
        <f>H8+M8</f>
        <v>3998400</v>
      </c>
    </row>
    <row r="9" spans="1:15" ht="16.5" customHeight="1" x14ac:dyDescent="0.25">
      <c r="A9" s="131" t="s">
        <v>394</v>
      </c>
      <c r="B9" s="16" t="s">
        <v>688</v>
      </c>
      <c r="C9" s="21">
        <v>0</v>
      </c>
      <c r="F9" t="s">
        <v>488</v>
      </c>
      <c r="G9">
        <f>G8*22%</f>
        <v>74404</v>
      </c>
      <c r="H9">
        <f>G9*2</f>
        <v>148808</v>
      </c>
      <c r="L9">
        <f>L8*22%</f>
        <v>66440</v>
      </c>
      <c r="M9">
        <f>L9*11</f>
        <v>730840</v>
      </c>
      <c r="O9">
        <f>H9+M9</f>
        <v>879648</v>
      </c>
    </row>
    <row r="10" spans="1:15" ht="16.5" customHeight="1" x14ac:dyDescent="0.25">
      <c r="A10" s="131" t="s">
        <v>295</v>
      </c>
      <c r="B10" s="16" t="s">
        <v>151</v>
      </c>
      <c r="C10" s="21">
        <v>149009</v>
      </c>
      <c r="F10" t="s">
        <v>480</v>
      </c>
      <c r="G10">
        <v>0</v>
      </c>
      <c r="L10">
        <v>149009</v>
      </c>
    </row>
    <row r="11" spans="1:15" ht="16.5" customHeight="1" x14ac:dyDescent="0.25">
      <c r="A11" s="131" t="s">
        <v>296</v>
      </c>
      <c r="B11" s="16" t="s">
        <v>4</v>
      </c>
      <c r="C11" s="21">
        <v>115500</v>
      </c>
      <c r="F11" t="s">
        <v>489</v>
      </c>
      <c r="G11" s="157">
        <f>G10*1.19*14%</f>
        <v>0</v>
      </c>
      <c r="L11" s="157">
        <f>L10*1.18*14%</f>
        <v>24616.286800000002</v>
      </c>
    </row>
    <row r="12" spans="1:15" ht="16.5" customHeight="1" x14ac:dyDescent="0.25">
      <c r="A12" s="131" t="s">
        <v>650</v>
      </c>
      <c r="B12" s="16" t="s">
        <v>334</v>
      </c>
      <c r="C12" s="21">
        <v>0</v>
      </c>
      <c r="F12" t="s">
        <v>490</v>
      </c>
      <c r="G12" s="157">
        <f>G10*1.19*15%</f>
        <v>0</v>
      </c>
      <c r="L12" s="157">
        <f>L10*1.18*15%</f>
        <v>26374.592999999997</v>
      </c>
    </row>
    <row r="13" spans="1:15" s="130" customFormat="1" ht="16.5" customHeight="1" x14ac:dyDescent="0.25">
      <c r="A13" s="132" t="s">
        <v>297</v>
      </c>
      <c r="B13" s="36" t="s">
        <v>5</v>
      </c>
      <c r="C13" s="37">
        <f>SUM(C8:C12)</f>
        <v>4262909</v>
      </c>
      <c r="F13" s="3" t="s">
        <v>491</v>
      </c>
      <c r="G13" s="130" t="s">
        <v>692</v>
      </c>
      <c r="H13" s="130" t="s">
        <v>691</v>
      </c>
      <c r="I13" s="130" t="s">
        <v>492</v>
      </c>
      <c r="J13" s="130" t="s">
        <v>493</v>
      </c>
      <c r="K13" s="130">
        <v>115500</v>
      </c>
    </row>
    <row r="14" spans="1:15" ht="16.5" customHeight="1" x14ac:dyDescent="0.25">
      <c r="A14" s="131" t="s">
        <v>298</v>
      </c>
      <c r="B14" s="32" t="s">
        <v>21</v>
      </c>
      <c r="C14" s="35">
        <v>0</v>
      </c>
      <c r="F14" s="170"/>
    </row>
    <row r="15" spans="1:15" ht="16.5" customHeight="1" x14ac:dyDescent="0.25">
      <c r="A15" s="131" t="s">
        <v>299</v>
      </c>
      <c r="B15" s="32" t="s">
        <v>323</v>
      </c>
      <c r="C15" s="35">
        <v>0</v>
      </c>
      <c r="F15" s="170" t="s">
        <v>494</v>
      </c>
      <c r="G15">
        <v>85000</v>
      </c>
    </row>
    <row r="16" spans="1:15" ht="16.5" customHeight="1" x14ac:dyDescent="0.25">
      <c r="A16" s="131" t="s">
        <v>300</v>
      </c>
      <c r="B16" s="32" t="s">
        <v>324</v>
      </c>
      <c r="C16" s="35">
        <v>0</v>
      </c>
      <c r="F16" s="170" t="s">
        <v>495</v>
      </c>
      <c r="G16">
        <f>G15*0.2*1.18*15%</f>
        <v>3009</v>
      </c>
    </row>
    <row r="17" spans="1:7" ht="16.5" customHeight="1" x14ac:dyDescent="0.25">
      <c r="A17" s="132" t="s">
        <v>301</v>
      </c>
      <c r="B17" s="36" t="s">
        <v>22</v>
      </c>
      <c r="C17" s="229">
        <f>SUM(C15:C16)</f>
        <v>0</v>
      </c>
      <c r="F17" s="170" t="s">
        <v>496</v>
      </c>
      <c r="G17" s="157">
        <f>G15*0.2*1.18*22%</f>
        <v>4413.2</v>
      </c>
    </row>
    <row r="18" spans="1:7" ht="16.5" customHeight="1" x14ac:dyDescent="0.25">
      <c r="A18" s="133" t="s">
        <v>302</v>
      </c>
      <c r="B18" s="33" t="s">
        <v>5</v>
      </c>
      <c r="C18" s="34">
        <f>C13+C17</f>
        <v>4262909</v>
      </c>
      <c r="F18" s="170" t="s">
        <v>484</v>
      </c>
      <c r="G18" s="157">
        <f>G17+L11</f>
        <v>29029.486800000002</v>
      </c>
    </row>
    <row r="19" spans="1:7" ht="16.5" customHeight="1" x14ac:dyDescent="0.25">
      <c r="A19" s="131" t="s">
        <v>303</v>
      </c>
      <c r="B19" s="32" t="s">
        <v>325</v>
      </c>
      <c r="C19" s="35">
        <v>879648</v>
      </c>
      <c r="F19" s="170" t="s">
        <v>483</v>
      </c>
      <c r="G19" s="157">
        <f>G16+L12</f>
        <v>29383.592999999997</v>
      </c>
    </row>
    <row r="20" spans="1:7" ht="16.5" customHeight="1" x14ac:dyDescent="0.25">
      <c r="A20" s="131" t="s">
        <v>304</v>
      </c>
      <c r="B20" s="32" t="s">
        <v>326</v>
      </c>
      <c r="C20" s="35">
        <v>0</v>
      </c>
    </row>
    <row r="21" spans="1:7" ht="16.5" customHeight="1" x14ac:dyDescent="0.25">
      <c r="A21" s="131" t="s">
        <v>305</v>
      </c>
      <c r="B21" s="32" t="s">
        <v>327</v>
      </c>
      <c r="C21" s="35">
        <v>30000</v>
      </c>
    </row>
    <row r="22" spans="1:7" ht="16.5" customHeight="1" x14ac:dyDescent="0.25">
      <c r="A22" s="131" t="s">
        <v>328</v>
      </c>
      <c r="B22" s="32" t="s">
        <v>329</v>
      </c>
      <c r="C22" s="35">
        <v>0</v>
      </c>
    </row>
    <row r="23" spans="1:7" ht="16.5" customHeight="1" x14ac:dyDescent="0.25">
      <c r="A23" s="131" t="s">
        <v>306</v>
      </c>
      <c r="B23" s="32" t="s">
        <v>330</v>
      </c>
      <c r="C23" s="35">
        <v>30000</v>
      </c>
    </row>
    <row r="24" spans="1:7" ht="16.5" customHeight="1" x14ac:dyDescent="0.25">
      <c r="A24" s="133" t="s">
        <v>307</v>
      </c>
      <c r="B24" s="38" t="s">
        <v>331</v>
      </c>
      <c r="C24" s="27">
        <f>SUM(C19:C23)</f>
        <v>939648</v>
      </c>
    </row>
    <row r="25" spans="1:7" ht="16.5" customHeight="1" x14ac:dyDescent="0.25">
      <c r="A25" s="131" t="s">
        <v>332</v>
      </c>
      <c r="B25" s="134" t="s">
        <v>7</v>
      </c>
      <c r="C25" s="21">
        <v>120000</v>
      </c>
    </row>
    <row r="26" spans="1:7" ht="16.5" customHeight="1" x14ac:dyDescent="0.25">
      <c r="A26" s="131" t="s">
        <v>308</v>
      </c>
      <c r="B26" s="16" t="s">
        <v>8</v>
      </c>
      <c r="C26" s="21">
        <v>0</v>
      </c>
    </row>
    <row r="27" spans="1:7" ht="16.5" customHeight="1" x14ac:dyDescent="0.25">
      <c r="A27" s="132" t="s">
        <v>309</v>
      </c>
      <c r="B27" s="36" t="s">
        <v>9</v>
      </c>
      <c r="C27" s="37">
        <f>SUM(C25:C26)</f>
        <v>120000</v>
      </c>
    </row>
    <row r="28" spans="1:7" ht="16.5" customHeight="1" x14ac:dyDescent="0.25">
      <c r="A28" s="131" t="s">
        <v>310</v>
      </c>
      <c r="B28" s="32" t="s">
        <v>10</v>
      </c>
      <c r="C28" s="35">
        <v>85000</v>
      </c>
    </row>
    <row r="29" spans="1:7" ht="16.5" customHeight="1" x14ac:dyDescent="0.25">
      <c r="A29" s="131" t="s">
        <v>311</v>
      </c>
      <c r="B29" s="32" t="s">
        <v>11</v>
      </c>
      <c r="C29" s="35">
        <v>60000</v>
      </c>
    </row>
    <row r="30" spans="1:7" ht="16.5" customHeight="1" x14ac:dyDescent="0.25">
      <c r="A30" s="132" t="s">
        <v>312</v>
      </c>
      <c r="B30" s="36" t="s">
        <v>12</v>
      </c>
      <c r="C30" s="37">
        <f>SUM(C28:C29)</f>
        <v>145000</v>
      </c>
    </row>
    <row r="31" spans="1:7" ht="16.5" customHeight="1" x14ac:dyDescent="0.25">
      <c r="A31" s="131" t="s">
        <v>313</v>
      </c>
      <c r="B31" s="32" t="s">
        <v>13</v>
      </c>
      <c r="C31" s="35">
        <v>0</v>
      </c>
    </row>
    <row r="32" spans="1:7" ht="16.5" customHeight="1" x14ac:dyDescent="0.25">
      <c r="A32" s="131" t="s">
        <v>400</v>
      </c>
      <c r="B32" s="16" t="s">
        <v>14</v>
      </c>
      <c r="C32" s="21">
        <v>0</v>
      </c>
    </row>
    <row r="33" spans="1:3" ht="16.5" customHeight="1" x14ac:dyDescent="0.25">
      <c r="A33" s="131" t="s">
        <v>314</v>
      </c>
      <c r="B33" s="16" t="s">
        <v>335</v>
      </c>
      <c r="C33" s="21">
        <v>0</v>
      </c>
    </row>
    <row r="34" spans="1:3" ht="16.5" customHeight="1" x14ac:dyDescent="0.25">
      <c r="A34" s="131" t="s">
        <v>551</v>
      </c>
      <c r="B34" s="16" t="s">
        <v>697</v>
      </c>
      <c r="C34" s="21">
        <v>15000</v>
      </c>
    </row>
    <row r="35" spans="1:3" ht="16.5" customHeight="1" x14ac:dyDescent="0.25">
      <c r="A35" s="131" t="s">
        <v>651</v>
      </c>
      <c r="B35" s="16" t="s">
        <v>15</v>
      </c>
      <c r="C35" s="21">
        <v>50000</v>
      </c>
    </row>
    <row r="36" spans="1:3" ht="16.5" customHeight="1" x14ac:dyDescent="0.25">
      <c r="A36" s="132" t="s">
        <v>315</v>
      </c>
      <c r="B36" s="36" t="s">
        <v>16</v>
      </c>
      <c r="C36" s="37">
        <f>SUM(C31:C35)</f>
        <v>65000</v>
      </c>
    </row>
    <row r="37" spans="1:3" ht="16.5" customHeight="1" x14ac:dyDescent="0.25">
      <c r="A37" s="132" t="s">
        <v>316</v>
      </c>
      <c r="B37" s="36" t="s">
        <v>154</v>
      </c>
      <c r="C37" s="37">
        <v>50000</v>
      </c>
    </row>
    <row r="38" spans="1:3" ht="16.5" customHeight="1" x14ac:dyDescent="0.25">
      <c r="A38" s="131" t="s">
        <v>317</v>
      </c>
      <c r="B38" s="32" t="s">
        <v>322</v>
      </c>
      <c r="C38" s="35">
        <v>80000</v>
      </c>
    </row>
    <row r="39" spans="1:3" ht="16.5" customHeight="1" x14ac:dyDescent="0.25">
      <c r="A39" s="131" t="s">
        <v>319</v>
      </c>
      <c r="B39" s="32" t="s">
        <v>320</v>
      </c>
      <c r="C39" s="35">
        <v>0</v>
      </c>
    </row>
    <row r="40" spans="1:3" ht="16.5" customHeight="1" x14ac:dyDescent="0.25">
      <c r="A40" s="132" t="s">
        <v>321</v>
      </c>
      <c r="B40" s="36" t="s">
        <v>320</v>
      </c>
      <c r="C40" s="37">
        <f>C38+C39</f>
        <v>80000</v>
      </c>
    </row>
    <row r="41" spans="1:3" ht="16.5" customHeight="1" x14ac:dyDescent="0.25">
      <c r="A41" s="131" t="s">
        <v>318</v>
      </c>
      <c r="B41" s="33" t="s">
        <v>150</v>
      </c>
      <c r="C41" s="34">
        <f>C27+C30+C36+C37+C40</f>
        <v>460000</v>
      </c>
    </row>
    <row r="42" spans="1:3" ht="16.5" customHeight="1" x14ac:dyDescent="0.25">
      <c r="A42" s="131"/>
      <c r="B42" s="33" t="s">
        <v>149</v>
      </c>
      <c r="C42" s="34">
        <f>C18+C24+C41</f>
        <v>5662557</v>
      </c>
    </row>
  </sheetData>
  <mergeCells count="2">
    <mergeCell ref="B1:C1"/>
    <mergeCell ref="B2:C2"/>
  </mergeCells>
  <phoneticPr fontId="18" type="noConversion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D16"/>
    </sheetView>
  </sheetViews>
  <sheetFormatPr defaultRowHeight="15" x14ac:dyDescent="0.25"/>
  <cols>
    <col min="1" max="1" width="29.85546875" customWidth="1"/>
    <col min="2" max="2" width="14.7109375" customWidth="1"/>
    <col min="3" max="3" width="13.7109375" customWidth="1"/>
    <col min="4" max="4" width="18.7109375" customWidth="1"/>
  </cols>
  <sheetData>
    <row r="1" spans="1:7" ht="15.75" x14ac:dyDescent="0.25">
      <c r="A1" s="326" t="s">
        <v>20</v>
      </c>
      <c r="B1" s="326"/>
      <c r="C1" s="326"/>
      <c r="D1" s="326"/>
      <c r="E1" s="7"/>
      <c r="F1" s="7"/>
      <c r="G1" s="7"/>
    </row>
    <row r="2" spans="1:7" ht="15.75" customHeight="1" x14ac:dyDescent="0.25">
      <c r="A2" s="301" t="s">
        <v>790</v>
      </c>
      <c r="B2" s="301"/>
      <c r="C2" s="301"/>
      <c r="D2" s="301"/>
      <c r="E2" s="71"/>
      <c r="F2" s="71"/>
      <c r="G2" s="71"/>
    </row>
    <row r="3" spans="1:7" ht="15" customHeight="1" x14ac:dyDescent="0.25">
      <c r="A3" s="301" t="s">
        <v>116</v>
      </c>
      <c r="B3" s="301"/>
      <c r="C3" s="301"/>
      <c r="D3" s="301"/>
      <c r="E3" s="71"/>
      <c r="F3" s="71"/>
      <c r="G3" s="71"/>
    </row>
    <row r="4" spans="1:7" x14ac:dyDescent="0.25">
      <c r="A4" s="301" t="s">
        <v>789</v>
      </c>
      <c r="B4" s="301"/>
      <c r="C4" s="301"/>
      <c r="D4" s="301"/>
      <c r="E4" s="7"/>
      <c r="F4" s="7"/>
      <c r="G4" s="7"/>
    </row>
    <row r="5" spans="1:7" x14ac:dyDescent="0.25">
      <c r="A5" s="7"/>
      <c r="B5" s="7"/>
      <c r="C5" s="7"/>
      <c r="D5" s="8" t="s">
        <v>212</v>
      </c>
      <c r="E5" s="7"/>
      <c r="F5" s="7"/>
      <c r="G5" s="7"/>
    </row>
    <row r="6" spans="1:7" x14ac:dyDescent="0.25">
      <c r="A6" s="7"/>
      <c r="B6" s="7"/>
      <c r="C6" s="7"/>
      <c r="D6" s="8" t="s">
        <v>629</v>
      </c>
      <c r="E6" s="7"/>
      <c r="F6" s="7"/>
      <c r="G6" s="7"/>
    </row>
    <row r="7" spans="1:7" x14ac:dyDescent="0.25">
      <c r="A7" s="7"/>
      <c r="B7" s="7"/>
      <c r="C7" s="7"/>
      <c r="D7" s="111" t="s">
        <v>167</v>
      </c>
      <c r="E7" s="7"/>
      <c r="F7" s="7"/>
      <c r="G7" s="7"/>
    </row>
    <row r="8" spans="1:7" x14ac:dyDescent="0.25">
      <c r="A8" s="7"/>
      <c r="B8" s="7"/>
      <c r="C8" s="7"/>
      <c r="D8" s="111"/>
      <c r="E8" s="7"/>
      <c r="F8" s="7"/>
      <c r="G8" s="7"/>
    </row>
    <row r="9" spans="1:7" x14ac:dyDescent="0.25">
      <c r="A9" s="350" t="s">
        <v>791</v>
      </c>
      <c r="B9" s="350"/>
      <c r="C9" s="350"/>
      <c r="D9" s="350"/>
      <c r="E9" s="7"/>
      <c r="F9" s="7"/>
      <c r="G9" s="7"/>
    </row>
    <row r="10" spans="1:7" x14ac:dyDescent="0.25">
      <c r="A10" s="21" t="s">
        <v>1</v>
      </c>
      <c r="B10" s="21" t="s">
        <v>202</v>
      </c>
      <c r="C10" s="21" t="s">
        <v>203</v>
      </c>
      <c r="D10" s="21" t="s">
        <v>141</v>
      </c>
      <c r="E10" s="7"/>
      <c r="F10" s="7"/>
      <c r="G10" s="7"/>
    </row>
    <row r="11" spans="1:7" x14ac:dyDescent="0.25">
      <c r="A11" s="21" t="s">
        <v>792</v>
      </c>
      <c r="B11" s="21">
        <v>2164252</v>
      </c>
      <c r="C11" s="21">
        <v>535748</v>
      </c>
      <c r="D11" s="21">
        <f>B11+C11</f>
        <v>2700000</v>
      </c>
      <c r="E11" s="7"/>
      <c r="F11" s="7"/>
      <c r="G11" s="7"/>
    </row>
    <row r="12" spans="1:7" x14ac:dyDescent="0.25">
      <c r="A12" s="21" t="s">
        <v>788</v>
      </c>
      <c r="B12" s="21">
        <v>2598425</v>
      </c>
      <c r="C12" s="21">
        <v>701575</v>
      </c>
      <c r="D12" s="21">
        <f t="shared" ref="D12:D16" si="0">B12+C12</f>
        <v>3300000</v>
      </c>
      <c r="E12" s="7"/>
      <c r="F12" s="7"/>
      <c r="G12" s="7"/>
    </row>
    <row r="13" spans="1:7" x14ac:dyDescent="0.25">
      <c r="A13" s="21" t="s">
        <v>204</v>
      </c>
      <c r="B13" s="21">
        <v>0</v>
      </c>
      <c r="C13" s="21">
        <v>0</v>
      </c>
      <c r="D13" s="21">
        <f t="shared" si="0"/>
        <v>0</v>
      </c>
      <c r="E13" s="7"/>
      <c r="F13" s="7"/>
      <c r="G13" s="7"/>
    </row>
    <row r="14" spans="1:7" x14ac:dyDescent="0.25">
      <c r="A14" s="21" t="s">
        <v>793</v>
      </c>
      <c r="B14" s="21">
        <f>B11+B12+B13</f>
        <v>4762677</v>
      </c>
      <c r="C14" s="21">
        <f t="shared" ref="C14:D14" si="1">C11+C12+C13</f>
        <v>1237323</v>
      </c>
      <c r="D14" s="21">
        <f t="shared" si="1"/>
        <v>6000000</v>
      </c>
      <c r="E14" s="7"/>
      <c r="F14" s="7"/>
      <c r="G14" s="7"/>
    </row>
    <row r="15" spans="1:7" x14ac:dyDescent="0.25">
      <c r="A15" s="21" t="s">
        <v>161</v>
      </c>
      <c r="B15" s="347">
        <v>6000000</v>
      </c>
      <c r="C15" s="348"/>
      <c r="D15" s="349"/>
      <c r="E15" s="7"/>
      <c r="F15" s="7"/>
      <c r="G15" s="7"/>
    </row>
    <row r="16" spans="1:7" ht="16.5" customHeight="1" x14ac:dyDescent="0.25">
      <c r="A16" s="10" t="s">
        <v>205</v>
      </c>
      <c r="B16" s="21">
        <v>0</v>
      </c>
      <c r="C16" s="21">
        <v>0</v>
      </c>
      <c r="D16" s="21">
        <f t="shared" si="0"/>
        <v>0</v>
      </c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148"/>
      <c r="C18" s="7"/>
      <c r="D18" s="7"/>
      <c r="E18" s="7"/>
      <c r="F18" s="7"/>
      <c r="G18" s="7"/>
    </row>
    <row r="19" spans="1:7" x14ac:dyDescent="0.25">
      <c r="A19" s="86"/>
      <c r="B19" s="149"/>
      <c r="C19" s="86"/>
      <c r="D19" s="86"/>
      <c r="E19" s="7"/>
      <c r="F19" s="7"/>
      <c r="G19" s="7"/>
    </row>
    <row r="20" spans="1:7" x14ac:dyDescent="0.25">
      <c r="A20" s="66"/>
      <c r="B20" s="150"/>
      <c r="C20" s="66"/>
      <c r="D20" s="66"/>
      <c r="E20" s="7"/>
      <c r="F20" s="7"/>
      <c r="G20" s="7"/>
    </row>
    <row r="21" spans="1:7" x14ac:dyDescent="0.25">
      <c r="A21" s="66"/>
      <c r="B21" s="66"/>
      <c r="C21" s="66"/>
      <c r="D21" s="66"/>
      <c r="E21" s="7"/>
      <c r="F21" s="7"/>
      <c r="G21" s="7"/>
    </row>
    <row r="22" spans="1:7" x14ac:dyDescent="0.25">
      <c r="A22" s="66"/>
      <c r="B22" s="66"/>
      <c r="C22" s="66"/>
      <c r="D22" s="66"/>
      <c r="E22" s="7"/>
      <c r="F22" s="7"/>
      <c r="G22" s="7"/>
    </row>
    <row r="23" spans="1:7" ht="16.5" customHeight="1" x14ac:dyDescent="0.25">
      <c r="A23" s="73"/>
      <c r="B23" s="66"/>
      <c r="C23" s="66"/>
      <c r="D23" s="66"/>
      <c r="E23" s="7"/>
      <c r="F23" s="7"/>
      <c r="G23" s="7"/>
    </row>
    <row r="24" spans="1:7" ht="16.5" customHeight="1" x14ac:dyDescent="0.25">
      <c r="A24" s="73"/>
      <c r="B24" s="66"/>
      <c r="C24" s="66"/>
      <c r="D24" s="66"/>
      <c r="E24" s="7"/>
      <c r="F24" s="7"/>
      <c r="G24" s="7"/>
    </row>
    <row r="25" spans="1:7" x14ac:dyDescent="0.25">
      <c r="A25" s="72"/>
    </row>
    <row r="27" spans="1:7" s="67" customFormat="1" x14ac:dyDescent="0.25">
      <c r="A27" s="117"/>
      <c r="B27" s="117"/>
    </row>
    <row r="28" spans="1:7" x14ac:dyDescent="0.25">
      <c r="A28" s="144"/>
      <c r="B28" s="144"/>
    </row>
  </sheetData>
  <mergeCells count="6">
    <mergeCell ref="B15:D15"/>
    <mergeCell ref="A9:D9"/>
    <mergeCell ref="A1:D1"/>
    <mergeCell ref="A2:D2"/>
    <mergeCell ref="A3:D3"/>
    <mergeCell ref="A4:D4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8" sqref="C8:C13"/>
    </sheetView>
  </sheetViews>
  <sheetFormatPr defaultRowHeight="15" x14ac:dyDescent="0.25"/>
  <cols>
    <col min="2" max="2" width="58.7109375" customWidth="1"/>
    <col min="3" max="3" width="16.42578125" customWidth="1"/>
  </cols>
  <sheetData>
    <row r="1" spans="1:3" ht="15.75" x14ac:dyDescent="0.25">
      <c r="B1" s="298" t="s">
        <v>165</v>
      </c>
      <c r="C1" s="298"/>
    </row>
    <row r="2" spans="1:3" x14ac:dyDescent="0.25">
      <c r="B2" s="291" t="s">
        <v>799</v>
      </c>
      <c r="C2" s="291"/>
    </row>
    <row r="4" spans="1:3" x14ac:dyDescent="0.25">
      <c r="C4" s="8" t="s">
        <v>166</v>
      </c>
    </row>
    <row r="5" spans="1:3" x14ac:dyDescent="0.25">
      <c r="C5" s="8" t="s">
        <v>613</v>
      </c>
    </row>
    <row r="6" spans="1:3" x14ac:dyDescent="0.25">
      <c r="C6" s="8"/>
    </row>
    <row r="7" spans="1:3" x14ac:dyDescent="0.25">
      <c r="A7" s="1"/>
      <c r="B7" s="24" t="s">
        <v>1</v>
      </c>
      <c r="C7" s="24" t="s">
        <v>168</v>
      </c>
    </row>
    <row r="8" spans="1:3" x14ac:dyDescent="0.25">
      <c r="A8" s="131" t="s">
        <v>337</v>
      </c>
      <c r="B8" s="21" t="s">
        <v>169</v>
      </c>
      <c r="C8" s="21">
        <f>'2.1 Költségvetési bevételek'!C12</f>
        <v>49372958</v>
      </c>
    </row>
    <row r="9" spans="1:3" x14ac:dyDescent="0.25">
      <c r="A9" s="131" t="s">
        <v>338</v>
      </c>
      <c r="B9" s="21" t="s">
        <v>170</v>
      </c>
      <c r="C9" s="21">
        <f>'2.1 Költségvetési bevételek'!C15</f>
        <v>26458380</v>
      </c>
    </row>
    <row r="10" spans="1:3" x14ac:dyDescent="0.25">
      <c r="A10" s="131" t="s">
        <v>339</v>
      </c>
      <c r="B10" s="21" t="s">
        <v>46</v>
      </c>
      <c r="C10" s="21">
        <f>'2.1 Költségvetési bevételek'!C23</f>
        <v>26411412</v>
      </c>
    </row>
    <row r="11" spans="1:3" x14ac:dyDescent="0.25">
      <c r="A11" s="131" t="s">
        <v>341</v>
      </c>
      <c r="B11" s="21" t="s">
        <v>47</v>
      </c>
      <c r="C11" s="21">
        <f>'2.1 Költségvetési bevételek'!C25</f>
        <v>1399920</v>
      </c>
    </row>
    <row r="12" spans="1:3" x14ac:dyDescent="0.25">
      <c r="A12" s="131" t="s">
        <v>342</v>
      </c>
      <c r="B12" s="21" t="s">
        <v>48</v>
      </c>
      <c r="C12" s="21">
        <f>'2.1 Költségvetési bevételek'!C27</f>
        <v>0</v>
      </c>
    </row>
    <row r="13" spans="1:3" x14ac:dyDescent="0.25">
      <c r="A13" s="131" t="s">
        <v>344</v>
      </c>
      <c r="B13" s="21" t="s">
        <v>443</v>
      </c>
      <c r="C13" s="21">
        <f>'2.1 Költségvetési bevételek'!C29</f>
        <v>505920</v>
      </c>
    </row>
    <row r="14" spans="1:3" x14ac:dyDescent="0.25">
      <c r="A14" s="131" t="s">
        <v>349</v>
      </c>
      <c r="B14" s="21" t="s">
        <v>171</v>
      </c>
      <c r="C14" s="21">
        <f>'2.1 Költségvetési bevételek'!C34</f>
        <v>24034091</v>
      </c>
    </row>
    <row r="15" spans="1:3" x14ac:dyDescent="0.25">
      <c r="A15" s="131" t="s">
        <v>350</v>
      </c>
      <c r="B15" s="16" t="s">
        <v>352</v>
      </c>
      <c r="C15" s="21">
        <f>'2.1 Költségvetési bevételek'!C36</f>
        <v>0</v>
      </c>
    </row>
    <row r="16" spans="1:3" x14ac:dyDescent="0.25">
      <c r="A16" s="131" t="s">
        <v>354</v>
      </c>
      <c r="B16" s="21" t="s">
        <v>65</v>
      </c>
      <c r="C16" s="21">
        <f>'2.1 Költségvetési bevételek'!C38</f>
        <v>0</v>
      </c>
    </row>
    <row r="17" spans="1:3" x14ac:dyDescent="0.25">
      <c r="A17" s="131" t="s">
        <v>364</v>
      </c>
      <c r="B17" s="21" t="s">
        <v>70</v>
      </c>
      <c r="C17" s="21">
        <f>'2.2 Működési bevételek'!C16</f>
        <v>32935000</v>
      </c>
    </row>
    <row r="18" spans="1:3" x14ac:dyDescent="0.25">
      <c r="A18" s="131" t="s">
        <v>390</v>
      </c>
      <c r="B18" s="21" t="s">
        <v>80</v>
      </c>
      <c r="C18" s="21">
        <f>'2.2 Működési bevételek'!C43</f>
        <v>8526220</v>
      </c>
    </row>
    <row r="19" spans="1:3" x14ac:dyDescent="0.25">
      <c r="A19" s="131" t="s">
        <v>444</v>
      </c>
      <c r="B19" s="21" t="s">
        <v>453</v>
      </c>
      <c r="C19" s="21">
        <f>'2.2 Működési bevételek'!C44</f>
        <v>500000</v>
      </c>
    </row>
    <row r="20" spans="1:3" x14ac:dyDescent="0.25">
      <c r="A20" s="131" t="s">
        <v>611</v>
      </c>
      <c r="B20" s="21" t="s">
        <v>678</v>
      </c>
      <c r="C20" s="21">
        <f>'2.2 Működési bevételek'!C45</f>
        <v>0</v>
      </c>
    </row>
    <row r="21" spans="1:3" x14ac:dyDescent="0.25">
      <c r="A21" s="131" t="s">
        <v>445</v>
      </c>
      <c r="B21" s="16" t="s">
        <v>264</v>
      </c>
      <c r="C21" s="21">
        <f>'2.2 Működési bevételek'!C46</f>
        <v>6000000</v>
      </c>
    </row>
    <row r="22" spans="1:3" ht="15.75" x14ac:dyDescent="0.25">
      <c r="A22" s="1"/>
      <c r="B22" s="25" t="s">
        <v>96</v>
      </c>
      <c r="C22" s="25">
        <f>SUM(C8:C21)</f>
        <v>176143901</v>
      </c>
    </row>
    <row r="30" spans="1:3" x14ac:dyDescent="0.25">
      <c r="B30" s="3"/>
      <c r="C30" s="3"/>
    </row>
  </sheetData>
  <mergeCells count="2">
    <mergeCell ref="B1:C1"/>
    <mergeCell ref="B2:C2"/>
  </mergeCells>
  <phoneticPr fontId="18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D29"/>
    </sheetView>
  </sheetViews>
  <sheetFormatPr defaultRowHeight="16.5" customHeight="1" x14ac:dyDescent="0.25"/>
  <cols>
    <col min="1" max="1" width="46.5703125" customWidth="1"/>
    <col min="2" max="2" width="12.28515625" customWidth="1"/>
    <col min="3" max="3" width="14" customWidth="1"/>
    <col min="4" max="4" width="12.28515625" customWidth="1"/>
  </cols>
  <sheetData>
    <row r="1" spans="1:5" ht="16.5" customHeight="1" x14ac:dyDescent="0.25">
      <c r="A1" s="316" t="s">
        <v>20</v>
      </c>
      <c r="B1" s="316"/>
      <c r="C1" s="316"/>
      <c r="D1" s="316"/>
      <c r="E1" s="7"/>
    </row>
    <row r="2" spans="1:5" ht="16.5" customHeight="1" x14ac:dyDescent="0.25">
      <c r="A2" s="301" t="s">
        <v>794</v>
      </c>
      <c r="B2" s="301"/>
      <c r="C2" s="301"/>
      <c r="D2" s="301"/>
      <c r="E2" s="7"/>
    </row>
    <row r="3" spans="1:5" ht="16.5" customHeight="1" x14ac:dyDescent="0.25">
      <c r="A3" s="247"/>
      <c r="B3" s="247"/>
      <c r="C3" s="247"/>
      <c r="D3" s="247"/>
      <c r="E3" s="7"/>
    </row>
    <row r="4" spans="1:5" ht="16.5" customHeight="1" x14ac:dyDescent="0.25">
      <c r="A4" s="7"/>
      <c r="B4" s="7"/>
      <c r="C4" s="352" t="s">
        <v>200</v>
      </c>
      <c r="D4" s="352"/>
      <c r="E4" s="7"/>
    </row>
    <row r="5" spans="1:5" ht="16.5" customHeight="1" x14ac:dyDescent="0.25">
      <c r="A5" s="7"/>
      <c r="B5" s="7"/>
      <c r="C5" s="296" t="s">
        <v>613</v>
      </c>
      <c r="D5" s="296"/>
      <c r="E5" s="7"/>
    </row>
    <row r="6" spans="1:5" ht="16.5" customHeight="1" x14ac:dyDescent="0.25">
      <c r="A6" s="7"/>
      <c r="B6" s="7"/>
      <c r="C6" s="353" t="s">
        <v>167</v>
      </c>
      <c r="D6" s="353"/>
      <c r="E6" s="7"/>
    </row>
    <row r="7" spans="1:5" ht="16.5" customHeight="1" x14ac:dyDescent="0.25">
      <c r="A7" s="253" t="s">
        <v>1</v>
      </c>
      <c r="B7" s="62">
        <v>2017</v>
      </c>
      <c r="C7" s="62">
        <v>2018</v>
      </c>
      <c r="D7" s="62">
        <v>2019</v>
      </c>
      <c r="E7" s="7"/>
    </row>
    <row r="8" spans="1:5" ht="16.5" customHeight="1" x14ac:dyDescent="0.25">
      <c r="A8" s="299" t="s">
        <v>201</v>
      </c>
      <c r="B8" s="314"/>
      <c r="C8" s="314"/>
      <c r="D8" s="300"/>
      <c r="E8" s="7"/>
    </row>
    <row r="9" spans="1:5" ht="16.5" customHeight="1" x14ac:dyDescent="0.25">
      <c r="A9" s="56" t="s">
        <v>83</v>
      </c>
      <c r="B9" s="156">
        <f>'2.2 Működési bevételek'!C43</f>
        <v>8526220</v>
      </c>
      <c r="C9" s="55">
        <f>B9*1.03</f>
        <v>8782006.5999999996</v>
      </c>
      <c r="D9" s="55">
        <f t="shared" ref="D9:D11" si="0">C9*1.03</f>
        <v>9045466.7980000004</v>
      </c>
      <c r="E9" s="7"/>
    </row>
    <row r="10" spans="1:5" ht="16.5" customHeight="1" x14ac:dyDescent="0.25">
      <c r="A10" s="69" t="s">
        <v>70</v>
      </c>
      <c r="B10" s="68">
        <f>'2.2 Működési bevételek'!C16</f>
        <v>32935000</v>
      </c>
      <c r="C10" s="55">
        <f>B10*1.03</f>
        <v>33923050</v>
      </c>
      <c r="D10" s="55">
        <f t="shared" si="0"/>
        <v>34940741.5</v>
      </c>
      <c r="E10" s="7"/>
    </row>
    <row r="11" spans="1:5" ht="16.5" customHeight="1" x14ac:dyDescent="0.25">
      <c r="A11" s="56" t="s">
        <v>117</v>
      </c>
      <c r="B11" s="68">
        <f>'1. Mérleg'!B10</f>
        <v>104148590</v>
      </c>
      <c r="C11" s="55">
        <v>107044107</v>
      </c>
      <c r="D11" s="55">
        <f t="shared" si="0"/>
        <v>110255430.21000001</v>
      </c>
      <c r="E11" s="7"/>
    </row>
    <row r="12" spans="1:5" ht="16.5" customHeight="1" x14ac:dyDescent="0.25">
      <c r="A12" s="82" t="s">
        <v>118</v>
      </c>
      <c r="B12" s="83">
        <f>'1. Mérleg'!B11+'1. Mérleg'!B15</f>
        <v>24534091</v>
      </c>
      <c r="C12" s="55">
        <f t="shared" ref="C12" si="1">B12*1.02</f>
        <v>25024772.82</v>
      </c>
      <c r="D12" s="84">
        <f>C12*1.03</f>
        <v>25775516.0046</v>
      </c>
      <c r="E12" s="7"/>
    </row>
    <row r="13" spans="1:5" s="76" customFormat="1" ht="16.5" customHeight="1" x14ac:dyDescent="0.25">
      <c r="A13" s="74" t="s">
        <v>119</v>
      </c>
      <c r="B13" s="121">
        <f>SUM(B9:B12)</f>
        <v>170143901</v>
      </c>
      <c r="C13" s="121">
        <f>SUM(C9:C12)</f>
        <v>174773936.41999999</v>
      </c>
      <c r="D13" s="121">
        <f>SUM(D9:D12)</f>
        <v>180017154.5126</v>
      </c>
      <c r="E13" s="79"/>
    </row>
    <row r="14" spans="1:5" ht="16.5" customHeight="1" x14ac:dyDescent="0.25">
      <c r="A14" s="56" t="s">
        <v>5</v>
      </c>
      <c r="B14" s="68">
        <f>'3. Kiadások'!C18</f>
        <v>28294943</v>
      </c>
      <c r="C14" s="55">
        <f>B14*1.05</f>
        <v>29709690.150000002</v>
      </c>
      <c r="D14" s="55">
        <f t="shared" ref="D14:D19" si="2">C14*1.03</f>
        <v>30600980.854500003</v>
      </c>
      <c r="E14" s="66"/>
    </row>
    <row r="15" spans="1:5" ht="16.5" customHeight="1" x14ac:dyDescent="0.25">
      <c r="A15" s="69" t="s">
        <v>120</v>
      </c>
      <c r="B15" s="68">
        <f>'3. Kiadások'!C24</f>
        <v>5211350</v>
      </c>
      <c r="C15" s="55">
        <f t="shared" ref="C15:C19" si="3">B15*1.05</f>
        <v>5471917.5</v>
      </c>
      <c r="D15" s="55">
        <f t="shared" si="2"/>
        <v>5636075.0250000004</v>
      </c>
      <c r="E15" s="66"/>
    </row>
    <row r="16" spans="1:5" ht="16.5" customHeight="1" x14ac:dyDescent="0.25">
      <c r="A16" s="56" t="s">
        <v>87</v>
      </c>
      <c r="B16" s="68">
        <f>'3. Kiadások'!C47</f>
        <v>30983168</v>
      </c>
      <c r="C16" s="55">
        <f t="shared" si="3"/>
        <v>32532326.400000002</v>
      </c>
      <c r="D16" s="55">
        <f t="shared" si="2"/>
        <v>33508296.192000002</v>
      </c>
      <c r="E16" s="66"/>
    </row>
    <row r="17" spans="1:5" ht="16.5" customHeight="1" x14ac:dyDescent="0.25">
      <c r="A17" s="56" t="s">
        <v>88</v>
      </c>
      <c r="B17" s="68">
        <f>'3. Kiadások'!C53</f>
        <v>5945000</v>
      </c>
      <c r="C17" s="55">
        <f t="shared" si="3"/>
        <v>6242250</v>
      </c>
      <c r="D17" s="55">
        <f t="shared" si="2"/>
        <v>6429517.5</v>
      </c>
      <c r="E17" s="66"/>
    </row>
    <row r="18" spans="1:5" ht="16.5" customHeight="1" x14ac:dyDescent="0.25">
      <c r="A18" s="56" t="s">
        <v>42</v>
      </c>
      <c r="B18" s="68">
        <f>'3. Kiadások'!C79</f>
        <v>96629898</v>
      </c>
      <c r="C18" s="55">
        <f t="shared" si="3"/>
        <v>101461392.90000001</v>
      </c>
      <c r="D18" s="55">
        <f t="shared" si="2"/>
        <v>104505234.68700001</v>
      </c>
      <c r="E18" s="66"/>
    </row>
    <row r="19" spans="1:5" ht="16.5" customHeight="1" x14ac:dyDescent="0.25">
      <c r="A19" s="41" t="s">
        <v>207</v>
      </c>
      <c r="B19" s="68">
        <f>'3. Kiadások'!C59</f>
        <v>3079542</v>
      </c>
      <c r="C19" s="55">
        <f t="shared" si="3"/>
        <v>3233519.1</v>
      </c>
      <c r="D19" s="55">
        <f t="shared" si="2"/>
        <v>3330524.673</v>
      </c>
      <c r="E19" s="66"/>
    </row>
    <row r="20" spans="1:5" s="76" customFormat="1" ht="16.5" customHeight="1" x14ac:dyDescent="0.25">
      <c r="A20" s="74" t="s">
        <v>121</v>
      </c>
      <c r="B20" s="121">
        <f>SUM(B14:B19)</f>
        <v>170143901</v>
      </c>
      <c r="C20" s="121">
        <f>SUM(C14:C19)</f>
        <v>178651096.05000001</v>
      </c>
      <c r="D20" s="78">
        <f>C20*1.03</f>
        <v>184010628.93150002</v>
      </c>
      <c r="E20" s="80"/>
    </row>
    <row r="21" spans="1:5" ht="16.5" customHeight="1" x14ac:dyDescent="0.25">
      <c r="A21" s="351" t="s">
        <v>122</v>
      </c>
      <c r="B21" s="351"/>
      <c r="C21" s="351"/>
      <c r="D21" s="351"/>
      <c r="E21" s="66"/>
    </row>
    <row r="22" spans="1:5" ht="16.5" customHeight="1" x14ac:dyDescent="0.25">
      <c r="A22" s="69" t="s">
        <v>612</v>
      </c>
      <c r="B22" s="68">
        <f>'1. Mérleg'!C18</f>
        <v>6000000</v>
      </c>
      <c r="C22" s="68">
        <v>0</v>
      </c>
      <c r="D22" s="68">
        <v>0</v>
      </c>
      <c r="E22" s="66"/>
    </row>
    <row r="23" spans="1:5" ht="16.5" customHeight="1" x14ac:dyDescent="0.25">
      <c r="A23" s="69" t="s">
        <v>208</v>
      </c>
      <c r="B23" s="68">
        <f>'1. Mérleg'!C17</f>
        <v>0</v>
      </c>
      <c r="C23" s="68">
        <v>0</v>
      </c>
      <c r="D23" s="68">
        <v>0</v>
      </c>
      <c r="E23" s="66"/>
    </row>
    <row r="24" spans="1:5" ht="16.5" customHeight="1" x14ac:dyDescent="0.25">
      <c r="A24" s="74" t="s">
        <v>123</v>
      </c>
      <c r="B24" s="75">
        <f>SUM(B22:B23)</f>
        <v>6000000</v>
      </c>
      <c r="C24" s="75">
        <f t="shared" ref="C24:D24" si="4">SUM(C22:C23)</f>
        <v>0</v>
      </c>
      <c r="D24" s="75">
        <f t="shared" si="4"/>
        <v>0</v>
      </c>
      <c r="E24" s="80"/>
    </row>
    <row r="25" spans="1:5" ht="16.5" customHeight="1" x14ac:dyDescent="0.25">
      <c r="A25" s="69" t="s">
        <v>31</v>
      </c>
      <c r="B25" s="68">
        <f>'1. Mérleg'!F17</f>
        <v>6000000</v>
      </c>
      <c r="C25" s="68">
        <v>0</v>
      </c>
      <c r="D25" s="68">
        <v>0</v>
      </c>
      <c r="E25" s="80"/>
    </row>
    <row r="26" spans="1:5" ht="16.5" customHeight="1" x14ac:dyDescent="0.25">
      <c r="A26" s="69" t="s">
        <v>124</v>
      </c>
      <c r="B26" s="131">
        <f>'1. Mérleg'!F18</f>
        <v>0</v>
      </c>
      <c r="C26" s="68">
        <v>0</v>
      </c>
      <c r="D26" s="68">
        <v>0</v>
      </c>
      <c r="E26" s="66"/>
    </row>
    <row r="27" spans="1:5" s="76" customFormat="1" ht="16.5" customHeight="1" x14ac:dyDescent="0.25">
      <c r="A27" s="74" t="s">
        <v>125</v>
      </c>
      <c r="B27" s="75">
        <f>SUM(B25:B26)</f>
        <v>6000000</v>
      </c>
      <c r="C27" s="75">
        <f t="shared" ref="C27:D27" si="5">SUM(C25:C26)</f>
        <v>0</v>
      </c>
      <c r="D27" s="75">
        <f t="shared" si="5"/>
        <v>0</v>
      </c>
      <c r="E27" s="80"/>
    </row>
    <row r="28" spans="1:5" ht="16.5" customHeight="1" x14ac:dyDescent="0.25">
      <c r="A28" s="74" t="s">
        <v>126</v>
      </c>
      <c r="B28" s="121">
        <f>SUM(B13+B24)</f>
        <v>176143901</v>
      </c>
      <c r="C28" s="121">
        <f>SUM(C13+C24)</f>
        <v>174773936.41999999</v>
      </c>
      <c r="D28" s="121">
        <f>SUM(D13+D24)</f>
        <v>180017154.5126</v>
      </c>
      <c r="E28" s="66"/>
    </row>
    <row r="29" spans="1:5" ht="16.5" customHeight="1" x14ac:dyDescent="0.25">
      <c r="A29" s="274" t="s">
        <v>127</v>
      </c>
      <c r="B29" s="275">
        <f>SUM(B20+B27)</f>
        <v>176143901</v>
      </c>
      <c r="C29" s="275">
        <f>SUM(C20+C27)</f>
        <v>178651096.05000001</v>
      </c>
      <c r="D29" s="121">
        <f>SUM(D20+D27)</f>
        <v>184010628.93150002</v>
      </c>
      <c r="E29" s="81"/>
    </row>
    <row r="30" spans="1:5" ht="16.5" customHeight="1" x14ac:dyDescent="0.25">
      <c r="A30" s="66"/>
      <c r="B30" s="66"/>
      <c r="C30" s="66"/>
      <c r="D30" s="66"/>
      <c r="E30" s="7"/>
    </row>
    <row r="31" spans="1:5" ht="16.5" customHeight="1" x14ac:dyDescent="0.25">
      <c r="A31" s="67"/>
      <c r="B31" s="67"/>
      <c r="C31" s="67"/>
      <c r="D31" s="67"/>
    </row>
  </sheetData>
  <mergeCells count="7">
    <mergeCell ref="A21:D21"/>
    <mergeCell ref="A2:D2"/>
    <mergeCell ref="A1:D1"/>
    <mergeCell ref="C4:D4"/>
    <mergeCell ref="C5:D5"/>
    <mergeCell ref="A8:D8"/>
    <mergeCell ref="C6:D6"/>
  </mergeCells>
  <phoneticPr fontId="18" type="noConversion"/>
  <pageMargins left="0.7" right="0.7" top="0.75" bottom="0.75" header="0.3" footer="0.3"/>
  <pageSetup paperSize="9" orientation="portrait" r:id="rId1"/>
  <ignoredErrors>
    <ignoredError sqref="C13:D13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N27"/>
    </sheetView>
  </sheetViews>
  <sheetFormatPr defaultRowHeight="15" x14ac:dyDescent="0.25"/>
  <cols>
    <col min="1" max="1" width="30" style="64" customWidth="1"/>
    <col min="2" max="2" width="10.85546875" customWidth="1"/>
    <col min="3" max="3" width="10.140625" customWidth="1"/>
    <col min="4" max="4" width="10.28515625" customWidth="1"/>
    <col min="5" max="5" width="10" customWidth="1"/>
    <col min="6" max="12" width="10.140625" bestFit="1" customWidth="1"/>
    <col min="13" max="13" width="10.28515625" customWidth="1"/>
    <col min="14" max="14" width="11.28515625" customWidth="1"/>
    <col min="15" max="15" width="10.5703125" customWidth="1"/>
  </cols>
  <sheetData>
    <row r="1" spans="1:15" ht="15.75" x14ac:dyDescent="0.25">
      <c r="A1" s="326" t="s">
        <v>20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5" x14ac:dyDescent="0.25">
      <c r="A2" s="301" t="s">
        <v>795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355" t="s">
        <v>216</v>
      </c>
      <c r="M4" s="355"/>
      <c r="N4" s="355"/>
    </row>
    <row r="5" spans="1:15" x14ac:dyDescent="0.25">
      <c r="L5" s="151"/>
      <c r="M5" s="356" t="s">
        <v>613</v>
      </c>
      <c r="N5" s="356"/>
    </row>
    <row r="6" spans="1:15" x14ac:dyDescent="0.25">
      <c r="L6" s="357" t="s">
        <v>167</v>
      </c>
      <c r="M6" s="357"/>
      <c r="N6" s="357"/>
    </row>
    <row r="7" spans="1:15" x14ac:dyDescent="0.25">
      <c r="A7" s="316" t="s">
        <v>45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</row>
    <row r="9" spans="1:15" ht="16.5" customHeight="1" x14ac:dyDescent="0.25">
      <c r="A9" s="59" t="s">
        <v>1</v>
      </c>
      <c r="B9" s="62" t="s">
        <v>129</v>
      </c>
      <c r="C9" s="62" t="s">
        <v>130</v>
      </c>
      <c r="D9" s="62" t="s">
        <v>131</v>
      </c>
      <c r="E9" s="62" t="s">
        <v>132</v>
      </c>
      <c r="F9" s="62" t="s">
        <v>133</v>
      </c>
      <c r="G9" s="62" t="s">
        <v>134</v>
      </c>
      <c r="H9" s="62" t="s">
        <v>135</v>
      </c>
      <c r="I9" s="62" t="s">
        <v>136</v>
      </c>
      <c r="J9" s="62" t="s">
        <v>137</v>
      </c>
      <c r="K9" s="62" t="s">
        <v>138</v>
      </c>
      <c r="L9" s="62" t="s">
        <v>139</v>
      </c>
      <c r="M9" s="62" t="s">
        <v>140</v>
      </c>
      <c r="N9" s="62" t="s">
        <v>141</v>
      </c>
    </row>
    <row r="10" spans="1:15" ht="14.25" customHeight="1" x14ac:dyDescent="0.25">
      <c r="A10" s="69" t="s">
        <v>142</v>
      </c>
      <c r="B10" s="14">
        <v>1305693</v>
      </c>
      <c r="C10" s="14">
        <v>1305693</v>
      </c>
      <c r="D10" s="14">
        <v>1305693</v>
      </c>
      <c r="E10" s="14">
        <v>1305693</v>
      </c>
      <c r="F10" s="14">
        <v>1305693</v>
      </c>
      <c r="G10" s="14">
        <v>1305693</v>
      </c>
      <c r="H10" s="14">
        <v>1305693</v>
      </c>
      <c r="I10" s="14">
        <v>1305693</v>
      </c>
      <c r="J10" s="14">
        <v>1305693</v>
      </c>
      <c r="K10" s="14">
        <v>1305693</v>
      </c>
      <c r="L10" s="14">
        <v>1305693</v>
      </c>
      <c r="M10" s="14">
        <v>1305694</v>
      </c>
      <c r="N10" s="14">
        <f>'2.2 Működési bevételek'!C43</f>
        <v>8526220</v>
      </c>
      <c r="O10">
        <f t="shared" ref="O10:O15" si="0">SUM(B10:M10)</f>
        <v>15668317</v>
      </c>
    </row>
    <row r="11" spans="1:15" ht="16.5" customHeight="1" x14ac:dyDescent="0.25">
      <c r="A11" s="69" t="s">
        <v>143</v>
      </c>
      <c r="B11" s="14">
        <v>100000</v>
      </c>
      <c r="C11" s="14">
        <v>100000</v>
      </c>
      <c r="D11" s="14">
        <v>8000000</v>
      </c>
      <c r="E11" s="14">
        <v>100000</v>
      </c>
      <c r="F11" s="14">
        <v>100000</v>
      </c>
      <c r="G11" s="14">
        <v>100000</v>
      </c>
      <c r="H11" s="14">
        <v>7000000</v>
      </c>
      <c r="I11" s="14">
        <v>100000</v>
      </c>
      <c r="J11" s="14">
        <v>8000000</v>
      </c>
      <c r="K11" s="14">
        <v>100000</v>
      </c>
      <c r="L11" s="14">
        <v>100000</v>
      </c>
      <c r="M11" s="14">
        <v>2675000</v>
      </c>
      <c r="N11" s="14">
        <f>'1. Mérleg'!B12</f>
        <v>31135000</v>
      </c>
      <c r="O11">
        <f t="shared" si="0"/>
        <v>26475000</v>
      </c>
    </row>
    <row r="12" spans="1:15" ht="30" customHeight="1" x14ac:dyDescent="0.25">
      <c r="A12" s="10" t="s">
        <v>213</v>
      </c>
      <c r="B12" s="14">
        <v>8706574</v>
      </c>
      <c r="C12" s="14">
        <v>8706574</v>
      </c>
      <c r="D12" s="14">
        <v>8706574</v>
      </c>
      <c r="E12" s="14">
        <v>8706574</v>
      </c>
      <c r="F12" s="14">
        <v>8706574</v>
      </c>
      <c r="G12" s="14">
        <v>8706574</v>
      </c>
      <c r="H12" s="14">
        <v>8706574</v>
      </c>
      <c r="I12" s="14">
        <v>8706574</v>
      </c>
      <c r="J12" s="14">
        <v>8706574</v>
      </c>
      <c r="K12" s="14">
        <v>8706574</v>
      </c>
      <c r="L12" s="14">
        <v>8706574</v>
      </c>
      <c r="M12" s="14">
        <v>8706576</v>
      </c>
      <c r="N12" s="14">
        <f>'1. Mérleg'!B10</f>
        <v>104148590</v>
      </c>
      <c r="O12">
        <f t="shared" si="0"/>
        <v>104478890</v>
      </c>
    </row>
    <row r="13" spans="1:15" ht="45.75" customHeight="1" x14ac:dyDescent="0.25">
      <c r="A13" s="69" t="s">
        <v>681</v>
      </c>
      <c r="B13" s="14">
        <v>2500000</v>
      </c>
      <c r="C13" s="14">
        <v>2500000</v>
      </c>
      <c r="D13" s="14">
        <v>1500000</v>
      </c>
      <c r="E13" s="14">
        <v>2500000</v>
      </c>
      <c r="F13" s="14">
        <v>2500000</v>
      </c>
      <c r="G13" s="14">
        <v>2500000</v>
      </c>
      <c r="H13" s="14">
        <v>2500000</v>
      </c>
      <c r="I13" s="14">
        <v>1500000</v>
      </c>
      <c r="J13" s="14">
        <v>2500000</v>
      </c>
      <c r="K13" s="14">
        <v>2500000</v>
      </c>
      <c r="L13" s="14">
        <v>1781000</v>
      </c>
      <c r="M13" s="14">
        <v>1500000</v>
      </c>
      <c r="N13" s="14">
        <f>'1. Mérleg'!B11+'1. Mérleg'!B15</f>
        <v>24534091</v>
      </c>
      <c r="O13">
        <f t="shared" si="0"/>
        <v>26281000</v>
      </c>
    </row>
    <row r="14" spans="1:15" ht="16.5" customHeight="1" x14ac:dyDescent="0.25">
      <c r="A14" s="69" t="s">
        <v>214</v>
      </c>
      <c r="B14" s="14">
        <v>0</v>
      </c>
      <c r="C14" s="14">
        <v>0</v>
      </c>
      <c r="D14" s="14">
        <v>0</v>
      </c>
      <c r="E14" s="14">
        <v>6881347</v>
      </c>
      <c r="F14" s="14">
        <v>0</v>
      </c>
      <c r="G14" s="14">
        <v>0</v>
      </c>
      <c r="H14" s="14">
        <v>0</v>
      </c>
      <c r="I14" s="14">
        <v>6881347</v>
      </c>
      <c r="J14" s="14">
        <v>0</v>
      </c>
      <c r="K14" s="14">
        <v>0</v>
      </c>
      <c r="L14" s="14">
        <v>0</v>
      </c>
      <c r="M14" s="14">
        <v>0</v>
      </c>
      <c r="N14" s="14">
        <f>'1. Mérleg'!C19</f>
        <v>7800000</v>
      </c>
      <c r="O14">
        <f t="shared" si="0"/>
        <v>13762694</v>
      </c>
    </row>
    <row r="15" spans="1:15" ht="16.5" customHeight="1" x14ac:dyDescent="0.25">
      <c r="A15" s="89" t="s">
        <v>144</v>
      </c>
      <c r="B15" s="88">
        <f>SUM(B10:B14)</f>
        <v>12612267</v>
      </c>
      <c r="C15" s="88">
        <f t="shared" ref="C15:M15" si="1">SUM(C10:C14)</f>
        <v>12612267</v>
      </c>
      <c r="D15" s="88">
        <f t="shared" si="1"/>
        <v>19512267</v>
      </c>
      <c r="E15" s="88">
        <f t="shared" si="1"/>
        <v>19493614</v>
      </c>
      <c r="F15" s="88">
        <f t="shared" si="1"/>
        <v>12612267</v>
      </c>
      <c r="G15" s="88">
        <f t="shared" si="1"/>
        <v>12612267</v>
      </c>
      <c r="H15" s="88">
        <f t="shared" si="1"/>
        <v>19512267</v>
      </c>
      <c r="I15" s="88">
        <f t="shared" si="1"/>
        <v>18493614</v>
      </c>
      <c r="J15" s="88">
        <f t="shared" si="1"/>
        <v>20512267</v>
      </c>
      <c r="K15" s="88">
        <f t="shared" si="1"/>
        <v>12612267</v>
      </c>
      <c r="L15" s="88">
        <f t="shared" si="1"/>
        <v>11893267</v>
      </c>
      <c r="M15" s="88">
        <f t="shared" si="1"/>
        <v>14187270</v>
      </c>
      <c r="N15" s="88">
        <f>SUM(N10:N14)</f>
        <v>176143901</v>
      </c>
      <c r="O15">
        <f t="shared" si="0"/>
        <v>186665901</v>
      </c>
    </row>
    <row r="16" spans="1:15" s="67" customFormat="1" ht="16.5" customHeight="1" x14ac:dyDescent="0.25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5" ht="16.5" customHeight="1" x14ac:dyDescent="0.25">
      <c r="A17" s="354" t="s">
        <v>0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</row>
    <row r="18" spans="1:15" ht="16.5" customHeight="1" x14ac:dyDescent="0.25">
      <c r="A18" s="90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5" ht="16.5" customHeight="1" x14ac:dyDescent="0.25">
      <c r="A19" s="59" t="s">
        <v>1</v>
      </c>
      <c r="B19" s="62" t="s">
        <v>129</v>
      </c>
      <c r="C19" s="62" t="s">
        <v>130</v>
      </c>
      <c r="D19" s="62" t="s">
        <v>131</v>
      </c>
      <c r="E19" s="62" t="s">
        <v>132</v>
      </c>
      <c r="F19" s="62" t="s">
        <v>133</v>
      </c>
      <c r="G19" s="62" t="s">
        <v>134</v>
      </c>
      <c r="H19" s="62" t="s">
        <v>135</v>
      </c>
      <c r="I19" s="62" t="s">
        <v>136</v>
      </c>
      <c r="J19" s="62" t="s">
        <v>137</v>
      </c>
      <c r="K19" s="62" t="s">
        <v>138</v>
      </c>
      <c r="L19" s="62" t="s">
        <v>139</v>
      </c>
      <c r="M19" s="62" t="s">
        <v>140</v>
      </c>
      <c r="N19" s="62" t="s">
        <v>141</v>
      </c>
    </row>
    <row r="20" spans="1:15" ht="16.5" customHeight="1" x14ac:dyDescent="0.25">
      <c r="A20" s="56" t="s">
        <v>145</v>
      </c>
      <c r="B20" s="14">
        <v>2991417</v>
      </c>
      <c r="C20" s="14">
        <v>2991417</v>
      </c>
      <c r="D20" s="14">
        <v>2991417</v>
      </c>
      <c r="E20" s="14">
        <v>2991417</v>
      </c>
      <c r="F20" s="14">
        <v>2991417</v>
      </c>
      <c r="G20" s="14">
        <v>2991417</v>
      </c>
      <c r="H20" s="14">
        <v>2991417</v>
      </c>
      <c r="I20" s="14">
        <v>2991417</v>
      </c>
      <c r="J20" s="14">
        <v>2991417</v>
      </c>
      <c r="K20" s="14">
        <v>2991417</v>
      </c>
      <c r="L20" s="14">
        <v>2991417</v>
      </c>
      <c r="M20" s="14">
        <v>2991413</v>
      </c>
      <c r="N20" s="14">
        <f>'3. Kiadások'!C18</f>
        <v>28294943</v>
      </c>
      <c r="O20">
        <f t="shared" ref="O20:O27" si="2">SUM(B20:M20)</f>
        <v>35897000</v>
      </c>
    </row>
    <row r="21" spans="1:15" ht="16.5" customHeight="1" x14ac:dyDescent="0.25">
      <c r="A21" s="56" t="s">
        <v>146</v>
      </c>
      <c r="B21" s="14">
        <v>669833</v>
      </c>
      <c r="C21" s="14">
        <v>669833</v>
      </c>
      <c r="D21" s="14">
        <v>669833</v>
      </c>
      <c r="E21" s="14">
        <v>669833</v>
      </c>
      <c r="F21" s="14">
        <v>669833</v>
      </c>
      <c r="G21" s="14">
        <v>669833</v>
      </c>
      <c r="H21" s="14">
        <v>669833</v>
      </c>
      <c r="I21" s="14">
        <v>669833</v>
      </c>
      <c r="J21" s="14">
        <v>669833</v>
      </c>
      <c r="K21" s="14">
        <v>669833</v>
      </c>
      <c r="L21" s="14">
        <v>669833</v>
      </c>
      <c r="M21" s="14">
        <v>669837</v>
      </c>
      <c r="N21" s="14">
        <f>'3. Kiadások'!C24</f>
        <v>5211350</v>
      </c>
      <c r="O21">
        <f t="shared" si="2"/>
        <v>8038000</v>
      </c>
    </row>
    <row r="22" spans="1:15" ht="33.75" customHeight="1" x14ac:dyDescent="0.25">
      <c r="A22" s="69" t="s">
        <v>147</v>
      </c>
      <c r="B22" s="14">
        <v>3311000</v>
      </c>
      <c r="C22" s="14">
        <v>3311000</v>
      </c>
      <c r="D22" s="14">
        <v>3311000</v>
      </c>
      <c r="E22" s="14">
        <v>3311000</v>
      </c>
      <c r="F22" s="14">
        <v>3311000</v>
      </c>
      <c r="G22" s="14">
        <v>3311000</v>
      </c>
      <c r="H22" s="14">
        <v>3311000</v>
      </c>
      <c r="I22" s="14">
        <v>3311000</v>
      </c>
      <c r="J22" s="14">
        <v>3311000</v>
      </c>
      <c r="K22" s="14">
        <v>3311000</v>
      </c>
      <c r="L22" s="14">
        <v>3311000</v>
      </c>
      <c r="M22" s="14">
        <v>3307754</v>
      </c>
      <c r="N22" s="14">
        <f>'3. Kiadások'!C47</f>
        <v>30983168</v>
      </c>
      <c r="O22">
        <f t="shared" si="2"/>
        <v>39728754</v>
      </c>
    </row>
    <row r="23" spans="1:15" ht="16.5" customHeight="1" x14ac:dyDescent="0.25">
      <c r="A23" s="10" t="s">
        <v>210</v>
      </c>
      <c r="B23" s="14">
        <v>690000</v>
      </c>
      <c r="C23" s="14">
        <v>690000</v>
      </c>
      <c r="D23" s="14">
        <v>690000</v>
      </c>
      <c r="E23" s="14">
        <v>690000</v>
      </c>
      <c r="F23" s="14">
        <v>690000</v>
      </c>
      <c r="G23" s="14">
        <v>690000</v>
      </c>
      <c r="H23" s="14">
        <v>690000</v>
      </c>
      <c r="I23" s="14">
        <v>690000</v>
      </c>
      <c r="J23" s="14">
        <v>690000</v>
      </c>
      <c r="K23" s="14">
        <v>690000</v>
      </c>
      <c r="L23" s="14">
        <v>690000</v>
      </c>
      <c r="M23" s="14">
        <v>691000</v>
      </c>
      <c r="N23" s="14">
        <f>'3. Kiadások'!C53</f>
        <v>5945000</v>
      </c>
      <c r="O23">
        <f t="shared" si="2"/>
        <v>8281000</v>
      </c>
    </row>
    <row r="24" spans="1:15" ht="16.5" customHeight="1" x14ac:dyDescent="0.25">
      <c r="A24" s="10" t="s">
        <v>211</v>
      </c>
      <c r="B24" s="14">
        <v>5897461</v>
      </c>
      <c r="C24" s="14">
        <v>5897461</v>
      </c>
      <c r="D24" s="14">
        <v>5897461</v>
      </c>
      <c r="E24" s="14">
        <v>5897461</v>
      </c>
      <c r="F24" s="14">
        <v>5897461</v>
      </c>
      <c r="G24" s="14">
        <v>5897461</v>
      </c>
      <c r="H24" s="14">
        <v>5897461</v>
      </c>
      <c r="I24" s="14">
        <v>5897461</v>
      </c>
      <c r="J24" s="14">
        <v>5897461</v>
      </c>
      <c r="K24" s="14">
        <v>5897461</v>
      </c>
      <c r="L24" s="14">
        <v>5897461</v>
      </c>
      <c r="M24" s="14">
        <v>5897455</v>
      </c>
      <c r="N24" s="14">
        <f>'3. Kiadások'!C78</f>
        <v>96629898</v>
      </c>
      <c r="O24">
        <f t="shared" si="2"/>
        <v>70769526</v>
      </c>
    </row>
    <row r="25" spans="1:15" ht="16.5" customHeight="1" x14ac:dyDescent="0.25">
      <c r="A25" s="10" t="s">
        <v>217</v>
      </c>
      <c r="B25" s="14">
        <v>0</v>
      </c>
      <c r="C25" s="14">
        <v>0</v>
      </c>
      <c r="D25" s="14">
        <v>2000000</v>
      </c>
      <c r="E25" s="14">
        <v>0</v>
      </c>
      <c r="F25" s="14">
        <v>0</v>
      </c>
      <c r="G25" s="14">
        <v>0</v>
      </c>
      <c r="H25" s="14">
        <v>2000000</v>
      </c>
      <c r="I25" s="14">
        <v>0</v>
      </c>
      <c r="J25" s="14">
        <v>0</v>
      </c>
      <c r="K25" s="14">
        <v>2000000</v>
      </c>
      <c r="L25" s="14"/>
      <c r="M25" s="14">
        <v>1967000</v>
      </c>
      <c r="N25" s="14">
        <f>'3. Kiadások'!C59</f>
        <v>3079542</v>
      </c>
      <c r="O25">
        <f t="shared" si="2"/>
        <v>7967000</v>
      </c>
    </row>
    <row r="26" spans="1:15" ht="16.5" customHeight="1" x14ac:dyDescent="0.25">
      <c r="A26" s="69" t="s">
        <v>473</v>
      </c>
      <c r="B26" s="14">
        <v>0</v>
      </c>
      <c r="C26" s="14">
        <v>0</v>
      </c>
      <c r="D26" s="14"/>
      <c r="E26" s="14">
        <v>7992311</v>
      </c>
      <c r="F26" s="14"/>
      <c r="G26" s="14">
        <v>0</v>
      </c>
      <c r="H26" s="14"/>
      <c r="I26" s="14">
        <v>7992310</v>
      </c>
      <c r="J26" s="14">
        <v>0</v>
      </c>
      <c r="K26" s="14">
        <v>0</v>
      </c>
      <c r="L26" s="14">
        <v>0</v>
      </c>
      <c r="M26" s="14">
        <v>0</v>
      </c>
      <c r="N26" s="14">
        <f>'3. Kiadások'!C64+'3. Kiadások'!C69</f>
        <v>6000000</v>
      </c>
      <c r="O26">
        <f t="shared" si="2"/>
        <v>15984621</v>
      </c>
    </row>
    <row r="27" spans="1:15" ht="16.5" customHeight="1" x14ac:dyDescent="0.25">
      <c r="A27" s="60" t="s">
        <v>148</v>
      </c>
      <c r="B27" s="88">
        <f>SUM(B20:B26)</f>
        <v>13559711</v>
      </c>
      <c r="C27" s="88">
        <f t="shared" ref="C27:M27" si="3">SUM(C20:C26)</f>
        <v>13559711</v>
      </c>
      <c r="D27" s="88">
        <f t="shared" si="3"/>
        <v>15559711</v>
      </c>
      <c r="E27" s="88">
        <f t="shared" si="3"/>
        <v>21552022</v>
      </c>
      <c r="F27" s="88">
        <f t="shared" si="3"/>
        <v>13559711</v>
      </c>
      <c r="G27" s="88">
        <f t="shared" si="3"/>
        <v>13559711</v>
      </c>
      <c r="H27" s="88">
        <f t="shared" si="3"/>
        <v>15559711</v>
      </c>
      <c r="I27" s="88">
        <f t="shared" si="3"/>
        <v>21552021</v>
      </c>
      <c r="J27" s="88">
        <f t="shared" si="3"/>
        <v>13559711</v>
      </c>
      <c r="K27" s="88">
        <f t="shared" si="3"/>
        <v>15559711</v>
      </c>
      <c r="L27" s="88">
        <f t="shared" si="3"/>
        <v>13559711</v>
      </c>
      <c r="M27" s="88">
        <f t="shared" si="3"/>
        <v>15524459</v>
      </c>
      <c r="N27" s="15">
        <f>SUM(N20:N26)</f>
        <v>176143901</v>
      </c>
      <c r="O27">
        <f t="shared" si="2"/>
        <v>186665901</v>
      </c>
    </row>
  </sheetData>
  <mergeCells count="7">
    <mergeCell ref="A1:N1"/>
    <mergeCell ref="A2:N2"/>
    <mergeCell ref="A7:N7"/>
    <mergeCell ref="A17:N17"/>
    <mergeCell ref="L4:N4"/>
    <mergeCell ref="M5:N5"/>
    <mergeCell ref="L6:N6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F18"/>
    </sheetView>
  </sheetViews>
  <sheetFormatPr defaultRowHeight="15" x14ac:dyDescent="0.25"/>
  <cols>
    <col min="1" max="1" width="62.140625" customWidth="1"/>
    <col min="3" max="3" width="11.140625" customWidth="1"/>
    <col min="4" max="4" width="12.85546875" customWidth="1"/>
    <col min="5" max="5" width="11" customWidth="1"/>
    <col min="6" max="6" width="11.85546875" customWidth="1"/>
  </cols>
  <sheetData>
    <row r="1" spans="1:6" x14ac:dyDescent="0.25">
      <c r="A1" s="316" t="s">
        <v>20</v>
      </c>
      <c r="B1" s="316"/>
      <c r="C1" s="316"/>
      <c r="D1" s="316"/>
      <c r="E1" s="316"/>
      <c r="F1" s="316"/>
    </row>
    <row r="2" spans="1:6" x14ac:dyDescent="0.25">
      <c r="A2" s="356" t="s">
        <v>796</v>
      </c>
      <c r="B2" s="356"/>
      <c r="C2" s="356"/>
      <c r="D2" s="356"/>
      <c r="E2" s="356"/>
      <c r="F2" s="356"/>
    </row>
    <row r="3" spans="1:6" x14ac:dyDescent="0.25">
      <c r="A3" s="256"/>
      <c r="B3" s="256"/>
      <c r="C3" s="256"/>
      <c r="D3" s="256"/>
      <c r="E3" s="256"/>
      <c r="F3" s="256"/>
    </row>
    <row r="4" spans="1:6" x14ac:dyDescent="0.25">
      <c r="A4" s="256"/>
      <c r="B4" s="256"/>
      <c r="C4" s="256"/>
      <c r="D4" s="256"/>
      <c r="E4" s="357" t="s">
        <v>250</v>
      </c>
      <c r="F4" s="357"/>
    </row>
    <row r="5" spans="1:6" x14ac:dyDescent="0.25">
      <c r="A5" s="151"/>
      <c r="B5" s="151"/>
      <c r="C5" s="151"/>
      <c r="D5" s="151"/>
      <c r="E5" s="358" t="s">
        <v>613</v>
      </c>
      <c r="F5" s="358"/>
    </row>
    <row r="6" spans="1:6" ht="15.75" thickBot="1" x14ac:dyDescent="0.3">
      <c r="A6" s="151"/>
      <c r="B6" s="151"/>
      <c r="C6" s="151"/>
      <c r="D6" s="151"/>
      <c r="E6" s="276"/>
      <c r="F6" s="276"/>
    </row>
    <row r="7" spans="1:6" ht="20.100000000000001" customHeight="1" thickBot="1" x14ac:dyDescent="0.3">
      <c r="A7" s="277" t="s">
        <v>1</v>
      </c>
      <c r="B7" s="278" t="s">
        <v>234</v>
      </c>
      <c r="C7" s="278" t="s">
        <v>235</v>
      </c>
      <c r="D7" s="278" t="s">
        <v>236</v>
      </c>
      <c r="E7" s="278" t="s">
        <v>237</v>
      </c>
      <c r="F7" s="278" t="s">
        <v>238</v>
      </c>
    </row>
    <row r="8" spans="1:6" ht="20.100000000000001" customHeight="1" thickBot="1" x14ac:dyDescent="0.3">
      <c r="A8" s="279" t="s">
        <v>239</v>
      </c>
      <c r="B8" s="280">
        <v>1</v>
      </c>
      <c r="C8" s="280">
        <f>'2.2 Működési bevételek'!C9</f>
        <v>4800000</v>
      </c>
      <c r="D8" s="281">
        <f>C8*1.03</f>
        <v>4944000</v>
      </c>
      <c r="E8" s="281">
        <f>D8*1.03</f>
        <v>5092320</v>
      </c>
      <c r="F8" s="281">
        <f>E8*1.03</f>
        <v>5245089.6000000006</v>
      </c>
    </row>
    <row r="9" spans="1:6" ht="20.100000000000001" customHeight="1" thickBot="1" x14ac:dyDescent="0.3">
      <c r="A9" s="279" t="s">
        <v>240</v>
      </c>
      <c r="B9" s="280">
        <v>2</v>
      </c>
      <c r="C9" s="280">
        <f>'2.2 Működési bevételek'!C7+'2.2 Működési bevételek'!C8</f>
        <v>27800000</v>
      </c>
      <c r="D9" s="281">
        <f t="shared" ref="D9:F11" si="0">C9*1.03</f>
        <v>28634000</v>
      </c>
      <c r="E9" s="281">
        <f t="shared" si="0"/>
        <v>29493020</v>
      </c>
      <c r="F9" s="281">
        <f t="shared" si="0"/>
        <v>30377810.600000001</v>
      </c>
    </row>
    <row r="10" spans="1:6" ht="20.100000000000001" customHeight="1" thickBot="1" x14ac:dyDescent="0.3">
      <c r="A10" s="279" t="s">
        <v>241</v>
      </c>
      <c r="B10" s="280">
        <v>3</v>
      </c>
      <c r="C10" s="280">
        <f>'2.2 Működési bevételek'!C10+'2.2 Működési bevételek'!C15</f>
        <v>335000</v>
      </c>
      <c r="D10" s="281">
        <f t="shared" si="0"/>
        <v>345050</v>
      </c>
      <c r="E10" s="281">
        <f t="shared" si="0"/>
        <v>355401.5</v>
      </c>
      <c r="F10" s="281">
        <f t="shared" si="0"/>
        <v>366063.54499999998</v>
      </c>
    </row>
    <row r="11" spans="1:6" ht="33" customHeight="1" thickBot="1" x14ac:dyDescent="0.3">
      <c r="A11" s="279" t="s">
        <v>242</v>
      </c>
      <c r="B11" s="280">
        <v>4</v>
      </c>
      <c r="C11" s="280">
        <f>'2.2 Működési bevételek'!C43</f>
        <v>8526220</v>
      </c>
      <c r="D11" s="281">
        <f t="shared" si="0"/>
        <v>8782006.5999999996</v>
      </c>
      <c r="E11" s="281">
        <f t="shared" si="0"/>
        <v>9045466.7980000004</v>
      </c>
      <c r="F11" s="281">
        <f t="shared" si="0"/>
        <v>9316830.8019400015</v>
      </c>
    </row>
    <row r="12" spans="1:6" ht="20.100000000000001" customHeight="1" thickBot="1" x14ac:dyDescent="0.3">
      <c r="A12" s="279" t="s">
        <v>243</v>
      </c>
      <c r="B12" s="280">
        <v>5</v>
      </c>
      <c r="C12" s="280">
        <f>SUM(C8:C11)</f>
        <v>41461220</v>
      </c>
      <c r="D12" s="281">
        <f>SUM(D8:D11)</f>
        <v>42705056.600000001</v>
      </c>
      <c r="E12" s="281">
        <f t="shared" ref="E12:F12" si="1">SUM(E8:E11)</f>
        <v>43986208.298</v>
      </c>
      <c r="F12" s="281">
        <f t="shared" si="1"/>
        <v>45305794.546940006</v>
      </c>
    </row>
    <row r="13" spans="1:6" ht="20.100000000000001" customHeight="1" thickBot="1" x14ac:dyDescent="0.3">
      <c r="A13" s="282" t="s">
        <v>244</v>
      </c>
      <c r="B13" s="283">
        <v>6</v>
      </c>
      <c r="C13" s="283">
        <f>C12*0.5</f>
        <v>20730610</v>
      </c>
      <c r="D13" s="284">
        <f t="shared" ref="D13:F13" si="2">D12*0.5</f>
        <v>21352528.300000001</v>
      </c>
      <c r="E13" s="284">
        <f t="shared" si="2"/>
        <v>21993104.149</v>
      </c>
      <c r="F13" s="284">
        <f t="shared" si="2"/>
        <v>22652897.273470003</v>
      </c>
    </row>
    <row r="14" spans="1:6" ht="20.100000000000001" customHeight="1" thickBot="1" x14ac:dyDescent="0.3">
      <c r="A14" s="279" t="s">
        <v>245</v>
      </c>
      <c r="B14" s="280">
        <v>7</v>
      </c>
      <c r="C14" s="280"/>
      <c r="D14" s="281"/>
      <c r="E14" s="281"/>
      <c r="F14" s="281"/>
    </row>
    <row r="15" spans="1:6" ht="20.100000000000001" customHeight="1" thickBot="1" x14ac:dyDescent="0.3">
      <c r="A15" s="279" t="s">
        <v>246</v>
      </c>
      <c r="B15" s="280">
        <v>8</v>
      </c>
      <c r="C15" s="280"/>
      <c r="D15" s="281"/>
      <c r="E15" s="281"/>
      <c r="F15" s="281"/>
    </row>
    <row r="16" spans="1:6" ht="20.100000000000001" customHeight="1" thickBot="1" x14ac:dyDescent="0.3">
      <c r="A16" s="279" t="s">
        <v>247</v>
      </c>
      <c r="B16" s="280">
        <v>9</v>
      </c>
      <c r="C16" s="280"/>
      <c r="D16" s="281"/>
      <c r="E16" s="281"/>
      <c r="F16" s="281"/>
    </row>
    <row r="17" spans="1:7" ht="20.100000000000001" customHeight="1" thickBot="1" x14ac:dyDescent="0.3">
      <c r="A17" s="282" t="s">
        <v>248</v>
      </c>
      <c r="B17" s="283">
        <v>10</v>
      </c>
      <c r="C17" s="283">
        <v>0</v>
      </c>
      <c r="D17" s="284">
        <v>0</v>
      </c>
      <c r="E17" s="284">
        <v>0</v>
      </c>
      <c r="F17" s="284">
        <v>0</v>
      </c>
    </row>
    <row r="18" spans="1:7" ht="20.100000000000001" customHeight="1" thickBot="1" x14ac:dyDescent="0.3">
      <c r="A18" s="282" t="s">
        <v>249</v>
      </c>
      <c r="B18" s="283">
        <v>11</v>
      </c>
      <c r="C18" s="284">
        <f>C13</f>
        <v>20730610</v>
      </c>
      <c r="D18" s="284">
        <f t="shared" ref="D18:F18" si="3">D13</f>
        <v>21352528.300000001</v>
      </c>
      <c r="E18" s="284">
        <f t="shared" si="3"/>
        <v>21993104.149</v>
      </c>
      <c r="F18" s="284">
        <f t="shared" si="3"/>
        <v>22652897.273470003</v>
      </c>
      <c r="G18" s="157"/>
    </row>
    <row r="20" spans="1:7" ht="15.75" x14ac:dyDescent="0.25">
      <c r="A20" s="95"/>
    </row>
  </sheetData>
  <mergeCells count="4">
    <mergeCell ref="A1:F1"/>
    <mergeCell ref="A2:F2"/>
    <mergeCell ref="E4:F4"/>
    <mergeCell ref="E5:F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5" x14ac:dyDescent="0.25"/>
  <cols>
    <col min="1" max="1" width="30.7109375" customWidth="1"/>
    <col min="2" max="2" width="18.140625" customWidth="1"/>
  </cols>
  <sheetData>
    <row r="1" spans="1:2" x14ac:dyDescent="0.25">
      <c r="A1" s="302" t="s">
        <v>20</v>
      </c>
      <c r="B1" s="302"/>
    </row>
    <row r="2" spans="1:2" x14ac:dyDescent="0.25">
      <c r="A2" s="359" t="s">
        <v>797</v>
      </c>
      <c r="B2" s="359"/>
    </row>
    <row r="3" spans="1:2" x14ac:dyDescent="0.25">
      <c r="A3" s="285"/>
      <c r="B3" s="285"/>
    </row>
    <row r="4" spans="1:2" x14ac:dyDescent="0.25">
      <c r="A4" s="151"/>
      <c r="B4" s="254" t="s">
        <v>253</v>
      </c>
    </row>
    <row r="5" spans="1:2" x14ac:dyDescent="0.25">
      <c r="A5" s="151"/>
      <c r="B5" s="254" t="s">
        <v>254</v>
      </c>
    </row>
    <row r="6" spans="1:2" x14ac:dyDescent="0.25">
      <c r="A6" s="151"/>
      <c r="B6" s="254"/>
    </row>
    <row r="7" spans="1:2" x14ac:dyDescent="0.25">
      <c r="A7" s="27" t="s">
        <v>1</v>
      </c>
      <c r="B7" s="27" t="s">
        <v>252</v>
      </c>
    </row>
    <row r="8" spans="1:2" x14ac:dyDescent="0.25">
      <c r="A8" s="21" t="s">
        <v>98</v>
      </c>
      <c r="B8" s="131">
        <v>7</v>
      </c>
    </row>
    <row r="9" spans="1:2" x14ac:dyDescent="0.25">
      <c r="A9" s="23" t="s">
        <v>255</v>
      </c>
      <c r="B9" s="23">
        <v>1</v>
      </c>
    </row>
    <row r="10" spans="1:2" x14ac:dyDescent="0.25">
      <c r="A10" s="23" t="s">
        <v>256</v>
      </c>
      <c r="B10" s="23">
        <v>6</v>
      </c>
    </row>
    <row r="11" spans="1:2" x14ac:dyDescent="0.25">
      <c r="A11" s="21" t="s">
        <v>99</v>
      </c>
      <c r="B11" s="131">
        <v>0</v>
      </c>
    </row>
    <row r="12" spans="1:2" x14ac:dyDescent="0.25">
      <c r="A12" s="21" t="s">
        <v>100</v>
      </c>
      <c r="B12" s="131">
        <v>1</v>
      </c>
    </row>
    <row r="13" spans="1:2" x14ac:dyDescent="0.25">
      <c r="A13" s="21" t="s">
        <v>57</v>
      </c>
      <c r="B13" s="131">
        <v>1</v>
      </c>
    </row>
    <row r="14" spans="1:2" x14ac:dyDescent="0.25">
      <c r="A14" s="21" t="s">
        <v>101</v>
      </c>
      <c r="B14" s="131">
        <v>1</v>
      </c>
    </row>
    <row r="15" spans="1:2" x14ac:dyDescent="0.25">
      <c r="A15" s="21" t="s">
        <v>102</v>
      </c>
      <c r="B15" s="131">
        <v>1</v>
      </c>
    </row>
    <row r="16" spans="1:2" x14ac:dyDescent="0.25">
      <c r="A16" s="21" t="s">
        <v>103</v>
      </c>
      <c r="B16" s="131">
        <v>43</v>
      </c>
    </row>
    <row r="17" spans="1:2" x14ac:dyDescent="0.25">
      <c r="A17" s="21" t="s">
        <v>104</v>
      </c>
      <c r="B17" s="131">
        <v>0</v>
      </c>
    </row>
    <row r="18" spans="1:2" x14ac:dyDescent="0.25">
      <c r="A18" s="101" t="s">
        <v>85</v>
      </c>
      <c r="B18" s="131">
        <v>12</v>
      </c>
    </row>
    <row r="19" spans="1:2" s="105" customFormat="1" x14ac:dyDescent="0.25">
      <c r="A19" s="104" t="s">
        <v>260</v>
      </c>
      <c r="B19" s="23">
        <v>1</v>
      </c>
    </row>
    <row r="20" spans="1:2" s="105" customFormat="1" x14ac:dyDescent="0.25">
      <c r="A20" s="104" t="s">
        <v>261</v>
      </c>
      <c r="B20" s="23">
        <v>5</v>
      </c>
    </row>
    <row r="21" spans="1:2" s="105" customFormat="1" x14ac:dyDescent="0.25">
      <c r="A21" s="104" t="s">
        <v>262</v>
      </c>
      <c r="B21" s="23">
        <v>4</v>
      </c>
    </row>
    <row r="22" spans="1:2" s="105" customFormat="1" x14ac:dyDescent="0.25">
      <c r="A22" s="104" t="s">
        <v>263</v>
      </c>
      <c r="B22" s="23">
        <v>2</v>
      </c>
    </row>
    <row r="23" spans="1:2" x14ac:dyDescent="0.25">
      <c r="A23" s="101" t="s">
        <v>251</v>
      </c>
      <c r="B23" s="131">
        <v>10</v>
      </c>
    </row>
    <row r="24" spans="1:2" s="105" customFormat="1" x14ac:dyDescent="0.25">
      <c r="A24" s="104" t="s">
        <v>258</v>
      </c>
      <c r="B24" s="23">
        <v>1</v>
      </c>
    </row>
    <row r="25" spans="1:2" s="105" customFormat="1" x14ac:dyDescent="0.25">
      <c r="A25" s="104" t="s">
        <v>257</v>
      </c>
      <c r="B25" s="23">
        <v>3</v>
      </c>
    </row>
    <row r="26" spans="1:2" s="105" customFormat="1" x14ac:dyDescent="0.25">
      <c r="A26" s="104" t="s">
        <v>259</v>
      </c>
      <c r="B26" s="23">
        <v>2</v>
      </c>
    </row>
    <row r="27" spans="1:2" s="105" customFormat="1" x14ac:dyDescent="0.25">
      <c r="A27" s="104" t="s">
        <v>798</v>
      </c>
      <c r="B27" s="23">
        <v>4</v>
      </c>
    </row>
    <row r="28" spans="1:2" x14ac:dyDescent="0.25">
      <c r="A28" s="102" t="s">
        <v>141</v>
      </c>
      <c r="B28" s="27">
        <f>SUM(B8+B11+B12+B13+B14+B15+B16+B17+B18+B23)</f>
        <v>76</v>
      </c>
    </row>
  </sheetData>
  <mergeCells count="2">
    <mergeCell ref="A1:B1"/>
    <mergeCell ref="A2:B2"/>
  </mergeCells>
  <phoneticPr fontId="18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5" x14ac:dyDescent="0.25"/>
  <cols>
    <col min="1" max="1" width="29.42578125" customWidth="1"/>
    <col min="2" max="2" width="36.42578125" customWidth="1"/>
    <col min="4" max="4" width="20.85546875" customWidth="1"/>
    <col min="5" max="5" width="38.5703125" customWidth="1"/>
  </cols>
  <sheetData>
    <row r="1" spans="1:2" x14ac:dyDescent="0.25">
      <c r="A1" s="39"/>
      <c r="B1" s="39"/>
    </row>
    <row r="2" spans="1:2" x14ac:dyDescent="0.25">
      <c r="A2" s="40"/>
      <c r="B2" s="40"/>
    </row>
    <row r="3" spans="1:2" x14ac:dyDescent="0.25">
      <c r="A3" s="40"/>
      <c r="B3" s="40"/>
    </row>
    <row r="4" spans="1:2" x14ac:dyDescent="0.25">
      <c r="A4" s="40"/>
      <c r="B4" s="40"/>
    </row>
    <row r="5" spans="1:2" x14ac:dyDescent="0.25">
      <c r="A5" s="40"/>
      <c r="B5" s="40"/>
    </row>
    <row r="6" spans="1:2" x14ac:dyDescent="0.25">
      <c r="A6" s="40"/>
      <c r="B6" s="40"/>
    </row>
    <row r="7" spans="1:2" x14ac:dyDescent="0.25">
      <c r="A7" s="40"/>
      <c r="B7" s="40"/>
    </row>
    <row r="8" spans="1:2" x14ac:dyDescent="0.25">
      <c r="A8" s="40"/>
      <c r="B8" s="40"/>
    </row>
    <row r="9" spans="1:2" x14ac:dyDescent="0.25">
      <c r="A9" s="40"/>
      <c r="B9" s="40"/>
    </row>
    <row r="10" spans="1:2" x14ac:dyDescent="0.25">
      <c r="A10" s="21"/>
      <c r="B10" s="21"/>
    </row>
    <row r="11" spans="1:2" x14ac:dyDescent="0.25">
      <c r="A11" s="21"/>
      <c r="B11" s="21"/>
    </row>
    <row r="12" spans="1:2" x14ac:dyDescent="0.25">
      <c r="A12" s="21"/>
      <c r="B12" s="21"/>
    </row>
    <row r="13" spans="1:2" x14ac:dyDescent="0.25">
      <c r="A13" s="21"/>
      <c r="B13" s="21"/>
    </row>
    <row r="14" spans="1:2" x14ac:dyDescent="0.25">
      <c r="A14" s="21"/>
      <c r="B14" s="21"/>
    </row>
    <row r="15" spans="1:2" x14ac:dyDescent="0.25">
      <c r="A15" s="21"/>
      <c r="B15" s="21"/>
    </row>
    <row r="16" spans="1:2" x14ac:dyDescent="0.25">
      <c r="A16" s="21"/>
      <c r="B16" s="21"/>
    </row>
    <row r="17" spans="1:2" x14ac:dyDescent="0.25">
      <c r="A17" s="21"/>
      <c r="B17" s="21"/>
    </row>
  </sheetData>
  <phoneticPr fontId="18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1"/>
  <sheetViews>
    <sheetView workbookViewId="0">
      <selection activeCell="A19" sqref="A19"/>
    </sheetView>
  </sheetViews>
  <sheetFormatPr defaultRowHeight="15" x14ac:dyDescent="0.25"/>
  <cols>
    <col min="1" max="1" width="115.42578125" customWidth="1"/>
  </cols>
  <sheetData>
    <row r="3" spans="1:1" x14ac:dyDescent="0.25">
      <c r="A3" s="91" t="s">
        <v>218</v>
      </c>
    </row>
    <row r="4" spans="1:1" x14ac:dyDescent="0.25">
      <c r="A4" s="91" t="s">
        <v>219</v>
      </c>
    </row>
    <row r="5" spans="1:1" x14ac:dyDescent="0.25">
      <c r="A5" s="91" t="s">
        <v>220</v>
      </c>
    </row>
    <row r="6" spans="1:1" x14ac:dyDescent="0.25">
      <c r="A6" s="91" t="s">
        <v>221</v>
      </c>
    </row>
    <row r="7" spans="1:1" x14ac:dyDescent="0.25">
      <c r="A7" s="91" t="s">
        <v>222</v>
      </c>
    </row>
    <row r="8" spans="1:1" x14ac:dyDescent="0.25">
      <c r="A8" s="91" t="s">
        <v>223</v>
      </c>
    </row>
    <row r="9" spans="1:1" x14ac:dyDescent="0.25">
      <c r="A9" s="91" t="s">
        <v>224</v>
      </c>
    </row>
    <row r="10" spans="1:1" x14ac:dyDescent="0.25">
      <c r="A10" s="91" t="s">
        <v>225</v>
      </c>
    </row>
    <row r="11" spans="1:1" x14ac:dyDescent="0.25">
      <c r="A11" s="91" t="s">
        <v>226</v>
      </c>
    </row>
    <row r="15" spans="1:1" ht="16.5" customHeight="1" x14ac:dyDescent="0.25">
      <c r="A15" s="92" t="s">
        <v>227</v>
      </c>
    </row>
    <row r="16" spans="1:1" ht="16.5" customHeight="1" x14ac:dyDescent="0.25">
      <c r="A16" s="92" t="s">
        <v>228</v>
      </c>
    </row>
    <row r="17" spans="1:1" ht="16.5" customHeight="1" x14ac:dyDescent="0.25">
      <c r="A17" s="92" t="s">
        <v>229</v>
      </c>
    </row>
    <row r="18" spans="1:1" ht="16.5" customHeight="1" x14ac:dyDescent="0.25">
      <c r="A18" s="92" t="s">
        <v>230</v>
      </c>
    </row>
    <row r="19" spans="1:1" ht="16.5" customHeight="1" x14ac:dyDescent="0.25">
      <c r="A19" s="92" t="s">
        <v>231</v>
      </c>
    </row>
    <row r="20" spans="1:1" ht="16.5" customHeight="1" x14ac:dyDescent="0.25">
      <c r="A20" s="92" t="s">
        <v>232</v>
      </c>
    </row>
    <row r="21" spans="1:1" ht="16.5" customHeight="1" x14ac:dyDescent="0.25">
      <c r="A21" s="92" t="s">
        <v>233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8"/>
  <sheetViews>
    <sheetView workbookViewId="0">
      <pane xSplit="4" ySplit="10" topLeftCell="X58" activePane="bottomRight" state="frozen"/>
      <selection pane="topRight" activeCell="F1" sqref="F1"/>
      <selection pane="bottomLeft" activeCell="A14" sqref="A14"/>
      <selection pane="bottomRight" sqref="A1:AJ67"/>
    </sheetView>
  </sheetViews>
  <sheetFormatPr defaultRowHeight="15" x14ac:dyDescent="0.25"/>
  <cols>
    <col min="1" max="1" width="7.42578125" bestFit="1" customWidth="1"/>
    <col min="2" max="2" width="31.140625" customWidth="1"/>
    <col min="3" max="3" width="9" bestFit="1" customWidth="1"/>
    <col min="4" max="4" width="11.140625" bestFit="1" customWidth="1"/>
    <col min="5" max="5" width="12.5703125" bestFit="1" customWidth="1"/>
    <col min="6" max="6" width="10.7109375" customWidth="1"/>
    <col min="7" max="7" width="11.7109375" bestFit="1" customWidth="1"/>
    <col min="8" max="8" width="11.5703125" customWidth="1"/>
    <col min="9" max="9" width="11" customWidth="1"/>
    <col min="10" max="10" width="10.7109375" bestFit="1" customWidth="1"/>
    <col min="11" max="11" width="11.28515625" bestFit="1" customWidth="1"/>
    <col min="12" max="12" width="8" bestFit="1" customWidth="1"/>
    <col min="13" max="13" width="9" bestFit="1" customWidth="1"/>
    <col min="14" max="15" width="8" bestFit="1" customWidth="1"/>
    <col min="16" max="16" width="8.7109375" bestFit="1" customWidth="1"/>
    <col min="17" max="17" width="10.28515625" bestFit="1" customWidth="1"/>
    <col min="18" max="18" width="8" bestFit="1" customWidth="1"/>
    <col min="19" max="19" width="8.85546875" bestFit="1" customWidth="1"/>
    <col min="20" max="20" width="8.7109375" bestFit="1" customWidth="1"/>
    <col min="21" max="21" width="9" bestFit="1" customWidth="1"/>
    <col min="22" max="22" width="16.28515625" bestFit="1" customWidth="1"/>
    <col min="26" max="27" width="10.140625" bestFit="1" customWidth="1"/>
    <col min="28" max="28" width="8" bestFit="1" customWidth="1"/>
    <col min="29" max="29" width="11.140625" customWidth="1"/>
    <col min="30" max="30" width="8" customWidth="1"/>
    <col min="31" max="33" width="8.7109375" customWidth="1"/>
    <col min="34" max="35" width="10.28515625" bestFit="1" customWidth="1"/>
    <col min="36" max="36" width="10" bestFit="1" customWidth="1"/>
    <col min="37" max="37" width="13.5703125" customWidth="1"/>
  </cols>
  <sheetData>
    <row r="1" spans="1:36" ht="45" x14ac:dyDescent="0.25">
      <c r="A1" s="360" t="s">
        <v>1</v>
      </c>
      <c r="B1" s="361"/>
      <c r="C1" s="187" t="s">
        <v>550</v>
      </c>
      <c r="D1" s="188" t="s">
        <v>565</v>
      </c>
      <c r="E1" s="188" t="s">
        <v>566</v>
      </c>
      <c r="F1" s="221" t="s">
        <v>770</v>
      </c>
      <c r="G1" s="188" t="s">
        <v>568</v>
      </c>
      <c r="H1" s="188" t="s">
        <v>569</v>
      </c>
      <c r="I1" s="188" t="s">
        <v>570</v>
      </c>
      <c r="J1" s="188" t="s">
        <v>571</v>
      </c>
      <c r="K1" s="188" t="s">
        <v>107</v>
      </c>
      <c r="L1" s="188" t="s">
        <v>572</v>
      </c>
      <c r="M1" s="188" t="s">
        <v>573</v>
      </c>
      <c r="N1" s="188" t="s">
        <v>574</v>
      </c>
      <c r="O1" s="188" t="s">
        <v>575</v>
      </c>
      <c r="P1" s="188" t="s">
        <v>579</v>
      </c>
      <c r="Q1" s="188" t="s">
        <v>580</v>
      </c>
      <c r="R1" s="188" t="s">
        <v>578</v>
      </c>
      <c r="S1" s="208" t="s">
        <v>771</v>
      </c>
      <c r="T1" s="208" t="s">
        <v>549</v>
      </c>
      <c r="U1" s="208" t="s">
        <v>548</v>
      </c>
      <c r="V1" s="188" t="s">
        <v>583</v>
      </c>
      <c r="W1" s="367" t="s">
        <v>103</v>
      </c>
      <c r="X1" s="368"/>
      <c r="Y1" s="368"/>
      <c r="Z1" s="368"/>
      <c r="AA1" s="368"/>
      <c r="AB1" s="369"/>
      <c r="AC1" s="224" t="s">
        <v>765</v>
      </c>
      <c r="AD1" s="224" t="s">
        <v>769</v>
      </c>
      <c r="AE1" s="224" t="s">
        <v>766</v>
      </c>
      <c r="AF1" s="367" t="s">
        <v>730</v>
      </c>
      <c r="AG1" s="369"/>
      <c r="AH1" s="221" t="s">
        <v>584</v>
      </c>
      <c r="AI1" s="221" t="s">
        <v>585</v>
      </c>
      <c r="AJ1" s="113"/>
    </row>
    <row r="2" spans="1:36" x14ac:dyDescent="0.25">
      <c r="A2" s="305"/>
      <c r="B2" s="362"/>
      <c r="C2" s="1">
        <v>11130</v>
      </c>
      <c r="D2" s="1">
        <v>18010</v>
      </c>
      <c r="E2" s="1">
        <v>18030</v>
      </c>
      <c r="F2" s="1">
        <v>91140</v>
      </c>
      <c r="G2" s="1">
        <v>13350</v>
      </c>
      <c r="H2" s="1">
        <v>66020</v>
      </c>
      <c r="I2" s="1">
        <v>66010</v>
      </c>
      <c r="J2" s="1">
        <v>13320</v>
      </c>
      <c r="K2" s="1">
        <v>64010</v>
      </c>
      <c r="L2" s="1">
        <v>45160</v>
      </c>
      <c r="M2" s="1">
        <v>72390</v>
      </c>
      <c r="N2" s="1">
        <v>82092</v>
      </c>
      <c r="O2" s="1">
        <v>74031</v>
      </c>
      <c r="P2" s="1">
        <v>107055</v>
      </c>
      <c r="Q2" s="1">
        <v>107052</v>
      </c>
      <c r="R2" s="1">
        <v>81071</v>
      </c>
      <c r="S2" s="1">
        <v>106020</v>
      </c>
      <c r="T2" s="1">
        <v>104051</v>
      </c>
      <c r="U2" s="1">
        <v>107060</v>
      </c>
      <c r="V2" s="1">
        <v>81030</v>
      </c>
      <c r="W2" s="365">
        <v>41237</v>
      </c>
      <c r="X2" s="366"/>
      <c r="Y2" s="242"/>
      <c r="Z2" s="365">
        <v>41233</v>
      </c>
      <c r="AA2" s="366"/>
      <c r="AB2" s="238">
        <v>41232</v>
      </c>
      <c r="AC2" s="241">
        <v>96015</v>
      </c>
      <c r="AD2" s="241">
        <v>107051</v>
      </c>
      <c r="AE2" s="241">
        <v>104037</v>
      </c>
      <c r="AF2" s="239">
        <v>900010</v>
      </c>
      <c r="AG2" s="370">
        <v>900020</v>
      </c>
      <c r="AH2" s="371"/>
      <c r="AI2" s="372"/>
      <c r="AJ2" s="1"/>
    </row>
    <row r="3" spans="1:36" x14ac:dyDescent="0.25">
      <c r="A3" s="363"/>
      <c r="B3" s="36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43" t="s">
        <v>572</v>
      </c>
      <c r="X3" s="243" t="s">
        <v>750</v>
      </c>
      <c r="Y3" s="243">
        <v>2015</v>
      </c>
      <c r="Z3" s="244" t="s">
        <v>767</v>
      </c>
      <c r="AA3" s="244" t="s">
        <v>751</v>
      </c>
      <c r="AB3" s="243" t="s">
        <v>768</v>
      </c>
      <c r="AC3" s="169"/>
      <c r="AD3" s="169"/>
      <c r="AE3" s="169"/>
      <c r="AF3" s="1">
        <v>999000</v>
      </c>
      <c r="AG3" s="1">
        <v>999000</v>
      </c>
      <c r="AH3" s="1">
        <v>680001</v>
      </c>
      <c r="AI3" s="1">
        <v>680002</v>
      </c>
      <c r="AJ3" s="1"/>
    </row>
    <row r="4" spans="1:36" x14ac:dyDescent="0.25">
      <c r="A4" s="131" t="s">
        <v>337</v>
      </c>
      <c r="B4" s="21" t="s">
        <v>640</v>
      </c>
      <c r="C4" s="1">
        <v>35540800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>
        <f t="shared" ref="AJ4:AJ35" si="0">SUM(C4:AI4)</f>
        <v>35540800</v>
      </c>
    </row>
    <row r="5" spans="1:36" x14ac:dyDescent="0.25">
      <c r="A5" s="131" t="s">
        <v>337</v>
      </c>
      <c r="B5" s="21" t="s">
        <v>50</v>
      </c>
      <c r="C5" s="1"/>
      <c r="D5" s="1"/>
      <c r="E5" s="1"/>
      <c r="F5" s="1"/>
      <c r="G5" s="1"/>
      <c r="H5" s="1"/>
      <c r="I5" s="1">
        <v>4540280</v>
      </c>
      <c r="J5" s="1">
        <v>912387</v>
      </c>
      <c r="K5" s="1">
        <v>3360000</v>
      </c>
      <c r="L5" s="1">
        <v>2921490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>
        <f t="shared" si="0"/>
        <v>11734157</v>
      </c>
    </row>
    <row r="6" spans="1:36" x14ac:dyDescent="0.25">
      <c r="A6" s="131" t="s">
        <v>337</v>
      </c>
      <c r="B6" s="21" t="s">
        <v>51</v>
      </c>
      <c r="C6" s="1">
        <v>1497901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>
        <f t="shared" si="0"/>
        <v>1497901</v>
      </c>
    </row>
    <row r="7" spans="1:36" x14ac:dyDescent="0.25">
      <c r="A7" s="131" t="s">
        <v>337</v>
      </c>
      <c r="B7" s="21" t="s">
        <v>764</v>
      </c>
      <c r="C7" s="1">
        <v>492150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>
        <f t="shared" si="0"/>
        <v>492150</v>
      </c>
    </row>
    <row r="8" spans="1:36" x14ac:dyDescent="0.25">
      <c r="A8" s="131" t="s">
        <v>337</v>
      </c>
      <c r="B8" s="21" t="s">
        <v>652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>
        <f t="shared" si="0"/>
        <v>0</v>
      </c>
    </row>
    <row r="9" spans="1:36" x14ac:dyDescent="0.25">
      <c r="A9" s="131" t="s">
        <v>338</v>
      </c>
      <c r="B9" s="21" t="s">
        <v>52</v>
      </c>
      <c r="C9" s="1"/>
      <c r="D9" s="1">
        <v>22945280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>
        <f t="shared" si="0"/>
        <v>22945280</v>
      </c>
    </row>
    <row r="10" spans="1:36" x14ac:dyDescent="0.25">
      <c r="A10" s="131" t="s">
        <v>338</v>
      </c>
      <c r="B10" s="21" t="s">
        <v>53</v>
      </c>
      <c r="C10" s="1"/>
      <c r="D10" s="1">
        <v>3513100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>
        <f t="shared" si="0"/>
        <v>3513100</v>
      </c>
    </row>
    <row r="11" spans="1:36" x14ac:dyDescent="0.25">
      <c r="A11" s="131" t="s">
        <v>339</v>
      </c>
      <c r="B11" s="21" t="s">
        <v>56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1162560</v>
      </c>
      <c r="AE11" s="1"/>
      <c r="AF11" s="1"/>
      <c r="AG11" s="1"/>
      <c r="AH11" s="1"/>
      <c r="AI11" s="1"/>
      <c r="AJ11" s="1">
        <f t="shared" si="0"/>
        <v>1162560</v>
      </c>
    </row>
    <row r="12" spans="1:36" x14ac:dyDescent="0.25">
      <c r="A12" s="131" t="s">
        <v>339</v>
      </c>
      <c r="B12" s="21" t="s">
        <v>57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>
        <v>1050000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>
        <f t="shared" si="0"/>
        <v>1050000</v>
      </c>
    </row>
    <row r="13" spans="1:36" x14ac:dyDescent="0.25">
      <c r="A13" s="131" t="s">
        <v>339</v>
      </c>
      <c r="B13" s="21" t="s">
        <v>58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v>2500000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>
        <f t="shared" si="0"/>
        <v>2500000</v>
      </c>
    </row>
    <row r="14" spans="1:36" x14ac:dyDescent="0.25">
      <c r="A14" s="131" t="s">
        <v>339</v>
      </c>
      <c r="B14" s="21" t="s">
        <v>581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>
        <f t="shared" si="0"/>
        <v>0</v>
      </c>
    </row>
    <row r="15" spans="1:36" x14ac:dyDescent="0.25">
      <c r="A15" s="131" t="s">
        <v>339</v>
      </c>
      <c r="B15" s="21" t="s">
        <v>641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>
        <v>6821760</v>
      </c>
      <c r="AD15" s="1"/>
      <c r="AE15" s="1"/>
      <c r="AF15" s="1"/>
      <c r="AG15" s="1"/>
      <c r="AH15" s="1"/>
      <c r="AI15" s="1"/>
      <c r="AJ15" s="1">
        <f t="shared" si="0"/>
        <v>6821760</v>
      </c>
    </row>
    <row r="16" spans="1:36" x14ac:dyDescent="0.25">
      <c r="A16" s="131" t="s">
        <v>339</v>
      </c>
      <c r="B16" s="21" t="s">
        <v>642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>
        <v>7995516</v>
      </c>
      <c r="AD16" s="1"/>
      <c r="AE16" s="1"/>
      <c r="AF16" s="1"/>
      <c r="AG16" s="1"/>
      <c r="AH16" s="1"/>
      <c r="AI16" s="1"/>
      <c r="AJ16" s="1">
        <f t="shared" si="0"/>
        <v>7995516</v>
      </c>
    </row>
    <row r="17" spans="1:36" x14ac:dyDescent="0.25">
      <c r="A17" s="131" t="s">
        <v>564</v>
      </c>
      <c r="B17" s="21" t="s">
        <v>731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v>936576</v>
      </c>
      <c r="AF17" s="1"/>
      <c r="AG17" s="1"/>
      <c r="AH17" s="1"/>
      <c r="AI17" s="1"/>
      <c r="AJ17" s="1">
        <f t="shared" si="0"/>
        <v>936576</v>
      </c>
    </row>
    <row r="18" spans="1:36" x14ac:dyDescent="0.25">
      <c r="A18" s="131" t="s">
        <v>339</v>
      </c>
      <c r="B18" s="21" t="s">
        <v>581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>
        <v>5945000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>
        <f t="shared" si="0"/>
        <v>5945000</v>
      </c>
    </row>
    <row r="19" spans="1:36" x14ac:dyDescent="0.25">
      <c r="A19" s="131" t="s">
        <v>339</v>
      </c>
      <c r="B19" s="21" t="s">
        <v>547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>
        <f t="shared" si="0"/>
        <v>0</v>
      </c>
    </row>
    <row r="20" spans="1:36" x14ac:dyDescent="0.25">
      <c r="A20" s="131" t="s">
        <v>341</v>
      </c>
      <c r="B20" s="21" t="s">
        <v>643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>
        <f t="shared" si="0"/>
        <v>0</v>
      </c>
    </row>
    <row r="21" spans="1:36" x14ac:dyDescent="0.25">
      <c r="A21" s="133" t="s">
        <v>342</v>
      </c>
      <c r="B21" s="22" t="s">
        <v>645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1399920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>
        <f t="shared" si="0"/>
        <v>1399920</v>
      </c>
    </row>
    <row r="22" spans="1:36" ht="14.25" customHeight="1" x14ac:dyDescent="0.25">
      <c r="A22" s="133" t="s">
        <v>344</v>
      </c>
      <c r="B22" s="114" t="s">
        <v>772</v>
      </c>
      <c r="C22" s="1"/>
      <c r="D22" s="1">
        <v>505920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>
        <f t="shared" si="0"/>
        <v>505920</v>
      </c>
    </row>
    <row r="23" spans="1:36" x14ac:dyDescent="0.25">
      <c r="A23" s="131" t="s">
        <v>346</v>
      </c>
      <c r="B23" s="21" t="s">
        <v>63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69">
        <v>2473800</v>
      </c>
      <c r="N23" s="169"/>
      <c r="O23" s="169">
        <v>3298800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f t="shared" si="0"/>
        <v>5772600</v>
      </c>
    </row>
    <row r="24" spans="1:36" x14ac:dyDescent="0.25">
      <c r="A24" s="131" t="s">
        <v>347</v>
      </c>
      <c r="B24" s="21" t="s">
        <v>64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69">
        <v>3189467</v>
      </c>
      <c r="X24" s="169">
        <v>1625026</v>
      </c>
      <c r="Y24" s="169">
        <v>181317</v>
      </c>
      <c r="Z24" s="169">
        <v>119293</v>
      </c>
      <c r="AA24" s="169">
        <v>2511884</v>
      </c>
      <c r="AB24" s="169">
        <v>4056504</v>
      </c>
      <c r="AC24" s="169"/>
      <c r="AD24" s="169"/>
      <c r="AE24" s="169"/>
      <c r="AF24" s="1"/>
      <c r="AG24" s="1"/>
      <c r="AH24" s="1"/>
      <c r="AI24" s="1"/>
      <c r="AJ24" s="1">
        <f t="shared" si="0"/>
        <v>11683491</v>
      </c>
    </row>
    <row r="25" spans="1:36" x14ac:dyDescent="0.25">
      <c r="A25" s="131" t="s">
        <v>348</v>
      </c>
      <c r="B25" s="21" t="s">
        <v>173</v>
      </c>
      <c r="C25" s="169"/>
      <c r="D25" s="1"/>
      <c r="E25" s="1">
        <v>6578000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69"/>
      <c r="X25" s="169"/>
      <c r="Y25" s="169"/>
      <c r="Z25" s="169"/>
      <c r="AA25" s="169"/>
      <c r="AB25" s="169"/>
      <c r="AC25" s="169"/>
      <c r="AD25" s="169"/>
      <c r="AE25" s="169"/>
      <c r="AF25" s="1"/>
      <c r="AG25" s="1"/>
      <c r="AH25" s="1"/>
      <c r="AI25" s="1"/>
      <c r="AJ25" s="1">
        <f t="shared" si="0"/>
        <v>6578000</v>
      </c>
    </row>
    <row r="26" spans="1:36" ht="30.75" customHeight="1" x14ac:dyDescent="0.25">
      <c r="A26" s="138" t="s">
        <v>350</v>
      </c>
      <c r="B26" s="114" t="s">
        <v>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>
        <f t="shared" si="0"/>
        <v>0</v>
      </c>
    </row>
    <row r="27" spans="1:36" ht="15" customHeight="1" x14ac:dyDescent="0.25">
      <c r="A27" s="133" t="s">
        <v>354</v>
      </c>
      <c r="B27" s="114" t="s">
        <v>644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>
        <f t="shared" si="0"/>
        <v>0</v>
      </c>
    </row>
    <row r="28" spans="1:36" ht="27.75" customHeight="1" x14ac:dyDescent="0.25">
      <c r="A28" s="131" t="s">
        <v>355</v>
      </c>
      <c r="B28" s="16" t="s">
        <v>67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>
        <v>1800000</v>
      </c>
      <c r="AH28" s="1"/>
      <c r="AI28" s="1"/>
      <c r="AJ28" s="1">
        <f t="shared" si="0"/>
        <v>1800000</v>
      </c>
    </row>
    <row r="29" spans="1:36" ht="27" customHeight="1" x14ac:dyDescent="0.25">
      <c r="A29" s="131" t="s">
        <v>356</v>
      </c>
      <c r="B29" s="16" t="s">
        <v>68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>
        <v>26000000</v>
      </c>
      <c r="AH29" s="1"/>
      <c r="AI29" s="1"/>
      <c r="AJ29" s="1">
        <f t="shared" si="0"/>
        <v>26000000</v>
      </c>
    </row>
    <row r="30" spans="1:36" x14ac:dyDescent="0.25">
      <c r="A30" s="131" t="s">
        <v>446</v>
      </c>
      <c r="B30" s="16" t="s">
        <v>66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v>4800000</v>
      </c>
      <c r="AH30" s="1"/>
      <c r="AI30" s="1"/>
      <c r="AJ30" s="1">
        <f t="shared" si="0"/>
        <v>4800000</v>
      </c>
    </row>
    <row r="31" spans="1:36" ht="29.25" customHeight="1" x14ac:dyDescent="0.25">
      <c r="A31" s="131" t="s">
        <v>447</v>
      </c>
      <c r="B31" s="16" t="s">
        <v>69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>
        <v>200000</v>
      </c>
      <c r="AG31" s="1"/>
      <c r="AH31" s="1"/>
      <c r="AI31" s="1"/>
      <c r="AJ31" s="1">
        <f t="shared" si="0"/>
        <v>200000</v>
      </c>
    </row>
    <row r="32" spans="1:36" ht="21.75" customHeight="1" x14ac:dyDescent="0.25">
      <c r="A32" s="132" t="s">
        <v>357</v>
      </c>
      <c r="B32" s="28" t="s">
        <v>358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f t="shared" si="0"/>
        <v>0</v>
      </c>
    </row>
    <row r="33" spans="1:36" ht="18.75" customHeight="1" x14ac:dyDescent="0.25">
      <c r="A33" s="131" t="s">
        <v>359</v>
      </c>
      <c r="B33" s="16" t="s">
        <v>360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v>50000</v>
      </c>
      <c r="AH33" s="1"/>
      <c r="AI33" s="1"/>
      <c r="AJ33" s="1">
        <f t="shared" si="0"/>
        <v>50000</v>
      </c>
    </row>
    <row r="34" spans="1:36" x14ac:dyDescent="0.25">
      <c r="A34" s="131" t="s">
        <v>448</v>
      </c>
      <c r="B34" s="16" t="s">
        <v>361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v>30000</v>
      </c>
      <c r="AH34" s="1"/>
      <c r="AI34" s="1"/>
      <c r="AJ34" s="1">
        <f t="shared" si="0"/>
        <v>30000</v>
      </c>
    </row>
    <row r="35" spans="1:36" ht="31.5" customHeight="1" x14ac:dyDescent="0.25">
      <c r="A35" s="131" t="s">
        <v>449</v>
      </c>
      <c r="B35" s="16" t="s">
        <v>362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v>55000</v>
      </c>
      <c r="AH35" s="1"/>
      <c r="AI35" s="1"/>
      <c r="AJ35" s="1">
        <f t="shared" si="0"/>
        <v>55000</v>
      </c>
    </row>
    <row r="36" spans="1:36" ht="40.5" customHeight="1" x14ac:dyDescent="0.25">
      <c r="A36" s="132" t="s">
        <v>363</v>
      </c>
      <c r="B36" s="28" t="s">
        <v>175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>
        <f t="shared" ref="AJ36:AJ66" si="1">SUM(C36:AI36)</f>
        <v>0</v>
      </c>
    </row>
    <row r="37" spans="1:36" ht="17.25" customHeight="1" x14ac:dyDescent="0.25">
      <c r="A37" s="131" t="s">
        <v>365</v>
      </c>
      <c r="B37" s="16" t="s">
        <v>366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v>3000000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>
        <f t="shared" si="1"/>
        <v>3000000</v>
      </c>
    </row>
    <row r="38" spans="1:36" ht="14.25" customHeight="1" x14ac:dyDescent="0.25">
      <c r="A38" s="131" t="s">
        <v>365</v>
      </c>
      <c r="B38" s="16" t="s">
        <v>367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100000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>
        <f t="shared" si="1"/>
        <v>100000</v>
      </c>
    </row>
    <row r="39" spans="1:36" ht="20.25" customHeight="1" x14ac:dyDescent="0.25">
      <c r="A39" s="131" t="s">
        <v>365</v>
      </c>
      <c r="B39" s="16" t="s">
        <v>370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>
        <v>150000</v>
      </c>
      <c r="AJ39" s="1">
        <f t="shared" si="1"/>
        <v>150000</v>
      </c>
    </row>
    <row r="40" spans="1:36" ht="18" customHeight="1" x14ac:dyDescent="0.25">
      <c r="A40" s="131" t="s">
        <v>365</v>
      </c>
      <c r="B40" s="16" t="s">
        <v>73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v>100000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>
        <f t="shared" si="1"/>
        <v>100000</v>
      </c>
    </row>
    <row r="41" spans="1:36" x14ac:dyDescent="0.25">
      <c r="A41" s="131" t="s">
        <v>365</v>
      </c>
      <c r="B41" s="16" t="s">
        <v>76</v>
      </c>
      <c r="C41" s="1"/>
      <c r="D41" s="1"/>
      <c r="E41" s="1"/>
      <c r="F41" s="1"/>
      <c r="G41" s="1">
        <v>110000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>
        <f t="shared" si="1"/>
        <v>110000</v>
      </c>
    </row>
    <row r="42" spans="1:36" ht="18.75" customHeight="1" x14ac:dyDescent="0.25">
      <c r="A42" s="131" t="s">
        <v>365</v>
      </c>
      <c r="B42" s="16" t="s">
        <v>77</v>
      </c>
      <c r="C42" s="1"/>
      <c r="D42" s="1"/>
      <c r="E42" s="1"/>
      <c r="F42" s="1"/>
      <c r="G42" s="1"/>
      <c r="H42" s="1"/>
      <c r="I42" s="1"/>
      <c r="J42" s="1">
        <v>300000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>
        <f t="shared" si="1"/>
        <v>300000</v>
      </c>
    </row>
    <row r="43" spans="1:36" ht="18.75" customHeight="1" x14ac:dyDescent="0.25">
      <c r="A43" s="131" t="s">
        <v>365</v>
      </c>
      <c r="B43" s="16" t="s">
        <v>546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>
        <v>15000</v>
      </c>
      <c r="AJ43" s="1">
        <f t="shared" si="1"/>
        <v>15000</v>
      </c>
    </row>
    <row r="44" spans="1:36" ht="31.5" customHeight="1" x14ac:dyDescent="0.25">
      <c r="A44" s="131" t="s">
        <v>371</v>
      </c>
      <c r="B44" s="16" t="s">
        <v>372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f t="shared" si="1"/>
        <v>0</v>
      </c>
    </row>
    <row r="45" spans="1:36" ht="24.75" customHeight="1" x14ac:dyDescent="0.25">
      <c r="A45" s="131" t="s">
        <v>373</v>
      </c>
      <c r="B45" s="16" t="s">
        <v>374</v>
      </c>
      <c r="C45" s="1"/>
      <c r="D45" s="1"/>
      <c r="E45" s="1"/>
      <c r="F45" s="1">
        <v>1650000</v>
      </c>
      <c r="G45" s="1"/>
      <c r="H45" s="1"/>
      <c r="I45" s="1"/>
      <c r="J45" s="1"/>
      <c r="K45" s="1"/>
      <c r="L45" s="1"/>
      <c r="M45" s="1"/>
      <c r="N45" s="1"/>
      <c r="O45" s="1">
        <v>100000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>
        <v>280000</v>
      </c>
      <c r="AI45" s="1">
        <v>15000</v>
      </c>
      <c r="AJ45" s="1">
        <f t="shared" si="1"/>
        <v>2045000</v>
      </c>
    </row>
    <row r="46" spans="1:36" ht="21.75" customHeight="1" x14ac:dyDescent="0.25">
      <c r="A46" s="132" t="s">
        <v>375</v>
      </c>
      <c r="B46" s="28" t="s">
        <v>376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>
        <f t="shared" si="1"/>
        <v>0</v>
      </c>
    </row>
    <row r="47" spans="1:36" ht="23.25" customHeight="1" x14ac:dyDescent="0.25">
      <c r="A47" s="131" t="s">
        <v>377</v>
      </c>
      <c r="B47" s="16" t="s">
        <v>72</v>
      </c>
      <c r="C47" s="1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>
        <f t="shared" si="1"/>
        <v>0</v>
      </c>
    </row>
    <row r="48" spans="1:36" x14ac:dyDescent="0.25">
      <c r="A48" s="131" t="s">
        <v>377</v>
      </c>
      <c r="B48" s="16" t="s">
        <v>74</v>
      </c>
      <c r="C48" s="1">
        <v>180000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>
        <f t="shared" si="1"/>
        <v>180000</v>
      </c>
    </row>
    <row r="49" spans="1:36" ht="20.25" customHeight="1" x14ac:dyDescent="0.25">
      <c r="A49" s="131" t="s">
        <v>377</v>
      </c>
      <c r="B49" s="16" t="s">
        <v>75</v>
      </c>
      <c r="C49" s="1"/>
      <c r="D49" s="1"/>
      <c r="E49" s="1"/>
      <c r="F49" s="1"/>
      <c r="G49" s="1">
        <v>77000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>
        <f t="shared" si="1"/>
        <v>77000</v>
      </c>
    </row>
    <row r="50" spans="1:36" ht="30.75" customHeight="1" x14ac:dyDescent="0.25">
      <c r="A50" s="132" t="s">
        <v>377</v>
      </c>
      <c r="B50" s="28" t="s">
        <v>378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>
        <f t="shared" si="1"/>
        <v>0</v>
      </c>
    </row>
    <row r="51" spans="1:36" ht="22.5" customHeight="1" x14ac:dyDescent="0.25">
      <c r="A51" s="131" t="s">
        <v>379</v>
      </c>
      <c r="B51" s="16" t="s">
        <v>380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>
        <f t="shared" si="1"/>
        <v>0</v>
      </c>
    </row>
    <row r="52" spans="1:36" x14ac:dyDescent="0.25">
      <c r="A52" s="131" t="s">
        <v>379</v>
      </c>
      <c r="B52" s="16" t="s">
        <v>381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f t="shared" si="1"/>
        <v>0</v>
      </c>
    </row>
    <row r="53" spans="1:36" x14ac:dyDescent="0.25">
      <c r="A53" s="131" t="s">
        <v>379</v>
      </c>
      <c r="B53" s="16" t="s">
        <v>267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>
        <f t="shared" si="1"/>
        <v>0</v>
      </c>
    </row>
    <row r="54" spans="1:36" ht="18" customHeight="1" x14ac:dyDescent="0.25">
      <c r="A54" s="132" t="s">
        <v>379</v>
      </c>
      <c r="B54" s="28" t="s">
        <v>78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>
        <f t="shared" si="1"/>
        <v>0</v>
      </c>
    </row>
    <row r="55" spans="1:36" ht="18.75" customHeight="1" x14ac:dyDescent="0.25">
      <c r="A55" s="132" t="s">
        <v>382</v>
      </c>
      <c r="B55" s="28" t="s">
        <v>79</v>
      </c>
      <c r="C55" s="1"/>
      <c r="D55" s="1"/>
      <c r="E55" s="1"/>
      <c r="F55" s="1">
        <v>445500</v>
      </c>
      <c r="G55" s="1">
        <v>50490</v>
      </c>
      <c r="H55" s="1"/>
      <c r="I55" s="1"/>
      <c r="J55" s="1">
        <v>81000</v>
      </c>
      <c r="K55" s="1"/>
      <c r="L55" s="1"/>
      <c r="M55" s="1"/>
      <c r="N55" s="1">
        <v>27000</v>
      </c>
      <c r="O55" s="1"/>
      <c r="P55" s="1"/>
      <c r="Q55" s="1"/>
      <c r="R55" s="1">
        <v>558000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>
        <v>48600</v>
      </c>
      <c r="AJ55" s="1">
        <f t="shared" si="1"/>
        <v>1210590</v>
      </c>
    </row>
    <row r="56" spans="1:36" ht="24" customHeight="1" x14ac:dyDescent="0.25">
      <c r="A56" s="132" t="s">
        <v>383</v>
      </c>
      <c r="B56" s="140" t="s">
        <v>384</v>
      </c>
      <c r="C56" s="1">
        <v>803000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>
        <f t="shared" si="1"/>
        <v>803000</v>
      </c>
    </row>
    <row r="57" spans="1:36" ht="20.25" customHeight="1" x14ac:dyDescent="0.25">
      <c r="A57" s="132" t="s">
        <v>452</v>
      </c>
      <c r="B57" s="28" t="s">
        <v>81</v>
      </c>
      <c r="C57" s="1">
        <v>425985</v>
      </c>
      <c r="D57" s="1">
        <v>16595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>
        <f t="shared" si="1"/>
        <v>442580</v>
      </c>
    </row>
    <row r="58" spans="1:36" x14ac:dyDescent="0.25">
      <c r="A58" s="131" t="s">
        <v>385</v>
      </c>
      <c r="B58" s="16" t="s">
        <v>386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>
        <f t="shared" si="1"/>
        <v>0</v>
      </c>
    </row>
    <row r="59" spans="1:36" ht="20.25" customHeight="1" x14ac:dyDescent="0.25">
      <c r="A59" s="131" t="s">
        <v>545</v>
      </c>
      <c r="B59" s="16" t="s">
        <v>388</v>
      </c>
      <c r="C59" s="1">
        <v>100000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>
        <f t="shared" si="1"/>
        <v>100000</v>
      </c>
    </row>
    <row r="60" spans="1:36" x14ac:dyDescent="0.25">
      <c r="A60" s="131" t="s">
        <v>545</v>
      </c>
      <c r="B60" s="16" t="s">
        <v>544</v>
      </c>
      <c r="C60" s="1">
        <v>1000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>
        <f t="shared" si="1"/>
        <v>1000</v>
      </c>
    </row>
    <row r="61" spans="1:36" ht="19.5" customHeight="1" x14ac:dyDescent="0.25">
      <c r="A61" s="132" t="s">
        <v>543</v>
      </c>
      <c r="B61" s="28" t="s">
        <v>389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>
        <f t="shared" si="1"/>
        <v>0</v>
      </c>
    </row>
    <row r="62" spans="1:36" ht="21" customHeight="1" x14ac:dyDescent="0.25">
      <c r="A62" s="133" t="s">
        <v>390</v>
      </c>
      <c r="B62" s="26" t="s">
        <v>80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>
        <f t="shared" si="1"/>
        <v>0</v>
      </c>
    </row>
    <row r="63" spans="1:36" ht="35.25" customHeight="1" x14ac:dyDescent="0.25">
      <c r="A63" s="133" t="s">
        <v>542</v>
      </c>
      <c r="B63" s="26" t="s">
        <v>391</v>
      </c>
      <c r="C63" s="1">
        <v>500000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>
        <f t="shared" si="1"/>
        <v>500000</v>
      </c>
    </row>
    <row r="64" spans="1:36" ht="31.5" customHeight="1" x14ac:dyDescent="0.25">
      <c r="A64" s="133" t="s">
        <v>541</v>
      </c>
      <c r="B64" s="26" t="s">
        <v>540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>
        <f t="shared" si="1"/>
        <v>0</v>
      </c>
    </row>
    <row r="65" spans="1:36" ht="27.75" customHeight="1" x14ac:dyDescent="0.25">
      <c r="A65" s="133" t="s">
        <v>539</v>
      </c>
      <c r="B65" s="26" t="s">
        <v>538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>
        <f t="shared" si="1"/>
        <v>0</v>
      </c>
    </row>
    <row r="66" spans="1:36" ht="29.25" customHeight="1" x14ac:dyDescent="0.25">
      <c r="A66" s="133" t="s">
        <v>392</v>
      </c>
      <c r="B66" s="26" t="s">
        <v>264</v>
      </c>
      <c r="C66" s="1">
        <v>6000000</v>
      </c>
      <c r="D66" s="1"/>
      <c r="E66" s="1"/>
      <c r="F66" s="1"/>
      <c r="G66" s="1"/>
      <c r="H66" s="1"/>
      <c r="I66" s="1"/>
      <c r="J66" s="20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>
        <f t="shared" si="1"/>
        <v>6000000</v>
      </c>
    </row>
    <row r="67" spans="1:36" ht="15.75" x14ac:dyDescent="0.25">
      <c r="A67" s="141"/>
      <c r="B67" s="141" t="s">
        <v>393</v>
      </c>
      <c r="C67" s="186">
        <f>SUM(C4:C66)</f>
        <v>45540836</v>
      </c>
      <c r="D67" s="186">
        <f t="shared" ref="D67:AI67" si="2">SUM(D4:D66)</f>
        <v>26980895</v>
      </c>
      <c r="E67" s="186">
        <f t="shared" si="2"/>
        <v>6578000</v>
      </c>
      <c r="F67" s="186">
        <f t="shared" si="2"/>
        <v>2095500</v>
      </c>
      <c r="G67" s="186">
        <f t="shared" si="2"/>
        <v>237490</v>
      </c>
      <c r="H67" s="186">
        <f t="shared" si="2"/>
        <v>0</v>
      </c>
      <c r="I67" s="186">
        <f t="shared" si="2"/>
        <v>4540280</v>
      </c>
      <c r="J67" s="186">
        <f t="shared" si="2"/>
        <v>1293387</v>
      </c>
      <c r="K67" s="186">
        <f t="shared" si="2"/>
        <v>3360000</v>
      </c>
      <c r="L67" s="186">
        <f t="shared" si="2"/>
        <v>2921490</v>
      </c>
      <c r="M67" s="186">
        <f t="shared" si="2"/>
        <v>2473800</v>
      </c>
      <c r="N67" s="186">
        <f t="shared" si="2"/>
        <v>1526920</v>
      </c>
      <c r="O67" s="186">
        <f t="shared" si="2"/>
        <v>3398800</v>
      </c>
      <c r="P67" s="186">
        <f t="shared" si="2"/>
        <v>2500000</v>
      </c>
      <c r="Q67" s="186">
        <f t="shared" si="2"/>
        <v>1050000</v>
      </c>
      <c r="R67" s="186">
        <f t="shared" si="2"/>
        <v>3658000</v>
      </c>
      <c r="S67" s="186">
        <f t="shared" si="2"/>
        <v>0</v>
      </c>
      <c r="T67" s="186">
        <f t="shared" si="2"/>
        <v>0</v>
      </c>
      <c r="U67" s="186">
        <f t="shared" si="2"/>
        <v>5945000</v>
      </c>
      <c r="V67" s="186">
        <f t="shared" si="2"/>
        <v>0</v>
      </c>
      <c r="W67" s="186">
        <f t="shared" si="2"/>
        <v>3189467</v>
      </c>
      <c r="X67" s="186">
        <f t="shared" si="2"/>
        <v>1625026</v>
      </c>
      <c r="Y67" s="186">
        <f t="shared" si="2"/>
        <v>181317</v>
      </c>
      <c r="Z67" s="186">
        <f t="shared" si="2"/>
        <v>119293</v>
      </c>
      <c r="AA67" s="186">
        <f t="shared" si="2"/>
        <v>2511884</v>
      </c>
      <c r="AB67" s="186">
        <f t="shared" si="2"/>
        <v>4056504</v>
      </c>
      <c r="AC67" s="186">
        <f t="shared" si="2"/>
        <v>14817276</v>
      </c>
      <c r="AD67" s="186">
        <f t="shared" si="2"/>
        <v>1162560</v>
      </c>
      <c r="AE67" s="186">
        <f t="shared" si="2"/>
        <v>936576</v>
      </c>
      <c r="AF67" s="186">
        <f t="shared" si="2"/>
        <v>200000</v>
      </c>
      <c r="AG67" s="186">
        <f t="shared" si="2"/>
        <v>32735000</v>
      </c>
      <c r="AH67" s="186">
        <f t="shared" si="2"/>
        <v>280000</v>
      </c>
      <c r="AI67" s="186">
        <f t="shared" si="2"/>
        <v>228600</v>
      </c>
      <c r="AJ67" s="1">
        <f t="shared" ref="AJ67" si="3">SUM(AJ4:AJ66)</f>
        <v>176143901</v>
      </c>
    </row>
    <row r="68" spans="1:36" x14ac:dyDescent="0.25">
      <c r="AJ68">
        <f>SUM(C67:AI67)</f>
        <v>176143901</v>
      </c>
    </row>
  </sheetData>
  <mergeCells count="6">
    <mergeCell ref="A1:B3"/>
    <mergeCell ref="W2:X2"/>
    <mergeCell ref="Z2:AA2"/>
    <mergeCell ref="W1:AB1"/>
    <mergeCell ref="AF1:AG1"/>
    <mergeCell ref="AG2:AI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workbookViewId="0">
      <pane xSplit="4" ySplit="11" topLeftCell="Y51" activePane="bottomRight" state="frozen"/>
      <selection pane="topRight" activeCell="F1" sqref="F1"/>
      <selection pane="bottomLeft" activeCell="A14" sqref="A14"/>
      <selection pane="bottomRight" sqref="A1:AG57"/>
    </sheetView>
  </sheetViews>
  <sheetFormatPr defaultRowHeight="15" x14ac:dyDescent="0.25"/>
  <cols>
    <col min="2" max="2" width="25.140625" customWidth="1"/>
    <col min="3" max="3" width="9" bestFit="1" customWidth="1"/>
    <col min="4" max="4" width="11.140625" bestFit="1" customWidth="1"/>
    <col min="5" max="5" width="12.5703125" bestFit="1" customWidth="1"/>
    <col min="6" max="6" width="10.7109375" bestFit="1" customWidth="1"/>
    <col min="7" max="7" width="10.7109375" customWidth="1"/>
    <col min="8" max="8" width="11.7109375" bestFit="1" customWidth="1"/>
    <col min="9" max="9" width="12.140625" customWidth="1"/>
    <col min="10" max="10" width="11" bestFit="1" customWidth="1"/>
    <col min="11" max="11" width="10.7109375" bestFit="1" customWidth="1"/>
    <col min="12" max="12" width="11.28515625" bestFit="1" customWidth="1"/>
    <col min="13" max="13" width="8" bestFit="1" customWidth="1"/>
    <col min="14" max="14" width="9" bestFit="1" customWidth="1"/>
    <col min="15" max="16" width="8" bestFit="1" customWidth="1"/>
    <col min="17" max="17" width="8.7109375" bestFit="1" customWidth="1"/>
    <col min="18" max="18" width="10.28515625" bestFit="1" customWidth="1"/>
    <col min="19" max="19" width="8" bestFit="1" customWidth="1"/>
    <col min="20" max="20" width="8" customWidth="1"/>
    <col min="21" max="21" width="8.85546875" bestFit="1" customWidth="1"/>
    <col min="22" max="23" width="8.7109375" bestFit="1" customWidth="1"/>
    <col min="24" max="24" width="13.85546875" bestFit="1" customWidth="1"/>
    <col min="25" max="25" width="13.85546875" customWidth="1"/>
    <col min="26" max="28" width="14.28515625" customWidth="1"/>
    <col min="29" max="29" width="14.7109375" customWidth="1"/>
    <col min="30" max="30" width="11.28515625" customWidth="1"/>
    <col min="31" max="31" width="10" customWidth="1"/>
    <col min="32" max="32" width="10.140625" customWidth="1"/>
    <col min="33" max="33" width="12.140625" customWidth="1"/>
    <col min="34" max="34" width="10.85546875" customWidth="1"/>
    <col min="35" max="35" width="12.85546875" customWidth="1"/>
    <col min="38" max="38" width="16.140625" customWidth="1"/>
  </cols>
  <sheetData>
    <row r="1" spans="1:33" ht="45" x14ac:dyDescent="0.25">
      <c r="A1" s="373" t="s">
        <v>1</v>
      </c>
      <c r="B1" s="373"/>
      <c r="C1" s="187" t="s">
        <v>550</v>
      </c>
      <c r="D1" s="188" t="s">
        <v>565</v>
      </c>
      <c r="E1" s="188" t="s">
        <v>566</v>
      </c>
      <c r="F1" s="188" t="s">
        <v>567</v>
      </c>
      <c r="G1" s="221" t="s">
        <v>770</v>
      </c>
      <c r="H1" s="188" t="s">
        <v>568</v>
      </c>
      <c r="I1" s="188" t="s">
        <v>569</v>
      </c>
      <c r="J1" s="188" t="s">
        <v>570</v>
      </c>
      <c r="K1" s="188" t="s">
        <v>571</v>
      </c>
      <c r="L1" s="188" t="s">
        <v>107</v>
      </c>
      <c r="M1" s="188" t="s">
        <v>572</v>
      </c>
      <c r="N1" s="188" t="s">
        <v>573</v>
      </c>
      <c r="O1" s="188" t="s">
        <v>574</v>
      </c>
      <c r="P1" s="188" t="s">
        <v>575</v>
      </c>
      <c r="Q1" s="188" t="s">
        <v>576</v>
      </c>
      <c r="R1" s="188" t="s">
        <v>577</v>
      </c>
      <c r="S1" s="367" t="s">
        <v>578</v>
      </c>
      <c r="T1" s="369"/>
      <c r="U1" s="208" t="s">
        <v>749</v>
      </c>
      <c r="V1" s="208" t="s">
        <v>549</v>
      </c>
      <c r="W1" s="208" t="s">
        <v>548</v>
      </c>
      <c r="X1" s="188" t="s">
        <v>582</v>
      </c>
      <c r="Y1" s="367" t="s">
        <v>103</v>
      </c>
      <c r="Z1" s="368"/>
      <c r="AA1" s="368"/>
      <c r="AB1" s="368"/>
      <c r="AC1" s="368"/>
      <c r="AD1" s="224"/>
      <c r="AE1" s="221" t="s">
        <v>730</v>
      </c>
      <c r="AF1" s="221" t="s">
        <v>584</v>
      </c>
      <c r="AG1" s="374"/>
    </row>
    <row r="2" spans="1:33" x14ac:dyDescent="0.25">
      <c r="A2" s="373"/>
      <c r="B2" s="373"/>
      <c r="C2" s="1">
        <v>11130</v>
      </c>
      <c r="D2" s="1">
        <v>18010</v>
      </c>
      <c r="E2" s="1">
        <v>18030</v>
      </c>
      <c r="F2" s="1">
        <v>900060</v>
      </c>
      <c r="G2" s="1">
        <v>91140</v>
      </c>
      <c r="H2" s="1">
        <v>13350</v>
      </c>
      <c r="I2" s="1">
        <v>66020</v>
      </c>
      <c r="J2" s="1">
        <v>66010</v>
      </c>
      <c r="K2" s="1">
        <v>13320</v>
      </c>
      <c r="L2" s="1">
        <v>64010</v>
      </c>
      <c r="M2" s="1">
        <v>45160</v>
      </c>
      <c r="N2" s="1">
        <v>72390</v>
      </c>
      <c r="O2" s="1">
        <v>82092</v>
      </c>
      <c r="P2" s="1">
        <v>74031</v>
      </c>
      <c r="Q2" s="1">
        <v>107055</v>
      </c>
      <c r="R2" s="1">
        <v>107052</v>
      </c>
      <c r="S2" s="370">
        <v>81071</v>
      </c>
      <c r="T2" s="372"/>
      <c r="U2" s="169">
        <v>106020</v>
      </c>
      <c r="V2" s="169">
        <v>104051</v>
      </c>
      <c r="W2" s="169">
        <v>107060</v>
      </c>
      <c r="X2" s="1">
        <v>81030</v>
      </c>
      <c r="Y2" s="370">
        <v>41237</v>
      </c>
      <c r="Z2" s="372"/>
      <c r="AA2" s="370">
        <v>41233</v>
      </c>
      <c r="AB2" s="371"/>
      <c r="AC2" s="372"/>
      <c r="AD2" s="1" t="s">
        <v>586</v>
      </c>
      <c r="AE2" s="370">
        <v>900020</v>
      </c>
      <c r="AF2" s="371"/>
      <c r="AG2" s="374"/>
    </row>
    <row r="3" spans="1:33" x14ac:dyDescent="0.25">
      <c r="A3" s="373"/>
      <c r="B3" s="3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 t="s">
        <v>747</v>
      </c>
      <c r="T3" s="1" t="s">
        <v>748</v>
      </c>
      <c r="U3" s="1"/>
      <c r="V3" s="1"/>
      <c r="W3" s="1"/>
      <c r="X3" s="1"/>
      <c r="Y3" s="67" t="s">
        <v>572</v>
      </c>
      <c r="Z3" t="s">
        <v>750</v>
      </c>
      <c r="AA3" t="s">
        <v>752</v>
      </c>
      <c r="AB3" t="s">
        <v>751</v>
      </c>
      <c r="AC3" s="190">
        <v>42313</v>
      </c>
      <c r="AE3" s="1">
        <v>999000</v>
      </c>
      <c r="AF3" s="1">
        <v>680001</v>
      </c>
      <c r="AG3" s="374"/>
    </row>
    <row r="4" spans="1:33" ht="30" x14ac:dyDescent="0.25">
      <c r="A4" s="131" t="s">
        <v>292</v>
      </c>
      <c r="B4" s="16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v>2090400</v>
      </c>
      <c r="P4" s="1">
        <v>3449640</v>
      </c>
      <c r="Q4" s="1">
        <v>2225508</v>
      </c>
      <c r="R4" s="1">
        <v>2005600</v>
      </c>
      <c r="S4" s="1"/>
      <c r="T4" s="1"/>
      <c r="U4" s="1"/>
      <c r="V4" s="1"/>
      <c r="W4" s="1"/>
      <c r="X4" s="1"/>
      <c r="Y4" s="1">
        <v>2851704</v>
      </c>
      <c r="Z4" s="169">
        <v>1453290</v>
      </c>
      <c r="AA4" s="169">
        <v>107471</v>
      </c>
      <c r="AB4" s="169">
        <v>2247087</v>
      </c>
      <c r="AC4" s="169">
        <v>159751</v>
      </c>
      <c r="AD4" s="169">
        <v>3629460</v>
      </c>
      <c r="AE4" s="189"/>
      <c r="AF4" s="176"/>
      <c r="AG4" s="1">
        <f t="shared" ref="AG4:AG56" si="0">SUM(C4:AF4)</f>
        <v>20219911</v>
      </c>
    </row>
    <row r="5" spans="1:33" x14ac:dyDescent="0.25">
      <c r="A5" s="131" t="s">
        <v>394</v>
      </c>
      <c r="B5" s="16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69"/>
      <c r="AA5" s="169"/>
      <c r="AB5" s="169"/>
      <c r="AC5" s="169"/>
      <c r="AD5" s="169"/>
      <c r="AE5" s="1"/>
      <c r="AF5" s="1"/>
      <c r="AG5" s="1">
        <f t="shared" si="0"/>
        <v>0</v>
      </c>
    </row>
    <row r="6" spans="1:33" x14ac:dyDescent="0.25">
      <c r="A6" s="131" t="s">
        <v>295</v>
      </c>
      <c r="B6" s="32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v>74505</v>
      </c>
      <c r="P6" s="1">
        <v>74505</v>
      </c>
      <c r="Q6" s="1">
        <v>74505</v>
      </c>
      <c r="R6" s="1">
        <v>74505</v>
      </c>
      <c r="S6" s="1"/>
      <c r="T6" s="1"/>
      <c r="U6" s="1"/>
      <c r="V6" s="1"/>
      <c r="W6" s="1"/>
      <c r="X6" s="1"/>
      <c r="Y6" s="1"/>
      <c r="Z6" s="169"/>
      <c r="AA6" s="169"/>
      <c r="AB6" s="169"/>
      <c r="AC6" s="169"/>
      <c r="AD6" s="169"/>
      <c r="AE6" s="189"/>
      <c r="AF6" s="176"/>
      <c r="AG6" s="1">
        <f t="shared" si="0"/>
        <v>298020</v>
      </c>
    </row>
    <row r="7" spans="1:33" x14ac:dyDescent="0.25">
      <c r="A7" s="131" t="s">
        <v>296</v>
      </c>
      <c r="B7" s="16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>
        <v>24720</v>
      </c>
      <c r="Z7" s="169"/>
      <c r="AA7" s="169"/>
      <c r="AB7" s="169">
        <v>24720</v>
      </c>
      <c r="AC7" s="169"/>
      <c r="AD7" s="169">
        <v>74160</v>
      </c>
      <c r="AE7" s="189"/>
      <c r="AF7" s="176"/>
      <c r="AG7" s="1">
        <f t="shared" si="0"/>
        <v>123600</v>
      </c>
    </row>
    <row r="8" spans="1:33" x14ac:dyDescent="0.25">
      <c r="A8" s="131" t="s">
        <v>650</v>
      </c>
      <c r="B8" s="16" t="s">
        <v>395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146400</v>
      </c>
      <c r="P8" s="1">
        <v>15600</v>
      </c>
      <c r="Q8" s="1"/>
      <c r="R8" s="1">
        <v>125300</v>
      </c>
      <c r="S8" s="1"/>
      <c r="T8" s="1"/>
      <c r="U8" s="1"/>
      <c r="V8" s="1"/>
      <c r="W8" s="1"/>
      <c r="X8" s="1"/>
      <c r="Y8" s="1"/>
      <c r="Z8" s="169"/>
      <c r="AA8" s="169"/>
      <c r="AB8" s="169"/>
      <c r="AC8" s="169"/>
      <c r="AD8" s="169"/>
      <c r="AE8" s="189"/>
      <c r="AF8" s="176"/>
      <c r="AG8" s="1">
        <f t="shared" si="0"/>
        <v>287300</v>
      </c>
    </row>
    <row r="9" spans="1:33" ht="30" x14ac:dyDescent="0.25">
      <c r="A9" s="131" t="s">
        <v>298</v>
      </c>
      <c r="B9" s="32" t="s">
        <v>21</v>
      </c>
      <c r="C9" s="1">
        <v>7366112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69"/>
      <c r="AA9" s="169"/>
      <c r="AB9" s="169"/>
      <c r="AC9" s="169"/>
      <c r="AD9" s="169"/>
      <c r="AE9" s="1"/>
      <c r="AF9" s="1"/>
      <c r="AG9" s="1">
        <f t="shared" si="0"/>
        <v>7366112</v>
      </c>
    </row>
    <row r="10" spans="1:33" ht="30" x14ac:dyDescent="0.25">
      <c r="A10" s="131" t="s">
        <v>299</v>
      </c>
      <c r="B10" s="32" t="s">
        <v>323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69"/>
      <c r="AA10" s="169"/>
      <c r="AB10" s="169"/>
      <c r="AC10" s="169"/>
      <c r="AD10" s="169"/>
      <c r="AE10" s="1"/>
      <c r="AF10" s="1"/>
      <c r="AG10" s="1">
        <f t="shared" si="0"/>
        <v>0</v>
      </c>
    </row>
    <row r="11" spans="1:33" ht="30" x14ac:dyDescent="0.25">
      <c r="A11" s="131" t="s">
        <v>300</v>
      </c>
      <c r="B11" s="32" t="s">
        <v>324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69"/>
      <c r="AA11" s="169"/>
      <c r="AB11" s="169"/>
      <c r="AC11" s="169"/>
      <c r="AD11" s="169"/>
      <c r="AE11" s="1"/>
      <c r="AF11" s="1"/>
      <c r="AG11" s="1">
        <f t="shared" si="0"/>
        <v>0</v>
      </c>
    </row>
    <row r="12" spans="1:33" x14ac:dyDescent="0.25">
      <c r="A12" s="131" t="s">
        <v>303</v>
      </c>
      <c r="B12" s="32" t="s">
        <v>325</v>
      </c>
      <c r="C12" s="1">
        <v>1587763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v>492096</v>
      </c>
      <c r="P12" s="1">
        <v>762353</v>
      </c>
      <c r="Q12" s="1">
        <v>489612</v>
      </c>
      <c r="R12" s="1">
        <v>468798</v>
      </c>
      <c r="S12" s="1"/>
      <c r="T12" s="1"/>
      <c r="U12" s="1"/>
      <c r="V12" s="1"/>
      <c r="W12" s="1"/>
      <c r="X12" s="1"/>
      <c r="Y12" s="1">
        <v>337763</v>
      </c>
      <c r="Z12" s="169">
        <v>171736</v>
      </c>
      <c r="AA12" s="169">
        <v>11822</v>
      </c>
      <c r="AB12" s="169">
        <v>264797</v>
      </c>
      <c r="AC12" s="169">
        <v>21566</v>
      </c>
      <c r="AD12" s="169">
        <v>427044</v>
      </c>
      <c r="AE12" s="189"/>
      <c r="AF12" s="176"/>
      <c r="AG12" s="1">
        <f t="shared" si="0"/>
        <v>5035350</v>
      </c>
    </row>
    <row r="13" spans="1:33" ht="30" x14ac:dyDescent="0.25">
      <c r="A13" s="131" t="s">
        <v>304</v>
      </c>
      <c r="B13" s="32" t="s">
        <v>326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89"/>
      <c r="AF13" s="189"/>
      <c r="AG13" s="1">
        <f t="shared" si="0"/>
        <v>0</v>
      </c>
    </row>
    <row r="14" spans="1:33" ht="30" x14ac:dyDescent="0.25">
      <c r="A14" s="131" t="s">
        <v>305</v>
      </c>
      <c r="B14" s="32" t="s">
        <v>327</v>
      </c>
      <c r="C14" s="1">
        <v>31000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14000</v>
      </c>
      <c r="P14" s="1">
        <v>14000</v>
      </c>
      <c r="Q14" s="1">
        <v>14000</v>
      </c>
      <c r="R14" s="1">
        <v>13000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89"/>
      <c r="AF14" s="176"/>
      <c r="AG14" s="1">
        <f t="shared" si="0"/>
        <v>86000</v>
      </c>
    </row>
    <row r="15" spans="1:33" x14ac:dyDescent="0.25">
      <c r="A15" s="131" t="s">
        <v>328</v>
      </c>
      <c r="B15" s="32" t="s">
        <v>329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f t="shared" si="0"/>
        <v>0</v>
      </c>
    </row>
    <row r="16" spans="1:33" x14ac:dyDescent="0.25">
      <c r="A16" s="131" t="s">
        <v>306</v>
      </c>
      <c r="B16" s="32" t="s">
        <v>330</v>
      </c>
      <c r="C16" s="1">
        <v>31000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v>15000</v>
      </c>
      <c r="P16" s="1">
        <v>15000</v>
      </c>
      <c r="Q16" s="1">
        <v>15000</v>
      </c>
      <c r="R16" s="1">
        <v>14000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89"/>
      <c r="AF16" s="176"/>
      <c r="AG16" s="1">
        <f t="shared" si="0"/>
        <v>90000</v>
      </c>
    </row>
    <row r="17" spans="1:34" x14ac:dyDescent="0.25">
      <c r="A17" s="131" t="s">
        <v>332</v>
      </c>
      <c r="B17" s="16" t="s">
        <v>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89"/>
      <c r="AF17" s="176"/>
      <c r="AG17" s="1">
        <f t="shared" si="0"/>
        <v>0</v>
      </c>
    </row>
    <row r="18" spans="1:34" ht="30" x14ac:dyDescent="0.25">
      <c r="A18" s="131" t="s">
        <v>308</v>
      </c>
      <c r="B18" s="16" t="s">
        <v>397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f t="shared" si="0"/>
        <v>0</v>
      </c>
    </row>
    <row r="19" spans="1:34" ht="60" x14ac:dyDescent="0.25">
      <c r="A19" s="131" t="s">
        <v>308</v>
      </c>
      <c r="B19" s="16" t="s">
        <v>398</v>
      </c>
      <c r="C19" s="1">
        <v>1000000</v>
      </c>
      <c r="D19" s="1"/>
      <c r="E19" s="1"/>
      <c r="F19" s="1"/>
      <c r="G19" s="1"/>
      <c r="H19" s="1">
        <v>100000</v>
      </c>
      <c r="I19" s="1">
        <v>180000</v>
      </c>
      <c r="J19" s="1">
        <v>610000</v>
      </c>
      <c r="K19" s="1">
        <v>800000</v>
      </c>
      <c r="L19" s="1"/>
      <c r="M19" s="1">
        <v>500000</v>
      </c>
      <c r="N19" s="1"/>
      <c r="O19" s="1">
        <v>80000</v>
      </c>
      <c r="P19" s="1">
        <v>25000</v>
      </c>
      <c r="Q19" s="1">
        <v>780000</v>
      </c>
      <c r="R19" s="1"/>
      <c r="S19" s="1">
        <v>340000</v>
      </c>
      <c r="T19" s="1">
        <v>30000</v>
      </c>
      <c r="U19" s="1"/>
      <c r="V19" s="1"/>
      <c r="W19" s="1"/>
      <c r="X19" s="1">
        <v>110000</v>
      </c>
      <c r="Y19" s="1"/>
      <c r="Z19" s="1"/>
      <c r="AA19" s="1"/>
      <c r="AB19" s="1"/>
      <c r="AC19" s="1"/>
      <c r="AD19" s="1"/>
      <c r="AE19" s="189"/>
      <c r="AF19" s="176"/>
      <c r="AG19" s="1">
        <f t="shared" si="0"/>
        <v>4555000</v>
      </c>
      <c r="AH19" s="185"/>
    </row>
    <row r="20" spans="1:34" ht="30" x14ac:dyDescent="0.25">
      <c r="A20" s="131" t="s">
        <v>310</v>
      </c>
      <c r="B20" s="32" t="s">
        <v>10</v>
      </c>
      <c r="C20" s="1">
        <v>2509252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45000</v>
      </c>
      <c r="P20" s="1">
        <v>18000</v>
      </c>
      <c r="Q20" s="1">
        <v>4000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 t="shared" si="0"/>
        <v>2576252</v>
      </c>
    </row>
    <row r="21" spans="1:34" ht="30" x14ac:dyDescent="0.25">
      <c r="A21" s="131" t="s">
        <v>311</v>
      </c>
      <c r="B21" s="32" t="s">
        <v>11</v>
      </c>
      <c r="C21" s="1">
        <v>105000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25000</v>
      </c>
      <c r="P21" s="1">
        <v>25000</v>
      </c>
      <c r="Q21" s="1">
        <v>25000</v>
      </c>
      <c r="R21" s="1"/>
      <c r="S21" s="1">
        <v>35000</v>
      </c>
      <c r="T21" s="1">
        <v>50000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89"/>
      <c r="AF21" s="176"/>
      <c r="AG21" s="1">
        <f t="shared" si="0"/>
        <v>265000</v>
      </c>
    </row>
    <row r="22" spans="1:34" x14ac:dyDescent="0.25">
      <c r="A22" s="131" t="s">
        <v>313</v>
      </c>
      <c r="B22" s="16" t="s">
        <v>13</v>
      </c>
      <c r="C22" s="1"/>
      <c r="D22" s="1"/>
      <c r="E22" s="1"/>
      <c r="F22" s="1"/>
      <c r="G22" s="1"/>
      <c r="H22" s="1">
        <v>210000</v>
      </c>
      <c r="I22" s="1">
        <v>150000</v>
      </c>
      <c r="J22" s="1">
        <v>210000</v>
      </c>
      <c r="K22" s="1">
        <v>230000</v>
      </c>
      <c r="L22" s="1">
        <v>3000000</v>
      </c>
      <c r="M22" s="1"/>
      <c r="N22" s="1"/>
      <c r="O22" s="1">
        <v>1500000</v>
      </c>
      <c r="P22" s="1">
        <v>220000</v>
      </c>
      <c r="Q22" s="1"/>
      <c r="R22" s="1"/>
      <c r="S22" s="1">
        <v>450000</v>
      </c>
      <c r="T22" s="1">
        <v>100000</v>
      </c>
      <c r="U22" s="1"/>
      <c r="V22" s="1"/>
      <c r="W22" s="1"/>
      <c r="X22" s="1">
        <v>140000</v>
      </c>
      <c r="Y22" s="1"/>
      <c r="Z22" s="1"/>
      <c r="AA22" s="1"/>
      <c r="AB22" s="1"/>
      <c r="AC22" s="1"/>
      <c r="AD22" s="1"/>
      <c r="AE22" s="1"/>
      <c r="AF22" s="1"/>
      <c r="AG22" s="1">
        <f t="shared" si="0"/>
        <v>6210000</v>
      </c>
    </row>
    <row r="23" spans="1:34" x14ac:dyDescent="0.25">
      <c r="A23" s="131" t="s">
        <v>399</v>
      </c>
      <c r="B23" s="16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0"/>
        <v>0</v>
      </c>
    </row>
    <row r="24" spans="1:34" x14ac:dyDescent="0.25">
      <c r="A24" s="131" t="s">
        <v>400</v>
      </c>
      <c r="B24" s="16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0"/>
        <v>0</v>
      </c>
    </row>
    <row r="25" spans="1:34" x14ac:dyDescent="0.25">
      <c r="A25" s="131" t="s">
        <v>314</v>
      </c>
      <c r="B25" s="16" t="s">
        <v>24</v>
      </c>
      <c r="C25" s="1"/>
      <c r="D25" s="1"/>
      <c r="E25" s="1"/>
      <c r="F25" s="1"/>
      <c r="G25" s="1"/>
      <c r="H25" s="1"/>
      <c r="I25" s="1">
        <v>50000</v>
      </c>
      <c r="J25" s="1">
        <v>100000</v>
      </c>
      <c r="K25" s="1">
        <v>100000</v>
      </c>
      <c r="L25" s="1"/>
      <c r="M25" s="1">
        <v>500000</v>
      </c>
      <c r="N25" s="1"/>
      <c r="O25" s="1"/>
      <c r="P25" s="1"/>
      <c r="Q25" s="1">
        <v>35000</v>
      </c>
      <c r="R25" s="1"/>
      <c r="S25" s="1"/>
      <c r="T25" s="1"/>
      <c r="U25" s="1"/>
      <c r="V25" s="1"/>
      <c r="W25" s="1"/>
      <c r="X25" s="1">
        <v>30000</v>
      </c>
      <c r="Y25" s="1"/>
      <c r="Z25" s="1"/>
      <c r="AA25" s="1"/>
      <c r="AB25" s="1"/>
      <c r="AC25" s="1"/>
      <c r="AD25" s="1"/>
      <c r="AE25" s="1"/>
      <c r="AF25" s="1"/>
      <c r="AG25" s="1">
        <f t="shared" si="0"/>
        <v>815000</v>
      </c>
    </row>
    <row r="26" spans="1:34" ht="30" x14ac:dyDescent="0.25">
      <c r="A26" s="131" t="s">
        <v>401</v>
      </c>
      <c r="B26" s="16" t="s">
        <v>374</v>
      </c>
      <c r="C26" s="1"/>
      <c r="D26" s="1"/>
      <c r="E26" s="1"/>
      <c r="F26" s="1"/>
      <c r="G26" s="1">
        <v>1650000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f t="shared" si="0"/>
        <v>1650000</v>
      </c>
    </row>
    <row r="27" spans="1:34" ht="30" x14ac:dyDescent="0.25">
      <c r="A27" s="131" t="s">
        <v>551</v>
      </c>
      <c r="B27" s="16" t="s">
        <v>552</v>
      </c>
      <c r="C27" s="1">
        <v>180000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f t="shared" si="0"/>
        <v>180000</v>
      </c>
    </row>
    <row r="28" spans="1:34" ht="30" x14ac:dyDescent="0.25">
      <c r="A28" s="131" t="s">
        <v>402</v>
      </c>
      <c r="B28" s="16" t="s">
        <v>403</v>
      </c>
      <c r="C28" s="1">
        <v>40000</v>
      </c>
      <c r="D28" s="1"/>
      <c r="E28" s="1"/>
      <c r="F28" s="1"/>
      <c r="G28" s="1"/>
      <c r="H28" s="1"/>
      <c r="I28" s="1">
        <v>160000</v>
      </c>
      <c r="J28" s="1"/>
      <c r="K28" s="1">
        <v>21000</v>
      </c>
      <c r="L28" s="1"/>
      <c r="M28" s="1"/>
      <c r="N28" s="1"/>
      <c r="O28" s="1">
        <v>65000</v>
      </c>
      <c r="P28" s="1">
        <v>30000</v>
      </c>
      <c r="Q28" s="1">
        <v>160000</v>
      </c>
      <c r="R28" s="1"/>
      <c r="S28" s="1">
        <v>45000</v>
      </c>
      <c r="T28" s="1">
        <v>15000</v>
      </c>
      <c r="U28" s="1"/>
      <c r="V28" s="1"/>
      <c r="W28" s="1"/>
      <c r="X28" s="1">
        <v>335000</v>
      </c>
      <c r="Y28" s="1"/>
      <c r="Z28" s="1"/>
      <c r="AA28" s="1"/>
      <c r="AB28" s="1"/>
      <c r="AC28" s="1"/>
      <c r="AD28" s="1"/>
      <c r="AE28" s="1"/>
      <c r="AF28" s="1"/>
      <c r="AG28" s="1">
        <f t="shared" si="0"/>
        <v>871000</v>
      </c>
    </row>
    <row r="29" spans="1:34" ht="30" x14ac:dyDescent="0.25">
      <c r="A29" s="131" t="s">
        <v>404</v>
      </c>
      <c r="B29" s="16" t="s">
        <v>405</v>
      </c>
      <c r="C29" s="1">
        <v>4500000</v>
      </c>
      <c r="D29" s="1"/>
      <c r="E29" s="1"/>
      <c r="F29" s="1"/>
      <c r="G29" s="1"/>
      <c r="H29" s="1">
        <v>300000</v>
      </c>
      <c r="I29" s="1">
        <v>70000</v>
      </c>
      <c r="J29" s="1">
        <v>70000</v>
      </c>
      <c r="K29" s="1">
        <v>300000</v>
      </c>
      <c r="L29" s="163">
        <v>250000</v>
      </c>
      <c r="M29" s="1"/>
      <c r="N29" s="1"/>
      <c r="O29" s="1">
        <v>60000</v>
      </c>
      <c r="P29" s="1">
        <v>35000</v>
      </c>
      <c r="Q29" s="1">
        <v>130000</v>
      </c>
      <c r="R29" s="1"/>
      <c r="S29" s="1">
        <v>765000</v>
      </c>
      <c r="T29" s="1">
        <v>10000</v>
      </c>
      <c r="U29" s="1"/>
      <c r="V29" s="1"/>
      <c r="W29" s="1"/>
      <c r="X29" s="1">
        <v>140000</v>
      </c>
      <c r="Y29" s="1"/>
      <c r="Z29" s="1"/>
      <c r="AA29" s="1"/>
      <c r="AB29" s="1"/>
      <c r="AC29" s="1"/>
      <c r="AD29" s="1"/>
      <c r="AE29" s="1"/>
      <c r="AF29" s="1"/>
      <c r="AG29" s="1">
        <f t="shared" si="0"/>
        <v>6630000</v>
      </c>
    </row>
    <row r="30" spans="1:34" ht="30" x14ac:dyDescent="0.25">
      <c r="A30" s="132" t="s">
        <v>316</v>
      </c>
      <c r="B30" s="36" t="s">
        <v>19</v>
      </c>
      <c r="C30" s="1">
        <v>180000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v>60000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 t="shared" si="0"/>
        <v>240000</v>
      </c>
    </row>
    <row r="31" spans="1:34" ht="30" x14ac:dyDescent="0.25">
      <c r="A31" s="131" t="s">
        <v>317</v>
      </c>
      <c r="B31" s="32" t="s">
        <v>406</v>
      </c>
      <c r="C31" s="1">
        <v>2239748</v>
      </c>
      <c r="D31" s="1"/>
      <c r="E31" s="1"/>
      <c r="F31" s="1"/>
      <c r="G31" s="1">
        <v>445500</v>
      </c>
      <c r="H31" s="1">
        <v>164700</v>
      </c>
      <c r="I31" s="1">
        <v>121500</v>
      </c>
      <c r="J31" s="1">
        <v>267300</v>
      </c>
      <c r="K31" s="1">
        <v>386100</v>
      </c>
      <c r="L31" s="1">
        <v>810000</v>
      </c>
      <c r="M31" s="1">
        <v>270000</v>
      </c>
      <c r="N31" s="1"/>
      <c r="O31" s="1">
        <v>461700</v>
      </c>
      <c r="P31" s="1">
        <v>87210</v>
      </c>
      <c r="Q31" s="1">
        <v>262980</v>
      </c>
      <c r="R31" s="1"/>
      <c r="S31" s="1">
        <v>429300</v>
      </c>
      <c r="T31" s="1">
        <v>51300</v>
      </c>
      <c r="U31" s="1"/>
      <c r="V31" s="1"/>
      <c r="W31" s="1"/>
      <c r="X31" s="1">
        <v>113400</v>
      </c>
      <c r="Y31" s="1"/>
      <c r="Z31" s="1"/>
      <c r="AA31" s="1"/>
      <c r="AB31" s="1"/>
      <c r="AC31" s="1"/>
      <c r="AD31" s="1"/>
      <c r="AE31" s="1"/>
      <c r="AF31" s="1"/>
      <c r="AG31" s="1">
        <f t="shared" si="0"/>
        <v>6110738</v>
      </c>
    </row>
    <row r="32" spans="1:34" x14ac:dyDescent="0.25">
      <c r="A32" s="131" t="s">
        <v>407</v>
      </c>
      <c r="B32" s="32" t="s">
        <v>408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0"/>
        <v>0</v>
      </c>
    </row>
    <row r="33" spans="1:33" x14ac:dyDescent="0.25">
      <c r="A33" s="131" t="s">
        <v>409</v>
      </c>
      <c r="B33" s="32" t="s">
        <v>410</v>
      </c>
      <c r="C33" s="1"/>
      <c r="D33" s="1">
        <v>178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0"/>
        <v>178</v>
      </c>
    </row>
    <row r="34" spans="1:33" x14ac:dyDescent="0.25">
      <c r="A34" s="131" t="s">
        <v>411</v>
      </c>
      <c r="B34" s="32" t="s">
        <v>26</v>
      </c>
      <c r="C34" s="1">
        <v>550000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330000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0"/>
        <v>880000</v>
      </c>
    </row>
    <row r="35" spans="1:33" x14ac:dyDescent="0.25">
      <c r="A35" s="132" t="s">
        <v>553</v>
      </c>
      <c r="B35" s="23" t="s">
        <v>554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>
        <f t="shared" si="0"/>
        <v>0</v>
      </c>
    </row>
    <row r="36" spans="1:33" x14ac:dyDescent="0.25">
      <c r="A36" s="132" t="s">
        <v>412</v>
      </c>
      <c r="B36" s="23" t="s">
        <v>196</v>
      </c>
      <c r="C36" s="169">
        <v>1200000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>
        <f t="shared" si="0"/>
        <v>1200000</v>
      </c>
    </row>
    <row r="37" spans="1:33" x14ac:dyDescent="0.25">
      <c r="A37" s="131" t="s">
        <v>555</v>
      </c>
      <c r="B37" s="21" t="s">
        <v>556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>
        <f>1884000+380000+2481000</f>
        <v>4745000</v>
      </c>
      <c r="X37" s="1"/>
      <c r="Y37" s="1"/>
      <c r="Z37" s="1"/>
      <c r="AA37" s="1"/>
      <c r="AB37" s="1"/>
      <c r="AC37" s="1"/>
      <c r="AD37" s="1"/>
      <c r="AE37" s="1"/>
      <c r="AF37" s="1"/>
      <c r="AG37" s="1">
        <f t="shared" si="0"/>
        <v>4745000</v>
      </c>
    </row>
    <row r="38" spans="1:33" x14ac:dyDescent="0.25">
      <c r="A38" s="131" t="s">
        <v>557</v>
      </c>
      <c r="B38" s="21" t="s">
        <v>558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f t="shared" si="0"/>
        <v>0</v>
      </c>
    </row>
    <row r="39" spans="1:33" x14ac:dyDescent="0.25">
      <c r="A39" s="131" t="s">
        <v>559</v>
      </c>
      <c r="B39" s="21" t="s">
        <v>414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>
        <f t="shared" si="0"/>
        <v>0</v>
      </c>
    </row>
    <row r="40" spans="1:33" x14ac:dyDescent="0.25">
      <c r="A40" s="131" t="s">
        <v>560</v>
      </c>
      <c r="B40" s="21" t="s">
        <v>561</v>
      </c>
      <c r="C40" s="169"/>
      <c r="D40" s="1">
        <v>5742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>
        <f t="shared" si="0"/>
        <v>5742</v>
      </c>
    </row>
    <row r="41" spans="1:33" ht="45" x14ac:dyDescent="0.25">
      <c r="A41" s="131" t="s">
        <v>419</v>
      </c>
      <c r="B41" s="16" t="s">
        <v>646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69">
        <v>600000</v>
      </c>
      <c r="Y41" s="169"/>
      <c r="Z41" s="1"/>
      <c r="AA41" s="1"/>
      <c r="AB41" s="1"/>
      <c r="AC41" s="1"/>
      <c r="AD41" s="1"/>
      <c r="AE41" s="1"/>
      <c r="AF41" s="1"/>
      <c r="AG41" s="1">
        <f t="shared" si="0"/>
        <v>600000</v>
      </c>
    </row>
    <row r="42" spans="1:33" ht="45" x14ac:dyDescent="0.25">
      <c r="A42" s="131" t="s">
        <v>419</v>
      </c>
      <c r="B42" s="16" t="s">
        <v>647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07">
        <v>2473800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si="0"/>
        <v>2473800</v>
      </c>
    </row>
    <row r="43" spans="1:33" x14ac:dyDescent="0.25">
      <c r="A43" s="131" t="s">
        <v>455</v>
      </c>
      <c r="B43" s="16" t="s">
        <v>420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0"/>
        <v>0</v>
      </c>
    </row>
    <row r="44" spans="1:33" x14ac:dyDescent="0.25">
      <c r="A44" s="131" t="s">
        <v>562</v>
      </c>
      <c r="B44" s="21" t="s">
        <v>563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0"/>
        <v>0</v>
      </c>
    </row>
    <row r="45" spans="1:33" x14ac:dyDescent="0.25">
      <c r="A45" s="142" t="s">
        <v>422</v>
      </c>
      <c r="B45" s="16" t="s">
        <v>28</v>
      </c>
      <c r="C45" s="1">
        <v>2700000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0"/>
        <v>2700000</v>
      </c>
    </row>
    <row r="46" spans="1:33" ht="30" x14ac:dyDescent="0.25">
      <c r="A46" s="142" t="s">
        <v>423</v>
      </c>
      <c r="B46" s="16" t="s">
        <v>29</v>
      </c>
      <c r="C46" s="1">
        <v>2598425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>
        <f t="shared" si="0"/>
        <v>2598425</v>
      </c>
    </row>
    <row r="47" spans="1:33" ht="30" x14ac:dyDescent="0.25">
      <c r="A47" s="142" t="s">
        <v>424</v>
      </c>
      <c r="B47" s="16" t="s">
        <v>425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>
        <f t="shared" si="0"/>
        <v>0</v>
      </c>
    </row>
    <row r="48" spans="1:33" ht="30" x14ac:dyDescent="0.25">
      <c r="A48" s="142" t="s">
        <v>426</v>
      </c>
      <c r="B48" s="16" t="s">
        <v>30</v>
      </c>
      <c r="C48" s="1">
        <v>701575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>
        <f t="shared" si="0"/>
        <v>701575</v>
      </c>
    </row>
    <row r="49" spans="1:38" x14ac:dyDescent="0.25">
      <c r="A49" s="131" t="s">
        <v>428</v>
      </c>
      <c r="B49" s="16" t="s">
        <v>32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>
        <f t="shared" si="0"/>
        <v>0</v>
      </c>
    </row>
    <row r="50" spans="1:38" ht="30" x14ac:dyDescent="0.25">
      <c r="A50" s="131" t="s">
        <v>429</v>
      </c>
      <c r="B50" s="16" t="s">
        <v>33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>
        <f t="shared" si="0"/>
        <v>0</v>
      </c>
    </row>
    <row r="51" spans="1:38" ht="30" x14ac:dyDescent="0.25">
      <c r="A51" s="131" t="s">
        <v>430</v>
      </c>
      <c r="B51" s="16" t="s">
        <v>34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>
        <f t="shared" si="0"/>
        <v>0</v>
      </c>
    </row>
    <row r="52" spans="1:38" x14ac:dyDescent="0.25">
      <c r="A52" s="131" t="s">
        <v>431</v>
      </c>
      <c r="B52" s="16" t="s">
        <v>648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>
        <f t="shared" si="0"/>
        <v>0</v>
      </c>
    </row>
    <row r="53" spans="1:38" ht="30" x14ac:dyDescent="0.25">
      <c r="A53" s="131" t="s">
        <v>435</v>
      </c>
      <c r="B53" s="16" t="s">
        <v>436</v>
      </c>
      <c r="C53" s="1"/>
      <c r="D53" s="1">
        <v>3787463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 t="shared" si="0"/>
        <v>3787463</v>
      </c>
    </row>
    <row r="54" spans="1:38" x14ac:dyDescent="0.25">
      <c r="A54" s="131" t="s">
        <v>437</v>
      </c>
      <c r="B54" s="16" t="s">
        <v>85</v>
      </c>
      <c r="C54" s="1"/>
      <c r="D54" s="1"/>
      <c r="E54" s="1">
        <v>45432585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si="0"/>
        <v>45432585</v>
      </c>
    </row>
    <row r="55" spans="1:38" x14ac:dyDescent="0.25">
      <c r="A55" s="131" t="s">
        <v>438</v>
      </c>
      <c r="B55" s="16" t="s">
        <v>84</v>
      </c>
      <c r="C55" s="1"/>
      <c r="D55" s="1"/>
      <c r="E55" s="1">
        <v>47409850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0"/>
        <v>47409850</v>
      </c>
      <c r="AK55" t="s">
        <v>82</v>
      </c>
      <c r="AL55">
        <f>SUM(AG4:AG56)</f>
        <v>176143901</v>
      </c>
    </row>
    <row r="56" spans="1:38" ht="30" x14ac:dyDescent="0.25">
      <c r="A56" s="131" t="s">
        <v>439</v>
      </c>
      <c r="B56" s="28" t="s">
        <v>38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0"/>
        <v>0</v>
      </c>
      <c r="AH56" t="s">
        <v>604</v>
      </c>
      <c r="AI56" t="s">
        <v>589</v>
      </c>
      <c r="AK56" t="s">
        <v>602</v>
      </c>
      <c r="AL56">
        <f>Bevétel!AJ68</f>
        <v>176143901</v>
      </c>
    </row>
    <row r="57" spans="1:38" x14ac:dyDescent="0.25">
      <c r="A57" s="131"/>
      <c r="B57" s="30" t="s">
        <v>199</v>
      </c>
      <c r="C57" s="164">
        <f t="shared" ref="C57" si="1">SUM(C4:C56)</f>
        <v>27519875</v>
      </c>
      <c r="D57" s="164">
        <f t="shared" ref="D57" si="2">SUM(D4:D56)</f>
        <v>3793383</v>
      </c>
      <c r="E57" s="164">
        <f t="shared" ref="E57" si="3">SUM(E4:E56)</f>
        <v>92842435</v>
      </c>
      <c r="F57" s="164">
        <f t="shared" ref="F57" si="4">SUM(F4:F56)</f>
        <v>0</v>
      </c>
      <c r="G57" s="164">
        <f t="shared" ref="G57" si="5">SUM(G4:G56)</f>
        <v>2095500</v>
      </c>
      <c r="H57" s="164">
        <f t="shared" ref="H57" si="6">SUM(H4:H56)</f>
        <v>774700</v>
      </c>
      <c r="I57" s="164">
        <f t="shared" ref="I57" si="7">SUM(I4:I56)</f>
        <v>731500</v>
      </c>
      <c r="J57" s="164">
        <f t="shared" ref="J57" si="8">SUM(J4:J56)</f>
        <v>1257300</v>
      </c>
      <c r="K57" s="164">
        <f t="shared" ref="K57" si="9">SUM(K4:K56)</f>
        <v>1837100</v>
      </c>
      <c r="L57" s="164">
        <f t="shared" ref="L57" si="10">SUM(L4:L56)</f>
        <v>4060000</v>
      </c>
      <c r="M57" s="164">
        <f t="shared" ref="M57" si="11">SUM(M4:M56)</f>
        <v>1270000</v>
      </c>
      <c r="N57" s="164">
        <f t="shared" ref="N57" si="12">SUM(N4:N56)</f>
        <v>2473800</v>
      </c>
      <c r="O57" s="164">
        <f t="shared" ref="O57" si="13">SUM(O4:O56)</f>
        <v>5069101</v>
      </c>
      <c r="P57" s="164">
        <f t="shared" ref="P57" si="14">SUM(P4:P56)</f>
        <v>4831308</v>
      </c>
      <c r="Q57" s="164">
        <f t="shared" ref="Q57" si="15">SUM(Q4:Q56)</f>
        <v>4215605</v>
      </c>
      <c r="R57" s="164">
        <f t="shared" ref="R57" si="16">SUM(R4:R56)</f>
        <v>2701203</v>
      </c>
      <c r="S57" s="164">
        <f t="shared" ref="S57" si="17">SUM(S4:S56)</f>
        <v>2394300</v>
      </c>
      <c r="T57" s="164">
        <f t="shared" ref="T57" si="18">SUM(T4:T56)</f>
        <v>256300</v>
      </c>
      <c r="U57" s="164">
        <f t="shared" ref="U57" si="19">SUM(U4:U56)</f>
        <v>0</v>
      </c>
      <c r="V57" s="164">
        <f t="shared" ref="V57" si="20">SUM(V4:V56)</f>
        <v>0</v>
      </c>
      <c r="W57" s="164">
        <f t="shared" ref="W57" si="21">SUM(W4:W56)</f>
        <v>4745000</v>
      </c>
      <c r="X57" s="164">
        <f t="shared" ref="X57" si="22">SUM(X4:X56)</f>
        <v>1468400</v>
      </c>
      <c r="Y57" s="164">
        <f t="shared" ref="Y57" si="23">SUM(Y4:Y56)</f>
        <v>3214187</v>
      </c>
      <c r="Z57" s="164">
        <f t="shared" ref="Z57" si="24">SUM(Z4:Z56)</f>
        <v>1625026</v>
      </c>
      <c r="AA57" s="164">
        <f t="shared" ref="AA57" si="25">SUM(AA4:AA56)</f>
        <v>119293</v>
      </c>
      <c r="AB57" s="164">
        <f t="shared" ref="AB57" si="26">SUM(AB4:AB56)</f>
        <v>2536604</v>
      </c>
      <c r="AC57" s="164">
        <f t="shared" ref="AC57" si="27">SUM(AC4:AC56)</f>
        <v>181317</v>
      </c>
      <c r="AD57" s="164">
        <f t="shared" ref="AD57" si="28">SUM(AD4:AD56)</f>
        <v>4130664</v>
      </c>
      <c r="AE57" s="164">
        <f t="shared" ref="AE57" si="29">SUM(AE4:AE56)</f>
        <v>0</v>
      </c>
      <c r="AF57" s="164">
        <f t="shared" ref="AF57" si="30">SUM(AF4:AF56)</f>
        <v>0</v>
      </c>
      <c r="AG57" s="1">
        <f>SUM(C57:AF57)</f>
        <v>176143901</v>
      </c>
      <c r="AH57" t="s">
        <v>605</v>
      </c>
      <c r="AI57" t="s">
        <v>455</v>
      </c>
      <c r="AK57" t="s">
        <v>603</v>
      </c>
      <c r="AL57">
        <f>AL56-AL55</f>
        <v>0</v>
      </c>
    </row>
    <row r="58" spans="1:38" x14ac:dyDescent="0.25">
      <c r="AG58" s="245">
        <f>SUM(AG4:AG56)</f>
        <v>176143901</v>
      </c>
    </row>
  </sheetData>
  <mergeCells count="8">
    <mergeCell ref="A1:B3"/>
    <mergeCell ref="AG1:AG3"/>
    <mergeCell ref="AE2:AF2"/>
    <mergeCell ref="S1:T1"/>
    <mergeCell ref="S2:T2"/>
    <mergeCell ref="Y2:Z2"/>
    <mergeCell ref="Y1:AC1"/>
    <mergeCell ref="AA2:AC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D63" sqref="D63"/>
    </sheetView>
  </sheetViews>
  <sheetFormatPr defaultRowHeight="15" x14ac:dyDescent="0.25"/>
  <cols>
    <col min="2" max="2" width="67" bestFit="1" customWidth="1"/>
    <col min="3" max="3" width="11" bestFit="1" customWidth="1"/>
    <col min="8" max="8" width="57.42578125" customWidth="1"/>
    <col min="9" max="9" width="17" customWidth="1"/>
    <col min="11" max="11" width="40.7109375" customWidth="1"/>
    <col min="12" max="12" width="14.28515625" customWidth="1"/>
    <col min="13" max="13" width="12.28515625" customWidth="1"/>
    <col min="14" max="14" width="36.28515625" customWidth="1"/>
    <col min="15" max="15" width="13.85546875" customWidth="1"/>
    <col min="16" max="16" width="11.7109375" customWidth="1"/>
  </cols>
  <sheetData>
    <row r="1" spans="1:16" ht="16.5" x14ac:dyDescent="0.25">
      <c r="A1" s="375" t="s">
        <v>606</v>
      </c>
      <c r="B1" s="375"/>
      <c r="G1" s="298" t="s">
        <v>606</v>
      </c>
      <c r="H1" s="298"/>
      <c r="I1" s="298"/>
      <c r="K1" s="286" t="s">
        <v>616</v>
      </c>
      <c r="L1" s="286"/>
      <c r="M1" s="286"/>
      <c r="N1" s="286"/>
      <c r="O1" s="286"/>
      <c r="P1" s="286"/>
    </row>
    <row r="2" spans="1:16" x14ac:dyDescent="0.25">
      <c r="A2" s="308" t="s">
        <v>607</v>
      </c>
      <c r="B2" s="308"/>
      <c r="G2" s="301" t="s">
        <v>614</v>
      </c>
      <c r="H2" s="301"/>
      <c r="I2" s="301"/>
      <c r="K2" s="291" t="s">
        <v>617</v>
      </c>
      <c r="L2" s="291"/>
      <c r="M2" s="291"/>
      <c r="N2" s="291"/>
      <c r="O2" s="291"/>
      <c r="P2" s="291"/>
    </row>
    <row r="3" spans="1:16" x14ac:dyDescent="0.25">
      <c r="A3" s="31"/>
      <c r="B3" s="7"/>
      <c r="H3" s="7"/>
      <c r="I3" s="7"/>
      <c r="K3" s="193"/>
      <c r="L3" s="193"/>
      <c r="M3" s="193"/>
      <c r="N3" s="193"/>
      <c r="O3" s="193"/>
      <c r="P3" s="193"/>
    </row>
    <row r="4" spans="1:16" x14ac:dyDescent="0.25">
      <c r="A4" s="7"/>
      <c r="B4" s="7"/>
      <c r="H4" s="7"/>
      <c r="I4" s="195" t="s">
        <v>615</v>
      </c>
      <c r="K4" s="7"/>
      <c r="L4" s="7"/>
      <c r="M4" s="7"/>
      <c r="N4" s="7"/>
      <c r="O4" s="7"/>
      <c r="P4" s="195" t="s">
        <v>113</v>
      </c>
    </row>
    <row r="5" spans="1:16" x14ac:dyDescent="0.25">
      <c r="A5" s="7"/>
      <c r="B5" s="195" t="s">
        <v>268</v>
      </c>
      <c r="H5" s="7"/>
      <c r="I5" s="195" t="s">
        <v>613</v>
      </c>
      <c r="K5" s="7"/>
      <c r="L5" s="7"/>
      <c r="M5" s="7"/>
      <c r="N5" s="7"/>
      <c r="O5" s="7"/>
      <c r="P5" s="195" t="s">
        <v>613</v>
      </c>
    </row>
    <row r="6" spans="1:16" ht="28.5" x14ac:dyDescent="0.25">
      <c r="A6" s="7"/>
      <c r="B6" s="29" t="s">
        <v>613</v>
      </c>
      <c r="G6" s="299" t="s">
        <v>1</v>
      </c>
      <c r="H6" s="300"/>
      <c r="I6" s="145" t="s">
        <v>168</v>
      </c>
      <c r="K6" s="7"/>
      <c r="L6" s="7"/>
      <c r="M6" s="7"/>
      <c r="N6" s="7"/>
      <c r="O6" s="296" t="s">
        <v>167</v>
      </c>
      <c r="P6" s="296"/>
    </row>
    <row r="7" spans="1:16" ht="28.5" x14ac:dyDescent="0.25">
      <c r="A7" s="309" t="s">
        <v>1</v>
      </c>
      <c r="B7" s="310"/>
      <c r="C7" s="194" t="s">
        <v>168</v>
      </c>
      <c r="G7" s="133" t="s">
        <v>337</v>
      </c>
      <c r="H7" s="22" t="s">
        <v>55</v>
      </c>
      <c r="I7" s="22">
        <v>0</v>
      </c>
      <c r="K7" s="7"/>
      <c r="L7" s="7"/>
      <c r="M7" s="7"/>
      <c r="N7" s="7"/>
      <c r="O7" s="29"/>
      <c r="P7" s="29"/>
    </row>
    <row r="8" spans="1:16" ht="16.5" customHeight="1" x14ac:dyDescent="0.25">
      <c r="A8" s="131" t="s">
        <v>292</v>
      </c>
      <c r="B8" s="16" t="s">
        <v>3</v>
      </c>
      <c r="C8" s="16">
        <v>0</v>
      </c>
      <c r="G8" s="133" t="s">
        <v>338</v>
      </c>
      <c r="H8" s="22" t="s">
        <v>54</v>
      </c>
      <c r="I8" s="22">
        <v>0</v>
      </c>
      <c r="K8" s="294" t="s">
        <v>45</v>
      </c>
      <c r="L8" s="295"/>
      <c r="M8" s="191"/>
      <c r="N8" s="294" t="s">
        <v>82</v>
      </c>
      <c r="O8" s="297"/>
      <c r="P8" s="295"/>
    </row>
    <row r="9" spans="1:16" ht="30" x14ac:dyDescent="0.25">
      <c r="A9" s="131" t="s">
        <v>394</v>
      </c>
      <c r="B9" s="16" t="s">
        <v>17</v>
      </c>
      <c r="C9" s="16">
        <v>0</v>
      </c>
      <c r="G9" s="133" t="s">
        <v>339</v>
      </c>
      <c r="H9" s="114" t="s">
        <v>172</v>
      </c>
      <c r="I9" s="22">
        <v>0</v>
      </c>
      <c r="K9" s="9" t="s">
        <v>1</v>
      </c>
      <c r="L9" s="9" t="s">
        <v>265</v>
      </c>
      <c r="M9" s="9" t="s">
        <v>266</v>
      </c>
      <c r="N9" s="9" t="s">
        <v>1</v>
      </c>
      <c r="O9" s="9" t="s">
        <v>265</v>
      </c>
      <c r="P9" s="9" t="s">
        <v>266</v>
      </c>
    </row>
    <row r="10" spans="1:16" ht="30" x14ac:dyDescent="0.25">
      <c r="A10" s="131" t="s">
        <v>295</v>
      </c>
      <c r="B10" s="32" t="s">
        <v>18</v>
      </c>
      <c r="C10" s="32">
        <v>0</v>
      </c>
      <c r="G10" s="133" t="s">
        <v>341</v>
      </c>
      <c r="H10" s="22" t="s">
        <v>47</v>
      </c>
      <c r="I10" s="22">
        <v>0</v>
      </c>
      <c r="K10" s="10" t="s">
        <v>209</v>
      </c>
      <c r="L10" s="14">
        <f>'2.Bevételek'!M8+'2.Bevételek'!M9+'2.Bevételek'!M10+'2.Bevételek'!M11+'2.Bevételek'!M12+'2.Bevételek'!M13</f>
        <v>0</v>
      </c>
      <c r="M10" s="14"/>
      <c r="N10" s="10" t="s">
        <v>5</v>
      </c>
      <c r="O10" s="16">
        <f>'3. Kiadások'!M18</f>
        <v>0</v>
      </c>
      <c r="P10" s="113"/>
    </row>
    <row r="11" spans="1:16" ht="30" x14ac:dyDescent="0.25">
      <c r="A11" s="131" t="s">
        <v>296</v>
      </c>
      <c r="B11" s="16" t="s">
        <v>4</v>
      </c>
      <c r="C11" s="16"/>
      <c r="G11" s="133" t="s">
        <v>342</v>
      </c>
      <c r="H11" s="22" t="s">
        <v>48</v>
      </c>
      <c r="I11" s="22">
        <v>0</v>
      </c>
      <c r="K11" s="10" t="s">
        <v>91</v>
      </c>
      <c r="L11" s="14">
        <v>390843</v>
      </c>
      <c r="M11" s="14"/>
      <c r="N11" s="10" t="s">
        <v>86</v>
      </c>
      <c r="O11" s="16">
        <v>18000</v>
      </c>
      <c r="P11" s="113"/>
    </row>
    <row r="12" spans="1:16" ht="30" x14ac:dyDescent="0.25">
      <c r="A12" s="131" t="s">
        <v>333</v>
      </c>
      <c r="B12" s="16" t="s">
        <v>395</v>
      </c>
      <c r="C12" s="16"/>
      <c r="G12" s="133" t="s">
        <v>344</v>
      </c>
      <c r="H12" s="114" t="s">
        <v>345</v>
      </c>
      <c r="I12" s="22">
        <v>0</v>
      </c>
      <c r="K12" s="10" t="s">
        <v>70</v>
      </c>
      <c r="L12" s="14">
        <f>'2.2 Működési bevételek'!M8+'2.2 Működési bevételek'!M9+'2.2 Működési bevételek'!M10+'2.2 Működési bevételek'!M13+'2.2 Működési bevételek'!M14</f>
        <v>0</v>
      </c>
      <c r="M12" s="14">
        <f>'2.2 Működési bevételek'!M7</f>
        <v>0</v>
      </c>
      <c r="N12" s="10" t="s">
        <v>87</v>
      </c>
      <c r="O12" s="16">
        <v>373076</v>
      </c>
      <c r="P12" s="113"/>
    </row>
    <row r="13" spans="1:16" ht="45" customHeight="1" x14ac:dyDescent="0.25">
      <c r="A13" s="132" t="s">
        <v>297</v>
      </c>
      <c r="B13" s="36" t="s">
        <v>396</v>
      </c>
      <c r="C13" s="37">
        <f>SUM(C8:C12)</f>
        <v>0</v>
      </c>
      <c r="G13" s="131" t="s">
        <v>608</v>
      </c>
      <c r="H13" s="16" t="s">
        <v>609</v>
      </c>
      <c r="I13" s="21">
        <v>390843</v>
      </c>
      <c r="K13" s="287" t="s">
        <v>206</v>
      </c>
      <c r="L13" s="289">
        <f>'2.2 Működési bevételek'!M43</f>
        <v>0</v>
      </c>
      <c r="M13" s="292"/>
      <c r="N13" s="10" t="s">
        <v>88</v>
      </c>
      <c r="O13" s="16">
        <f>'3. Kiadások'!M53</f>
        <v>0</v>
      </c>
      <c r="P13" s="113"/>
    </row>
    <row r="14" spans="1:16" x14ac:dyDescent="0.25">
      <c r="A14" s="131" t="s">
        <v>298</v>
      </c>
      <c r="B14" s="32" t="s">
        <v>21</v>
      </c>
      <c r="C14" s="32"/>
      <c r="G14" s="133" t="s">
        <v>349</v>
      </c>
      <c r="H14" s="22" t="s">
        <v>171</v>
      </c>
      <c r="I14" s="22">
        <f>SUM(I13:I13)</f>
        <v>390843</v>
      </c>
      <c r="K14" s="288"/>
      <c r="L14" s="290"/>
      <c r="M14" s="293"/>
      <c r="N14" s="10" t="s">
        <v>112</v>
      </c>
      <c r="O14" s="16">
        <f>'3. Kiadások'!M78</f>
        <v>0</v>
      </c>
      <c r="P14" s="113"/>
    </row>
    <row r="15" spans="1:16" ht="30" x14ac:dyDescent="0.25">
      <c r="A15" s="131" t="s">
        <v>299</v>
      </c>
      <c r="B15" s="32" t="s">
        <v>323</v>
      </c>
      <c r="C15" s="32">
        <v>0</v>
      </c>
      <c r="G15" s="133" t="s">
        <v>354</v>
      </c>
      <c r="H15" s="114" t="s">
        <v>65</v>
      </c>
      <c r="I15" s="22">
        <v>0</v>
      </c>
      <c r="K15" s="10" t="s">
        <v>93</v>
      </c>
      <c r="L15" s="14">
        <f>'2.2 Működési bevételek'!M44</f>
        <v>0</v>
      </c>
      <c r="M15" s="14"/>
      <c r="N15" s="10" t="s">
        <v>89</v>
      </c>
      <c r="O15" s="16">
        <f>'3. Kiadások'!M59</f>
        <v>0</v>
      </c>
      <c r="P15" s="113"/>
    </row>
    <row r="16" spans="1:16" x14ac:dyDescent="0.25">
      <c r="A16" s="131" t="s">
        <v>300</v>
      </c>
      <c r="B16" s="32" t="s">
        <v>324</v>
      </c>
      <c r="C16" s="32"/>
      <c r="G16" s="131"/>
      <c r="H16" s="27" t="s">
        <v>174</v>
      </c>
      <c r="I16" s="27">
        <v>390843</v>
      </c>
      <c r="K16" s="10" t="s">
        <v>612</v>
      </c>
      <c r="L16" s="14">
        <v>233</v>
      </c>
      <c r="M16" s="14"/>
      <c r="N16" s="10" t="s">
        <v>420</v>
      </c>
      <c r="O16" s="16">
        <v>0</v>
      </c>
      <c r="P16" s="113"/>
    </row>
    <row r="17" spans="1:16" x14ac:dyDescent="0.25">
      <c r="A17" s="132" t="s">
        <v>301</v>
      </c>
      <c r="B17" s="36" t="s">
        <v>22</v>
      </c>
      <c r="C17" s="36">
        <f>SUM(C14:C16)</f>
        <v>0</v>
      </c>
      <c r="G17" s="133" t="s">
        <v>364</v>
      </c>
      <c r="H17" s="26" t="s">
        <v>70</v>
      </c>
      <c r="I17" s="26">
        <v>0</v>
      </c>
      <c r="K17" s="11" t="s">
        <v>95</v>
      </c>
      <c r="L17" s="15">
        <f>SUM(L10:L16)</f>
        <v>391076</v>
      </c>
      <c r="M17" s="14"/>
      <c r="N17" s="11" t="s">
        <v>97</v>
      </c>
      <c r="O17" s="26">
        <f>SUM(O10:O15)</f>
        <v>391076</v>
      </c>
      <c r="P17" s="113"/>
    </row>
    <row r="18" spans="1:16" ht="30" x14ac:dyDescent="0.25">
      <c r="A18" s="133" t="s">
        <v>302</v>
      </c>
      <c r="B18" s="33" t="s">
        <v>5</v>
      </c>
      <c r="C18" s="33">
        <f>C13+C17</f>
        <v>0</v>
      </c>
      <c r="G18" s="133" t="s">
        <v>390</v>
      </c>
      <c r="H18" s="26" t="s">
        <v>80</v>
      </c>
      <c r="I18" s="26">
        <v>0</v>
      </c>
      <c r="K18" s="10" t="s">
        <v>92</v>
      </c>
      <c r="L18" s="113"/>
      <c r="M18" s="14">
        <f>'2.1 Költségvetési bevételek'!M36+'2.1 Költségvetési bevételek'!M38</f>
        <v>0</v>
      </c>
      <c r="N18" s="192" t="s">
        <v>90</v>
      </c>
      <c r="O18" s="192"/>
      <c r="P18" s="17">
        <f>'3. Kiadások'!M64</f>
        <v>0</v>
      </c>
    </row>
    <row r="19" spans="1:16" ht="30" x14ac:dyDescent="0.25">
      <c r="A19" s="131" t="s">
        <v>303</v>
      </c>
      <c r="B19" s="32" t="s">
        <v>325</v>
      </c>
      <c r="C19" s="32"/>
      <c r="G19" s="133" t="s">
        <v>610</v>
      </c>
      <c r="H19" s="26" t="s">
        <v>391</v>
      </c>
      <c r="I19" s="26">
        <v>0</v>
      </c>
      <c r="K19" s="10" t="s">
        <v>111</v>
      </c>
      <c r="L19" s="113"/>
      <c r="M19" s="14">
        <f>'2.2 Működési bevételek'!M46</f>
        <v>0</v>
      </c>
      <c r="N19" s="192" t="s">
        <v>36</v>
      </c>
      <c r="O19" s="192"/>
      <c r="P19" s="17">
        <f>'3. Kiadások'!M69</f>
        <v>0</v>
      </c>
    </row>
    <row r="20" spans="1:16" x14ac:dyDescent="0.25">
      <c r="A20" s="131" t="s">
        <v>304</v>
      </c>
      <c r="B20" s="32" t="s">
        <v>326</v>
      </c>
      <c r="C20" s="32">
        <v>0</v>
      </c>
      <c r="G20" s="133" t="s">
        <v>444</v>
      </c>
      <c r="H20" s="26"/>
      <c r="I20" s="26"/>
      <c r="K20" s="11" t="s">
        <v>94</v>
      </c>
      <c r="L20" s="113"/>
      <c r="M20" s="15">
        <f>SUM(M12:M19)</f>
        <v>0</v>
      </c>
      <c r="N20" s="11" t="s">
        <v>114</v>
      </c>
      <c r="O20" s="11"/>
      <c r="P20" s="26">
        <f>SUM(P18:P19)</f>
        <v>0</v>
      </c>
    </row>
    <row r="21" spans="1:16" ht="16.5" x14ac:dyDescent="0.25">
      <c r="A21" s="131" t="s">
        <v>305</v>
      </c>
      <c r="B21" s="32" t="s">
        <v>327</v>
      </c>
      <c r="C21" s="32">
        <v>12000</v>
      </c>
      <c r="G21" s="133" t="s">
        <v>611</v>
      </c>
      <c r="H21" s="26"/>
      <c r="I21" s="26"/>
      <c r="K21" s="13" t="s">
        <v>96</v>
      </c>
      <c r="L21" s="294">
        <f>L17+M20</f>
        <v>391076</v>
      </c>
      <c r="M21" s="295"/>
      <c r="N21" s="13" t="s">
        <v>115</v>
      </c>
      <c r="O21" s="294">
        <f>SUM(O17+P20)</f>
        <v>391076</v>
      </c>
      <c r="P21" s="295"/>
    </row>
    <row r="22" spans="1:16" x14ac:dyDescent="0.25">
      <c r="A22" s="131" t="s">
        <v>328</v>
      </c>
      <c r="B22" s="32" t="s">
        <v>329</v>
      </c>
      <c r="C22" s="32"/>
      <c r="G22" s="133" t="s">
        <v>392</v>
      </c>
      <c r="H22" s="27" t="s">
        <v>264</v>
      </c>
      <c r="I22" s="27">
        <v>233</v>
      </c>
    </row>
    <row r="23" spans="1:16" x14ac:dyDescent="0.25">
      <c r="A23" s="131" t="s">
        <v>306</v>
      </c>
      <c r="B23" s="32" t="s">
        <v>330</v>
      </c>
      <c r="C23" s="32">
        <v>6000</v>
      </c>
      <c r="G23" s="131"/>
      <c r="H23" s="27" t="s">
        <v>176</v>
      </c>
      <c r="I23" s="27">
        <f>I17+I18+I19+I22</f>
        <v>233</v>
      </c>
    </row>
    <row r="24" spans="1:16" x14ac:dyDescent="0.25">
      <c r="A24" s="133" t="s">
        <v>307</v>
      </c>
      <c r="B24" s="38" t="s">
        <v>331</v>
      </c>
      <c r="C24" s="38">
        <f>SUM(C19:C23)</f>
        <v>18000</v>
      </c>
    </row>
    <row r="25" spans="1:16" ht="15.75" x14ac:dyDescent="0.25">
      <c r="A25" s="131" t="s">
        <v>332</v>
      </c>
      <c r="B25" s="16" t="s">
        <v>7</v>
      </c>
      <c r="C25" s="16"/>
      <c r="G25" s="141"/>
      <c r="H25" s="141" t="s">
        <v>393</v>
      </c>
      <c r="I25" s="141">
        <v>391076</v>
      </c>
    </row>
    <row r="26" spans="1:16" x14ac:dyDescent="0.25">
      <c r="A26" s="131" t="s">
        <v>308</v>
      </c>
      <c r="B26" s="16" t="s">
        <v>397</v>
      </c>
      <c r="C26" s="16"/>
    </row>
    <row r="27" spans="1:16" ht="30" x14ac:dyDescent="0.25">
      <c r="A27" s="131" t="s">
        <v>308</v>
      </c>
      <c r="B27" s="16" t="s">
        <v>398</v>
      </c>
      <c r="C27" s="16">
        <v>105000</v>
      </c>
    </row>
    <row r="28" spans="1:16" x14ac:dyDescent="0.25">
      <c r="A28" s="132" t="s">
        <v>309</v>
      </c>
      <c r="B28" s="36" t="s">
        <v>9</v>
      </c>
      <c r="C28" s="36">
        <f>SUM(C25:C27)</f>
        <v>105000</v>
      </c>
    </row>
    <row r="29" spans="1:16" x14ac:dyDescent="0.25">
      <c r="A29" s="131" t="s">
        <v>310</v>
      </c>
      <c r="B29" s="32" t="s">
        <v>10</v>
      </c>
      <c r="C29" s="32"/>
    </row>
    <row r="30" spans="1:16" x14ac:dyDescent="0.25">
      <c r="A30" s="131" t="s">
        <v>311</v>
      </c>
      <c r="B30" s="32" t="s">
        <v>11</v>
      </c>
      <c r="C30" s="32">
        <v>142000</v>
      </c>
    </row>
    <row r="31" spans="1:16" x14ac:dyDescent="0.25">
      <c r="A31" s="132" t="s">
        <v>312</v>
      </c>
      <c r="B31" s="36" t="s">
        <v>12</v>
      </c>
      <c r="C31" s="36">
        <f>SUM(C29:C30)</f>
        <v>142000</v>
      </c>
    </row>
    <row r="32" spans="1:16" x14ac:dyDescent="0.25">
      <c r="A32" s="131" t="s">
        <v>313</v>
      </c>
      <c r="B32" s="16" t="s">
        <v>13</v>
      </c>
      <c r="C32" s="16">
        <v>0</v>
      </c>
    </row>
    <row r="33" spans="1:3" x14ac:dyDescent="0.25">
      <c r="A33" s="131" t="s">
        <v>399</v>
      </c>
      <c r="B33" s="16" t="s">
        <v>23</v>
      </c>
      <c r="C33" s="16">
        <v>0</v>
      </c>
    </row>
    <row r="34" spans="1:3" x14ac:dyDescent="0.25">
      <c r="A34" s="131" t="s">
        <v>400</v>
      </c>
      <c r="B34" s="16" t="s">
        <v>14</v>
      </c>
      <c r="C34" s="16">
        <v>0</v>
      </c>
    </row>
    <row r="35" spans="1:3" x14ac:dyDescent="0.25">
      <c r="A35" s="131" t="s">
        <v>314</v>
      </c>
      <c r="B35" s="16" t="s">
        <v>24</v>
      </c>
      <c r="C35" s="16">
        <v>0</v>
      </c>
    </row>
    <row r="36" spans="1:3" x14ac:dyDescent="0.25">
      <c r="A36" s="131" t="s">
        <v>401</v>
      </c>
      <c r="B36" s="16" t="s">
        <v>374</v>
      </c>
      <c r="C36" s="16">
        <v>0</v>
      </c>
    </row>
    <row r="37" spans="1:3" x14ac:dyDescent="0.25">
      <c r="A37" s="131" t="s">
        <v>402</v>
      </c>
      <c r="B37" s="16" t="s">
        <v>403</v>
      </c>
      <c r="C37" s="16">
        <v>0</v>
      </c>
    </row>
    <row r="38" spans="1:3" x14ac:dyDescent="0.25">
      <c r="A38" s="131" t="s">
        <v>404</v>
      </c>
      <c r="B38" s="16" t="s">
        <v>405</v>
      </c>
      <c r="C38" s="16">
        <v>20000</v>
      </c>
    </row>
    <row r="39" spans="1:3" x14ac:dyDescent="0.25">
      <c r="A39" s="132" t="s">
        <v>315</v>
      </c>
      <c r="B39" s="36" t="s">
        <v>16</v>
      </c>
      <c r="C39" s="37">
        <f>SUM(C32:C38)</f>
        <v>20000</v>
      </c>
    </row>
    <row r="40" spans="1:3" x14ac:dyDescent="0.25">
      <c r="A40" s="132" t="s">
        <v>316</v>
      </c>
      <c r="B40" s="36" t="s">
        <v>19</v>
      </c>
      <c r="C40" s="36">
        <v>40000</v>
      </c>
    </row>
    <row r="41" spans="1:3" x14ac:dyDescent="0.25">
      <c r="A41" s="131" t="s">
        <v>317</v>
      </c>
      <c r="B41" s="32" t="s">
        <v>406</v>
      </c>
      <c r="C41" s="32">
        <v>66076</v>
      </c>
    </row>
    <row r="42" spans="1:3" x14ac:dyDescent="0.25">
      <c r="A42" s="131" t="s">
        <v>407</v>
      </c>
      <c r="B42" s="32" t="s">
        <v>408</v>
      </c>
      <c r="C42" s="32"/>
    </row>
    <row r="43" spans="1:3" x14ac:dyDescent="0.25">
      <c r="A43" s="131" t="s">
        <v>409</v>
      </c>
      <c r="B43" s="32" t="s">
        <v>410</v>
      </c>
      <c r="C43" s="32">
        <v>0</v>
      </c>
    </row>
    <row r="44" spans="1:3" x14ac:dyDescent="0.25">
      <c r="A44" s="131" t="s">
        <v>411</v>
      </c>
      <c r="B44" s="32" t="s">
        <v>26</v>
      </c>
      <c r="C44" s="32"/>
    </row>
    <row r="45" spans="1:3" x14ac:dyDescent="0.25">
      <c r="A45" s="132" t="s">
        <v>321</v>
      </c>
      <c r="B45" s="36" t="s">
        <v>25</v>
      </c>
      <c r="C45" s="37">
        <f>SUM(C41:C44)</f>
        <v>66076</v>
      </c>
    </row>
    <row r="46" spans="1:3" x14ac:dyDescent="0.25">
      <c r="A46" s="133" t="s">
        <v>318</v>
      </c>
      <c r="B46" s="33" t="s">
        <v>150</v>
      </c>
      <c r="C46" s="34">
        <f>SUM(C28+C31+C39+C40+C45)</f>
        <v>373076</v>
      </c>
    </row>
    <row r="47" spans="1:3" x14ac:dyDescent="0.25">
      <c r="A47" s="133" t="s">
        <v>416</v>
      </c>
      <c r="B47" s="27" t="s">
        <v>88</v>
      </c>
      <c r="C47" s="27">
        <v>0</v>
      </c>
    </row>
    <row r="48" spans="1:3" x14ac:dyDescent="0.25">
      <c r="A48" s="133" t="s">
        <v>455</v>
      </c>
      <c r="B48" s="27" t="s">
        <v>420</v>
      </c>
      <c r="C48" s="27"/>
    </row>
    <row r="49" spans="1:3" x14ac:dyDescent="0.25">
      <c r="A49" s="133" t="s">
        <v>421</v>
      </c>
      <c r="B49" s="27" t="s">
        <v>27</v>
      </c>
      <c r="C49" s="27">
        <v>0</v>
      </c>
    </row>
    <row r="50" spans="1:3" x14ac:dyDescent="0.25">
      <c r="A50" s="142" t="s">
        <v>424</v>
      </c>
      <c r="B50" s="16" t="s">
        <v>425</v>
      </c>
      <c r="C50" s="16">
        <v>0</v>
      </c>
    </row>
    <row r="51" spans="1:3" x14ac:dyDescent="0.25">
      <c r="A51" s="142" t="s">
        <v>426</v>
      </c>
      <c r="B51" s="16" t="s">
        <v>30</v>
      </c>
      <c r="C51" s="16">
        <v>0</v>
      </c>
    </row>
    <row r="52" spans="1:3" x14ac:dyDescent="0.25">
      <c r="A52" s="133" t="s">
        <v>427</v>
      </c>
      <c r="B52" s="26" t="s">
        <v>31</v>
      </c>
      <c r="C52" s="26">
        <f>SUM(C50:C51)</f>
        <v>0</v>
      </c>
    </row>
    <row r="53" spans="1:3" x14ac:dyDescent="0.25">
      <c r="A53" s="131" t="s">
        <v>430</v>
      </c>
      <c r="B53" s="16" t="s">
        <v>34</v>
      </c>
      <c r="C53" s="16">
        <v>0</v>
      </c>
    </row>
    <row r="54" spans="1:3" x14ac:dyDescent="0.25">
      <c r="A54" s="131" t="s">
        <v>431</v>
      </c>
      <c r="B54" s="16" t="s">
        <v>35</v>
      </c>
      <c r="C54" s="16">
        <v>0</v>
      </c>
    </row>
    <row r="55" spans="1:3" x14ac:dyDescent="0.25">
      <c r="A55" s="131" t="s">
        <v>432</v>
      </c>
      <c r="B55" s="26" t="s">
        <v>36</v>
      </c>
      <c r="C55" s="26">
        <f>SUM(C53:C54)</f>
        <v>0</v>
      </c>
    </row>
    <row r="56" spans="1:3" x14ac:dyDescent="0.25">
      <c r="A56" s="131"/>
      <c r="B56" s="30" t="s">
        <v>37</v>
      </c>
      <c r="C56" s="30">
        <f>C18+C24+C46+C47+C49+C52+C55</f>
        <v>391076</v>
      </c>
    </row>
    <row r="57" spans="1:3" x14ac:dyDescent="0.25">
      <c r="A57" s="133" t="s">
        <v>442</v>
      </c>
      <c r="B57" s="26" t="s">
        <v>40</v>
      </c>
      <c r="C57" s="26">
        <v>0</v>
      </c>
    </row>
    <row r="58" spans="1:3" x14ac:dyDescent="0.25">
      <c r="A58" s="133"/>
      <c r="B58" s="26" t="s">
        <v>42</v>
      </c>
      <c r="C58" s="26">
        <v>0</v>
      </c>
    </row>
    <row r="59" spans="1:3" x14ac:dyDescent="0.25">
      <c r="A59" s="131"/>
      <c r="B59" s="30" t="s">
        <v>199</v>
      </c>
      <c r="C59" s="30">
        <f>C56+C58</f>
        <v>391076</v>
      </c>
    </row>
  </sheetData>
  <mergeCells count="16">
    <mergeCell ref="L21:M21"/>
    <mergeCell ref="O21:P21"/>
    <mergeCell ref="K1:P1"/>
    <mergeCell ref="K2:P2"/>
    <mergeCell ref="O6:P6"/>
    <mergeCell ref="K8:L8"/>
    <mergeCell ref="N8:P8"/>
    <mergeCell ref="K13:K14"/>
    <mergeCell ref="L13:L14"/>
    <mergeCell ref="M13:M14"/>
    <mergeCell ref="A1:B1"/>
    <mergeCell ref="A2:B2"/>
    <mergeCell ref="A7:B7"/>
    <mergeCell ref="G1:I1"/>
    <mergeCell ref="G2:I2"/>
    <mergeCell ref="G6:H6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22" sqref="I22"/>
    </sheetView>
  </sheetViews>
  <sheetFormatPr defaultRowHeight="15" x14ac:dyDescent="0.25"/>
  <cols>
    <col min="1" max="1" width="18.42578125" customWidth="1"/>
  </cols>
  <sheetData>
    <row r="1" spans="1:7" x14ac:dyDescent="0.25">
      <c r="A1" s="376" t="s">
        <v>601</v>
      </c>
      <c r="B1" s="376"/>
      <c r="C1" s="376"/>
      <c r="D1" s="376"/>
      <c r="E1" s="376"/>
      <c r="F1" s="376"/>
      <c r="G1" s="376"/>
    </row>
    <row r="3" spans="1:7" x14ac:dyDescent="0.25">
      <c r="A3" s="1" t="s">
        <v>103</v>
      </c>
      <c r="B3" s="337" t="s">
        <v>599</v>
      </c>
      <c r="C3" s="337"/>
      <c r="D3" s="337"/>
      <c r="E3" s="1" t="s">
        <v>600</v>
      </c>
      <c r="F3" s="377" t="s">
        <v>141</v>
      </c>
      <c r="G3" s="377" t="s">
        <v>193</v>
      </c>
    </row>
    <row r="4" spans="1:7" x14ac:dyDescent="0.25">
      <c r="A4" s="1"/>
      <c r="B4" s="1" t="s">
        <v>292</v>
      </c>
      <c r="C4" s="1" t="s">
        <v>303</v>
      </c>
      <c r="D4" s="1" t="s">
        <v>296</v>
      </c>
      <c r="E4" s="1" t="s">
        <v>296</v>
      </c>
      <c r="F4" s="378"/>
      <c r="G4" s="378"/>
    </row>
    <row r="5" spans="1:7" x14ac:dyDescent="0.25">
      <c r="A5" s="1">
        <v>41237</v>
      </c>
      <c r="B5" s="1">
        <v>3649206</v>
      </c>
      <c r="C5" s="1">
        <v>492643</v>
      </c>
      <c r="D5" s="1">
        <v>24720</v>
      </c>
      <c r="E5" s="1">
        <v>0</v>
      </c>
      <c r="F5" s="1">
        <f>SUM(B5:E5)</f>
        <v>4166569</v>
      </c>
      <c r="G5" s="1">
        <v>15</v>
      </c>
    </row>
    <row r="6" spans="1:7" x14ac:dyDescent="0.25">
      <c r="A6" s="1" t="s">
        <v>597</v>
      </c>
      <c r="B6" s="1">
        <v>2822184</v>
      </c>
      <c r="C6" s="1">
        <v>380995</v>
      </c>
      <c r="D6" s="1">
        <v>0</v>
      </c>
      <c r="E6" s="1">
        <v>57680</v>
      </c>
      <c r="F6" s="1">
        <f t="shared" ref="F6:F9" si="0">SUM(B6:E6)</f>
        <v>3260859</v>
      </c>
      <c r="G6" s="1">
        <v>5</v>
      </c>
    </row>
    <row r="7" spans="1:7" x14ac:dyDescent="0.25">
      <c r="A7" s="1" t="s">
        <v>598</v>
      </c>
      <c r="B7" s="1">
        <v>1388250</v>
      </c>
      <c r="C7" s="1">
        <v>187413</v>
      </c>
      <c r="D7" s="1">
        <v>0</v>
      </c>
      <c r="E7" s="1">
        <v>74160</v>
      </c>
      <c r="F7" s="1">
        <f t="shared" si="0"/>
        <v>1649823</v>
      </c>
      <c r="G7" s="1">
        <v>5</v>
      </c>
    </row>
    <row r="8" spans="1:7" x14ac:dyDescent="0.25">
      <c r="A8" s="1">
        <v>14232</v>
      </c>
      <c r="B8" s="1">
        <v>3659526</v>
      </c>
      <c r="C8" s="1">
        <v>494036</v>
      </c>
      <c r="D8" s="1">
        <v>49440</v>
      </c>
      <c r="E8" s="1">
        <v>15324</v>
      </c>
      <c r="F8" s="1">
        <f t="shared" si="0"/>
        <v>4218326</v>
      </c>
      <c r="G8" s="1">
        <v>15</v>
      </c>
    </row>
    <row r="9" spans="1:7" x14ac:dyDescent="0.25">
      <c r="A9" s="1" t="s">
        <v>43</v>
      </c>
      <c r="B9" s="1">
        <f>SUM(B5:B8)</f>
        <v>11519166</v>
      </c>
      <c r="C9" s="1">
        <f t="shared" ref="C9:E9" si="1">SUM(C5:C8)</f>
        <v>1555087</v>
      </c>
      <c r="D9" s="1">
        <f t="shared" si="1"/>
        <v>74160</v>
      </c>
      <c r="E9" s="1">
        <f t="shared" si="1"/>
        <v>147164</v>
      </c>
      <c r="F9" s="1">
        <f t="shared" si="0"/>
        <v>13295577</v>
      </c>
      <c r="G9" s="1">
        <f>SUM(F5:F8)</f>
        <v>13295577</v>
      </c>
    </row>
    <row r="11" spans="1:7" x14ac:dyDescent="0.25">
      <c r="A11" s="337" t="s">
        <v>591</v>
      </c>
      <c r="B11" s="337"/>
      <c r="C11" s="337"/>
      <c r="D11" s="337"/>
      <c r="E11" s="64"/>
      <c r="F11" s="64"/>
      <c r="G11" s="64"/>
    </row>
    <row r="12" spans="1:7" x14ac:dyDescent="0.25">
      <c r="A12" s="1" t="s">
        <v>575</v>
      </c>
      <c r="B12" s="1">
        <v>274200</v>
      </c>
      <c r="C12" s="1">
        <v>12</v>
      </c>
      <c r="D12" s="1">
        <f>B12*C12</f>
        <v>3290400</v>
      </c>
    </row>
    <row r="13" spans="1:7" x14ac:dyDescent="0.25">
      <c r="A13" s="1" t="s">
        <v>573</v>
      </c>
      <c r="B13" s="1">
        <v>173700</v>
      </c>
      <c r="C13" s="1">
        <v>12</v>
      </c>
      <c r="D13" s="1">
        <f>B13*C13</f>
        <v>2084400</v>
      </c>
    </row>
    <row r="16" spans="1:7" x14ac:dyDescent="0.25">
      <c r="A16" s="1" t="s">
        <v>592</v>
      </c>
      <c r="B16" s="1" t="s">
        <v>595</v>
      </c>
      <c r="C16" s="1" t="s">
        <v>596</v>
      </c>
    </row>
    <row r="17" spans="1:3" x14ac:dyDescent="0.25">
      <c r="A17" s="1" t="s">
        <v>593</v>
      </c>
      <c r="B17" s="1">
        <v>572266</v>
      </c>
      <c r="C17" s="1">
        <v>22244</v>
      </c>
    </row>
    <row r="18" spans="1:3" ht="30" x14ac:dyDescent="0.25">
      <c r="A18" s="113" t="s">
        <v>594</v>
      </c>
      <c r="B18" s="1">
        <v>4766533</v>
      </c>
      <c r="C18" s="1"/>
    </row>
    <row r="19" spans="1:3" x14ac:dyDescent="0.25">
      <c r="A19" s="1" t="s">
        <v>141</v>
      </c>
      <c r="B19" s="337">
        <f>B17+C17+B18+C18</f>
        <v>5361043</v>
      </c>
      <c r="C19" s="337"/>
    </row>
  </sheetData>
  <mergeCells count="6">
    <mergeCell ref="A1:G1"/>
    <mergeCell ref="A11:D11"/>
    <mergeCell ref="B19:C19"/>
    <mergeCell ref="B3:D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F21" sqref="F21"/>
    </sheetView>
  </sheetViews>
  <sheetFormatPr defaultRowHeight="15" x14ac:dyDescent="0.25"/>
  <cols>
    <col min="2" max="2" width="57.42578125" customWidth="1"/>
    <col min="3" max="3" width="13.28515625" customWidth="1"/>
  </cols>
  <sheetData>
    <row r="1" spans="1:5" ht="15.75" x14ac:dyDescent="0.25">
      <c r="A1" s="302" t="s">
        <v>44</v>
      </c>
      <c r="B1" s="302"/>
      <c r="C1" s="302"/>
      <c r="D1" s="71"/>
      <c r="E1" s="7"/>
    </row>
    <row r="2" spans="1:5" x14ac:dyDescent="0.25">
      <c r="A2" s="301" t="s">
        <v>779</v>
      </c>
      <c r="B2" s="301"/>
      <c r="C2" s="301"/>
      <c r="D2" s="158"/>
      <c r="E2" s="7"/>
    </row>
    <row r="3" spans="1:5" x14ac:dyDescent="0.25">
      <c r="A3" s="151"/>
      <c r="B3" s="7"/>
      <c r="C3" s="7"/>
      <c r="D3" s="7"/>
      <c r="E3" s="7"/>
    </row>
    <row r="4" spans="1:5" x14ac:dyDescent="0.25">
      <c r="A4" s="151"/>
      <c r="B4" s="7"/>
      <c r="C4" s="254" t="s">
        <v>177</v>
      </c>
      <c r="D4" s="7"/>
      <c r="E4" s="7"/>
    </row>
    <row r="5" spans="1:5" x14ac:dyDescent="0.25">
      <c r="A5" s="151"/>
      <c r="B5" s="7"/>
      <c r="C5" s="254" t="s">
        <v>613</v>
      </c>
      <c r="D5" s="7"/>
    </row>
    <row r="6" spans="1:5" ht="28.5" x14ac:dyDescent="0.25">
      <c r="A6" s="299" t="s">
        <v>1</v>
      </c>
      <c r="B6" s="300"/>
      <c r="C6" s="250" t="s">
        <v>168</v>
      </c>
      <c r="D6" s="7"/>
    </row>
    <row r="7" spans="1:5" x14ac:dyDescent="0.25">
      <c r="A7" s="131" t="s">
        <v>337</v>
      </c>
      <c r="B7" s="21" t="s">
        <v>49</v>
      </c>
      <c r="C7" s="21">
        <v>35540800</v>
      </c>
      <c r="D7" s="7"/>
      <c r="E7" s="7"/>
    </row>
    <row r="8" spans="1:5" x14ac:dyDescent="0.25">
      <c r="A8" s="131" t="s">
        <v>337</v>
      </c>
      <c r="B8" s="21" t="s">
        <v>50</v>
      </c>
      <c r="C8" s="21">
        <v>11734157</v>
      </c>
      <c r="D8" s="7"/>
      <c r="E8" s="7"/>
    </row>
    <row r="9" spans="1:5" x14ac:dyDescent="0.25">
      <c r="A9" s="131" t="s">
        <v>337</v>
      </c>
      <c r="B9" s="21" t="s">
        <v>51</v>
      </c>
      <c r="C9" s="21">
        <v>1497901</v>
      </c>
      <c r="D9" s="7"/>
      <c r="E9" s="7"/>
    </row>
    <row r="10" spans="1:5" x14ac:dyDescent="0.25">
      <c r="A10" s="131" t="s">
        <v>337</v>
      </c>
      <c r="B10" s="21" t="s">
        <v>774</v>
      </c>
      <c r="C10" s="21">
        <v>107950</v>
      </c>
      <c r="D10" s="7"/>
      <c r="E10" s="7"/>
    </row>
    <row r="11" spans="1:5" x14ac:dyDescent="0.25">
      <c r="A11" s="131" t="s">
        <v>337</v>
      </c>
      <c r="B11" s="21" t="s">
        <v>61</v>
      </c>
      <c r="C11" s="21">
        <v>492150</v>
      </c>
      <c r="D11" s="7"/>
      <c r="E11" s="7"/>
    </row>
    <row r="12" spans="1:5" x14ac:dyDescent="0.25">
      <c r="A12" s="133" t="s">
        <v>337</v>
      </c>
      <c r="B12" s="22" t="s">
        <v>55</v>
      </c>
      <c r="C12" s="22">
        <f>SUM(C7:C11)</f>
        <v>49372958</v>
      </c>
      <c r="D12" s="7"/>
      <c r="E12" s="7"/>
    </row>
    <row r="13" spans="1:5" x14ac:dyDescent="0.25">
      <c r="A13" s="131" t="s">
        <v>338</v>
      </c>
      <c r="B13" s="21" t="s">
        <v>52</v>
      </c>
      <c r="C13" s="21">
        <v>22945280</v>
      </c>
      <c r="D13" s="7"/>
      <c r="E13" s="7"/>
    </row>
    <row r="14" spans="1:5" x14ac:dyDescent="0.25">
      <c r="A14" s="131" t="s">
        <v>338</v>
      </c>
      <c r="B14" s="21" t="s">
        <v>53</v>
      </c>
      <c r="C14" s="21">
        <v>3513100</v>
      </c>
      <c r="D14" s="7"/>
      <c r="E14" s="7"/>
    </row>
    <row r="15" spans="1:5" x14ac:dyDescent="0.25">
      <c r="A15" s="133" t="s">
        <v>338</v>
      </c>
      <c r="B15" s="22" t="s">
        <v>54</v>
      </c>
      <c r="C15" s="22">
        <f>SUM(C13:C14)</f>
        <v>26458380</v>
      </c>
      <c r="D15" s="7"/>
      <c r="E15" s="7"/>
    </row>
    <row r="16" spans="1:5" x14ac:dyDescent="0.25">
      <c r="A16" s="131" t="s">
        <v>339</v>
      </c>
      <c r="B16" s="21" t="s">
        <v>56</v>
      </c>
      <c r="C16" s="21">
        <v>1162560</v>
      </c>
      <c r="D16" s="7"/>
      <c r="E16" s="7"/>
    </row>
    <row r="17" spans="1:5" x14ac:dyDescent="0.25">
      <c r="A17" s="131" t="s">
        <v>339</v>
      </c>
      <c r="B17" s="21" t="s">
        <v>57</v>
      </c>
      <c r="C17" s="21">
        <v>1050000</v>
      </c>
      <c r="D17" s="7"/>
      <c r="E17" s="7"/>
    </row>
    <row r="18" spans="1:5" x14ac:dyDescent="0.25">
      <c r="A18" s="131" t="s">
        <v>339</v>
      </c>
      <c r="B18" s="21" t="s">
        <v>58</v>
      </c>
      <c r="C18" s="21">
        <v>2500000</v>
      </c>
      <c r="D18" s="7"/>
      <c r="E18" s="7"/>
    </row>
    <row r="19" spans="1:5" x14ac:dyDescent="0.25">
      <c r="A19" s="131" t="s">
        <v>339</v>
      </c>
      <c r="B19" s="21" t="s">
        <v>340</v>
      </c>
      <c r="C19" s="21">
        <v>5945000</v>
      </c>
      <c r="D19" s="7"/>
      <c r="E19" s="7"/>
    </row>
    <row r="20" spans="1:5" x14ac:dyDescent="0.25">
      <c r="A20" s="131" t="s">
        <v>339</v>
      </c>
      <c r="B20" s="21" t="s">
        <v>59</v>
      </c>
      <c r="C20" s="21">
        <v>6821760</v>
      </c>
      <c r="D20" s="7"/>
      <c r="E20" s="7"/>
    </row>
    <row r="21" spans="1:5" x14ac:dyDescent="0.25">
      <c r="A21" s="131" t="s">
        <v>339</v>
      </c>
      <c r="B21" s="21" t="s">
        <v>62</v>
      </c>
      <c r="C21" s="21">
        <v>7995516</v>
      </c>
      <c r="D21" s="7"/>
      <c r="E21" s="7"/>
    </row>
    <row r="22" spans="1:5" x14ac:dyDescent="0.25">
      <c r="A22" s="131" t="s">
        <v>339</v>
      </c>
      <c r="B22" s="21" t="s">
        <v>674</v>
      </c>
      <c r="C22" s="21">
        <v>936576</v>
      </c>
      <c r="D22" s="7"/>
      <c r="E22" s="7"/>
    </row>
    <row r="23" spans="1:5" ht="30" x14ac:dyDescent="0.25">
      <c r="A23" s="133" t="s">
        <v>339</v>
      </c>
      <c r="B23" s="114" t="s">
        <v>172</v>
      </c>
      <c r="C23" s="273">
        <f>SUM(C16:C22)</f>
        <v>26411412</v>
      </c>
      <c r="D23" s="7"/>
      <c r="E23" s="7"/>
    </row>
    <row r="24" spans="1:5" x14ac:dyDescent="0.25">
      <c r="A24" s="131" t="s">
        <v>341</v>
      </c>
      <c r="B24" s="21" t="s">
        <v>60</v>
      </c>
      <c r="C24" s="21">
        <v>1399920</v>
      </c>
      <c r="D24" s="7"/>
      <c r="E24" s="7"/>
    </row>
    <row r="25" spans="1:5" s="3" customFormat="1" x14ac:dyDescent="0.25">
      <c r="A25" s="133" t="s">
        <v>341</v>
      </c>
      <c r="B25" s="22" t="s">
        <v>47</v>
      </c>
      <c r="C25" s="22">
        <f>SUM(C24)</f>
        <v>1399920</v>
      </c>
      <c r="D25" s="7"/>
      <c r="E25" s="7"/>
    </row>
    <row r="26" spans="1:5" x14ac:dyDescent="0.25">
      <c r="A26" s="131" t="s">
        <v>342</v>
      </c>
      <c r="B26" s="21" t="s">
        <v>343</v>
      </c>
      <c r="C26" s="21"/>
      <c r="D26" s="7"/>
      <c r="E26" s="7"/>
    </row>
    <row r="27" spans="1:5" x14ac:dyDescent="0.25">
      <c r="A27" s="133" t="s">
        <v>342</v>
      </c>
      <c r="B27" s="22" t="s">
        <v>48</v>
      </c>
      <c r="C27" s="22"/>
      <c r="D27" s="7"/>
      <c r="E27" s="7"/>
    </row>
    <row r="28" spans="1:5" x14ac:dyDescent="0.25">
      <c r="A28" s="131" t="s">
        <v>344</v>
      </c>
      <c r="B28" s="21" t="s">
        <v>773</v>
      </c>
      <c r="C28" s="21">
        <v>505920</v>
      </c>
      <c r="D28" s="7"/>
      <c r="E28" s="7"/>
    </row>
    <row r="29" spans="1:5" x14ac:dyDescent="0.25">
      <c r="A29" s="133" t="s">
        <v>344</v>
      </c>
      <c r="B29" s="114" t="s">
        <v>803</v>
      </c>
      <c r="C29" s="22">
        <f>SUM(C28:C28)</f>
        <v>505920</v>
      </c>
      <c r="D29" s="7"/>
      <c r="E29" s="7"/>
    </row>
    <row r="30" spans="1:5" x14ac:dyDescent="0.25">
      <c r="A30" s="131" t="s">
        <v>349</v>
      </c>
      <c r="B30" s="21" t="s">
        <v>456</v>
      </c>
      <c r="C30" s="21">
        <v>0</v>
      </c>
      <c r="D30" s="7"/>
      <c r="E30" s="7"/>
    </row>
    <row r="31" spans="1:5" x14ac:dyDescent="0.25">
      <c r="A31" s="131" t="s">
        <v>346</v>
      </c>
      <c r="B31" s="21" t="s">
        <v>63</v>
      </c>
      <c r="C31" s="21">
        <v>5772600</v>
      </c>
      <c r="D31" s="7"/>
      <c r="E31" s="7"/>
    </row>
    <row r="32" spans="1:5" x14ac:dyDescent="0.25">
      <c r="A32" s="131" t="s">
        <v>347</v>
      </c>
      <c r="B32" s="21" t="s">
        <v>64</v>
      </c>
      <c r="C32" s="21">
        <v>11683491</v>
      </c>
      <c r="D32" s="7"/>
      <c r="E32" s="7"/>
    </row>
    <row r="33" spans="1:5" x14ac:dyDescent="0.25">
      <c r="A33" s="131" t="s">
        <v>348</v>
      </c>
      <c r="B33" s="21" t="s">
        <v>173</v>
      </c>
      <c r="C33" s="21">
        <v>6578000</v>
      </c>
      <c r="D33" s="7"/>
      <c r="E33" s="7"/>
    </row>
    <row r="34" spans="1:5" x14ac:dyDescent="0.25">
      <c r="A34" s="133" t="s">
        <v>349</v>
      </c>
      <c r="B34" s="22" t="s">
        <v>171</v>
      </c>
      <c r="C34" s="22">
        <f>SUM(C30:C33)</f>
        <v>24034091</v>
      </c>
      <c r="D34" s="7"/>
      <c r="E34" s="7"/>
    </row>
    <row r="35" spans="1:5" x14ac:dyDescent="0.25">
      <c r="A35" s="131" t="s">
        <v>350</v>
      </c>
      <c r="B35" s="21" t="s">
        <v>351</v>
      </c>
      <c r="C35" s="21">
        <v>0</v>
      </c>
      <c r="D35" s="7"/>
      <c r="E35" s="7"/>
    </row>
    <row r="36" spans="1:5" x14ac:dyDescent="0.25">
      <c r="A36" s="138" t="s">
        <v>350</v>
      </c>
      <c r="B36" s="114" t="s">
        <v>352</v>
      </c>
      <c r="C36" s="114">
        <f>SUM(C35:C35)</f>
        <v>0</v>
      </c>
      <c r="D36" s="7"/>
      <c r="E36" s="7"/>
    </row>
    <row r="37" spans="1:5" x14ac:dyDescent="0.25">
      <c r="A37" s="131" t="s">
        <v>354</v>
      </c>
      <c r="B37" s="21" t="s">
        <v>353</v>
      </c>
      <c r="C37" s="21">
        <v>0</v>
      </c>
      <c r="D37" s="7"/>
      <c r="E37" s="7"/>
    </row>
    <row r="38" spans="1:5" ht="30" x14ac:dyDescent="0.25">
      <c r="A38" s="133" t="s">
        <v>354</v>
      </c>
      <c r="B38" s="114" t="s">
        <v>65</v>
      </c>
      <c r="C38" s="22">
        <f>SUM(C37:C37)</f>
        <v>0</v>
      </c>
    </row>
    <row r="39" spans="1:5" x14ac:dyDescent="0.25">
      <c r="A39" s="131"/>
      <c r="B39" s="27" t="s">
        <v>174</v>
      </c>
      <c r="C39" s="27">
        <f>C12+C15+C23+C25+C27+C29+C34+C36+C38</f>
        <v>128182681</v>
      </c>
    </row>
  </sheetData>
  <mergeCells count="3">
    <mergeCell ref="A6:B6"/>
    <mergeCell ref="A2:C2"/>
    <mergeCell ref="A1:C1"/>
  </mergeCells>
  <phoneticPr fontId="18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E11"/>
    </sheetView>
  </sheetViews>
  <sheetFormatPr defaultRowHeight="15" x14ac:dyDescent="0.25"/>
  <cols>
    <col min="1" max="1" width="12.28515625" customWidth="1"/>
    <col min="2" max="2" width="36.42578125" customWidth="1"/>
    <col min="3" max="3" width="8.7109375" customWidth="1"/>
    <col min="4" max="4" width="17.85546875" customWidth="1"/>
    <col min="5" max="5" width="10.85546875" customWidth="1"/>
  </cols>
  <sheetData>
    <row r="1" spans="1:5" ht="15.75" x14ac:dyDescent="0.25">
      <c r="B1" s="298" t="s">
        <v>606</v>
      </c>
      <c r="C1" s="298"/>
      <c r="D1" s="298"/>
      <c r="E1" s="298"/>
    </row>
    <row r="2" spans="1:5" ht="15.75" x14ac:dyDescent="0.25">
      <c r="B2" s="379" t="s">
        <v>180</v>
      </c>
      <c r="C2" s="379"/>
      <c r="D2" s="379"/>
      <c r="E2" s="379"/>
    </row>
    <row r="3" spans="1:5" ht="15.75" x14ac:dyDescent="0.25">
      <c r="B3" s="379" t="s">
        <v>619</v>
      </c>
      <c r="C3" s="379"/>
      <c r="D3" s="379"/>
      <c r="E3" s="379"/>
    </row>
    <row r="4" spans="1:5" ht="15.75" x14ac:dyDescent="0.25">
      <c r="B4" s="198"/>
      <c r="C4" s="198"/>
      <c r="D4" s="198"/>
      <c r="E4" s="198"/>
    </row>
    <row r="5" spans="1:5" ht="15.75" x14ac:dyDescent="0.25">
      <c r="B5" s="196"/>
      <c r="C5" s="196"/>
      <c r="D5" s="95" t="s">
        <v>474</v>
      </c>
      <c r="E5" s="160"/>
    </row>
    <row r="6" spans="1:5" ht="15.75" x14ac:dyDescent="0.25">
      <c r="B6" s="115"/>
      <c r="C6" s="116"/>
      <c r="D6" s="161" t="s">
        <v>620</v>
      </c>
      <c r="E6" s="116"/>
    </row>
    <row r="7" spans="1:5" ht="15.75" x14ac:dyDescent="0.25">
      <c r="B7" s="108"/>
      <c r="C7" s="109"/>
      <c r="D7" s="109"/>
      <c r="E7" s="128"/>
    </row>
    <row r="8" spans="1:5" ht="31.5" x14ac:dyDescent="0.25">
      <c r="A8" s="380" t="s">
        <v>291</v>
      </c>
      <c r="B8" s="381" t="s">
        <v>1</v>
      </c>
      <c r="C8" s="70" t="s">
        <v>179</v>
      </c>
      <c r="D8" s="159" t="s">
        <v>454</v>
      </c>
      <c r="E8" s="70" t="s">
        <v>290</v>
      </c>
    </row>
    <row r="9" spans="1:5" ht="15.75" x14ac:dyDescent="0.25">
      <c r="A9" s="380"/>
      <c r="B9" s="382"/>
      <c r="C9" s="303" t="s">
        <v>457</v>
      </c>
      <c r="D9" s="383"/>
      <c r="E9" s="304"/>
    </row>
    <row r="10" spans="1:5" ht="30" x14ac:dyDescent="0.25">
      <c r="A10" s="125" t="s">
        <v>618</v>
      </c>
      <c r="B10" s="205" t="s">
        <v>622</v>
      </c>
      <c r="C10" s="42">
        <v>3</v>
      </c>
      <c r="D10" s="42">
        <v>0</v>
      </c>
      <c r="E10" s="42">
        <v>18000</v>
      </c>
    </row>
    <row r="11" spans="1:5" ht="15.75" x14ac:dyDescent="0.25">
      <c r="A11" s="1"/>
      <c r="B11" s="44" t="s">
        <v>141</v>
      </c>
      <c r="C11" s="46">
        <f>SUM(C10:C10)</f>
        <v>3</v>
      </c>
      <c r="D11" s="46">
        <f>SUM(D10:D10)</f>
        <v>0</v>
      </c>
      <c r="E11" s="46">
        <f>SUM(E10:E10)</f>
        <v>18000</v>
      </c>
    </row>
  </sheetData>
  <mergeCells count="6">
    <mergeCell ref="B1:E1"/>
    <mergeCell ref="B2:E2"/>
    <mergeCell ref="B3:E3"/>
    <mergeCell ref="A8:A9"/>
    <mergeCell ref="B8:B9"/>
    <mergeCell ref="C9:E9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0"/>
    </sheetView>
  </sheetViews>
  <sheetFormatPr defaultRowHeight="15" x14ac:dyDescent="0.25"/>
  <cols>
    <col min="1" max="1" width="12" customWidth="1"/>
    <col min="2" max="2" width="36.42578125" customWidth="1"/>
    <col min="3" max="3" width="17.42578125" customWidth="1"/>
    <col min="4" max="4" width="16.7109375" customWidth="1"/>
    <col min="5" max="5" width="13.28515625" customWidth="1"/>
    <col min="6" max="6" width="11.85546875" customWidth="1"/>
    <col min="7" max="7" width="11.42578125" customWidth="1"/>
    <col min="8" max="8" width="13.85546875" customWidth="1"/>
  </cols>
  <sheetData>
    <row r="1" spans="1:8" ht="15.75" x14ac:dyDescent="0.25">
      <c r="A1" s="204"/>
      <c r="B1" s="326" t="s">
        <v>606</v>
      </c>
      <c r="C1" s="326"/>
      <c r="D1" s="326"/>
      <c r="E1" s="326"/>
      <c r="F1" s="326"/>
      <c r="G1" s="326"/>
      <c r="H1" s="326"/>
    </row>
    <row r="2" spans="1:8" x14ac:dyDescent="0.25">
      <c r="A2" s="204"/>
      <c r="B2" s="301" t="s">
        <v>621</v>
      </c>
      <c r="C2" s="301"/>
      <c r="D2" s="301"/>
      <c r="E2" s="301"/>
      <c r="F2" s="301"/>
      <c r="G2" s="301"/>
      <c r="H2" s="301"/>
    </row>
    <row r="3" spans="1:8" x14ac:dyDescent="0.25">
      <c r="A3" s="204"/>
    </row>
    <row r="4" spans="1:8" x14ac:dyDescent="0.25">
      <c r="A4" s="204"/>
      <c r="H4" s="202" t="s">
        <v>181</v>
      </c>
    </row>
    <row r="5" spans="1:8" x14ac:dyDescent="0.25">
      <c r="A5" s="204"/>
      <c r="D5" s="117"/>
      <c r="E5" s="117"/>
      <c r="F5" s="117"/>
      <c r="G5" s="117"/>
      <c r="H5" s="203" t="s">
        <v>613</v>
      </c>
    </row>
    <row r="6" spans="1:8" x14ac:dyDescent="0.25">
      <c r="A6" s="204"/>
      <c r="C6" s="110"/>
      <c r="D6" s="110"/>
      <c r="E6" s="110"/>
      <c r="F6" s="110"/>
      <c r="G6" s="110"/>
      <c r="H6" s="118"/>
    </row>
    <row r="7" spans="1:8" ht="57" x14ac:dyDescent="0.25">
      <c r="A7" s="380" t="s">
        <v>269</v>
      </c>
      <c r="B7" s="317" t="s">
        <v>1</v>
      </c>
      <c r="C7" s="143" t="s">
        <v>286</v>
      </c>
      <c r="D7" s="143" t="s">
        <v>287</v>
      </c>
      <c r="E7" s="143" t="s">
        <v>288</v>
      </c>
      <c r="F7" s="143" t="s">
        <v>289</v>
      </c>
      <c r="G7" s="143" t="s">
        <v>472</v>
      </c>
      <c r="H7" s="63" t="s">
        <v>141</v>
      </c>
    </row>
    <row r="8" spans="1:8" x14ac:dyDescent="0.25">
      <c r="A8" s="380"/>
      <c r="B8" s="318"/>
      <c r="C8" s="62" t="s">
        <v>457</v>
      </c>
      <c r="D8" s="62" t="s">
        <v>457</v>
      </c>
      <c r="E8" s="62" t="s">
        <v>457</v>
      </c>
      <c r="F8" s="62" t="s">
        <v>457</v>
      </c>
      <c r="G8" s="62" t="s">
        <v>457</v>
      </c>
      <c r="H8" s="62" t="s">
        <v>457</v>
      </c>
    </row>
    <row r="9" spans="1:8" ht="30" x14ac:dyDescent="0.25">
      <c r="A9" s="146" t="s">
        <v>618</v>
      </c>
      <c r="B9" s="205" t="s">
        <v>622</v>
      </c>
      <c r="C9" s="21">
        <v>105000</v>
      </c>
      <c r="D9" s="21">
        <v>142000</v>
      </c>
      <c r="E9" s="21">
        <v>20000</v>
      </c>
      <c r="F9" s="21">
        <v>40000</v>
      </c>
      <c r="G9" s="21">
        <v>66076</v>
      </c>
      <c r="H9" s="147">
        <f>SUM(C9:G9)</f>
        <v>373076</v>
      </c>
    </row>
    <row r="10" spans="1:8" x14ac:dyDescent="0.25">
      <c r="A10" s="384" t="s">
        <v>141</v>
      </c>
      <c r="B10" s="385"/>
      <c r="C10" s="27">
        <f>SUM(C9:C9)</f>
        <v>105000</v>
      </c>
      <c r="D10" s="27">
        <f>SUM(D9:D9)</f>
        <v>142000</v>
      </c>
      <c r="E10" s="27">
        <f>SUM(E9:E9)</f>
        <v>20000</v>
      </c>
      <c r="F10" s="27">
        <f>SUM(F9:F9)</f>
        <v>40000</v>
      </c>
      <c r="G10" s="27">
        <f>SUM(G9:G9)</f>
        <v>66076</v>
      </c>
      <c r="H10" s="2">
        <f t="shared" ref="H10" si="0">SUM(C10:G10)</f>
        <v>373076</v>
      </c>
    </row>
  </sheetData>
  <mergeCells count="5">
    <mergeCell ref="B1:H1"/>
    <mergeCell ref="B2:H2"/>
    <mergeCell ref="A7:A8"/>
    <mergeCell ref="B7:B8"/>
    <mergeCell ref="A10:B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9"/>
    </sheetView>
  </sheetViews>
  <sheetFormatPr defaultRowHeight="15" x14ac:dyDescent="0.25"/>
  <cols>
    <col min="2" max="2" width="58.28515625" customWidth="1"/>
    <col min="3" max="3" width="14.42578125" customWidth="1"/>
  </cols>
  <sheetData>
    <row r="1" spans="1:3" ht="15.75" x14ac:dyDescent="0.25">
      <c r="B1" s="326" t="s">
        <v>635</v>
      </c>
      <c r="C1" s="326"/>
    </row>
    <row r="2" spans="1:3" x14ac:dyDescent="0.25">
      <c r="B2" s="301" t="s">
        <v>639</v>
      </c>
      <c r="C2" s="301"/>
    </row>
    <row r="3" spans="1:3" x14ac:dyDescent="0.25">
      <c r="B3" s="197"/>
      <c r="C3" s="197"/>
    </row>
    <row r="4" spans="1:3" x14ac:dyDescent="0.25">
      <c r="B4" s="197"/>
      <c r="C4" s="201" t="s">
        <v>195</v>
      </c>
    </row>
    <row r="5" spans="1:3" x14ac:dyDescent="0.25">
      <c r="B5" s="7"/>
      <c r="C5" s="201" t="s">
        <v>613</v>
      </c>
    </row>
    <row r="6" spans="1:3" ht="31.5" x14ac:dyDescent="0.25">
      <c r="A6" s="303" t="s">
        <v>1</v>
      </c>
      <c r="B6" s="304"/>
      <c r="C6" s="70" t="s">
        <v>168</v>
      </c>
    </row>
    <row r="7" spans="1:3" x14ac:dyDescent="0.25">
      <c r="A7" s="133" t="s">
        <v>416</v>
      </c>
      <c r="B7" s="27" t="s">
        <v>88</v>
      </c>
      <c r="C7" s="27">
        <v>0</v>
      </c>
    </row>
    <row r="8" spans="1:3" x14ac:dyDescent="0.25">
      <c r="A8" s="133" t="s">
        <v>421</v>
      </c>
      <c r="B8" s="27" t="s">
        <v>623</v>
      </c>
      <c r="C8" s="27">
        <v>0</v>
      </c>
    </row>
    <row r="9" spans="1:3" x14ac:dyDescent="0.25">
      <c r="A9" s="131"/>
      <c r="B9" s="27" t="s">
        <v>27</v>
      </c>
      <c r="C9" s="27">
        <v>0</v>
      </c>
    </row>
  </sheetData>
  <mergeCells count="3">
    <mergeCell ref="B1:C1"/>
    <mergeCell ref="B2:C2"/>
    <mergeCell ref="A6:B6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1"/>
    </sheetView>
  </sheetViews>
  <sheetFormatPr defaultRowHeight="15" x14ac:dyDescent="0.25"/>
  <cols>
    <col min="1" max="1" width="7.5703125" bestFit="1" customWidth="1"/>
    <col min="2" max="2" width="46.85546875" customWidth="1"/>
    <col min="3" max="3" width="11.42578125" customWidth="1"/>
  </cols>
  <sheetData>
    <row r="1" spans="1:4" ht="15.75" x14ac:dyDescent="0.25">
      <c r="A1" s="326" t="s">
        <v>606</v>
      </c>
      <c r="B1" s="326"/>
    </row>
    <row r="2" spans="1:4" x14ac:dyDescent="0.25">
      <c r="A2" s="301" t="s">
        <v>626</v>
      </c>
      <c r="B2" s="301"/>
      <c r="C2" s="301"/>
    </row>
    <row r="3" spans="1:4" x14ac:dyDescent="0.25">
      <c r="A3" s="301"/>
      <c r="B3" s="301"/>
    </row>
    <row r="4" spans="1:4" x14ac:dyDescent="0.25">
      <c r="A4" s="197"/>
      <c r="D4" s="201" t="s">
        <v>466</v>
      </c>
    </row>
    <row r="5" spans="1:4" x14ac:dyDescent="0.25">
      <c r="A5" s="7"/>
      <c r="D5" s="201" t="s">
        <v>613</v>
      </c>
    </row>
    <row r="6" spans="1:4" x14ac:dyDescent="0.25">
      <c r="A6" s="7"/>
      <c r="B6" s="201"/>
    </row>
    <row r="7" spans="1:4" ht="28.5" x14ac:dyDescent="0.25">
      <c r="A7" s="299" t="s">
        <v>1</v>
      </c>
      <c r="B7" s="300"/>
      <c r="C7" s="145" t="s">
        <v>168</v>
      </c>
    </row>
    <row r="8" spans="1:4" x14ac:dyDescent="0.25">
      <c r="A8" s="133" t="s">
        <v>427</v>
      </c>
      <c r="B8" s="26" t="s">
        <v>31</v>
      </c>
      <c r="C8" s="133">
        <v>0</v>
      </c>
    </row>
    <row r="9" spans="1:4" x14ac:dyDescent="0.25">
      <c r="A9" s="133" t="s">
        <v>432</v>
      </c>
      <c r="B9" s="26" t="s">
        <v>36</v>
      </c>
      <c r="C9" s="133">
        <v>0</v>
      </c>
    </row>
    <row r="10" spans="1:4" x14ac:dyDescent="0.25">
      <c r="A10" s="133" t="s">
        <v>624</v>
      </c>
      <c r="B10" s="30" t="s">
        <v>625</v>
      </c>
      <c r="C10" s="133">
        <v>0</v>
      </c>
    </row>
    <row r="11" spans="1:4" x14ac:dyDescent="0.25">
      <c r="A11" s="133" t="s">
        <v>467</v>
      </c>
      <c r="B11" s="26" t="s">
        <v>42</v>
      </c>
      <c r="C11" s="133">
        <v>0</v>
      </c>
    </row>
  </sheetData>
  <mergeCells count="4">
    <mergeCell ref="A1:B1"/>
    <mergeCell ref="A2:C2"/>
    <mergeCell ref="A3:B3"/>
    <mergeCell ref="A7:B7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4"/>
    </sheetView>
  </sheetViews>
  <sheetFormatPr defaultRowHeight="15" x14ac:dyDescent="0.25"/>
  <cols>
    <col min="1" max="1" width="27.7109375" customWidth="1"/>
    <col min="2" max="2" width="19.7109375" customWidth="1"/>
    <col min="3" max="3" width="17" customWidth="1"/>
    <col min="4" max="4" width="21.85546875" customWidth="1"/>
  </cols>
  <sheetData>
    <row r="1" spans="1:4" ht="15.75" x14ac:dyDescent="0.25">
      <c r="A1" s="326" t="s">
        <v>606</v>
      </c>
      <c r="B1" s="326"/>
      <c r="C1" s="326"/>
      <c r="D1" s="326"/>
    </row>
    <row r="2" spans="1:4" x14ac:dyDescent="0.25">
      <c r="A2" s="301" t="s">
        <v>630</v>
      </c>
      <c r="B2" s="301"/>
      <c r="C2" s="301"/>
      <c r="D2" s="301"/>
    </row>
    <row r="3" spans="1:4" x14ac:dyDescent="0.25">
      <c r="A3" s="301" t="s">
        <v>167</v>
      </c>
      <c r="B3" s="301"/>
      <c r="C3" s="301"/>
      <c r="D3" s="301"/>
    </row>
    <row r="4" spans="1:4" x14ac:dyDescent="0.25">
      <c r="A4" s="7"/>
      <c r="B4" s="7"/>
      <c r="C4" s="7"/>
      <c r="D4" s="201" t="s">
        <v>194</v>
      </c>
    </row>
    <row r="5" spans="1:4" x14ac:dyDescent="0.25">
      <c r="A5" s="7"/>
      <c r="B5" s="7"/>
      <c r="C5" s="7"/>
      <c r="D5" s="201" t="s">
        <v>629</v>
      </c>
    </row>
    <row r="6" spans="1:4" x14ac:dyDescent="0.25">
      <c r="A6" s="7"/>
      <c r="B6" s="7"/>
      <c r="C6" s="7"/>
      <c r="D6" s="201"/>
    </row>
    <row r="7" spans="1:4" x14ac:dyDescent="0.25">
      <c r="A7" s="316"/>
      <c r="B7" s="316"/>
      <c r="C7" s="7"/>
      <c r="D7" s="201"/>
    </row>
    <row r="8" spans="1:4" x14ac:dyDescent="0.25">
      <c r="A8" s="7"/>
      <c r="B8" s="7"/>
      <c r="C8" s="7"/>
      <c r="D8" s="201"/>
    </row>
    <row r="9" spans="1:4" x14ac:dyDescent="0.25">
      <c r="A9" s="52" t="s">
        <v>5</v>
      </c>
      <c r="B9" s="50">
        <v>0</v>
      </c>
      <c r="C9" s="7"/>
      <c r="D9" s="201"/>
    </row>
    <row r="10" spans="1:4" ht="30" x14ac:dyDescent="0.25">
      <c r="A10" s="52" t="s">
        <v>6</v>
      </c>
      <c r="B10" s="50">
        <v>0</v>
      </c>
      <c r="C10" s="7"/>
      <c r="D10" s="201"/>
    </row>
    <row r="11" spans="1:4" x14ac:dyDescent="0.25">
      <c r="A11" s="52" t="s">
        <v>150</v>
      </c>
      <c r="B11" s="50">
        <v>0</v>
      </c>
      <c r="C11" s="7"/>
      <c r="D11" s="201"/>
    </row>
    <row r="12" spans="1:4" x14ac:dyDescent="0.25">
      <c r="A12" s="52" t="s">
        <v>31</v>
      </c>
      <c r="B12" s="50">
        <v>0</v>
      </c>
      <c r="C12" s="7"/>
      <c r="D12" s="201"/>
    </row>
    <row r="13" spans="1:4" ht="15.75" x14ac:dyDescent="0.25">
      <c r="A13" s="48" t="s">
        <v>43</v>
      </c>
      <c r="B13" s="48">
        <f>SUM(B9:B12)</f>
        <v>0</v>
      </c>
      <c r="C13" s="7"/>
      <c r="D13" s="201"/>
    </row>
  </sheetData>
  <mergeCells count="4">
    <mergeCell ref="A1:D1"/>
    <mergeCell ref="A2:D2"/>
    <mergeCell ref="A3:D3"/>
    <mergeCell ref="A7:B7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3"/>
    </sheetView>
  </sheetViews>
  <sheetFormatPr defaultRowHeight="15" x14ac:dyDescent="0.25"/>
  <cols>
    <col min="1" max="1" width="26.5703125" customWidth="1"/>
    <col min="2" max="2" width="14.7109375" customWidth="1"/>
    <col min="3" max="3" width="13.7109375" customWidth="1"/>
    <col min="4" max="4" width="18.7109375" customWidth="1"/>
  </cols>
  <sheetData>
    <row r="1" spans="1:4" ht="15.75" x14ac:dyDescent="0.25">
      <c r="A1" s="326" t="s">
        <v>627</v>
      </c>
      <c r="B1" s="326"/>
      <c r="C1" s="326"/>
      <c r="D1" s="326"/>
    </row>
    <row r="2" spans="1:4" x14ac:dyDescent="0.25">
      <c r="A2" s="301" t="s">
        <v>628</v>
      </c>
      <c r="B2" s="301"/>
      <c r="C2" s="301"/>
      <c r="D2" s="301"/>
    </row>
    <row r="3" spans="1:4" x14ac:dyDescent="0.25">
      <c r="A3" s="301" t="s">
        <v>116</v>
      </c>
      <c r="B3" s="301"/>
      <c r="C3" s="301"/>
      <c r="D3" s="301"/>
    </row>
    <row r="4" spans="1:4" x14ac:dyDescent="0.25">
      <c r="A4" s="119"/>
      <c r="B4" s="64"/>
      <c r="C4" s="119"/>
      <c r="D4" s="119"/>
    </row>
    <row r="5" spans="1:4" x14ac:dyDescent="0.25">
      <c r="A5" s="7"/>
      <c r="B5" s="7"/>
      <c r="C5" s="7"/>
      <c r="D5" s="201" t="s">
        <v>212</v>
      </c>
    </row>
    <row r="6" spans="1:4" x14ac:dyDescent="0.25">
      <c r="A6" s="7"/>
      <c r="B6" s="7"/>
      <c r="C6" s="7"/>
      <c r="D6" s="201" t="s">
        <v>629</v>
      </c>
    </row>
    <row r="7" spans="1:4" x14ac:dyDescent="0.25">
      <c r="A7" s="7"/>
      <c r="B7" s="7"/>
      <c r="C7" s="7"/>
      <c r="D7" s="201" t="s">
        <v>167</v>
      </c>
    </row>
    <row r="8" spans="1:4" x14ac:dyDescent="0.25">
      <c r="A8" s="7"/>
      <c r="B8" s="7"/>
      <c r="C8" s="7"/>
      <c r="D8" s="201"/>
    </row>
    <row r="9" spans="1:4" x14ac:dyDescent="0.25">
      <c r="A9" s="350"/>
      <c r="B9" s="350"/>
      <c r="C9" s="350"/>
      <c r="D9" s="350"/>
    </row>
    <row r="10" spans="1:4" x14ac:dyDescent="0.25">
      <c r="A10" s="21" t="s">
        <v>1</v>
      </c>
      <c r="B10" s="21" t="s">
        <v>202</v>
      </c>
      <c r="C10" s="21" t="s">
        <v>203</v>
      </c>
      <c r="D10" s="21" t="s">
        <v>141</v>
      </c>
    </row>
    <row r="11" spans="1:4" x14ac:dyDescent="0.25">
      <c r="A11" s="21" t="s">
        <v>204</v>
      </c>
      <c r="B11" s="21">
        <v>0</v>
      </c>
      <c r="C11" s="21">
        <v>0</v>
      </c>
      <c r="D11" s="21">
        <v>0</v>
      </c>
    </row>
    <row r="12" spans="1:4" x14ac:dyDescent="0.25">
      <c r="A12" s="21" t="s">
        <v>161</v>
      </c>
      <c r="B12" s="21">
        <v>0</v>
      </c>
      <c r="C12" s="21">
        <v>0</v>
      </c>
      <c r="D12" s="21">
        <v>0</v>
      </c>
    </row>
    <row r="13" spans="1:4" x14ac:dyDescent="0.25">
      <c r="A13" s="10" t="s">
        <v>205</v>
      </c>
      <c r="B13" s="21">
        <v>0</v>
      </c>
      <c r="C13" s="21">
        <v>0</v>
      </c>
      <c r="D13" s="21">
        <v>0</v>
      </c>
    </row>
  </sheetData>
  <mergeCells count="4">
    <mergeCell ref="A1:D1"/>
    <mergeCell ref="A2:D2"/>
    <mergeCell ref="A3:D3"/>
    <mergeCell ref="A9:D9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sqref="A1:D29"/>
    </sheetView>
  </sheetViews>
  <sheetFormatPr defaultRowHeight="15" x14ac:dyDescent="0.25"/>
  <cols>
    <col min="1" max="1" width="46.5703125" customWidth="1"/>
    <col min="2" max="2" width="10.5703125" bestFit="1" customWidth="1"/>
  </cols>
  <sheetData>
    <row r="1" spans="1:4" ht="15.75" x14ac:dyDescent="0.25">
      <c r="A1" s="326" t="s">
        <v>627</v>
      </c>
      <c r="B1" s="326"/>
      <c r="C1" s="326"/>
      <c r="D1" s="326"/>
    </row>
    <row r="2" spans="1:4" x14ac:dyDescent="0.25">
      <c r="A2" s="301" t="s">
        <v>128</v>
      </c>
      <c r="B2" s="301"/>
      <c r="C2" s="301"/>
      <c r="D2" s="301"/>
    </row>
    <row r="3" spans="1:4" x14ac:dyDescent="0.25">
      <c r="A3" s="197"/>
      <c r="B3" s="197"/>
      <c r="C3" s="197"/>
      <c r="D3" s="197"/>
    </row>
    <row r="4" spans="1:4" x14ac:dyDescent="0.25">
      <c r="A4" s="7"/>
      <c r="B4" s="7"/>
      <c r="C4" s="352" t="s">
        <v>200</v>
      </c>
      <c r="D4" s="352"/>
    </row>
    <row r="5" spans="1:4" x14ac:dyDescent="0.25">
      <c r="A5" s="7"/>
      <c r="B5" s="7"/>
      <c r="C5" s="296" t="s">
        <v>613</v>
      </c>
      <c r="D5" s="296"/>
    </row>
    <row r="6" spans="1:4" x14ac:dyDescent="0.25">
      <c r="A6" s="7"/>
      <c r="B6" s="7"/>
      <c r="C6" s="353" t="s">
        <v>167</v>
      </c>
      <c r="D6" s="353"/>
    </row>
    <row r="7" spans="1:4" ht="15.75" x14ac:dyDescent="0.25">
      <c r="A7" s="47" t="s">
        <v>1</v>
      </c>
      <c r="B7" s="70">
        <v>2016</v>
      </c>
      <c r="C7" s="70">
        <v>2017</v>
      </c>
      <c r="D7" s="70">
        <v>2018</v>
      </c>
    </row>
    <row r="8" spans="1:4" x14ac:dyDescent="0.25">
      <c r="A8" s="299" t="s">
        <v>201</v>
      </c>
      <c r="B8" s="314"/>
      <c r="C8" s="314"/>
      <c r="D8" s="300"/>
    </row>
    <row r="9" spans="1:4" x14ac:dyDescent="0.25">
      <c r="A9" s="56" t="s">
        <v>83</v>
      </c>
      <c r="B9" s="156"/>
      <c r="C9" s="55"/>
      <c r="D9" s="55"/>
    </row>
    <row r="10" spans="1:4" x14ac:dyDescent="0.25">
      <c r="A10" s="69" t="s">
        <v>70</v>
      </c>
      <c r="B10" s="68"/>
      <c r="C10" s="55"/>
      <c r="D10" s="55"/>
    </row>
    <row r="11" spans="1:4" x14ac:dyDescent="0.25">
      <c r="A11" s="56" t="s">
        <v>117</v>
      </c>
      <c r="B11" s="68"/>
      <c r="C11" s="55"/>
      <c r="D11" s="55"/>
    </row>
    <row r="12" spans="1:4" x14ac:dyDescent="0.25">
      <c r="A12" s="82" t="s">
        <v>118</v>
      </c>
      <c r="B12" s="83">
        <v>390843</v>
      </c>
      <c r="C12" s="84"/>
      <c r="D12" s="84"/>
    </row>
    <row r="13" spans="1:4" x14ac:dyDescent="0.25">
      <c r="A13" s="74" t="s">
        <v>119</v>
      </c>
      <c r="B13" s="121">
        <f>SUM(B9:B12)</f>
        <v>390843</v>
      </c>
      <c r="C13" s="121">
        <f>SUM(C9:C12)</f>
        <v>0</v>
      </c>
      <c r="D13" s="121">
        <f>SUM(D9:D12)</f>
        <v>0</v>
      </c>
    </row>
    <row r="14" spans="1:4" x14ac:dyDescent="0.25">
      <c r="A14" s="56" t="s">
        <v>5</v>
      </c>
      <c r="B14" s="68">
        <v>0</v>
      </c>
      <c r="C14" s="55"/>
      <c r="D14" s="55"/>
    </row>
    <row r="15" spans="1:4" x14ac:dyDescent="0.25">
      <c r="A15" s="69" t="s">
        <v>120</v>
      </c>
      <c r="B15" s="68">
        <v>18000</v>
      </c>
      <c r="C15" s="55"/>
      <c r="D15" s="55"/>
    </row>
    <row r="16" spans="1:4" x14ac:dyDescent="0.25">
      <c r="A16" s="56" t="s">
        <v>87</v>
      </c>
      <c r="B16" s="68">
        <v>373076</v>
      </c>
      <c r="C16" s="55"/>
      <c r="D16" s="55"/>
    </row>
    <row r="17" spans="1:4" x14ac:dyDescent="0.25">
      <c r="A17" s="56" t="s">
        <v>88</v>
      </c>
      <c r="B17" s="68">
        <v>0</v>
      </c>
      <c r="C17" s="55"/>
      <c r="D17" s="55"/>
    </row>
    <row r="18" spans="1:4" x14ac:dyDescent="0.25">
      <c r="A18" s="56" t="s">
        <v>42</v>
      </c>
      <c r="B18" s="68">
        <v>0</v>
      </c>
      <c r="C18" s="55"/>
      <c r="D18" s="55"/>
    </row>
    <row r="19" spans="1:4" x14ac:dyDescent="0.25">
      <c r="A19" s="41" t="s">
        <v>207</v>
      </c>
      <c r="B19" s="68">
        <v>0</v>
      </c>
      <c r="C19" s="55"/>
      <c r="D19" s="55"/>
    </row>
    <row r="20" spans="1:4" x14ac:dyDescent="0.25">
      <c r="A20" s="74" t="s">
        <v>121</v>
      </c>
      <c r="B20" s="121">
        <f>SUM(B14:B19)</f>
        <v>391076</v>
      </c>
      <c r="C20" s="121">
        <f>SUM(C14:C19)</f>
        <v>0</v>
      </c>
      <c r="D20" s="78">
        <f>C20*1.03</f>
        <v>0</v>
      </c>
    </row>
    <row r="21" spans="1:4" x14ac:dyDescent="0.25">
      <c r="A21" s="351" t="s">
        <v>122</v>
      </c>
      <c r="B21" s="351"/>
      <c r="C21" s="351"/>
      <c r="D21" s="351"/>
    </row>
    <row r="22" spans="1:4" x14ac:dyDescent="0.25">
      <c r="A22" s="69" t="s">
        <v>208</v>
      </c>
      <c r="B22" s="68">
        <v>0</v>
      </c>
      <c r="C22" s="68"/>
      <c r="D22" s="68"/>
    </row>
    <row r="23" spans="1:4" x14ac:dyDescent="0.25">
      <c r="A23" s="74" t="s">
        <v>123</v>
      </c>
      <c r="B23" s="75">
        <f>SUM(B22:B22)</f>
        <v>0</v>
      </c>
      <c r="C23" s="75">
        <f>SUM(C22:C22)</f>
        <v>0</v>
      </c>
      <c r="D23" s="75">
        <f>SUM(D22:D22)</f>
        <v>0</v>
      </c>
    </row>
    <row r="24" spans="1:4" x14ac:dyDescent="0.25">
      <c r="A24" s="69" t="s">
        <v>31</v>
      </c>
      <c r="B24" s="68">
        <v>0</v>
      </c>
      <c r="C24" s="68">
        <v>0</v>
      </c>
      <c r="D24" s="68">
        <v>0</v>
      </c>
    </row>
    <row r="25" spans="1:4" x14ac:dyDescent="0.25">
      <c r="A25" s="69" t="s">
        <v>124</v>
      </c>
      <c r="B25" s="1">
        <v>0</v>
      </c>
      <c r="C25" s="68">
        <v>0</v>
      </c>
      <c r="D25" s="68">
        <v>0</v>
      </c>
    </row>
    <row r="26" spans="1:4" x14ac:dyDescent="0.25">
      <c r="A26" s="74" t="s">
        <v>125</v>
      </c>
      <c r="B26" s="75">
        <f>SUM(B24:B25)</f>
        <v>0</v>
      </c>
      <c r="C26" s="75">
        <f t="shared" ref="C26:D26" si="0">SUM(C24:C25)</f>
        <v>0</v>
      </c>
      <c r="D26" s="75">
        <f t="shared" si="0"/>
        <v>0</v>
      </c>
    </row>
    <row r="27" spans="1:4" x14ac:dyDescent="0.25">
      <c r="A27" s="74" t="s">
        <v>264</v>
      </c>
      <c r="B27" s="75">
        <v>233</v>
      </c>
      <c r="C27" s="75"/>
      <c r="D27" s="75"/>
    </row>
    <row r="28" spans="1:4" ht="15.75" x14ac:dyDescent="0.25">
      <c r="A28" s="77" t="s">
        <v>126</v>
      </c>
      <c r="B28" s="122">
        <f>B13+B23+B27</f>
        <v>391076</v>
      </c>
      <c r="C28" s="122">
        <f>SUM(C13+C23)</f>
        <v>0</v>
      </c>
      <c r="D28" s="122">
        <f>SUM(D13+D23)</f>
        <v>0</v>
      </c>
    </row>
    <row r="29" spans="1:4" ht="15.75" x14ac:dyDescent="0.25">
      <c r="A29" s="85" t="s">
        <v>127</v>
      </c>
      <c r="B29" s="123">
        <f>SUM(B20+B26)</f>
        <v>391076</v>
      </c>
      <c r="C29" s="123">
        <f>SUM(C20+C26)</f>
        <v>0</v>
      </c>
      <c r="D29" s="122">
        <f>SUM(D20+D26)</f>
        <v>0</v>
      </c>
    </row>
    <row r="30" spans="1:4" x14ac:dyDescent="0.25">
      <c r="A30" s="66"/>
      <c r="B30" s="66"/>
      <c r="C30" s="66"/>
      <c r="D30" s="66"/>
    </row>
  </sheetData>
  <mergeCells count="7">
    <mergeCell ref="A21:D21"/>
    <mergeCell ref="A1:D1"/>
    <mergeCell ref="A2:D2"/>
    <mergeCell ref="C4:D4"/>
    <mergeCell ref="C5:D5"/>
    <mergeCell ref="C6:D6"/>
    <mergeCell ref="A8:D8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8"/>
    </sheetView>
  </sheetViews>
  <sheetFormatPr defaultRowHeight="15" x14ac:dyDescent="0.25"/>
  <cols>
    <col min="1" max="1" width="30" customWidth="1"/>
    <col min="2" max="2" width="8.5703125" customWidth="1"/>
    <col min="3" max="6" width="7.42578125" customWidth="1"/>
    <col min="7" max="7" width="8.28515625" customWidth="1"/>
    <col min="8" max="13" width="7.42578125" customWidth="1"/>
    <col min="14" max="14" width="11.28515625" customWidth="1"/>
  </cols>
  <sheetData>
    <row r="1" spans="1:14" ht="15.75" x14ac:dyDescent="0.25">
      <c r="A1" s="326" t="s">
        <v>606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x14ac:dyDescent="0.25">
      <c r="A2" s="301" t="s">
        <v>632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4" x14ac:dyDescent="0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4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355" t="s">
        <v>216</v>
      </c>
      <c r="M4" s="355"/>
      <c r="N4" s="355"/>
    </row>
    <row r="5" spans="1:14" x14ac:dyDescent="0.25">
      <c r="A5" s="64"/>
      <c r="L5" s="151"/>
      <c r="M5" s="356" t="s">
        <v>613</v>
      </c>
      <c r="N5" s="356"/>
    </row>
    <row r="6" spans="1:14" x14ac:dyDescent="0.25">
      <c r="A6" s="64"/>
      <c r="L6" s="357" t="s">
        <v>167</v>
      </c>
      <c r="M6" s="357"/>
      <c r="N6" s="357"/>
    </row>
    <row r="7" spans="1:14" x14ac:dyDescent="0.25">
      <c r="A7" s="316" t="s">
        <v>45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</row>
    <row r="8" spans="1:14" x14ac:dyDescent="0.25">
      <c r="A8" s="64"/>
    </row>
    <row r="9" spans="1:14" x14ac:dyDescent="0.25">
      <c r="A9" s="200" t="s">
        <v>1</v>
      </c>
      <c r="B9" s="62" t="s">
        <v>129</v>
      </c>
      <c r="C9" s="62" t="s">
        <v>130</v>
      </c>
      <c r="D9" s="62" t="s">
        <v>131</v>
      </c>
      <c r="E9" s="62" t="s">
        <v>132</v>
      </c>
      <c r="F9" s="62" t="s">
        <v>133</v>
      </c>
      <c r="G9" s="62" t="s">
        <v>134</v>
      </c>
      <c r="H9" s="62" t="s">
        <v>135</v>
      </c>
      <c r="I9" s="62" t="s">
        <v>136</v>
      </c>
      <c r="J9" s="62" t="s">
        <v>137</v>
      </c>
      <c r="K9" s="62" t="s">
        <v>138</v>
      </c>
      <c r="L9" s="62" t="s">
        <v>139</v>
      </c>
      <c r="M9" s="62" t="s">
        <v>140</v>
      </c>
      <c r="N9" s="62" t="s">
        <v>141</v>
      </c>
    </row>
    <row r="10" spans="1:14" x14ac:dyDescent="0.25">
      <c r="A10" s="69" t="s">
        <v>142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5">
      <c r="A11" s="69" t="s">
        <v>143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30" x14ac:dyDescent="0.25">
      <c r="A12" s="10" t="s">
        <v>213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30" x14ac:dyDescent="0.25">
      <c r="A13" s="69" t="s">
        <v>215</v>
      </c>
      <c r="B13" s="14">
        <v>195422</v>
      </c>
      <c r="C13" s="14"/>
      <c r="D13" s="14"/>
      <c r="E13" s="14"/>
      <c r="F13" s="14"/>
      <c r="G13" s="14">
        <v>195421</v>
      </c>
      <c r="H13" s="14"/>
      <c r="I13" s="14"/>
      <c r="J13" s="14"/>
      <c r="K13" s="14"/>
      <c r="L13" s="14"/>
      <c r="M13" s="14"/>
      <c r="N13" s="14">
        <f>SUM(B13:M13)</f>
        <v>390843</v>
      </c>
    </row>
    <row r="14" spans="1:14" x14ac:dyDescent="0.25">
      <c r="A14" s="69" t="s">
        <v>214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>
        <f t="shared" ref="N14:N15" si="0">SUM(B14:M14)</f>
        <v>0</v>
      </c>
    </row>
    <row r="15" spans="1:14" x14ac:dyDescent="0.25">
      <c r="A15" s="69" t="s">
        <v>633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>
        <v>233</v>
      </c>
      <c r="N15" s="14">
        <f t="shared" si="0"/>
        <v>233</v>
      </c>
    </row>
    <row r="16" spans="1:14" x14ac:dyDescent="0.25">
      <c r="A16" s="89" t="s">
        <v>144</v>
      </c>
      <c r="B16" s="88">
        <f>SUM(B10:B14)</f>
        <v>195422</v>
      </c>
      <c r="C16" s="88">
        <f t="shared" ref="C16:M16" si="1">SUM(C10:C14)</f>
        <v>0</v>
      </c>
      <c r="D16" s="88">
        <f t="shared" si="1"/>
        <v>0</v>
      </c>
      <c r="E16" s="88">
        <f t="shared" si="1"/>
        <v>0</v>
      </c>
      <c r="F16" s="88">
        <f t="shared" si="1"/>
        <v>0</v>
      </c>
      <c r="G16" s="88">
        <f t="shared" si="1"/>
        <v>195421</v>
      </c>
      <c r="H16" s="88">
        <f t="shared" si="1"/>
        <v>0</v>
      </c>
      <c r="I16" s="88">
        <f t="shared" si="1"/>
        <v>0</v>
      </c>
      <c r="J16" s="88">
        <f t="shared" si="1"/>
        <v>0</v>
      </c>
      <c r="K16" s="88">
        <f t="shared" si="1"/>
        <v>0</v>
      </c>
      <c r="L16" s="88">
        <f t="shared" si="1"/>
        <v>0</v>
      </c>
      <c r="M16" s="88">
        <f t="shared" si="1"/>
        <v>0</v>
      </c>
      <c r="N16" s="88">
        <f>SUM(N10:N15)</f>
        <v>391076</v>
      </c>
    </row>
    <row r="17" spans="1:14" x14ac:dyDescent="0.25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1:14" x14ac:dyDescent="0.25">
      <c r="A18" s="354" t="s">
        <v>0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</row>
    <row r="19" spans="1:14" x14ac:dyDescent="0.25">
      <c r="A19" s="90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4" x14ac:dyDescent="0.25">
      <c r="A20" s="200" t="s">
        <v>1</v>
      </c>
      <c r="B20" s="62" t="s">
        <v>129</v>
      </c>
      <c r="C20" s="62" t="s">
        <v>130</v>
      </c>
      <c r="D20" s="62" t="s">
        <v>131</v>
      </c>
      <c r="E20" s="62" t="s">
        <v>132</v>
      </c>
      <c r="F20" s="62" t="s">
        <v>133</v>
      </c>
      <c r="G20" s="62" t="s">
        <v>134</v>
      </c>
      <c r="H20" s="62" t="s">
        <v>135</v>
      </c>
      <c r="I20" s="62" t="s">
        <v>136</v>
      </c>
      <c r="J20" s="62" t="s">
        <v>137</v>
      </c>
      <c r="K20" s="62" t="s">
        <v>138</v>
      </c>
      <c r="L20" s="62" t="s">
        <v>139</v>
      </c>
      <c r="M20" s="62" t="s">
        <v>140</v>
      </c>
      <c r="N20" s="62" t="s">
        <v>141</v>
      </c>
    </row>
    <row r="21" spans="1:14" x14ac:dyDescent="0.25">
      <c r="A21" s="56" t="s">
        <v>145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f>SUM(B21:M21)</f>
        <v>0</v>
      </c>
    </row>
    <row r="22" spans="1:14" x14ac:dyDescent="0.25">
      <c r="A22" s="56" t="s">
        <v>146</v>
      </c>
      <c r="B22" s="14">
        <v>1500</v>
      </c>
      <c r="C22" s="14">
        <v>1500</v>
      </c>
      <c r="D22" s="14">
        <v>1500</v>
      </c>
      <c r="E22" s="14">
        <v>1500</v>
      </c>
      <c r="F22" s="14">
        <v>1500</v>
      </c>
      <c r="G22" s="14">
        <v>1500</v>
      </c>
      <c r="H22" s="14">
        <v>1500</v>
      </c>
      <c r="I22" s="14">
        <v>1500</v>
      </c>
      <c r="J22" s="14">
        <v>1500</v>
      </c>
      <c r="K22" s="14">
        <v>1500</v>
      </c>
      <c r="L22" s="14">
        <v>1500</v>
      </c>
      <c r="M22" s="14">
        <v>1500</v>
      </c>
      <c r="N22" s="14">
        <f t="shared" ref="N22:N27" si="2">SUM(B22:M22)</f>
        <v>18000</v>
      </c>
    </row>
    <row r="23" spans="1:14" ht="30" x14ac:dyDescent="0.25">
      <c r="A23" s="69" t="s">
        <v>147</v>
      </c>
      <c r="B23" s="14"/>
      <c r="C23" s="14">
        <v>33916</v>
      </c>
      <c r="D23" s="14">
        <v>33916</v>
      </c>
      <c r="E23" s="14">
        <v>33916</v>
      </c>
      <c r="F23" s="14">
        <v>33916</v>
      </c>
      <c r="G23" s="14">
        <v>33916</v>
      </c>
      <c r="H23" s="14">
        <v>33916</v>
      </c>
      <c r="I23" s="14">
        <v>33916</v>
      </c>
      <c r="J23" s="14">
        <v>33916</v>
      </c>
      <c r="K23" s="14">
        <v>33916</v>
      </c>
      <c r="L23" s="14">
        <v>33916</v>
      </c>
      <c r="M23" s="14">
        <v>33916</v>
      </c>
      <c r="N23" s="14">
        <f t="shared" si="2"/>
        <v>373076</v>
      </c>
    </row>
    <row r="24" spans="1:14" x14ac:dyDescent="0.25">
      <c r="A24" s="10" t="s">
        <v>210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f t="shared" si="2"/>
        <v>0</v>
      </c>
    </row>
    <row r="25" spans="1:14" x14ac:dyDescent="0.25">
      <c r="A25" s="10" t="s">
        <v>211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f t="shared" si="2"/>
        <v>0</v>
      </c>
    </row>
    <row r="26" spans="1:14" ht="30" x14ac:dyDescent="0.25">
      <c r="A26" s="10" t="s">
        <v>217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f t="shared" si="2"/>
        <v>0</v>
      </c>
    </row>
    <row r="27" spans="1:14" ht="30" x14ac:dyDescent="0.25">
      <c r="A27" s="69" t="s">
        <v>473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>
        <f t="shared" si="2"/>
        <v>0</v>
      </c>
    </row>
    <row r="28" spans="1:14" x14ac:dyDescent="0.25">
      <c r="A28" s="60" t="s">
        <v>148</v>
      </c>
      <c r="B28" s="88">
        <f>SUM(B21:B27)</f>
        <v>1500</v>
      </c>
      <c r="C28" s="88">
        <f t="shared" ref="C28:M28" si="3">SUM(C21:C27)</f>
        <v>35416</v>
      </c>
      <c r="D28" s="88">
        <f t="shared" si="3"/>
        <v>35416</v>
      </c>
      <c r="E28" s="88">
        <f t="shared" si="3"/>
        <v>35416</v>
      </c>
      <c r="F28" s="88">
        <f t="shared" si="3"/>
        <v>35416</v>
      </c>
      <c r="G28" s="88">
        <f t="shared" si="3"/>
        <v>35416</v>
      </c>
      <c r="H28" s="88">
        <f t="shared" si="3"/>
        <v>35416</v>
      </c>
      <c r="I28" s="88">
        <f t="shared" si="3"/>
        <v>35416</v>
      </c>
      <c r="J28" s="88">
        <f t="shared" si="3"/>
        <v>35416</v>
      </c>
      <c r="K28" s="88">
        <f t="shared" si="3"/>
        <v>35416</v>
      </c>
      <c r="L28" s="88">
        <f t="shared" si="3"/>
        <v>35416</v>
      </c>
      <c r="M28" s="88">
        <f t="shared" si="3"/>
        <v>35416</v>
      </c>
      <c r="N28" s="15">
        <f>SUM(N21:N27)</f>
        <v>391076</v>
      </c>
    </row>
  </sheetData>
  <mergeCells count="7">
    <mergeCell ref="A18:N18"/>
    <mergeCell ref="A1:N1"/>
    <mergeCell ref="A2:N2"/>
    <mergeCell ref="L4:N4"/>
    <mergeCell ref="M5:N5"/>
    <mergeCell ref="L6:N6"/>
    <mergeCell ref="A7:N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8"/>
    </sheetView>
  </sheetViews>
  <sheetFormatPr defaultRowHeight="15" x14ac:dyDescent="0.25"/>
  <cols>
    <col min="1" max="1" width="53.42578125" customWidth="1"/>
  </cols>
  <sheetData>
    <row r="1" spans="1:6" x14ac:dyDescent="0.25">
      <c r="A1" s="316" t="s">
        <v>606</v>
      </c>
      <c r="B1" s="316"/>
      <c r="C1" s="316"/>
      <c r="D1" s="316"/>
      <c r="E1" s="316"/>
      <c r="F1" s="316"/>
    </row>
    <row r="2" spans="1:6" x14ac:dyDescent="0.25">
      <c r="A2" s="356" t="s">
        <v>631</v>
      </c>
      <c r="B2" s="356"/>
      <c r="C2" s="356"/>
      <c r="D2" s="356"/>
      <c r="E2" s="356"/>
      <c r="F2" s="356"/>
    </row>
    <row r="3" spans="1:6" x14ac:dyDescent="0.25">
      <c r="A3" s="204"/>
      <c r="B3" s="204"/>
      <c r="C3" s="204"/>
      <c r="D3" s="204"/>
      <c r="E3" s="204"/>
      <c r="F3" s="204"/>
    </row>
    <row r="4" spans="1:6" x14ac:dyDescent="0.25">
      <c r="A4" s="204"/>
      <c r="B4" s="204"/>
      <c r="C4" s="204"/>
      <c r="D4" s="204"/>
      <c r="E4" s="357" t="s">
        <v>250</v>
      </c>
      <c r="F4" s="357"/>
    </row>
    <row r="5" spans="1:6" x14ac:dyDescent="0.25">
      <c r="E5" s="358" t="s">
        <v>613</v>
      </c>
      <c r="F5" s="358"/>
    </row>
    <row r="6" spans="1:6" ht="15.75" thickBot="1" x14ac:dyDescent="0.3">
      <c r="E6" s="96"/>
      <c r="F6" s="96"/>
    </row>
    <row r="7" spans="1:6" ht="32.25" thickBot="1" x14ac:dyDescent="0.3">
      <c r="A7" s="97" t="s">
        <v>1</v>
      </c>
      <c r="B7" s="98" t="s">
        <v>234</v>
      </c>
      <c r="C7" s="98" t="s">
        <v>235</v>
      </c>
      <c r="D7" s="98" t="s">
        <v>236</v>
      </c>
      <c r="E7" s="98" t="s">
        <v>237</v>
      </c>
      <c r="F7" s="98" t="s">
        <v>238</v>
      </c>
    </row>
    <row r="8" spans="1:6" ht="16.5" thickBot="1" x14ac:dyDescent="0.3">
      <c r="A8" s="93" t="s">
        <v>239</v>
      </c>
      <c r="B8" s="94">
        <v>1</v>
      </c>
      <c r="C8" s="94">
        <v>0</v>
      </c>
      <c r="D8" s="94">
        <v>0</v>
      </c>
      <c r="E8" s="94">
        <v>0</v>
      </c>
      <c r="F8" s="94">
        <v>0</v>
      </c>
    </row>
    <row r="9" spans="1:6" ht="16.5" thickBot="1" x14ac:dyDescent="0.3">
      <c r="A9" s="93" t="s">
        <v>240</v>
      </c>
      <c r="B9" s="94">
        <v>2</v>
      </c>
      <c r="C9" s="94">
        <v>0</v>
      </c>
      <c r="D9" s="94">
        <v>0</v>
      </c>
      <c r="E9" s="94">
        <v>0</v>
      </c>
      <c r="F9" s="94">
        <v>0</v>
      </c>
    </row>
    <row r="10" spans="1:6" ht="16.5" thickBot="1" x14ac:dyDescent="0.3">
      <c r="A10" s="93" t="s">
        <v>241</v>
      </c>
      <c r="B10" s="94">
        <v>3</v>
      </c>
      <c r="C10" s="94">
        <v>0</v>
      </c>
      <c r="D10" s="94">
        <v>0</v>
      </c>
      <c r="E10" s="94">
        <v>0</v>
      </c>
      <c r="F10" s="94">
        <v>0</v>
      </c>
    </row>
    <row r="11" spans="1:6" ht="32.25" thickBot="1" x14ac:dyDescent="0.3">
      <c r="A11" s="93" t="s">
        <v>242</v>
      </c>
      <c r="B11" s="94">
        <v>4</v>
      </c>
      <c r="C11" s="94">
        <v>0</v>
      </c>
      <c r="D11" s="94">
        <v>0</v>
      </c>
      <c r="E11" s="94">
        <v>0</v>
      </c>
      <c r="F11" s="94">
        <v>0</v>
      </c>
    </row>
    <row r="12" spans="1:6" ht="16.5" thickBot="1" x14ac:dyDescent="0.3">
      <c r="A12" s="93" t="s">
        <v>243</v>
      </c>
      <c r="B12" s="94">
        <v>5</v>
      </c>
      <c r="C12" s="94">
        <v>0</v>
      </c>
      <c r="D12" s="94">
        <v>0</v>
      </c>
      <c r="E12" s="94">
        <v>0</v>
      </c>
      <c r="F12" s="94">
        <v>0</v>
      </c>
    </row>
    <row r="13" spans="1:6" ht="16.5" thickBot="1" x14ac:dyDescent="0.3">
      <c r="A13" s="99" t="s">
        <v>244</v>
      </c>
      <c r="B13" s="100">
        <v>6</v>
      </c>
      <c r="C13" s="100">
        <f>C12*0.5</f>
        <v>0</v>
      </c>
      <c r="D13" s="120">
        <f t="shared" ref="D13:F13" si="0">D12*0.5</f>
        <v>0</v>
      </c>
      <c r="E13" s="120">
        <f t="shared" si="0"/>
        <v>0</v>
      </c>
      <c r="F13" s="120">
        <f t="shared" si="0"/>
        <v>0</v>
      </c>
    </row>
    <row r="14" spans="1:6" ht="32.25" thickBot="1" x14ac:dyDescent="0.3">
      <c r="A14" s="93" t="s">
        <v>245</v>
      </c>
      <c r="B14" s="94">
        <v>7</v>
      </c>
      <c r="C14" s="94">
        <v>0</v>
      </c>
      <c r="D14" s="94">
        <v>0</v>
      </c>
      <c r="E14" s="94">
        <v>0</v>
      </c>
      <c r="F14" s="94">
        <v>0</v>
      </c>
    </row>
    <row r="15" spans="1:6" ht="16.5" thickBot="1" x14ac:dyDescent="0.3">
      <c r="A15" s="93" t="s">
        <v>246</v>
      </c>
      <c r="B15" s="94">
        <v>8</v>
      </c>
      <c r="C15" s="94">
        <v>0</v>
      </c>
      <c r="D15" s="94">
        <v>0</v>
      </c>
      <c r="E15" s="94">
        <v>0</v>
      </c>
      <c r="F15" s="94">
        <v>0</v>
      </c>
    </row>
    <row r="16" spans="1:6" ht="32.25" thickBot="1" x14ac:dyDescent="0.3">
      <c r="A16" s="93" t="s">
        <v>247</v>
      </c>
      <c r="B16" s="94">
        <v>9</v>
      </c>
      <c r="C16" s="94">
        <v>0</v>
      </c>
      <c r="D16" s="94">
        <v>0</v>
      </c>
      <c r="E16" s="94">
        <v>0</v>
      </c>
      <c r="F16" s="94">
        <v>0</v>
      </c>
    </row>
    <row r="17" spans="1:6" ht="16.5" thickBot="1" x14ac:dyDescent="0.3">
      <c r="A17" s="99" t="s">
        <v>248</v>
      </c>
      <c r="B17" s="100">
        <v>10</v>
      </c>
      <c r="C17" s="100">
        <v>0</v>
      </c>
      <c r="D17" s="120">
        <v>0</v>
      </c>
      <c r="E17" s="120">
        <v>0</v>
      </c>
      <c r="F17" s="120">
        <v>0</v>
      </c>
    </row>
    <row r="18" spans="1:6" ht="32.25" thickBot="1" x14ac:dyDescent="0.3">
      <c r="A18" s="99" t="s">
        <v>249</v>
      </c>
      <c r="B18" s="100">
        <v>11</v>
      </c>
      <c r="C18" s="120">
        <f>C13</f>
        <v>0</v>
      </c>
      <c r="D18" s="120">
        <f t="shared" ref="D18:F18" si="1">D13</f>
        <v>0</v>
      </c>
      <c r="E18" s="120">
        <f t="shared" si="1"/>
        <v>0</v>
      </c>
      <c r="F18" s="120">
        <f t="shared" si="1"/>
        <v>0</v>
      </c>
    </row>
  </sheetData>
  <mergeCells count="4">
    <mergeCell ref="A1:F1"/>
    <mergeCell ref="A2:F2"/>
    <mergeCell ref="E4:F4"/>
    <mergeCell ref="E5:F5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C14"/>
    </sheetView>
  </sheetViews>
  <sheetFormatPr defaultRowHeight="15" x14ac:dyDescent="0.25"/>
  <cols>
    <col min="1" max="1" width="30.7109375" customWidth="1"/>
    <col min="2" max="2" width="18.140625" customWidth="1"/>
  </cols>
  <sheetData>
    <row r="1" spans="1:2" x14ac:dyDescent="0.25">
      <c r="A1" s="302" t="s">
        <v>635</v>
      </c>
      <c r="B1" s="302"/>
    </row>
    <row r="2" spans="1:2" x14ac:dyDescent="0.25">
      <c r="A2" s="335" t="s">
        <v>634</v>
      </c>
      <c r="B2" s="335"/>
    </row>
    <row r="3" spans="1:2" x14ac:dyDescent="0.25">
      <c r="A3" s="199"/>
      <c r="B3" s="199"/>
    </row>
    <row r="4" spans="1:2" x14ac:dyDescent="0.25">
      <c r="B4" s="201" t="s">
        <v>253</v>
      </c>
    </row>
    <row r="5" spans="1:2" x14ac:dyDescent="0.25">
      <c r="B5" s="201" t="s">
        <v>254</v>
      </c>
    </row>
    <row r="6" spans="1:2" x14ac:dyDescent="0.25">
      <c r="B6" s="201"/>
    </row>
    <row r="7" spans="1:2" x14ac:dyDescent="0.25">
      <c r="A7" s="2" t="s">
        <v>1</v>
      </c>
      <c r="B7" s="2" t="s">
        <v>252</v>
      </c>
    </row>
    <row r="8" spans="1:2" x14ac:dyDescent="0.25">
      <c r="A8" s="21" t="s">
        <v>98</v>
      </c>
      <c r="B8" s="1"/>
    </row>
    <row r="9" spans="1:2" x14ac:dyDescent="0.25">
      <c r="A9" s="206" t="s">
        <v>636</v>
      </c>
      <c r="B9" s="1">
        <v>1</v>
      </c>
    </row>
    <row r="10" spans="1:2" x14ac:dyDescent="0.25">
      <c r="A10" s="206" t="s">
        <v>637</v>
      </c>
      <c r="B10" s="1">
        <v>1</v>
      </c>
    </row>
    <row r="11" spans="1:2" x14ac:dyDescent="0.25">
      <c r="A11" s="206" t="s">
        <v>638</v>
      </c>
      <c r="B11" s="103">
        <v>1</v>
      </c>
    </row>
    <row r="12" spans="1:2" x14ac:dyDescent="0.25">
      <c r="A12" s="102" t="s">
        <v>141</v>
      </c>
      <c r="B12" s="2">
        <v>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31" workbookViewId="0">
      <selection activeCell="C43" sqref="C43"/>
    </sheetView>
  </sheetViews>
  <sheetFormatPr defaultRowHeight="15" x14ac:dyDescent="0.25"/>
  <cols>
    <col min="2" max="2" width="60.5703125" customWidth="1"/>
    <col min="3" max="3" width="11" bestFit="1" customWidth="1"/>
    <col min="4" max="4" width="17" customWidth="1"/>
  </cols>
  <sheetData>
    <row r="1" spans="1:4" x14ac:dyDescent="0.25">
      <c r="A1" s="302" t="s">
        <v>20</v>
      </c>
      <c r="B1" s="302"/>
      <c r="C1" s="7"/>
      <c r="D1" s="7"/>
    </row>
    <row r="2" spans="1:4" x14ac:dyDescent="0.25">
      <c r="A2" s="291" t="s">
        <v>780</v>
      </c>
      <c r="B2" s="291"/>
      <c r="C2" s="7"/>
      <c r="D2" s="7"/>
    </row>
    <row r="3" spans="1:4" x14ac:dyDescent="0.25">
      <c r="A3" s="19"/>
      <c r="B3" s="19"/>
      <c r="C3" s="7"/>
      <c r="D3" s="7"/>
    </row>
    <row r="4" spans="1:4" x14ac:dyDescent="0.25">
      <c r="A4" s="7"/>
      <c r="B4" s="8" t="s">
        <v>178</v>
      </c>
      <c r="C4" s="7"/>
      <c r="D4" s="7"/>
    </row>
    <row r="5" spans="1:4" x14ac:dyDescent="0.25">
      <c r="A5" s="7"/>
      <c r="B5" s="8" t="s">
        <v>613</v>
      </c>
      <c r="C5" s="7"/>
    </row>
    <row r="6" spans="1:4" ht="28.5" x14ac:dyDescent="0.25">
      <c r="A6" s="303" t="s">
        <v>1</v>
      </c>
      <c r="B6" s="304"/>
      <c r="C6" s="145" t="s">
        <v>168</v>
      </c>
    </row>
    <row r="7" spans="1:4" x14ac:dyDescent="0.25">
      <c r="A7" s="131" t="s">
        <v>355</v>
      </c>
      <c r="B7" s="16" t="s">
        <v>67</v>
      </c>
      <c r="C7" s="16">
        <v>1800000</v>
      </c>
    </row>
    <row r="8" spans="1:4" x14ac:dyDescent="0.25">
      <c r="A8" s="131" t="s">
        <v>356</v>
      </c>
      <c r="B8" s="16" t="s">
        <v>68</v>
      </c>
      <c r="C8" s="16">
        <v>26000000</v>
      </c>
    </row>
    <row r="9" spans="1:4" x14ac:dyDescent="0.25">
      <c r="A9" s="131" t="s">
        <v>446</v>
      </c>
      <c r="B9" s="16" t="s">
        <v>66</v>
      </c>
      <c r="C9" s="16">
        <v>4800000</v>
      </c>
    </row>
    <row r="10" spans="1:4" x14ac:dyDescent="0.25">
      <c r="A10" s="131" t="s">
        <v>447</v>
      </c>
      <c r="B10" s="16" t="s">
        <v>69</v>
      </c>
      <c r="C10" s="16">
        <v>200000</v>
      </c>
    </row>
    <row r="11" spans="1:4" x14ac:dyDescent="0.25">
      <c r="A11" s="132" t="s">
        <v>357</v>
      </c>
      <c r="B11" s="28" t="s">
        <v>358</v>
      </c>
      <c r="C11" s="28">
        <f>SUM(C7:C10)</f>
        <v>32800000</v>
      </c>
    </row>
    <row r="12" spans="1:4" x14ac:dyDescent="0.25">
      <c r="A12" s="131" t="s">
        <v>359</v>
      </c>
      <c r="B12" s="16" t="s">
        <v>360</v>
      </c>
      <c r="C12" s="16">
        <v>50000</v>
      </c>
    </row>
    <row r="13" spans="1:4" x14ac:dyDescent="0.25">
      <c r="A13" s="131" t="s">
        <v>448</v>
      </c>
      <c r="B13" s="16" t="s">
        <v>361</v>
      </c>
      <c r="C13" s="16">
        <v>30000</v>
      </c>
    </row>
    <row r="14" spans="1:4" x14ac:dyDescent="0.25">
      <c r="A14" s="131" t="s">
        <v>449</v>
      </c>
      <c r="B14" s="16" t="s">
        <v>362</v>
      </c>
      <c r="C14" s="16">
        <v>55000</v>
      </c>
    </row>
    <row r="15" spans="1:4" ht="30" x14ac:dyDescent="0.25">
      <c r="A15" s="132" t="s">
        <v>363</v>
      </c>
      <c r="B15" s="28" t="s">
        <v>175</v>
      </c>
      <c r="C15" s="28">
        <f>SUM(C12:C14)</f>
        <v>135000</v>
      </c>
    </row>
    <row r="16" spans="1:4" x14ac:dyDescent="0.25">
      <c r="A16" s="133" t="s">
        <v>364</v>
      </c>
      <c r="B16" s="26" t="s">
        <v>70</v>
      </c>
      <c r="C16" s="26">
        <f>C11+C15</f>
        <v>32935000</v>
      </c>
    </row>
    <row r="17" spans="1:4" x14ac:dyDescent="0.25">
      <c r="A17" s="131" t="s">
        <v>365</v>
      </c>
      <c r="B17" s="16" t="s">
        <v>366</v>
      </c>
      <c r="C17" s="16">
        <v>3000000</v>
      </c>
      <c r="D17" s="305" t="s">
        <v>450</v>
      </c>
    </row>
    <row r="18" spans="1:4" x14ac:dyDescent="0.25">
      <c r="A18" s="131" t="s">
        <v>365</v>
      </c>
      <c r="B18" s="16" t="s">
        <v>367</v>
      </c>
      <c r="C18" s="16">
        <v>100000</v>
      </c>
      <c r="D18" s="305"/>
    </row>
    <row r="19" spans="1:4" x14ac:dyDescent="0.25">
      <c r="A19" s="131" t="s">
        <v>365</v>
      </c>
      <c r="B19" s="16" t="s">
        <v>368</v>
      </c>
      <c r="C19" s="16">
        <v>0</v>
      </c>
      <c r="D19" s="305"/>
    </row>
    <row r="20" spans="1:4" x14ac:dyDescent="0.25">
      <c r="A20" s="131" t="s">
        <v>365</v>
      </c>
      <c r="B20" s="16" t="s">
        <v>369</v>
      </c>
      <c r="C20" s="16">
        <v>0</v>
      </c>
      <c r="D20" s="305"/>
    </row>
    <row r="21" spans="1:4" x14ac:dyDescent="0.25">
      <c r="A21" s="131" t="s">
        <v>365</v>
      </c>
      <c r="B21" s="16" t="s">
        <v>370</v>
      </c>
      <c r="C21" s="16">
        <v>150000</v>
      </c>
      <c r="D21" s="306" t="s">
        <v>451</v>
      </c>
    </row>
    <row r="22" spans="1:4" x14ac:dyDescent="0.25">
      <c r="A22" s="131" t="s">
        <v>365</v>
      </c>
      <c r="B22" s="16" t="s">
        <v>73</v>
      </c>
      <c r="C22" s="16">
        <v>100000</v>
      </c>
      <c r="D22" s="306"/>
    </row>
    <row r="23" spans="1:4" x14ac:dyDescent="0.25">
      <c r="A23" s="131" t="s">
        <v>365</v>
      </c>
      <c r="B23" s="16" t="s">
        <v>76</v>
      </c>
      <c r="C23" s="16">
        <v>110000</v>
      </c>
      <c r="D23" s="306"/>
    </row>
    <row r="24" spans="1:4" x14ac:dyDescent="0.25">
      <c r="A24" s="131" t="s">
        <v>365</v>
      </c>
      <c r="B24" s="16" t="s">
        <v>77</v>
      </c>
      <c r="C24" s="16">
        <v>300000</v>
      </c>
      <c r="D24" s="306"/>
    </row>
    <row r="25" spans="1:4" x14ac:dyDescent="0.25">
      <c r="A25" s="131" t="s">
        <v>365</v>
      </c>
      <c r="B25" s="16" t="s">
        <v>15</v>
      </c>
      <c r="C25" s="16">
        <v>15000</v>
      </c>
      <c r="D25" s="213"/>
    </row>
    <row r="26" spans="1:4" x14ac:dyDescent="0.25">
      <c r="A26" s="132" t="s">
        <v>365</v>
      </c>
      <c r="B26" s="28" t="s">
        <v>71</v>
      </c>
      <c r="C26" s="28">
        <f>SUM(C17:C25)</f>
        <v>3775000</v>
      </c>
    </row>
    <row r="27" spans="1:4" x14ac:dyDescent="0.25">
      <c r="A27" s="131" t="s">
        <v>371</v>
      </c>
      <c r="B27" s="16" t="s">
        <v>675</v>
      </c>
      <c r="C27" s="16">
        <v>0</v>
      </c>
    </row>
    <row r="28" spans="1:4" x14ac:dyDescent="0.25">
      <c r="A28" s="131" t="s">
        <v>373</v>
      </c>
      <c r="B28" s="16" t="s">
        <v>374</v>
      </c>
      <c r="C28" s="16">
        <v>2045000</v>
      </c>
    </row>
    <row r="29" spans="1:4" x14ac:dyDescent="0.25">
      <c r="A29" s="132" t="s">
        <v>375</v>
      </c>
      <c r="B29" s="28" t="s">
        <v>376</v>
      </c>
      <c r="C29" s="28">
        <f>SUM(C27:C28)</f>
        <v>2045000</v>
      </c>
    </row>
    <row r="30" spans="1:4" x14ac:dyDescent="0.25">
      <c r="A30" s="131" t="s">
        <v>377</v>
      </c>
      <c r="B30" s="16" t="s">
        <v>72</v>
      </c>
      <c r="C30" s="16">
        <v>0</v>
      </c>
    </row>
    <row r="31" spans="1:4" x14ac:dyDescent="0.25">
      <c r="A31" s="131" t="s">
        <v>377</v>
      </c>
      <c r="B31" s="16" t="s">
        <v>74</v>
      </c>
      <c r="C31" s="16">
        <v>180000</v>
      </c>
    </row>
    <row r="32" spans="1:4" x14ac:dyDescent="0.25">
      <c r="A32" s="131" t="s">
        <v>377</v>
      </c>
      <c r="B32" s="16" t="s">
        <v>75</v>
      </c>
      <c r="C32" s="16">
        <v>77000</v>
      </c>
    </row>
    <row r="33" spans="1:3" x14ac:dyDescent="0.25">
      <c r="A33" s="132" t="s">
        <v>377</v>
      </c>
      <c r="B33" s="28" t="s">
        <v>378</v>
      </c>
      <c r="C33" s="28">
        <f>SUM(C30:C32)</f>
        <v>257000</v>
      </c>
    </row>
    <row r="34" spans="1:3" x14ac:dyDescent="0.25">
      <c r="A34" s="131" t="s">
        <v>379</v>
      </c>
      <c r="B34" s="16" t="s">
        <v>380</v>
      </c>
      <c r="C34" s="16">
        <v>0</v>
      </c>
    </row>
    <row r="35" spans="1:3" x14ac:dyDescent="0.25">
      <c r="A35" s="131" t="s">
        <v>379</v>
      </c>
      <c r="B35" s="16" t="s">
        <v>381</v>
      </c>
      <c r="C35" s="16">
        <v>0</v>
      </c>
    </row>
    <row r="36" spans="1:3" x14ac:dyDescent="0.25">
      <c r="A36" s="131" t="s">
        <v>379</v>
      </c>
      <c r="B36" s="16" t="s">
        <v>267</v>
      </c>
      <c r="C36" s="16">
        <v>0</v>
      </c>
    </row>
    <row r="37" spans="1:3" x14ac:dyDescent="0.25">
      <c r="A37" s="132" t="s">
        <v>379</v>
      </c>
      <c r="B37" s="28" t="s">
        <v>78</v>
      </c>
      <c r="C37" s="23"/>
    </row>
    <row r="38" spans="1:3" x14ac:dyDescent="0.25">
      <c r="A38" s="132" t="s">
        <v>382</v>
      </c>
      <c r="B38" s="28" t="s">
        <v>79</v>
      </c>
      <c r="C38" s="28">
        <v>1210590</v>
      </c>
    </row>
    <row r="39" spans="1:3" x14ac:dyDescent="0.25">
      <c r="A39" s="132" t="s">
        <v>383</v>
      </c>
      <c r="B39" s="139" t="s">
        <v>384</v>
      </c>
      <c r="C39" s="140">
        <v>803000</v>
      </c>
    </row>
    <row r="40" spans="1:3" x14ac:dyDescent="0.25">
      <c r="A40" s="132" t="s">
        <v>452</v>
      </c>
      <c r="B40" s="28" t="s">
        <v>81</v>
      </c>
      <c r="C40" s="28">
        <v>334630</v>
      </c>
    </row>
    <row r="41" spans="1:3" x14ac:dyDescent="0.25">
      <c r="A41" s="131" t="s">
        <v>387</v>
      </c>
      <c r="B41" s="16" t="s">
        <v>388</v>
      </c>
      <c r="C41" s="16">
        <v>0</v>
      </c>
    </row>
    <row r="42" spans="1:3" x14ac:dyDescent="0.25">
      <c r="A42" s="132" t="s">
        <v>545</v>
      </c>
      <c r="B42" s="28" t="s">
        <v>388</v>
      </c>
      <c r="C42" s="28">
        <v>101000</v>
      </c>
    </row>
    <row r="43" spans="1:3" x14ac:dyDescent="0.25">
      <c r="A43" s="133" t="s">
        <v>390</v>
      </c>
      <c r="B43" s="26" t="s">
        <v>80</v>
      </c>
      <c r="C43" s="26">
        <f>C26+C29+C33+C37+C38+C39+C40+C42</f>
        <v>8526220</v>
      </c>
    </row>
    <row r="44" spans="1:3" x14ac:dyDescent="0.25">
      <c r="A44" s="133" t="s">
        <v>676</v>
      </c>
      <c r="B44" s="26" t="s">
        <v>391</v>
      </c>
      <c r="C44" s="26">
        <v>500000</v>
      </c>
    </row>
    <row r="45" spans="1:3" x14ac:dyDescent="0.25">
      <c r="A45" s="133" t="s">
        <v>541</v>
      </c>
      <c r="B45" s="26" t="s">
        <v>677</v>
      </c>
      <c r="C45" s="26">
        <v>0</v>
      </c>
    </row>
    <row r="46" spans="1:3" x14ac:dyDescent="0.25">
      <c r="A46" s="133" t="s">
        <v>392</v>
      </c>
      <c r="B46" s="27" t="s">
        <v>264</v>
      </c>
      <c r="C46" s="27">
        <v>6000000</v>
      </c>
    </row>
    <row r="47" spans="1:3" x14ac:dyDescent="0.25">
      <c r="A47" s="131"/>
      <c r="B47" s="27" t="s">
        <v>176</v>
      </c>
      <c r="C47" s="27">
        <f>C16+C43+C44+C45+C46</f>
        <v>47961220</v>
      </c>
    </row>
    <row r="48" spans="1:3" ht="15.75" x14ac:dyDescent="0.25">
      <c r="A48" s="141"/>
      <c r="B48" s="141" t="s">
        <v>393</v>
      </c>
      <c r="C48" s="141">
        <f>'2.1 Költségvetési bevételek'!C39+'2.2 Működési bevételek'!C47</f>
        <v>176143901</v>
      </c>
    </row>
  </sheetData>
  <mergeCells count="5">
    <mergeCell ref="A1:B1"/>
    <mergeCell ref="A2:B2"/>
    <mergeCell ref="A6:B6"/>
    <mergeCell ref="D17:D20"/>
    <mergeCell ref="D21:D24"/>
  </mergeCells>
  <phoneticPr fontId="18" type="noConversion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7"/>
  <sheetViews>
    <sheetView workbookViewId="0">
      <selection activeCell="K27" sqref="K27"/>
    </sheetView>
  </sheetViews>
  <sheetFormatPr defaultRowHeight="15" x14ac:dyDescent="0.25"/>
  <cols>
    <col min="6" max="6" width="13.7109375" customWidth="1"/>
    <col min="11" max="11" width="12.5703125" bestFit="1" customWidth="1"/>
    <col min="16" max="16" width="9" customWidth="1"/>
    <col min="17" max="17" width="8" customWidth="1"/>
    <col min="18" max="19" width="12" customWidth="1"/>
    <col min="21" max="22" width="10" customWidth="1"/>
  </cols>
  <sheetData>
    <row r="1" spans="2:22" x14ac:dyDescent="0.25">
      <c r="P1" s="337">
        <v>5949000</v>
      </c>
      <c r="Q1" s="337"/>
      <c r="R1" s="337"/>
      <c r="S1" s="337"/>
      <c r="T1" s="337"/>
      <c r="U1" s="337"/>
      <c r="V1" s="189"/>
    </row>
    <row r="2" spans="2:22" x14ac:dyDescent="0.25">
      <c r="B2" s="335"/>
      <c r="C2" s="335"/>
      <c r="E2" s="335"/>
      <c r="F2" s="335"/>
      <c r="G2" s="335"/>
      <c r="H2" s="335"/>
      <c r="I2" s="335"/>
      <c r="J2" s="335"/>
      <c r="P2" s="210"/>
      <c r="Q2" s="210"/>
      <c r="R2" s="210"/>
      <c r="S2" s="210"/>
      <c r="T2" s="210"/>
      <c r="U2" s="210"/>
      <c r="V2" s="189"/>
    </row>
    <row r="3" spans="2:22" x14ac:dyDescent="0.25">
      <c r="G3" s="335"/>
      <c r="H3" s="335"/>
      <c r="I3" s="335"/>
      <c r="J3" s="335"/>
      <c r="P3" s="1"/>
      <c r="Q3" s="1"/>
      <c r="R3" s="1"/>
      <c r="S3" s="1"/>
      <c r="T3" s="1"/>
      <c r="U3" s="1"/>
      <c r="V3" s="1"/>
    </row>
    <row r="4" spans="2:22" x14ac:dyDescent="0.25">
      <c r="P4" s="337">
        <v>297000</v>
      </c>
      <c r="Q4" s="337"/>
      <c r="R4" s="337"/>
      <c r="S4" s="337"/>
      <c r="T4" s="337"/>
      <c r="U4" s="337"/>
      <c r="V4" s="189"/>
    </row>
    <row r="5" spans="2:22" x14ac:dyDescent="0.25">
      <c r="P5" s="337">
        <v>100000</v>
      </c>
      <c r="Q5" s="337"/>
      <c r="R5" s="337"/>
      <c r="S5" s="337"/>
      <c r="T5" s="337"/>
      <c r="U5" s="337"/>
      <c r="V5" s="189"/>
    </row>
    <row r="6" spans="2:22" x14ac:dyDescent="0.25">
      <c r="P6" s="337">
        <v>178000</v>
      </c>
      <c r="Q6" s="337"/>
      <c r="R6" s="337"/>
      <c r="S6" s="337"/>
      <c r="T6" s="337"/>
      <c r="U6" s="337"/>
      <c r="V6" s="189"/>
    </row>
    <row r="7" spans="2:22" x14ac:dyDescent="0.25">
      <c r="P7" s="1"/>
      <c r="Q7" s="1"/>
      <c r="R7" s="1"/>
      <c r="S7" s="1"/>
      <c r="T7" s="1"/>
      <c r="U7" s="1"/>
      <c r="V7" s="1"/>
    </row>
    <row r="8" spans="2:22" x14ac:dyDescent="0.25">
      <c r="P8" s="1"/>
      <c r="Q8" s="1"/>
      <c r="R8" s="1"/>
      <c r="S8" s="1"/>
      <c r="T8" s="1"/>
      <c r="U8" s="1"/>
      <c r="V8" s="1"/>
    </row>
    <row r="9" spans="2:22" x14ac:dyDescent="0.25">
      <c r="P9" s="1"/>
      <c r="Q9" s="1"/>
      <c r="R9" s="1"/>
      <c r="S9" s="1"/>
      <c r="T9" s="1"/>
      <c r="U9" s="1"/>
      <c r="V9" s="1"/>
    </row>
    <row r="10" spans="2:22" x14ac:dyDescent="0.25">
      <c r="P10" s="337">
        <v>1654000</v>
      </c>
      <c r="Q10" s="337"/>
      <c r="R10" s="337"/>
      <c r="S10" s="337"/>
      <c r="T10" s="337"/>
      <c r="U10" s="337"/>
      <c r="V10" s="189"/>
    </row>
    <row r="11" spans="2:22" x14ac:dyDescent="0.25">
      <c r="P11" s="189"/>
      <c r="Q11" s="189"/>
      <c r="R11" s="189"/>
      <c r="S11" s="189"/>
      <c r="T11" s="189"/>
      <c r="U11" s="189"/>
      <c r="V11" s="189"/>
    </row>
    <row r="12" spans="2:22" x14ac:dyDescent="0.25">
      <c r="P12" s="337">
        <v>65000</v>
      </c>
      <c r="Q12" s="337"/>
      <c r="R12" s="337"/>
      <c r="S12" s="337"/>
      <c r="T12" s="337"/>
      <c r="U12" s="337"/>
      <c r="V12" s="189"/>
    </row>
    <row r="13" spans="2:22" x14ac:dyDescent="0.25">
      <c r="P13" s="1"/>
      <c r="Q13" s="1"/>
      <c r="R13" s="1"/>
      <c r="S13" s="1"/>
      <c r="T13" s="1"/>
      <c r="U13" s="1"/>
      <c r="V13" s="1"/>
    </row>
    <row r="14" spans="2:22" x14ac:dyDescent="0.25">
      <c r="P14" s="337">
        <v>61000</v>
      </c>
      <c r="Q14" s="337"/>
      <c r="R14" s="337"/>
      <c r="S14" s="337"/>
      <c r="T14" s="337"/>
      <c r="U14" s="337"/>
      <c r="V14" s="189"/>
    </row>
    <row r="15" spans="2:22" x14ac:dyDescent="0.25">
      <c r="P15" s="337"/>
      <c r="Q15" s="337"/>
      <c r="R15" s="337"/>
      <c r="S15" s="337"/>
      <c r="T15" s="337"/>
      <c r="U15" s="337"/>
      <c r="V15" s="337"/>
    </row>
    <row r="16" spans="2:22" x14ac:dyDescent="0.25">
      <c r="P16" s="337">
        <v>7800000</v>
      </c>
      <c r="Q16" s="337"/>
      <c r="R16" s="337"/>
      <c r="S16" s="337"/>
      <c r="T16" s="337"/>
      <c r="U16" s="337"/>
      <c r="V16" s="1"/>
    </row>
    <row r="17" spans="2:22" x14ac:dyDescent="0.25">
      <c r="P17" s="337">
        <v>750000</v>
      </c>
      <c r="Q17" s="337"/>
      <c r="R17" s="337"/>
      <c r="S17" s="337"/>
      <c r="T17" s="337"/>
      <c r="U17" s="337"/>
      <c r="V17" s="189"/>
    </row>
    <row r="18" spans="2:22" x14ac:dyDescent="0.25">
      <c r="P18" s="1"/>
      <c r="Q18" s="1"/>
      <c r="R18" s="1"/>
      <c r="S18" s="1"/>
      <c r="T18" s="1"/>
      <c r="U18" s="1"/>
      <c r="V18" s="1"/>
    </row>
    <row r="19" spans="2:22" x14ac:dyDescent="0.25">
      <c r="P19" s="337">
        <v>45000</v>
      </c>
      <c r="Q19" s="337"/>
      <c r="R19" s="337"/>
      <c r="S19" s="337"/>
      <c r="T19" s="337"/>
      <c r="U19" s="337"/>
      <c r="V19" s="189"/>
    </row>
    <row r="20" spans="2:22" x14ac:dyDescent="0.25">
      <c r="P20" s="337">
        <v>1270000</v>
      </c>
      <c r="Q20" s="337"/>
      <c r="R20" s="337"/>
      <c r="S20" s="337"/>
      <c r="T20" s="337"/>
      <c r="U20" s="337"/>
      <c r="V20" s="1"/>
    </row>
    <row r="21" spans="2:22" x14ac:dyDescent="0.2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P21" s="1"/>
      <c r="Q21" s="1"/>
      <c r="R21" s="1"/>
      <c r="S21" s="1"/>
      <c r="T21" s="1"/>
      <c r="U21" s="1"/>
      <c r="V21" s="1"/>
    </row>
    <row r="22" spans="2:22" x14ac:dyDescent="0.25">
      <c r="P22" s="1"/>
      <c r="Q22" s="1"/>
      <c r="R22" s="1"/>
      <c r="S22" s="1"/>
      <c r="T22" s="1"/>
      <c r="U22" s="1"/>
      <c r="V22" s="1"/>
    </row>
    <row r="23" spans="2:22" x14ac:dyDescent="0.25">
      <c r="P23" s="337">
        <v>100000</v>
      </c>
      <c r="Q23" s="337"/>
      <c r="R23" s="337"/>
      <c r="S23" s="337"/>
      <c r="T23" s="337"/>
      <c r="U23" s="337"/>
      <c r="V23" s="1"/>
    </row>
    <row r="24" spans="2:22" x14ac:dyDescent="0.25">
      <c r="P24" s="1"/>
      <c r="Q24" s="1"/>
      <c r="R24" s="1"/>
      <c r="S24" s="1"/>
      <c r="T24" s="1"/>
      <c r="U24" s="1"/>
      <c r="V24" s="1"/>
    </row>
    <row r="25" spans="2:22" x14ac:dyDescent="0.25">
      <c r="P25" s="1"/>
      <c r="Q25" s="1"/>
      <c r="R25" s="1"/>
      <c r="S25" s="1"/>
      <c r="T25" s="1"/>
      <c r="U25" s="1"/>
      <c r="V25" s="1"/>
    </row>
    <row r="26" spans="2:22" x14ac:dyDescent="0.25">
      <c r="P26" s="337">
        <v>55000</v>
      </c>
      <c r="Q26" s="337"/>
      <c r="R26" s="337"/>
      <c r="S26" s="337"/>
      <c r="T26" s="337"/>
      <c r="U26" s="337"/>
      <c r="V26" s="1"/>
    </row>
    <row r="27" spans="2:22" x14ac:dyDescent="0.25">
      <c r="P27" s="337">
        <v>525000</v>
      </c>
      <c r="Q27" s="337"/>
      <c r="R27" s="337"/>
      <c r="S27" s="337"/>
      <c r="T27" s="337"/>
      <c r="U27" s="337"/>
      <c r="V27" s="1"/>
    </row>
    <row r="28" spans="2:22" x14ac:dyDescent="0.25">
      <c r="P28" s="337">
        <v>40000</v>
      </c>
      <c r="Q28" s="337"/>
      <c r="R28" s="337"/>
      <c r="S28" s="337"/>
      <c r="T28" s="337"/>
      <c r="U28" s="337"/>
      <c r="V28" s="1"/>
    </row>
    <row r="29" spans="2:22" x14ac:dyDescent="0.25">
      <c r="P29" s="337">
        <v>2750000</v>
      </c>
      <c r="Q29" s="337"/>
      <c r="R29" s="337"/>
      <c r="S29" s="337"/>
      <c r="T29" s="337"/>
      <c r="U29" s="337"/>
      <c r="V29" s="1"/>
    </row>
    <row r="30" spans="2:22" x14ac:dyDescent="0.25">
      <c r="P30" s="1"/>
      <c r="Q30" s="1"/>
      <c r="R30" s="1"/>
      <c r="S30" s="1"/>
      <c r="T30" s="1"/>
      <c r="U30" s="1"/>
      <c r="V30" s="1"/>
    </row>
    <row r="31" spans="2:22" x14ac:dyDescent="0.25">
      <c r="P31" s="1"/>
      <c r="Q31" s="1"/>
      <c r="R31" s="1"/>
      <c r="S31" s="1"/>
      <c r="T31" s="1"/>
      <c r="U31" s="1"/>
      <c r="V31" s="1"/>
    </row>
    <row r="32" spans="2:22" x14ac:dyDescent="0.25">
      <c r="P32" s="1"/>
      <c r="Q32" s="1"/>
      <c r="R32" s="1"/>
      <c r="S32" s="1"/>
      <c r="T32" s="1"/>
      <c r="U32" s="1"/>
      <c r="V32" s="1"/>
    </row>
    <row r="33" spans="16:22" x14ac:dyDescent="0.25">
      <c r="P33" s="1"/>
      <c r="Q33" s="1"/>
      <c r="R33" s="1"/>
      <c r="S33" s="1"/>
      <c r="T33" s="1"/>
      <c r="U33" s="1"/>
      <c r="V33" s="1"/>
    </row>
    <row r="34" spans="16:22" x14ac:dyDescent="0.25">
      <c r="P34" s="1"/>
      <c r="Q34" s="1"/>
      <c r="R34" s="1"/>
      <c r="S34" s="1"/>
      <c r="T34" s="1"/>
      <c r="U34" s="1"/>
      <c r="V34" s="1"/>
    </row>
    <row r="35" spans="16:22" x14ac:dyDescent="0.25">
      <c r="P35" s="1"/>
      <c r="Q35" s="1"/>
      <c r="R35" s="1"/>
      <c r="S35" s="1"/>
      <c r="T35" s="1"/>
      <c r="U35" s="1"/>
      <c r="V35" s="1"/>
    </row>
    <row r="36" spans="16:22" x14ac:dyDescent="0.25">
      <c r="P36" s="1"/>
      <c r="Q36" s="1"/>
      <c r="R36" s="1"/>
      <c r="S36" s="1"/>
      <c r="T36" s="1"/>
      <c r="U36" s="1"/>
      <c r="V36" s="1"/>
    </row>
    <row r="37" spans="16:22" x14ac:dyDescent="0.25">
      <c r="P37" s="1"/>
      <c r="Q37" s="1"/>
      <c r="R37" s="1"/>
      <c r="S37" s="1"/>
      <c r="T37" s="1"/>
      <c r="U37" s="1"/>
      <c r="V37" s="1"/>
    </row>
    <row r="38" spans="16:22" x14ac:dyDescent="0.25">
      <c r="P38" s="1"/>
      <c r="Q38" s="1"/>
      <c r="R38" s="1"/>
      <c r="S38" s="1"/>
      <c r="T38" s="1"/>
      <c r="U38" s="1"/>
      <c r="V38" s="1"/>
    </row>
    <row r="39" spans="16:22" x14ac:dyDescent="0.25">
      <c r="P39" s="1"/>
      <c r="Q39" s="1"/>
      <c r="R39" s="1"/>
      <c r="S39" s="1"/>
      <c r="T39" s="1"/>
      <c r="U39" s="1"/>
      <c r="V39" s="1"/>
    </row>
    <row r="40" spans="16:22" x14ac:dyDescent="0.25">
      <c r="P40" s="1"/>
      <c r="Q40" s="1"/>
      <c r="R40" s="1"/>
      <c r="S40" s="1"/>
      <c r="T40" s="1"/>
      <c r="U40" s="1"/>
      <c r="V40" s="1"/>
    </row>
    <row r="41" spans="16:22" x14ac:dyDescent="0.25">
      <c r="P41" s="1"/>
      <c r="Q41" s="1"/>
      <c r="R41" s="1"/>
      <c r="S41" s="1"/>
      <c r="T41" s="1"/>
      <c r="U41" s="1"/>
      <c r="V41" s="1"/>
    </row>
    <row r="42" spans="16:22" x14ac:dyDescent="0.25">
      <c r="P42" s="1"/>
      <c r="Q42" s="1"/>
      <c r="R42" s="1"/>
      <c r="S42" s="1"/>
      <c r="T42" s="1"/>
      <c r="U42" s="1"/>
      <c r="V42" s="1"/>
    </row>
    <row r="43" spans="16:22" x14ac:dyDescent="0.25">
      <c r="P43" s="1"/>
      <c r="Q43" s="1"/>
      <c r="R43" s="1"/>
      <c r="S43" s="1"/>
      <c r="T43" s="1"/>
      <c r="U43" s="1"/>
      <c r="V43" s="1"/>
    </row>
    <row r="44" spans="16:22" x14ac:dyDescent="0.25">
      <c r="P44" s="1"/>
      <c r="Q44" s="1"/>
      <c r="R44" s="1"/>
      <c r="S44" s="1"/>
      <c r="T44" s="1"/>
      <c r="U44" s="1"/>
      <c r="V44" s="1"/>
    </row>
    <row r="45" spans="16:22" x14ac:dyDescent="0.25">
      <c r="P45" s="1"/>
      <c r="Q45" s="1"/>
      <c r="R45" s="1"/>
      <c r="S45" s="1"/>
      <c r="T45" s="1"/>
      <c r="U45" s="1"/>
      <c r="V45" s="1"/>
    </row>
    <row r="46" spans="16:22" x14ac:dyDescent="0.25">
      <c r="P46" s="1"/>
      <c r="Q46" s="1"/>
      <c r="R46" s="1"/>
      <c r="S46" s="1"/>
      <c r="T46" s="1"/>
      <c r="U46" s="1"/>
      <c r="V46" s="1"/>
    </row>
    <row r="47" spans="16:22" x14ac:dyDescent="0.25">
      <c r="P47" s="1"/>
      <c r="Q47" s="1"/>
      <c r="R47" s="1"/>
      <c r="S47" s="1"/>
      <c r="T47" s="1"/>
      <c r="U47" s="1"/>
      <c r="V47" s="1"/>
    </row>
    <row r="48" spans="16:22" x14ac:dyDescent="0.25">
      <c r="P48" s="1"/>
      <c r="Q48" s="1"/>
      <c r="R48" s="1"/>
      <c r="S48" s="1"/>
      <c r="T48" s="1"/>
      <c r="U48" s="1"/>
      <c r="V48" s="1"/>
    </row>
    <row r="49" spans="16:22" x14ac:dyDescent="0.25">
      <c r="P49" s="1"/>
      <c r="Q49" s="1"/>
      <c r="R49" s="1"/>
      <c r="S49" s="1"/>
      <c r="T49" s="1"/>
      <c r="U49" s="1"/>
      <c r="V49" s="1"/>
    </row>
    <row r="50" spans="16:22" x14ac:dyDescent="0.25">
      <c r="P50" s="1"/>
      <c r="Q50" s="1"/>
      <c r="R50" s="1"/>
      <c r="S50" s="1"/>
      <c r="T50" s="1"/>
      <c r="U50" s="1"/>
      <c r="V50" s="1"/>
    </row>
    <row r="51" spans="16:22" x14ac:dyDescent="0.25">
      <c r="P51" s="1"/>
      <c r="Q51" s="1"/>
      <c r="R51" s="1"/>
      <c r="S51" s="1"/>
      <c r="T51" s="1"/>
      <c r="U51" s="1"/>
      <c r="V51" s="1"/>
    </row>
    <row r="52" spans="16:22" x14ac:dyDescent="0.25">
      <c r="P52" s="1"/>
      <c r="Q52" s="1"/>
      <c r="R52" s="1"/>
      <c r="S52" s="1"/>
      <c r="T52" s="1"/>
      <c r="U52" s="1"/>
      <c r="V52" s="1"/>
    </row>
    <row r="53" spans="16:22" x14ac:dyDescent="0.25">
      <c r="P53" s="1"/>
      <c r="Q53" s="1"/>
      <c r="R53" s="1"/>
      <c r="S53" s="1"/>
      <c r="T53" s="1"/>
      <c r="U53" s="1"/>
      <c r="V53" s="1"/>
    </row>
    <row r="54" spans="16:22" x14ac:dyDescent="0.25">
      <c r="P54" s="1"/>
      <c r="Q54" s="1"/>
      <c r="R54" s="1"/>
      <c r="S54" s="1"/>
      <c r="T54" s="1"/>
      <c r="U54" s="1"/>
      <c r="V54" s="1"/>
    </row>
    <row r="55" spans="16:22" x14ac:dyDescent="0.25">
      <c r="P55" s="1"/>
      <c r="Q55" s="1"/>
      <c r="R55" s="1"/>
      <c r="S55" s="1"/>
      <c r="T55" s="1"/>
      <c r="U55" s="1"/>
      <c r="V55" s="1"/>
    </row>
    <row r="56" spans="16:22" x14ac:dyDescent="0.25">
      <c r="P56" s="1"/>
      <c r="Q56" s="1"/>
      <c r="R56" s="1"/>
      <c r="S56" s="1"/>
      <c r="T56" s="1"/>
      <c r="U56" s="1"/>
      <c r="V56" s="1"/>
    </row>
    <row r="57" spans="16:22" x14ac:dyDescent="0.25">
      <c r="P57" s="1"/>
      <c r="Q57" s="1"/>
      <c r="R57" s="1"/>
      <c r="S57" s="1"/>
      <c r="T57" s="1"/>
      <c r="U57" s="1"/>
      <c r="V57" s="1"/>
    </row>
  </sheetData>
  <mergeCells count="21">
    <mergeCell ref="P10:U10"/>
    <mergeCell ref="B2:C2"/>
    <mergeCell ref="E2:F2"/>
    <mergeCell ref="G2:J2"/>
    <mergeCell ref="G3:J3"/>
    <mergeCell ref="P1:U1"/>
    <mergeCell ref="P4:U4"/>
    <mergeCell ref="P5:U5"/>
    <mergeCell ref="P6:U6"/>
    <mergeCell ref="P29:U29"/>
    <mergeCell ref="P12:U12"/>
    <mergeCell ref="P14:U14"/>
    <mergeCell ref="P15:V15"/>
    <mergeCell ref="P16:U16"/>
    <mergeCell ref="P17:U17"/>
    <mergeCell ref="P19:U19"/>
    <mergeCell ref="P20:U20"/>
    <mergeCell ref="P23:U23"/>
    <mergeCell ref="P26:U26"/>
    <mergeCell ref="P27:U27"/>
    <mergeCell ref="P28:U2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4" workbookViewId="0">
      <selection activeCell="C6" sqref="C6"/>
    </sheetView>
  </sheetViews>
  <sheetFormatPr defaultRowHeight="15" x14ac:dyDescent="0.25"/>
  <cols>
    <col min="2" max="2" width="50" customWidth="1"/>
    <col min="3" max="3" width="11.28515625" bestFit="1" customWidth="1"/>
  </cols>
  <sheetData>
    <row r="1" spans="1:3" x14ac:dyDescent="0.25">
      <c r="A1" s="307" t="s">
        <v>20</v>
      </c>
      <c r="B1" s="307"/>
      <c r="C1" s="151"/>
    </row>
    <row r="2" spans="1:3" x14ac:dyDescent="0.25">
      <c r="A2" s="308" t="s">
        <v>781</v>
      </c>
      <c r="B2" s="308"/>
      <c r="C2" s="151"/>
    </row>
    <row r="3" spans="1:3" x14ac:dyDescent="0.25">
      <c r="A3" s="31"/>
      <c r="B3" s="7"/>
      <c r="C3" s="151"/>
    </row>
    <row r="4" spans="1:3" x14ac:dyDescent="0.25">
      <c r="A4" s="7"/>
      <c r="B4" s="7"/>
      <c r="C4" s="151"/>
    </row>
    <row r="5" spans="1:3" x14ac:dyDescent="0.25">
      <c r="A5" s="7"/>
      <c r="B5" s="254" t="s">
        <v>268</v>
      </c>
      <c r="C5" s="151"/>
    </row>
    <row r="6" spans="1:3" x14ac:dyDescent="0.25">
      <c r="A6" s="7"/>
      <c r="B6" s="29" t="s">
        <v>613</v>
      </c>
      <c r="C6" s="151"/>
    </row>
    <row r="7" spans="1:3" ht="36" customHeight="1" x14ac:dyDescent="0.25">
      <c r="A7" s="309" t="s">
        <v>1</v>
      </c>
      <c r="B7" s="310"/>
      <c r="C7" s="249" t="s">
        <v>168</v>
      </c>
    </row>
    <row r="8" spans="1:3" ht="16.5" customHeight="1" x14ac:dyDescent="0.25">
      <c r="A8" s="131" t="s">
        <v>292</v>
      </c>
      <c r="B8" s="16" t="s">
        <v>3</v>
      </c>
      <c r="C8" s="16">
        <v>20219911</v>
      </c>
    </row>
    <row r="9" spans="1:3" ht="16.5" customHeight="1" x14ac:dyDescent="0.25">
      <c r="A9" s="131" t="s">
        <v>394</v>
      </c>
      <c r="B9" s="16" t="s">
        <v>17</v>
      </c>
      <c r="C9" s="16">
        <v>0</v>
      </c>
    </row>
    <row r="10" spans="1:3" ht="16.5" customHeight="1" x14ac:dyDescent="0.25">
      <c r="A10" s="131" t="s">
        <v>295</v>
      </c>
      <c r="B10" s="32" t="s">
        <v>18</v>
      </c>
      <c r="C10" s="32">
        <v>298020</v>
      </c>
    </row>
    <row r="11" spans="1:3" ht="16.5" customHeight="1" x14ac:dyDescent="0.25">
      <c r="A11" s="131" t="s">
        <v>296</v>
      </c>
      <c r="B11" s="16" t="s">
        <v>4</v>
      </c>
      <c r="C11" s="16">
        <v>123600</v>
      </c>
    </row>
    <row r="12" spans="1:3" ht="16.5" customHeight="1" x14ac:dyDescent="0.25">
      <c r="A12" s="131" t="s">
        <v>650</v>
      </c>
      <c r="B12" s="16" t="s">
        <v>395</v>
      </c>
      <c r="C12" s="16">
        <v>287300</v>
      </c>
    </row>
    <row r="13" spans="1:3" ht="16.5" customHeight="1" x14ac:dyDescent="0.25">
      <c r="A13" s="132" t="s">
        <v>297</v>
      </c>
      <c r="B13" s="36" t="s">
        <v>396</v>
      </c>
      <c r="C13" s="37">
        <f>SUM(C8:C12)</f>
        <v>20928831</v>
      </c>
    </row>
    <row r="14" spans="1:3" ht="16.5" customHeight="1" x14ac:dyDescent="0.25">
      <c r="A14" s="131" t="s">
        <v>298</v>
      </c>
      <c r="B14" s="32" t="s">
        <v>21</v>
      </c>
      <c r="C14" s="32">
        <v>7366112</v>
      </c>
    </row>
    <row r="15" spans="1:3" ht="16.5" customHeight="1" x14ac:dyDescent="0.25">
      <c r="A15" s="131" t="s">
        <v>299</v>
      </c>
      <c r="B15" s="32" t="s">
        <v>323</v>
      </c>
      <c r="C15" s="32">
        <v>0</v>
      </c>
    </row>
    <row r="16" spans="1:3" ht="16.5" customHeight="1" x14ac:dyDescent="0.25">
      <c r="A16" s="131" t="s">
        <v>300</v>
      </c>
      <c r="B16" s="32" t="s">
        <v>324</v>
      </c>
      <c r="C16" s="32">
        <v>0</v>
      </c>
    </row>
    <row r="17" spans="1:3" ht="16.5" customHeight="1" x14ac:dyDescent="0.25">
      <c r="A17" s="132" t="s">
        <v>301</v>
      </c>
      <c r="B17" s="36" t="s">
        <v>22</v>
      </c>
      <c r="C17" s="36">
        <f>SUM(C14:C16)</f>
        <v>7366112</v>
      </c>
    </row>
    <row r="18" spans="1:3" ht="16.5" customHeight="1" x14ac:dyDescent="0.25">
      <c r="A18" s="133" t="s">
        <v>302</v>
      </c>
      <c r="B18" s="33" t="s">
        <v>5</v>
      </c>
      <c r="C18" s="33">
        <f>C13+C17</f>
        <v>28294943</v>
      </c>
    </row>
    <row r="19" spans="1:3" ht="16.5" customHeight="1" x14ac:dyDescent="0.25">
      <c r="A19" s="131" t="s">
        <v>303</v>
      </c>
      <c r="B19" s="32" t="s">
        <v>325</v>
      </c>
      <c r="C19" s="32">
        <v>5035350</v>
      </c>
    </row>
    <row r="20" spans="1:3" ht="16.5" customHeight="1" x14ac:dyDescent="0.25">
      <c r="A20" s="131" t="s">
        <v>304</v>
      </c>
      <c r="B20" s="32" t="s">
        <v>326</v>
      </c>
      <c r="C20" s="32">
        <v>0</v>
      </c>
    </row>
    <row r="21" spans="1:3" ht="16.5" customHeight="1" x14ac:dyDescent="0.25">
      <c r="A21" s="131" t="s">
        <v>305</v>
      </c>
      <c r="B21" s="32" t="s">
        <v>327</v>
      </c>
      <c r="C21" s="32">
        <v>86000</v>
      </c>
    </row>
    <row r="22" spans="1:3" ht="16.5" customHeight="1" x14ac:dyDescent="0.25">
      <c r="A22" s="131" t="s">
        <v>328</v>
      </c>
      <c r="B22" s="32" t="s">
        <v>329</v>
      </c>
      <c r="C22" s="32">
        <v>0</v>
      </c>
    </row>
    <row r="23" spans="1:3" ht="16.5" customHeight="1" x14ac:dyDescent="0.25">
      <c r="A23" s="131" t="s">
        <v>306</v>
      </c>
      <c r="B23" s="32" t="s">
        <v>330</v>
      </c>
      <c r="C23" s="32">
        <v>90000</v>
      </c>
    </row>
    <row r="24" spans="1:3" ht="16.5" customHeight="1" x14ac:dyDescent="0.25">
      <c r="A24" s="133" t="s">
        <v>307</v>
      </c>
      <c r="B24" s="38" t="s">
        <v>331</v>
      </c>
      <c r="C24" s="38">
        <f>SUM(C19:C23)</f>
        <v>5211350</v>
      </c>
    </row>
    <row r="25" spans="1:3" ht="16.5" customHeight="1" x14ac:dyDescent="0.25">
      <c r="A25" s="131" t="s">
        <v>332</v>
      </c>
      <c r="B25" s="16" t="s">
        <v>7</v>
      </c>
      <c r="C25" s="16">
        <v>0</v>
      </c>
    </row>
    <row r="26" spans="1:3" ht="16.5" customHeight="1" x14ac:dyDescent="0.25">
      <c r="A26" s="131" t="s">
        <v>308</v>
      </c>
      <c r="B26" s="16" t="s">
        <v>397</v>
      </c>
      <c r="C26" s="16">
        <v>0</v>
      </c>
    </row>
    <row r="27" spans="1:3" ht="16.5" customHeight="1" x14ac:dyDescent="0.25">
      <c r="A27" s="131" t="s">
        <v>308</v>
      </c>
      <c r="B27" s="16" t="s">
        <v>398</v>
      </c>
      <c r="C27" s="16">
        <v>4555000</v>
      </c>
    </row>
    <row r="28" spans="1:3" ht="16.5" customHeight="1" x14ac:dyDescent="0.25">
      <c r="A28" s="132" t="s">
        <v>309</v>
      </c>
      <c r="B28" s="36" t="s">
        <v>9</v>
      </c>
      <c r="C28" s="36">
        <f>SUM(C25:C27)</f>
        <v>4555000</v>
      </c>
    </row>
    <row r="29" spans="1:3" ht="16.5" customHeight="1" x14ac:dyDescent="0.25">
      <c r="A29" s="131" t="s">
        <v>310</v>
      </c>
      <c r="B29" s="32" t="s">
        <v>10</v>
      </c>
      <c r="C29" s="32">
        <v>2576252</v>
      </c>
    </row>
    <row r="30" spans="1:3" ht="16.5" customHeight="1" x14ac:dyDescent="0.25">
      <c r="A30" s="131" t="s">
        <v>311</v>
      </c>
      <c r="B30" s="32" t="s">
        <v>11</v>
      </c>
      <c r="C30" s="32">
        <v>265000</v>
      </c>
    </row>
    <row r="31" spans="1:3" ht="16.5" customHeight="1" x14ac:dyDescent="0.25">
      <c r="A31" s="132" t="s">
        <v>312</v>
      </c>
      <c r="B31" s="36" t="s">
        <v>12</v>
      </c>
      <c r="C31" s="36">
        <f>SUM(C29:C30)</f>
        <v>2841252</v>
      </c>
    </row>
    <row r="32" spans="1:3" ht="16.5" customHeight="1" x14ac:dyDescent="0.25">
      <c r="A32" s="131" t="s">
        <v>313</v>
      </c>
      <c r="B32" s="16" t="s">
        <v>13</v>
      </c>
      <c r="C32" s="16">
        <v>6210000</v>
      </c>
    </row>
    <row r="33" spans="1:3" ht="16.5" customHeight="1" x14ac:dyDescent="0.25">
      <c r="A33" s="131" t="s">
        <v>399</v>
      </c>
      <c r="B33" s="16" t="s">
        <v>23</v>
      </c>
      <c r="C33" s="16">
        <v>0</v>
      </c>
    </row>
    <row r="34" spans="1:3" ht="16.5" customHeight="1" x14ac:dyDescent="0.25">
      <c r="A34" s="131" t="s">
        <v>400</v>
      </c>
      <c r="B34" s="16" t="s">
        <v>14</v>
      </c>
      <c r="C34" s="16">
        <v>0</v>
      </c>
    </row>
    <row r="35" spans="1:3" ht="16.5" customHeight="1" x14ac:dyDescent="0.25">
      <c r="A35" s="131" t="s">
        <v>314</v>
      </c>
      <c r="B35" s="16" t="s">
        <v>24</v>
      </c>
      <c r="C35" s="16">
        <v>815000</v>
      </c>
    </row>
    <row r="36" spans="1:3" ht="16.5" customHeight="1" x14ac:dyDescent="0.25">
      <c r="A36" s="131" t="s">
        <v>551</v>
      </c>
      <c r="B36" s="16" t="s">
        <v>697</v>
      </c>
      <c r="C36" s="16">
        <v>180000</v>
      </c>
    </row>
    <row r="37" spans="1:3" ht="16.5" customHeight="1" x14ac:dyDescent="0.25">
      <c r="A37" s="131" t="s">
        <v>401</v>
      </c>
      <c r="B37" s="16" t="s">
        <v>374</v>
      </c>
      <c r="C37" s="16">
        <v>1650000</v>
      </c>
    </row>
    <row r="38" spans="1:3" ht="16.5" customHeight="1" x14ac:dyDescent="0.25">
      <c r="A38" s="131" t="s">
        <v>402</v>
      </c>
      <c r="B38" s="16" t="s">
        <v>403</v>
      </c>
      <c r="C38" s="16">
        <v>871000</v>
      </c>
    </row>
    <row r="39" spans="1:3" ht="16.5" customHeight="1" x14ac:dyDescent="0.25">
      <c r="A39" s="131" t="s">
        <v>404</v>
      </c>
      <c r="B39" s="16" t="s">
        <v>405</v>
      </c>
      <c r="C39" s="16">
        <v>6630000</v>
      </c>
    </row>
    <row r="40" spans="1:3" ht="16.5" customHeight="1" x14ac:dyDescent="0.25">
      <c r="A40" s="132" t="s">
        <v>315</v>
      </c>
      <c r="B40" s="36" t="s">
        <v>16</v>
      </c>
      <c r="C40" s="37">
        <f>SUM(C32:C39)</f>
        <v>16356000</v>
      </c>
    </row>
    <row r="41" spans="1:3" ht="16.5" customHeight="1" x14ac:dyDescent="0.25">
      <c r="A41" s="132" t="s">
        <v>316</v>
      </c>
      <c r="B41" s="36" t="s">
        <v>19</v>
      </c>
      <c r="C41" s="36">
        <v>240000</v>
      </c>
    </row>
    <row r="42" spans="1:3" ht="16.5" customHeight="1" x14ac:dyDescent="0.25">
      <c r="A42" s="131" t="s">
        <v>317</v>
      </c>
      <c r="B42" s="32" t="s">
        <v>406</v>
      </c>
      <c r="C42" s="32">
        <v>6110738</v>
      </c>
    </row>
    <row r="43" spans="1:3" ht="16.5" customHeight="1" x14ac:dyDescent="0.25">
      <c r="A43" s="131" t="s">
        <v>407</v>
      </c>
      <c r="B43" s="32" t="s">
        <v>408</v>
      </c>
      <c r="C43" s="32">
        <v>0</v>
      </c>
    </row>
    <row r="44" spans="1:3" ht="16.5" customHeight="1" x14ac:dyDescent="0.25">
      <c r="A44" s="131" t="s">
        <v>785</v>
      </c>
      <c r="B44" s="32" t="s">
        <v>410</v>
      </c>
      <c r="C44" s="32">
        <v>178</v>
      </c>
    </row>
    <row r="45" spans="1:3" ht="16.5" customHeight="1" x14ac:dyDescent="0.25">
      <c r="A45" s="131" t="s">
        <v>319</v>
      </c>
      <c r="B45" s="32" t="s">
        <v>26</v>
      </c>
      <c r="C45" s="32">
        <v>880000</v>
      </c>
    </row>
    <row r="46" spans="1:3" ht="16.5" customHeight="1" x14ac:dyDescent="0.25">
      <c r="A46" s="132" t="s">
        <v>321</v>
      </c>
      <c r="B46" s="36" t="s">
        <v>25</v>
      </c>
      <c r="C46" s="37">
        <f>SUM(C42:C45)</f>
        <v>6990916</v>
      </c>
    </row>
    <row r="47" spans="1:3" s="67" customFormat="1" ht="16.5" customHeight="1" x14ac:dyDescent="0.25">
      <c r="A47" s="133" t="s">
        <v>318</v>
      </c>
      <c r="B47" s="33" t="s">
        <v>150</v>
      </c>
      <c r="C47" s="34">
        <f>SUM(C28+C31+C40+C41+C46)</f>
        <v>30983168</v>
      </c>
    </row>
    <row r="48" spans="1:3" ht="16.5" customHeight="1" x14ac:dyDescent="0.25">
      <c r="A48" s="132" t="s">
        <v>412</v>
      </c>
      <c r="B48" s="23" t="s">
        <v>196</v>
      </c>
      <c r="C48" s="23">
        <v>1200000</v>
      </c>
    </row>
    <row r="49" spans="1:3" ht="16.5" customHeight="1" x14ac:dyDescent="0.25">
      <c r="A49" s="131" t="s">
        <v>413</v>
      </c>
      <c r="B49" s="21" t="s">
        <v>671</v>
      </c>
      <c r="C49" s="21">
        <v>0</v>
      </c>
    </row>
    <row r="50" spans="1:3" ht="16.5" customHeight="1" x14ac:dyDescent="0.25">
      <c r="A50" s="131" t="s">
        <v>555</v>
      </c>
      <c r="B50" s="21" t="s">
        <v>672</v>
      </c>
      <c r="C50" s="21">
        <v>4745000</v>
      </c>
    </row>
    <row r="51" spans="1:3" ht="16.5" customHeight="1" x14ac:dyDescent="0.25">
      <c r="A51" s="131" t="s">
        <v>559</v>
      </c>
      <c r="B51" s="21" t="s">
        <v>673</v>
      </c>
      <c r="C51" s="21">
        <v>0</v>
      </c>
    </row>
    <row r="52" spans="1:3" ht="16.5" customHeight="1" x14ac:dyDescent="0.25">
      <c r="A52" s="132" t="s">
        <v>415</v>
      </c>
      <c r="B52" s="23" t="s">
        <v>197</v>
      </c>
      <c r="C52" s="23">
        <f>SUM(C49:C51)</f>
        <v>4745000</v>
      </c>
    </row>
    <row r="53" spans="1:3" ht="16.5" customHeight="1" x14ac:dyDescent="0.25">
      <c r="A53" s="133" t="s">
        <v>416</v>
      </c>
      <c r="B53" s="27" t="s">
        <v>88</v>
      </c>
      <c r="C53" s="27">
        <f>SUM(C48+C52)</f>
        <v>5945000</v>
      </c>
    </row>
    <row r="54" spans="1:3" ht="16.5" customHeight="1" x14ac:dyDescent="0.25">
      <c r="A54" s="131" t="s">
        <v>417</v>
      </c>
      <c r="B54" s="21" t="s">
        <v>418</v>
      </c>
      <c r="C54" s="21">
        <v>5742</v>
      </c>
    </row>
    <row r="55" spans="1:3" ht="16.5" customHeight="1" x14ac:dyDescent="0.25">
      <c r="A55" s="131" t="s">
        <v>419</v>
      </c>
      <c r="B55" s="212" t="s">
        <v>782</v>
      </c>
      <c r="C55" s="16">
        <v>600000</v>
      </c>
    </row>
    <row r="56" spans="1:3" ht="16.5" customHeight="1" x14ac:dyDescent="0.25">
      <c r="A56" s="131" t="s">
        <v>419</v>
      </c>
      <c r="B56" s="212" t="s">
        <v>783</v>
      </c>
      <c r="C56" s="16">
        <v>2473800</v>
      </c>
    </row>
    <row r="57" spans="1:3" ht="16.5" customHeight="1" x14ac:dyDescent="0.25">
      <c r="A57" s="131" t="s">
        <v>419</v>
      </c>
      <c r="B57" s="212" t="s">
        <v>784</v>
      </c>
      <c r="C57" s="16">
        <v>0</v>
      </c>
    </row>
    <row r="58" spans="1:3" ht="16.5" customHeight="1" x14ac:dyDescent="0.25">
      <c r="A58" s="131" t="s">
        <v>455</v>
      </c>
      <c r="B58" s="16" t="s">
        <v>420</v>
      </c>
      <c r="C58" s="26">
        <v>0</v>
      </c>
    </row>
    <row r="59" spans="1:3" ht="16.5" customHeight="1" x14ac:dyDescent="0.25">
      <c r="A59" s="133" t="s">
        <v>421</v>
      </c>
      <c r="B59" s="27" t="s">
        <v>27</v>
      </c>
      <c r="C59" s="27">
        <f>SUM(C54:C58)</f>
        <v>3079542</v>
      </c>
    </row>
    <row r="60" spans="1:3" ht="16.5" customHeight="1" x14ac:dyDescent="0.25">
      <c r="A60" s="142" t="s">
        <v>422</v>
      </c>
      <c r="B60" s="16" t="s">
        <v>28</v>
      </c>
      <c r="C60" s="16">
        <v>2700000</v>
      </c>
    </row>
    <row r="61" spans="1:3" ht="16.5" customHeight="1" x14ac:dyDescent="0.25">
      <c r="A61" s="142" t="s">
        <v>423</v>
      </c>
      <c r="B61" s="16" t="s">
        <v>29</v>
      </c>
      <c r="C61" s="16">
        <v>2598425</v>
      </c>
    </row>
    <row r="62" spans="1:3" ht="16.5" customHeight="1" x14ac:dyDescent="0.25">
      <c r="A62" s="142" t="s">
        <v>424</v>
      </c>
      <c r="B62" s="16" t="s">
        <v>425</v>
      </c>
      <c r="C62" s="16">
        <v>0</v>
      </c>
    </row>
    <row r="63" spans="1:3" ht="16.5" customHeight="1" x14ac:dyDescent="0.25">
      <c r="A63" s="142" t="s">
        <v>426</v>
      </c>
      <c r="B63" s="16" t="s">
        <v>30</v>
      </c>
      <c r="C63" s="16">
        <v>701575</v>
      </c>
    </row>
    <row r="64" spans="1:3" ht="16.5" customHeight="1" x14ac:dyDescent="0.25">
      <c r="A64" s="133" t="s">
        <v>427</v>
      </c>
      <c r="B64" s="26" t="s">
        <v>31</v>
      </c>
      <c r="C64" s="26">
        <f>SUM(C60:C63)</f>
        <v>6000000</v>
      </c>
    </row>
    <row r="65" spans="1:3" ht="16.5" customHeight="1" x14ac:dyDescent="0.25">
      <c r="A65" s="131" t="s">
        <v>428</v>
      </c>
      <c r="B65" s="16" t="s">
        <v>32</v>
      </c>
      <c r="C65" s="16">
        <v>0</v>
      </c>
    </row>
    <row r="66" spans="1:3" ht="16.5" customHeight="1" x14ac:dyDescent="0.25">
      <c r="A66" s="131" t="s">
        <v>429</v>
      </c>
      <c r="B66" s="16" t="s">
        <v>33</v>
      </c>
      <c r="C66" s="16">
        <v>0</v>
      </c>
    </row>
    <row r="67" spans="1:3" ht="16.5" customHeight="1" x14ac:dyDescent="0.25">
      <c r="A67" s="131" t="s">
        <v>430</v>
      </c>
      <c r="B67" s="16" t="s">
        <v>34</v>
      </c>
      <c r="C67" s="16">
        <v>0</v>
      </c>
    </row>
    <row r="68" spans="1:3" ht="16.5" customHeight="1" x14ac:dyDescent="0.25">
      <c r="A68" s="131" t="s">
        <v>431</v>
      </c>
      <c r="B68" s="16" t="s">
        <v>35</v>
      </c>
      <c r="C68" s="16">
        <v>0</v>
      </c>
    </row>
    <row r="69" spans="1:3" ht="18.75" customHeight="1" x14ac:dyDescent="0.25">
      <c r="A69" s="133" t="s">
        <v>432</v>
      </c>
      <c r="B69" s="26" t="s">
        <v>36</v>
      </c>
      <c r="C69" s="26">
        <f>SUM(C65:C68)</f>
        <v>0</v>
      </c>
    </row>
    <row r="70" spans="1:3" x14ac:dyDescent="0.25">
      <c r="A70" s="131"/>
      <c r="B70" s="30" t="s">
        <v>37</v>
      </c>
      <c r="C70" s="30">
        <f>C18+C24+C47+C53+C59+C64+C69</f>
        <v>79514003</v>
      </c>
    </row>
    <row r="71" spans="1:3" x14ac:dyDescent="0.25">
      <c r="A71" s="131" t="s">
        <v>433</v>
      </c>
      <c r="B71" s="30" t="s">
        <v>434</v>
      </c>
      <c r="C71" s="30">
        <v>0</v>
      </c>
    </row>
    <row r="72" spans="1:3" x14ac:dyDescent="0.25">
      <c r="A72" s="131" t="s">
        <v>435</v>
      </c>
      <c r="B72" s="16" t="s">
        <v>436</v>
      </c>
      <c r="C72" s="16">
        <v>3787463</v>
      </c>
    </row>
    <row r="73" spans="1:3" x14ac:dyDescent="0.25">
      <c r="A73" s="131" t="s">
        <v>437</v>
      </c>
      <c r="B73" s="16" t="s">
        <v>85</v>
      </c>
      <c r="C73" s="16">
        <v>45432585</v>
      </c>
    </row>
    <row r="74" spans="1:3" x14ac:dyDescent="0.25">
      <c r="A74" s="131" t="s">
        <v>438</v>
      </c>
      <c r="B74" s="16" t="s">
        <v>84</v>
      </c>
      <c r="C74" s="16">
        <v>47409850</v>
      </c>
    </row>
    <row r="75" spans="1:3" x14ac:dyDescent="0.25">
      <c r="A75" s="132" t="s">
        <v>439</v>
      </c>
      <c r="B75" s="28" t="s">
        <v>38</v>
      </c>
      <c r="C75" s="28">
        <f>SUM(C73:C74)</f>
        <v>92842435</v>
      </c>
    </row>
    <row r="76" spans="1:3" x14ac:dyDescent="0.25">
      <c r="A76" s="132" t="s">
        <v>440</v>
      </c>
      <c r="B76" s="28" t="s">
        <v>39</v>
      </c>
      <c r="C76" s="28">
        <v>0</v>
      </c>
    </row>
    <row r="77" spans="1:3" x14ac:dyDescent="0.25">
      <c r="A77" s="132" t="s">
        <v>441</v>
      </c>
      <c r="B77" s="28" t="s">
        <v>41</v>
      </c>
      <c r="C77" s="28">
        <v>0</v>
      </c>
    </row>
    <row r="78" spans="1:3" x14ac:dyDescent="0.25">
      <c r="A78" s="133" t="s">
        <v>442</v>
      </c>
      <c r="B78" s="26" t="s">
        <v>40</v>
      </c>
      <c r="C78" s="26">
        <f>C71+C72+C75+C76+C77</f>
        <v>96629898</v>
      </c>
    </row>
    <row r="79" spans="1:3" x14ac:dyDescent="0.25">
      <c r="A79" s="133"/>
      <c r="B79" s="26" t="s">
        <v>42</v>
      </c>
      <c r="C79" s="26">
        <f>C78</f>
        <v>96629898</v>
      </c>
    </row>
    <row r="80" spans="1:3" x14ac:dyDescent="0.25">
      <c r="A80" s="131"/>
      <c r="B80" s="30" t="s">
        <v>199</v>
      </c>
      <c r="C80" s="30">
        <f>C70+C79</f>
        <v>176143901</v>
      </c>
    </row>
  </sheetData>
  <mergeCells count="3">
    <mergeCell ref="A1:B1"/>
    <mergeCell ref="A2:B2"/>
    <mergeCell ref="A7:B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H8" sqref="H8:AB27"/>
    </sheetView>
  </sheetViews>
  <sheetFormatPr defaultRowHeight="15" x14ac:dyDescent="0.25"/>
  <cols>
    <col min="1" max="1" width="13.7109375" customWidth="1"/>
    <col min="2" max="2" width="26.7109375" customWidth="1"/>
    <col min="3" max="3" width="8.7109375" customWidth="1"/>
    <col min="4" max="4" width="17.85546875" customWidth="1"/>
    <col min="5" max="5" width="10.85546875" customWidth="1"/>
    <col min="8" max="8" width="15.85546875" customWidth="1"/>
    <col min="9" max="9" width="8" bestFit="1" customWidth="1"/>
    <col min="10" max="10" width="7" bestFit="1" customWidth="1"/>
    <col min="11" max="12" width="6" bestFit="1" customWidth="1"/>
    <col min="13" max="13" width="8" bestFit="1" customWidth="1"/>
    <col min="14" max="14" width="6" bestFit="1" customWidth="1"/>
    <col min="15" max="15" width="5" bestFit="1" customWidth="1"/>
    <col min="16" max="16" width="10.85546875" customWidth="1"/>
    <col min="17" max="17" width="9" bestFit="1" customWidth="1"/>
    <col min="18" max="18" width="11" bestFit="1" customWidth="1"/>
    <col min="26" max="27" width="9.140625" customWidth="1"/>
    <col min="29" max="29" width="0.5703125" customWidth="1"/>
  </cols>
  <sheetData>
    <row r="1" spans="1:28" x14ac:dyDescent="0.25">
      <c r="A1" s="151"/>
      <c r="B1" s="302" t="s">
        <v>20</v>
      </c>
      <c r="C1" s="302"/>
      <c r="D1" s="302"/>
      <c r="E1" s="302"/>
    </row>
    <row r="2" spans="1:28" x14ac:dyDescent="0.25">
      <c r="A2" s="151"/>
      <c r="B2" s="301" t="s">
        <v>180</v>
      </c>
      <c r="C2" s="301"/>
      <c r="D2" s="301"/>
      <c r="E2" s="301"/>
    </row>
    <row r="3" spans="1:28" x14ac:dyDescent="0.25">
      <c r="A3" s="151"/>
      <c r="B3" s="301" t="s">
        <v>758</v>
      </c>
      <c r="C3" s="301"/>
      <c r="D3" s="301"/>
      <c r="E3" s="301"/>
    </row>
    <row r="4" spans="1:28" x14ac:dyDescent="0.25">
      <c r="A4" s="151"/>
      <c r="B4" s="251"/>
      <c r="C4" s="251"/>
      <c r="D4" s="251"/>
      <c r="E4" s="251"/>
    </row>
    <row r="5" spans="1:28" x14ac:dyDescent="0.25">
      <c r="A5" s="151"/>
      <c r="B5" s="248"/>
      <c r="C5" s="248"/>
      <c r="D5" s="246" t="s">
        <v>474</v>
      </c>
      <c r="E5" s="260"/>
    </row>
    <row r="6" spans="1:28" x14ac:dyDescent="0.25">
      <c r="A6" s="151"/>
      <c r="B6" s="86"/>
      <c r="C6" s="261"/>
      <c r="D6" s="262" t="s">
        <v>620</v>
      </c>
      <c r="E6" s="261"/>
    </row>
    <row r="7" spans="1:28" x14ac:dyDescent="0.25">
      <c r="A7" s="151"/>
      <c r="B7" s="252"/>
      <c r="C7" s="263"/>
      <c r="D7" s="263"/>
      <c r="E7" s="255"/>
    </row>
    <row r="8" spans="1:28" ht="28.5" x14ac:dyDescent="0.25">
      <c r="A8" s="311" t="s">
        <v>291</v>
      </c>
      <c r="B8" s="312" t="s">
        <v>1</v>
      </c>
      <c r="C8" s="62" t="s">
        <v>179</v>
      </c>
      <c r="D8" s="143" t="s">
        <v>454</v>
      </c>
      <c r="E8" s="62" t="s">
        <v>290</v>
      </c>
      <c r="Q8" t="s">
        <v>530</v>
      </c>
      <c r="R8" t="s">
        <v>488</v>
      </c>
      <c r="S8" t="s">
        <v>480</v>
      </c>
      <c r="T8" t="s">
        <v>536</v>
      </c>
      <c r="U8" t="s">
        <v>537</v>
      </c>
      <c r="V8" t="s">
        <v>504</v>
      </c>
      <c r="W8" t="s">
        <v>536</v>
      </c>
      <c r="X8" t="s">
        <v>537</v>
      </c>
      <c r="Y8" t="s">
        <v>736</v>
      </c>
      <c r="AA8" t="s">
        <v>735</v>
      </c>
      <c r="AB8" t="s">
        <v>509</v>
      </c>
    </row>
    <row r="9" spans="1:28" x14ac:dyDescent="0.25">
      <c r="A9" s="311"/>
      <c r="B9" s="313"/>
      <c r="C9" s="299" t="s">
        <v>457</v>
      </c>
      <c r="D9" s="314"/>
      <c r="E9" s="300"/>
      <c r="H9" s="151" t="s">
        <v>523</v>
      </c>
      <c r="I9" s="151">
        <v>129000</v>
      </c>
      <c r="J9" s="151">
        <v>8800</v>
      </c>
      <c r="K9" s="151"/>
      <c r="L9" s="151"/>
      <c r="M9" s="151">
        <v>161000</v>
      </c>
      <c r="N9" s="151">
        <v>8800</v>
      </c>
      <c r="O9" s="151"/>
      <c r="P9" s="151"/>
      <c r="Q9" s="151">
        <f t="shared" ref="Q9:Q19" si="0">(I9+J9+K9+L9)+11*(M9+N9+O9+P9)</f>
        <v>2005600</v>
      </c>
      <c r="R9" s="178">
        <f>Q9*22%</f>
        <v>441232</v>
      </c>
      <c r="S9" s="151">
        <v>74505</v>
      </c>
      <c r="T9" s="178">
        <f>S9*1.18*15%</f>
        <v>13187.384999999998</v>
      </c>
      <c r="U9" s="157">
        <f>S9*1.18*14%</f>
        <v>12308.226000000001</v>
      </c>
      <c r="V9">
        <v>0</v>
      </c>
      <c r="W9">
        <f t="shared" ref="W9" si="1">V9*1.19*15%</f>
        <v>0</v>
      </c>
      <c r="X9">
        <f t="shared" ref="X9" si="2">V9*1.19*27%</f>
        <v>0</v>
      </c>
      <c r="Y9">
        <v>12000</v>
      </c>
      <c r="Z9">
        <v>10300</v>
      </c>
      <c r="AA9" s="157">
        <f>Y9+(11*Z9)</f>
        <v>125300</v>
      </c>
      <c r="AB9">
        <f>AA9*22%</f>
        <v>27566</v>
      </c>
    </row>
    <row r="10" spans="1:28" x14ac:dyDescent="0.25">
      <c r="A10" s="259" t="s">
        <v>270</v>
      </c>
      <c r="B10" s="41" t="s">
        <v>98</v>
      </c>
      <c r="C10" s="42">
        <v>7</v>
      </c>
      <c r="D10" s="42">
        <v>7366112</v>
      </c>
      <c r="E10" s="42">
        <v>1649763</v>
      </c>
      <c r="H10" s="151" t="s">
        <v>524</v>
      </c>
      <c r="I10" s="151">
        <v>129000</v>
      </c>
      <c r="J10" s="151">
        <v>9500</v>
      </c>
      <c r="K10" s="151">
        <v>7259</v>
      </c>
      <c r="L10" s="151">
        <v>10000</v>
      </c>
      <c r="M10" s="151">
        <v>161000</v>
      </c>
      <c r="N10" s="151">
        <v>17159</v>
      </c>
      <c r="O10" s="151"/>
      <c r="P10" s="151">
        <v>10000</v>
      </c>
      <c r="Q10" s="151">
        <f t="shared" si="0"/>
        <v>2225508</v>
      </c>
      <c r="R10" s="178">
        <f t="shared" ref="R10:R12" si="3">Q10*22%</f>
        <v>489611.76</v>
      </c>
      <c r="S10" s="151">
        <v>74505</v>
      </c>
      <c r="T10" s="178">
        <f t="shared" ref="T10:T14" si="4">S10*1.18*15%</f>
        <v>13187.384999999998</v>
      </c>
      <c r="U10" s="157">
        <f t="shared" ref="U10:U14" si="5">S10*1.18*14%</f>
        <v>12308.226000000001</v>
      </c>
      <c r="V10">
        <v>25000</v>
      </c>
      <c r="W10" s="157">
        <f>V10*0.2*1.18*15%</f>
        <v>885</v>
      </c>
      <c r="X10" s="157">
        <f>V10*0.2*1.18*22%</f>
        <v>1298</v>
      </c>
      <c r="Y10" s="157">
        <v>0</v>
      </c>
      <c r="Z10">
        <v>0</v>
      </c>
      <c r="AA10" s="157">
        <f t="shared" ref="AA10:AA13" si="6">Y10+(11*Z10)</f>
        <v>0</v>
      </c>
      <c r="AB10">
        <f t="shared" ref="AB10:AB13" si="7">AA10*22%</f>
        <v>0</v>
      </c>
    </row>
    <row r="11" spans="1:28" x14ac:dyDescent="0.25">
      <c r="A11" s="259" t="s">
        <v>271</v>
      </c>
      <c r="B11" s="41" t="s">
        <v>99</v>
      </c>
      <c r="C11" s="42">
        <v>0</v>
      </c>
      <c r="D11" s="42">
        <v>0</v>
      </c>
      <c r="E11" s="42">
        <v>0</v>
      </c>
      <c r="H11" s="151" t="s">
        <v>529</v>
      </c>
      <c r="I11" s="151">
        <v>271407</v>
      </c>
      <c r="J11" s="151">
        <v>16063</v>
      </c>
      <c r="K11" s="151"/>
      <c r="L11" s="151"/>
      <c r="M11" s="151">
        <v>271407</v>
      </c>
      <c r="N11" s="151">
        <v>16063</v>
      </c>
      <c r="O11" s="151"/>
      <c r="P11" s="151"/>
      <c r="Q11" s="151">
        <f t="shared" si="0"/>
        <v>3449640</v>
      </c>
      <c r="R11" s="178">
        <f t="shared" si="3"/>
        <v>758920.8</v>
      </c>
      <c r="S11" s="151">
        <v>74505</v>
      </c>
      <c r="T11" s="178">
        <f t="shared" si="4"/>
        <v>13187.384999999998</v>
      </c>
      <c r="U11" s="157">
        <f t="shared" si="5"/>
        <v>12308.226000000001</v>
      </c>
      <c r="V11">
        <v>25000</v>
      </c>
      <c r="W11" s="157">
        <f t="shared" ref="W11:W14" si="8">V11*0.2*1.18*15%</f>
        <v>885</v>
      </c>
      <c r="X11" s="157">
        <f t="shared" ref="X11:X12" si="9">V11*0.2*1.18*22%</f>
        <v>1298</v>
      </c>
      <c r="Y11" s="157">
        <v>1300</v>
      </c>
      <c r="Z11">
        <v>1300</v>
      </c>
      <c r="AA11" s="157">
        <f t="shared" si="6"/>
        <v>15600</v>
      </c>
      <c r="AB11">
        <f t="shared" si="7"/>
        <v>3432</v>
      </c>
    </row>
    <row r="12" spans="1:28" x14ac:dyDescent="0.25">
      <c r="A12" s="259" t="s">
        <v>273</v>
      </c>
      <c r="B12" s="41" t="s">
        <v>100</v>
      </c>
      <c r="C12" s="42">
        <v>1</v>
      </c>
      <c r="D12" s="42">
        <v>3539745</v>
      </c>
      <c r="E12" s="42">
        <v>791353</v>
      </c>
      <c r="H12" s="151" t="s">
        <v>525</v>
      </c>
      <c r="I12" s="151">
        <v>174200</v>
      </c>
      <c r="J12" s="151"/>
      <c r="K12" s="151"/>
      <c r="L12" s="151"/>
      <c r="M12" s="151">
        <v>174200</v>
      </c>
      <c r="N12" s="151"/>
      <c r="O12" s="151"/>
      <c r="P12" s="151"/>
      <c r="Q12" s="151">
        <f t="shared" si="0"/>
        <v>2090400</v>
      </c>
      <c r="R12" s="178">
        <f t="shared" si="3"/>
        <v>459888</v>
      </c>
      <c r="S12" s="151">
        <v>74505</v>
      </c>
      <c r="T12" s="178">
        <f t="shared" si="4"/>
        <v>13187.384999999998</v>
      </c>
      <c r="U12" s="157">
        <f t="shared" si="5"/>
        <v>12308.226000000001</v>
      </c>
      <c r="V12">
        <v>25000</v>
      </c>
      <c r="W12" s="157">
        <f t="shared" si="8"/>
        <v>885</v>
      </c>
      <c r="X12" s="157">
        <f t="shared" si="9"/>
        <v>1298</v>
      </c>
      <c r="Y12">
        <v>12200</v>
      </c>
      <c r="Z12">
        <v>12200</v>
      </c>
      <c r="AA12" s="157">
        <f t="shared" si="6"/>
        <v>146400</v>
      </c>
      <c r="AB12">
        <f t="shared" si="7"/>
        <v>32208</v>
      </c>
    </row>
    <row r="13" spans="1:28" x14ac:dyDescent="0.25">
      <c r="A13" s="259">
        <v>107052</v>
      </c>
      <c r="B13" s="41" t="s">
        <v>57</v>
      </c>
      <c r="C13" s="42">
        <v>1</v>
      </c>
      <c r="D13" s="42">
        <v>2205405</v>
      </c>
      <c r="E13" s="42">
        <v>495798</v>
      </c>
      <c r="H13" s="151" t="s">
        <v>141</v>
      </c>
      <c r="I13" s="151">
        <f t="shared" ref="I13:X13" si="10">SUM(I9:I12)</f>
        <v>703607</v>
      </c>
      <c r="J13" s="151">
        <f t="shared" si="10"/>
        <v>34363</v>
      </c>
      <c r="K13" s="151">
        <f t="shared" si="10"/>
        <v>7259</v>
      </c>
      <c r="L13" s="151">
        <f t="shared" si="10"/>
        <v>10000</v>
      </c>
      <c r="M13" s="151">
        <f t="shared" si="10"/>
        <v>767607</v>
      </c>
      <c r="N13" s="151">
        <f t="shared" si="10"/>
        <v>42022</v>
      </c>
      <c r="O13" s="151">
        <f t="shared" si="10"/>
        <v>0</v>
      </c>
      <c r="P13" s="151">
        <f t="shared" si="10"/>
        <v>10000</v>
      </c>
      <c r="Q13" s="179">
        <f t="shared" si="10"/>
        <v>9771148</v>
      </c>
      <c r="R13" s="183">
        <f t="shared" si="10"/>
        <v>2149652.56</v>
      </c>
      <c r="S13" s="179">
        <f t="shared" si="10"/>
        <v>298020</v>
      </c>
      <c r="T13" s="182">
        <f t="shared" si="10"/>
        <v>52749.539999999994</v>
      </c>
      <c r="U13" s="183">
        <f t="shared" si="10"/>
        <v>49232.904000000002</v>
      </c>
      <c r="V13" s="181">
        <f t="shared" si="10"/>
        <v>75000</v>
      </c>
      <c r="W13" s="180">
        <f t="shared" si="10"/>
        <v>2655</v>
      </c>
      <c r="X13" s="183">
        <f t="shared" si="10"/>
        <v>3894</v>
      </c>
      <c r="Y13" s="184"/>
      <c r="AA13" s="157">
        <f t="shared" si="6"/>
        <v>0</v>
      </c>
      <c r="AB13">
        <f t="shared" si="7"/>
        <v>0</v>
      </c>
    </row>
    <row r="14" spans="1:28" x14ac:dyDescent="0.25">
      <c r="A14" s="259">
        <v>107055</v>
      </c>
      <c r="B14" s="41" t="s">
        <v>101</v>
      </c>
      <c r="C14" s="42">
        <v>1</v>
      </c>
      <c r="D14" s="42">
        <v>2300013</v>
      </c>
      <c r="E14" s="42">
        <v>518612</v>
      </c>
      <c r="H14" s="151" t="s">
        <v>526</v>
      </c>
      <c r="I14" s="151">
        <v>299200</v>
      </c>
      <c r="J14" s="151"/>
      <c r="K14" s="151"/>
      <c r="L14" s="151"/>
      <c r="M14" s="151">
        <v>398900</v>
      </c>
      <c r="N14" s="151"/>
      <c r="O14" s="151"/>
      <c r="P14" s="151"/>
      <c r="Q14" s="151">
        <f t="shared" si="0"/>
        <v>4687100</v>
      </c>
      <c r="R14" s="151">
        <f>Q14*22%</f>
        <v>1031162</v>
      </c>
      <c r="S14" s="151">
        <v>149009</v>
      </c>
      <c r="T14" s="178">
        <f t="shared" si="4"/>
        <v>26374.592999999997</v>
      </c>
      <c r="U14" s="157">
        <f t="shared" si="5"/>
        <v>24616.286800000002</v>
      </c>
      <c r="V14">
        <v>105000</v>
      </c>
      <c r="W14" s="157">
        <f t="shared" si="8"/>
        <v>3717</v>
      </c>
      <c r="X14" s="157">
        <f t="shared" ref="X14" si="11">V14*0.2*1.18*22%</f>
        <v>5451.6</v>
      </c>
      <c r="Y14" s="157"/>
      <c r="Z14" s="179"/>
      <c r="AA14" s="179">
        <f t="shared" ref="AA14:AB14" si="12">SUM(AA9:AA13)</f>
        <v>287300</v>
      </c>
      <c r="AB14" s="179">
        <f t="shared" si="12"/>
        <v>63206</v>
      </c>
    </row>
    <row r="15" spans="1:28" x14ac:dyDescent="0.25">
      <c r="A15" s="264" t="s">
        <v>272</v>
      </c>
      <c r="B15" s="41" t="s">
        <v>102</v>
      </c>
      <c r="C15" s="42">
        <v>1</v>
      </c>
      <c r="D15" s="42">
        <v>2311305</v>
      </c>
      <c r="E15" s="42">
        <v>521096</v>
      </c>
      <c r="H15" s="151" t="s">
        <v>527</v>
      </c>
      <c r="I15" s="151">
        <v>36000</v>
      </c>
      <c r="J15" s="151">
        <v>30000</v>
      </c>
      <c r="K15" s="151"/>
      <c r="L15" s="151"/>
      <c r="M15" s="151"/>
      <c r="N15" s="151"/>
      <c r="O15" s="151"/>
      <c r="P15" s="151"/>
      <c r="Q15" s="151">
        <f>12*(I15+J15+K15)</f>
        <v>792000</v>
      </c>
      <c r="R15" s="151">
        <f t="shared" ref="R15:R16" si="13">Q15*22%</f>
        <v>174240</v>
      </c>
      <c r="S15" s="151"/>
      <c r="T15" s="151"/>
      <c r="AA15" s="157"/>
    </row>
    <row r="16" spans="1:28" x14ac:dyDescent="0.25">
      <c r="A16" s="259" t="s">
        <v>285</v>
      </c>
      <c r="B16" s="41" t="s">
        <v>103</v>
      </c>
      <c r="C16" s="42">
        <v>43</v>
      </c>
      <c r="D16" s="42">
        <v>10572363</v>
      </c>
      <c r="E16" s="42">
        <v>1234728</v>
      </c>
      <c r="H16" s="151" t="s">
        <v>531</v>
      </c>
      <c r="I16" s="151"/>
      <c r="J16" s="151"/>
      <c r="K16" s="151"/>
      <c r="L16" s="151"/>
      <c r="M16" s="151">
        <v>75000</v>
      </c>
      <c r="N16" s="151"/>
      <c r="O16" s="151"/>
      <c r="P16" s="151"/>
      <c r="Q16" s="151">
        <f>12*M16</f>
        <v>900000</v>
      </c>
      <c r="R16" s="151">
        <f t="shared" si="13"/>
        <v>198000</v>
      </c>
      <c r="S16" s="151"/>
      <c r="T16" s="151"/>
    </row>
    <row r="17" spans="1:25" x14ac:dyDescent="0.25">
      <c r="A17" s="131"/>
      <c r="B17" s="43" t="s">
        <v>141</v>
      </c>
      <c r="C17" s="45">
        <f>SUM(C10:C16)</f>
        <v>54</v>
      </c>
      <c r="D17" s="45">
        <f>SUM(D10:D16)</f>
        <v>28294943</v>
      </c>
      <c r="E17" s="45">
        <f>SUM(E10:E16)</f>
        <v>5211350</v>
      </c>
      <c r="H17" s="151" t="s">
        <v>141</v>
      </c>
      <c r="I17" s="151">
        <f>SUM(I14:I16)</f>
        <v>335200</v>
      </c>
      <c r="J17" s="151"/>
      <c r="K17" s="151"/>
      <c r="L17" s="151"/>
      <c r="M17" s="151">
        <f t="shared" ref="M17:R17" si="14">SUM(M14:M16)</f>
        <v>473900</v>
      </c>
      <c r="N17" s="151"/>
      <c r="O17" s="151"/>
      <c r="P17" s="151"/>
      <c r="Q17" s="179">
        <f t="shared" si="14"/>
        <v>6379100</v>
      </c>
      <c r="R17" s="184">
        <f t="shared" si="14"/>
        <v>1403402</v>
      </c>
      <c r="S17" s="179">
        <f>S13+S14</f>
        <v>447029</v>
      </c>
      <c r="T17" s="226">
        <f t="shared" ref="T17:X17" si="15">T13+T14</f>
        <v>79124.132999999987</v>
      </c>
      <c r="U17" s="226">
        <f t="shared" si="15"/>
        <v>73849.190800000011</v>
      </c>
      <c r="V17" s="179">
        <f t="shared" si="15"/>
        <v>180000</v>
      </c>
      <c r="W17" s="179">
        <f t="shared" si="15"/>
        <v>6372</v>
      </c>
      <c r="X17" s="226">
        <f t="shared" si="15"/>
        <v>9345.6</v>
      </c>
      <c r="Y17" s="183"/>
    </row>
    <row r="18" spans="1:25" x14ac:dyDescent="0.25">
      <c r="H18" s="151" t="s">
        <v>532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1:25" x14ac:dyDescent="0.25">
      <c r="H19" s="177" t="s">
        <v>533</v>
      </c>
      <c r="I19" s="151">
        <v>44873</v>
      </c>
      <c r="J19" s="151"/>
      <c r="K19" s="151"/>
      <c r="L19" s="151"/>
      <c r="M19" s="151">
        <v>59830</v>
      </c>
      <c r="N19" s="151"/>
      <c r="O19" s="151"/>
      <c r="P19" s="151"/>
      <c r="Q19" s="179">
        <f t="shared" si="0"/>
        <v>703003</v>
      </c>
      <c r="R19" s="178">
        <f t="shared" ref="R19:R20" si="16">Q19*22%</f>
        <v>154660.66</v>
      </c>
      <c r="S19" s="151"/>
      <c r="T19" s="151"/>
    </row>
    <row r="20" spans="1:25" x14ac:dyDescent="0.25">
      <c r="H20" s="177" t="s">
        <v>534</v>
      </c>
      <c r="I20" s="151"/>
      <c r="J20" s="151"/>
      <c r="K20" s="151"/>
      <c r="L20" s="151"/>
      <c r="M20" s="151">
        <v>11250</v>
      </c>
      <c r="N20" s="151"/>
      <c r="O20" s="151"/>
      <c r="P20" s="151"/>
      <c r="Q20" s="179">
        <f>12*M20</f>
        <v>135000</v>
      </c>
      <c r="R20" s="178">
        <f t="shared" si="16"/>
        <v>29700</v>
      </c>
      <c r="S20" s="151"/>
      <c r="T20" s="151"/>
    </row>
    <row r="21" spans="1:25" x14ac:dyDescent="0.25">
      <c r="O21" s="173"/>
      <c r="R21" s="157">
        <f>R17+R19+R20</f>
        <v>1587762.66</v>
      </c>
    </row>
    <row r="22" spans="1:25" x14ac:dyDescent="0.25">
      <c r="I22" t="s">
        <v>754</v>
      </c>
      <c r="J22" t="s">
        <v>755</v>
      </c>
      <c r="K22" t="s">
        <v>756</v>
      </c>
      <c r="L22" t="s">
        <v>757</v>
      </c>
    </row>
    <row r="23" spans="1:25" x14ac:dyDescent="0.25">
      <c r="H23" t="s">
        <v>753</v>
      </c>
      <c r="J23" s="157"/>
    </row>
    <row r="24" spans="1:25" x14ac:dyDescent="0.25">
      <c r="H24" t="s">
        <v>536</v>
      </c>
      <c r="I24" s="157"/>
    </row>
    <row r="26" spans="1:25" x14ac:dyDescent="0.25">
      <c r="H26" t="s">
        <v>759</v>
      </c>
      <c r="I26" t="s">
        <v>760</v>
      </c>
      <c r="J26" t="s">
        <v>761</v>
      </c>
    </row>
    <row r="27" spans="1:25" x14ac:dyDescent="0.25">
      <c r="I27" s="240" t="s">
        <v>762</v>
      </c>
      <c r="J27" t="s">
        <v>763</v>
      </c>
    </row>
  </sheetData>
  <mergeCells count="6">
    <mergeCell ref="A8:A9"/>
    <mergeCell ref="B8:B9"/>
    <mergeCell ref="B1:E1"/>
    <mergeCell ref="B2:E2"/>
    <mergeCell ref="B3:E3"/>
    <mergeCell ref="C9:E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sqref="A1:H25"/>
    </sheetView>
  </sheetViews>
  <sheetFormatPr defaultRowHeight="15" x14ac:dyDescent="0.25"/>
  <cols>
    <col min="1" max="1" width="13" style="124" customWidth="1"/>
    <col min="2" max="2" width="30.85546875" customWidth="1"/>
    <col min="3" max="3" width="17.5703125" bestFit="1" customWidth="1"/>
    <col min="4" max="4" width="16.7109375" customWidth="1"/>
    <col min="5" max="5" width="13.28515625" customWidth="1"/>
    <col min="6" max="6" width="11.85546875" customWidth="1"/>
    <col min="7" max="7" width="11.42578125" customWidth="1"/>
    <col min="8" max="8" width="13.85546875" customWidth="1"/>
  </cols>
  <sheetData>
    <row r="1" spans="1:8" x14ac:dyDescent="0.25">
      <c r="A1" s="256"/>
      <c r="B1" s="316" t="s">
        <v>20</v>
      </c>
      <c r="C1" s="316"/>
      <c r="D1" s="316"/>
      <c r="E1" s="316"/>
      <c r="F1" s="316"/>
      <c r="G1" s="316"/>
      <c r="H1" s="316"/>
    </row>
    <row r="2" spans="1:8" x14ac:dyDescent="0.25">
      <c r="A2" s="256"/>
      <c r="B2" s="301" t="s">
        <v>775</v>
      </c>
      <c r="C2" s="301"/>
      <c r="D2" s="301"/>
      <c r="E2" s="301"/>
      <c r="F2" s="301"/>
      <c r="G2" s="301"/>
      <c r="H2" s="301"/>
    </row>
    <row r="3" spans="1:8" x14ac:dyDescent="0.25">
      <c r="A3" s="256"/>
      <c r="B3" s="151"/>
      <c r="C3" s="151"/>
      <c r="D3" s="151"/>
      <c r="E3" s="151"/>
      <c r="F3" s="151"/>
      <c r="G3" s="151"/>
      <c r="H3" s="151"/>
    </row>
    <row r="4" spans="1:8" x14ac:dyDescent="0.25">
      <c r="A4" s="256"/>
      <c r="B4" s="151"/>
      <c r="C4" s="151"/>
      <c r="D4" s="151"/>
      <c r="E4" s="151"/>
      <c r="F4" s="151"/>
      <c r="G4" s="151"/>
      <c r="H4" s="257" t="s">
        <v>181</v>
      </c>
    </row>
    <row r="5" spans="1:8" x14ac:dyDescent="0.25">
      <c r="A5" s="256"/>
      <c r="B5" s="151"/>
      <c r="C5" s="151"/>
      <c r="D5" s="265"/>
      <c r="E5" s="265"/>
      <c r="F5" s="265"/>
      <c r="G5" s="265"/>
      <c r="H5" s="258" t="s">
        <v>613</v>
      </c>
    </row>
    <row r="6" spans="1:8" x14ac:dyDescent="0.25">
      <c r="A6" s="256"/>
      <c r="B6" s="151"/>
      <c r="C6" s="266"/>
      <c r="D6" s="266"/>
      <c r="E6" s="266"/>
      <c r="F6" s="266"/>
      <c r="G6" s="266"/>
      <c r="H6" s="267"/>
    </row>
    <row r="7" spans="1:8" s="4" customFormat="1" ht="41.25" customHeight="1" x14ac:dyDescent="0.25">
      <c r="A7" s="311" t="s">
        <v>269</v>
      </c>
      <c r="B7" s="317" t="s">
        <v>1</v>
      </c>
      <c r="C7" s="143" t="s">
        <v>286</v>
      </c>
      <c r="D7" s="143" t="s">
        <v>287</v>
      </c>
      <c r="E7" s="143" t="s">
        <v>288</v>
      </c>
      <c r="F7" s="143" t="s">
        <v>289</v>
      </c>
      <c r="G7" s="143" t="s">
        <v>472</v>
      </c>
      <c r="H7" s="63" t="s">
        <v>141</v>
      </c>
    </row>
    <row r="8" spans="1:8" s="4" customFormat="1" ht="37.5" customHeight="1" x14ac:dyDescent="0.25">
      <c r="A8" s="311"/>
      <c r="B8" s="318"/>
      <c r="C8" s="62" t="s">
        <v>457</v>
      </c>
      <c r="D8" s="62" t="s">
        <v>457</v>
      </c>
      <c r="E8" s="62" t="s">
        <v>457</v>
      </c>
      <c r="F8" s="62" t="s">
        <v>457</v>
      </c>
      <c r="G8" s="62" t="s">
        <v>457</v>
      </c>
      <c r="H8" s="62" t="s">
        <v>457</v>
      </c>
    </row>
    <row r="9" spans="1:8" x14ac:dyDescent="0.25">
      <c r="A9" s="268" t="s">
        <v>270</v>
      </c>
      <c r="B9" s="270" t="s">
        <v>98</v>
      </c>
      <c r="C9" s="21">
        <v>1000000</v>
      </c>
      <c r="D9" s="21">
        <v>2614252</v>
      </c>
      <c r="E9" s="21">
        <v>4720000</v>
      </c>
      <c r="F9" s="21">
        <v>180000</v>
      </c>
      <c r="G9" s="21">
        <v>2789748</v>
      </c>
      <c r="H9" s="133">
        <f>SUM(C9:G9)</f>
        <v>11304000</v>
      </c>
    </row>
    <row r="10" spans="1:8" x14ac:dyDescent="0.25">
      <c r="A10" s="268" t="s">
        <v>271</v>
      </c>
      <c r="B10" s="270" t="s">
        <v>99</v>
      </c>
      <c r="C10" s="21">
        <v>370000</v>
      </c>
      <c r="D10" s="21">
        <v>85000</v>
      </c>
      <c r="E10" s="21">
        <v>1385000</v>
      </c>
      <c r="F10" s="21">
        <v>0</v>
      </c>
      <c r="G10" s="21">
        <v>810600</v>
      </c>
      <c r="H10" s="133">
        <f t="shared" ref="H10:H25" si="0">SUM(C10:G10)</f>
        <v>2650600</v>
      </c>
    </row>
    <row r="11" spans="1:8" x14ac:dyDescent="0.25">
      <c r="A11" s="268" t="s">
        <v>273</v>
      </c>
      <c r="B11" s="270" t="s">
        <v>100</v>
      </c>
      <c r="C11" s="21">
        <v>25000</v>
      </c>
      <c r="D11" s="21">
        <v>43000</v>
      </c>
      <c r="E11" s="21">
        <v>285000</v>
      </c>
      <c r="F11" s="21">
        <v>60000</v>
      </c>
      <c r="G11" s="21">
        <v>87210</v>
      </c>
      <c r="H11" s="133">
        <f t="shared" si="0"/>
        <v>500210</v>
      </c>
    </row>
    <row r="12" spans="1:8" x14ac:dyDescent="0.25">
      <c r="A12" s="268">
        <v>107052</v>
      </c>
      <c r="B12" s="270" t="s">
        <v>57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133">
        <f t="shared" si="0"/>
        <v>0</v>
      </c>
    </row>
    <row r="13" spans="1:8" x14ac:dyDescent="0.25">
      <c r="A13" s="268">
        <v>107055</v>
      </c>
      <c r="B13" s="270" t="s">
        <v>101</v>
      </c>
      <c r="C13" s="21">
        <v>780000</v>
      </c>
      <c r="D13" s="21">
        <v>29000</v>
      </c>
      <c r="E13" s="21">
        <v>325000</v>
      </c>
      <c r="F13" s="21">
        <v>0</v>
      </c>
      <c r="G13" s="21">
        <v>262980</v>
      </c>
      <c r="H13" s="133">
        <f t="shared" si="0"/>
        <v>1396980</v>
      </c>
    </row>
    <row r="14" spans="1:8" x14ac:dyDescent="0.25">
      <c r="A14" s="271" t="s">
        <v>272</v>
      </c>
      <c r="B14" s="270" t="s">
        <v>102</v>
      </c>
      <c r="C14" s="21">
        <v>80000</v>
      </c>
      <c r="D14" s="21">
        <v>70000</v>
      </c>
      <c r="E14" s="21">
        <v>1625000</v>
      </c>
      <c r="F14" s="21">
        <v>0</v>
      </c>
      <c r="G14" s="21">
        <v>461700</v>
      </c>
      <c r="H14" s="133">
        <f t="shared" si="0"/>
        <v>2236700</v>
      </c>
    </row>
    <row r="15" spans="1:8" x14ac:dyDescent="0.25">
      <c r="A15" s="259" t="s">
        <v>458</v>
      </c>
      <c r="B15" s="270" t="s">
        <v>103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131">
        <f t="shared" si="0"/>
        <v>0</v>
      </c>
    </row>
    <row r="16" spans="1:8" x14ac:dyDescent="0.25">
      <c r="A16" s="269" t="s">
        <v>459</v>
      </c>
      <c r="B16" s="270" t="s">
        <v>105</v>
      </c>
      <c r="C16" s="21">
        <v>800000</v>
      </c>
      <c r="D16" s="21">
        <v>0</v>
      </c>
      <c r="E16" s="21">
        <v>651000</v>
      </c>
      <c r="F16" s="21">
        <v>0</v>
      </c>
      <c r="G16" s="21">
        <v>386100</v>
      </c>
      <c r="H16" s="133">
        <f t="shared" si="0"/>
        <v>1837100</v>
      </c>
    </row>
    <row r="17" spans="1:8" x14ac:dyDescent="0.25">
      <c r="A17" s="269" t="s">
        <v>460</v>
      </c>
      <c r="B17" s="270" t="s">
        <v>106</v>
      </c>
      <c r="C17" s="21">
        <v>100000</v>
      </c>
      <c r="D17" s="21">
        <v>0</v>
      </c>
      <c r="E17" s="21">
        <v>510000</v>
      </c>
      <c r="F17" s="21">
        <v>0</v>
      </c>
      <c r="G17" s="21">
        <v>164700</v>
      </c>
      <c r="H17" s="133">
        <f t="shared" si="0"/>
        <v>774700</v>
      </c>
    </row>
    <row r="18" spans="1:8" x14ac:dyDescent="0.25">
      <c r="A18" s="269" t="s">
        <v>469</v>
      </c>
      <c r="B18" s="270" t="s">
        <v>107</v>
      </c>
      <c r="C18" s="21">
        <v>0</v>
      </c>
      <c r="D18" s="21">
        <v>0</v>
      </c>
      <c r="E18" s="21">
        <v>3250000</v>
      </c>
      <c r="F18" s="21">
        <v>0</v>
      </c>
      <c r="G18" s="21">
        <v>810000</v>
      </c>
      <c r="H18" s="133">
        <f t="shared" si="0"/>
        <v>4060000</v>
      </c>
    </row>
    <row r="19" spans="1:8" x14ac:dyDescent="0.25">
      <c r="A19" s="269" t="s">
        <v>470</v>
      </c>
      <c r="B19" s="270" t="s">
        <v>108</v>
      </c>
      <c r="C19" s="21">
        <v>610000</v>
      </c>
      <c r="D19" s="21">
        <v>0</v>
      </c>
      <c r="E19" s="21">
        <v>380000</v>
      </c>
      <c r="F19" s="21">
        <v>0</v>
      </c>
      <c r="G19" s="21">
        <v>267300</v>
      </c>
      <c r="H19" s="133">
        <f t="shared" si="0"/>
        <v>1257300</v>
      </c>
    </row>
    <row r="20" spans="1:8" x14ac:dyDescent="0.25">
      <c r="A20" s="269" t="s">
        <v>653</v>
      </c>
      <c r="B20" s="270" t="s">
        <v>572</v>
      </c>
      <c r="C20" s="21">
        <v>500000</v>
      </c>
      <c r="D20" s="21">
        <v>0</v>
      </c>
      <c r="E20" s="21">
        <v>500000</v>
      </c>
      <c r="F20" s="21">
        <v>0</v>
      </c>
      <c r="G20" s="21">
        <v>270000</v>
      </c>
      <c r="H20" s="133">
        <f t="shared" si="0"/>
        <v>1270000</v>
      </c>
    </row>
    <row r="21" spans="1:8" x14ac:dyDescent="0.25">
      <c r="A21" s="269" t="s">
        <v>471</v>
      </c>
      <c r="B21" s="270" t="s">
        <v>109</v>
      </c>
      <c r="C21" s="21">
        <v>180000</v>
      </c>
      <c r="D21" s="21">
        <v>0</v>
      </c>
      <c r="E21" s="21">
        <v>430000</v>
      </c>
      <c r="F21" s="21">
        <v>0</v>
      </c>
      <c r="G21" s="21">
        <v>121500</v>
      </c>
      <c r="H21" s="133">
        <f t="shared" si="0"/>
        <v>731500</v>
      </c>
    </row>
    <row r="22" spans="1:8" x14ac:dyDescent="0.25">
      <c r="A22" s="269" t="s">
        <v>275</v>
      </c>
      <c r="B22" s="270" t="s">
        <v>110</v>
      </c>
      <c r="C22" s="21">
        <v>110000</v>
      </c>
      <c r="D22" s="21">
        <v>0</v>
      </c>
      <c r="E22" s="21">
        <v>645000</v>
      </c>
      <c r="F22" s="21">
        <v>0</v>
      </c>
      <c r="G22" s="21">
        <v>113400</v>
      </c>
      <c r="H22" s="133">
        <f t="shared" si="0"/>
        <v>868400</v>
      </c>
    </row>
    <row r="23" spans="1:8" x14ac:dyDescent="0.25">
      <c r="A23" s="269" t="s">
        <v>776</v>
      </c>
      <c r="B23" s="270" t="s">
        <v>777</v>
      </c>
      <c r="C23" s="21">
        <v>0</v>
      </c>
      <c r="D23" s="21">
        <v>0</v>
      </c>
      <c r="E23" s="21">
        <v>1650000</v>
      </c>
      <c r="F23" s="21">
        <v>0</v>
      </c>
      <c r="G23" s="21">
        <v>445500</v>
      </c>
      <c r="H23" s="133"/>
    </row>
    <row r="24" spans="1:8" ht="30" x14ac:dyDescent="0.25">
      <c r="A24" s="269" t="s">
        <v>656</v>
      </c>
      <c r="B24" s="16" t="s">
        <v>778</v>
      </c>
      <c r="C24" s="21"/>
      <c r="D24" s="21"/>
      <c r="E24" s="21"/>
      <c r="F24" s="21"/>
      <c r="G24" s="21">
        <v>178</v>
      </c>
      <c r="H24" s="133"/>
    </row>
    <row r="25" spans="1:8" x14ac:dyDescent="0.25">
      <c r="A25" s="315" t="s">
        <v>141</v>
      </c>
      <c r="B25" s="315"/>
      <c r="C25" s="27">
        <f>SUM(C9:C24)</f>
        <v>4555000</v>
      </c>
      <c r="D25" s="27">
        <f t="shared" ref="D25:G25" si="1">SUM(D9:D24)</f>
        <v>2841252</v>
      </c>
      <c r="E25" s="27">
        <f t="shared" si="1"/>
        <v>16356000</v>
      </c>
      <c r="F25" s="27">
        <f t="shared" si="1"/>
        <v>240000</v>
      </c>
      <c r="G25" s="27">
        <f t="shared" si="1"/>
        <v>6990916</v>
      </c>
      <c r="H25" s="27">
        <f t="shared" si="0"/>
        <v>30983168</v>
      </c>
    </row>
    <row r="29" spans="1:8" x14ac:dyDescent="0.25">
      <c r="A29" s="126"/>
    </row>
    <row r="30" spans="1:8" x14ac:dyDescent="0.25">
      <c r="A30" s="126"/>
    </row>
    <row r="31" spans="1:8" x14ac:dyDescent="0.25">
      <c r="A31" s="126">
        <v>13320</v>
      </c>
    </row>
    <row r="32" spans="1:8" x14ac:dyDescent="0.25">
      <c r="A32" s="127">
        <v>13350</v>
      </c>
    </row>
    <row r="33" spans="1:1" x14ac:dyDescent="0.25">
      <c r="A33" s="127">
        <v>16010</v>
      </c>
    </row>
    <row r="34" spans="1:1" x14ac:dyDescent="0.25">
      <c r="A34" s="126">
        <v>16020</v>
      </c>
    </row>
    <row r="35" spans="1:1" x14ac:dyDescent="0.25">
      <c r="A35" s="126">
        <v>45120</v>
      </c>
    </row>
    <row r="36" spans="1:1" x14ac:dyDescent="0.25">
      <c r="A36" s="126">
        <v>64010</v>
      </c>
    </row>
    <row r="37" spans="1:1" x14ac:dyDescent="0.25">
      <c r="A37" s="126">
        <v>66010</v>
      </c>
    </row>
    <row r="38" spans="1:1" x14ac:dyDescent="0.25">
      <c r="A38" s="126">
        <v>66020</v>
      </c>
    </row>
    <row r="39" spans="1:1" x14ac:dyDescent="0.25">
      <c r="A39" s="126" t="s">
        <v>273</v>
      </c>
    </row>
    <row r="40" spans="1:1" x14ac:dyDescent="0.25">
      <c r="A40" s="126" t="s">
        <v>274</v>
      </c>
    </row>
    <row r="41" spans="1:1" x14ac:dyDescent="0.25">
      <c r="A41" s="126" t="s">
        <v>275</v>
      </c>
    </row>
    <row r="42" spans="1:1" x14ac:dyDescent="0.25">
      <c r="A42" s="126" t="s">
        <v>271</v>
      </c>
    </row>
    <row r="43" spans="1:1" x14ac:dyDescent="0.25">
      <c r="A43" s="126" t="s">
        <v>276</v>
      </c>
    </row>
    <row r="44" spans="1:1" x14ac:dyDescent="0.25">
      <c r="A44" s="126" t="s">
        <v>277</v>
      </c>
    </row>
    <row r="45" spans="1:1" x14ac:dyDescent="0.25">
      <c r="A45" s="126" t="s">
        <v>278</v>
      </c>
    </row>
    <row r="46" spans="1:1" x14ac:dyDescent="0.25">
      <c r="A46" s="126">
        <v>107051</v>
      </c>
    </row>
    <row r="47" spans="1:1" x14ac:dyDescent="0.25">
      <c r="A47" s="126">
        <v>107052</v>
      </c>
    </row>
    <row r="48" spans="1:1" x14ac:dyDescent="0.25">
      <c r="A48" s="126">
        <v>107055</v>
      </c>
    </row>
    <row r="49" spans="1:1" x14ac:dyDescent="0.25">
      <c r="A49" s="126">
        <v>106020</v>
      </c>
    </row>
    <row r="50" spans="1:1" x14ac:dyDescent="0.25">
      <c r="A50" s="126" t="s">
        <v>279</v>
      </c>
    </row>
    <row r="51" spans="1:1" x14ac:dyDescent="0.25">
      <c r="A51" s="126" t="s">
        <v>280</v>
      </c>
    </row>
    <row r="52" spans="1:1" x14ac:dyDescent="0.25">
      <c r="A52" s="126" t="s">
        <v>281</v>
      </c>
    </row>
    <row r="53" spans="1:1" x14ac:dyDescent="0.25">
      <c r="A53" s="126" t="s">
        <v>282</v>
      </c>
    </row>
    <row r="54" spans="1:1" x14ac:dyDescent="0.25">
      <c r="A54" s="126" t="s">
        <v>283</v>
      </c>
    </row>
    <row r="55" spans="1:1" x14ac:dyDescent="0.25">
      <c r="A55" s="126" t="s">
        <v>284</v>
      </c>
    </row>
    <row r="56" spans="1:1" x14ac:dyDescent="0.25">
      <c r="A56" s="127" t="s">
        <v>272</v>
      </c>
    </row>
  </sheetData>
  <mergeCells count="5">
    <mergeCell ref="A25:B25"/>
    <mergeCell ref="B1:H1"/>
    <mergeCell ref="B2:H2"/>
    <mergeCell ref="B7:B8"/>
    <mergeCell ref="A7:A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sqref="A1:E38"/>
    </sheetView>
  </sheetViews>
  <sheetFormatPr defaultRowHeight="15" x14ac:dyDescent="0.25"/>
  <cols>
    <col min="1" max="1" width="14.5703125" customWidth="1"/>
    <col min="2" max="2" width="30.85546875" customWidth="1"/>
    <col min="3" max="3" width="14.42578125" customWidth="1"/>
    <col min="4" max="4" width="10.5703125" customWidth="1"/>
  </cols>
  <sheetData>
    <row r="1" spans="1:6" x14ac:dyDescent="0.25">
      <c r="A1" s="316" t="s">
        <v>20</v>
      </c>
      <c r="B1" s="316"/>
      <c r="C1" s="316"/>
      <c r="D1" s="316"/>
      <c r="E1" s="316"/>
    </row>
    <row r="2" spans="1:6" x14ac:dyDescent="0.25">
      <c r="A2" s="301" t="s">
        <v>786</v>
      </c>
      <c r="B2" s="301"/>
      <c r="C2" s="301"/>
      <c r="D2" s="301"/>
      <c r="E2" s="301"/>
    </row>
    <row r="3" spans="1:6" x14ac:dyDescent="0.25">
      <c r="A3" s="151"/>
      <c r="B3" s="247"/>
      <c r="C3" s="247"/>
      <c r="D3" s="151"/>
      <c r="E3" s="151"/>
    </row>
    <row r="4" spans="1:6" x14ac:dyDescent="0.25">
      <c r="A4" s="151"/>
      <c r="B4" s="247"/>
      <c r="C4" s="254" t="s">
        <v>195</v>
      </c>
      <c r="D4" s="151"/>
      <c r="E4" s="151"/>
    </row>
    <row r="5" spans="1:6" x14ac:dyDescent="0.25">
      <c r="A5" s="151"/>
      <c r="B5" s="7"/>
      <c r="C5" s="254" t="s">
        <v>613</v>
      </c>
      <c r="D5" s="151"/>
      <c r="E5" s="151"/>
    </row>
    <row r="6" spans="1:6" ht="28.5" x14ac:dyDescent="0.25">
      <c r="A6" s="299" t="s">
        <v>1</v>
      </c>
      <c r="B6" s="300"/>
      <c r="C6" s="62" t="s">
        <v>168</v>
      </c>
      <c r="D6" s="151"/>
      <c r="E6" s="151"/>
    </row>
    <row r="7" spans="1:6" x14ac:dyDescent="0.25">
      <c r="A7" s="131" t="s">
        <v>465</v>
      </c>
      <c r="B7" s="21" t="s">
        <v>196</v>
      </c>
      <c r="C7" s="21">
        <v>1200000</v>
      </c>
      <c r="D7" s="151"/>
      <c r="E7" s="151"/>
    </row>
    <row r="8" spans="1:6" x14ac:dyDescent="0.25">
      <c r="A8" s="131" t="s">
        <v>415</v>
      </c>
      <c r="B8" s="21" t="s">
        <v>670</v>
      </c>
      <c r="C8" s="21">
        <v>4745000</v>
      </c>
      <c r="D8" s="151"/>
      <c r="E8" s="151"/>
    </row>
    <row r="9" spans="1:6" x14ac:dyDescent="0.25">
      <c r="A9" s="133" t="s">
        <v>416</v>
      </c>
      <c r="B9" s="27" t="s">
        <v>88</v>
      </c>
      <c r="C9" s="27">
        <f>SUM(C7:C8)</f>
        <v>5945000</v>
      </c>
      <c r="D9" s="151"/>
      <c r="E9" s="151"/>
    </row>
    <row r="10" spans="1:6" x14ac:dyDescent="0.25">
      <c r="A10" s="131" t="s">
        <v>560</v>
      </c>
      <c r="B10" s="21" t="s">
        <v>666</v>
      </c>
      <c r="C10" s="21">
        <v>5742</v>
      </c>
      <c r="D10" s="151"/>
      <c r="E10" s="151"/>
    </row>
    <row r="11" spans="1:6" ht="45" x14ac:dyDescent="0.25">
      <c r="A11" s="131" t="s">
        <v>419</v>
      </c>
      <c r="B11" s="16" t="s">
        <v>198</v>
      </c>
      <c r="C11" s="21">
        <v>3073800</v>
      </c>
      <c r="D11" s="151"/>
      <c r="E11" s="151"/>
      <c r="F11" s="151"/>
    </row>
    <row r="12" spans="1:6" x14ac:dyDescent="0.25">
      <c r="A12" s="133" t="s">
        <v>421</v>
      </c>
      <c r="B12" s="27" t="s">
        <v>27</v>
      </c>
      <c r="C12" s="27">
        <f>C10+C11</f>
        <v>3079542</v>
      </c>
      <c r="D12" s="151"/>
      <c r="E12" s="151"/>
    </row>
    <row r="13" spans="1:6" x14ac:dyDescent="0.25">
      <c r="A13" s="151"/>
      <c r="B13" s="151"/>
      <c r="C13" s="151"/>
      <c r="D13" s="151"/>
      <c r="E13" s="151"/>
    </row>
    <row r="14" spans="1:6" x14ac:dyDescent="0.25">
      <c r="A14" s="151"/>
      <c r="B14" s="151"/>
      <c r="C14" s="151"/>
      <c r="D14" s="151"/>
      <c r="E14" s="151"/>
    </row>
    <row r="15" spans="1:6" x14ac:dyDescent="0.25">
      <c r="A15" s="311" t="s">
        <v>269</v>
      </c>
      <c r="B15" s="317" t="s">
        <v>1</v>
      </c>
      <c r="C15" s="321" t="s">
        <v>416</v>
      </c>
      <c r="D15" s="311" t="s">
        <v>421</v>
      </c>
      <c r="E15" s="151"/>
    </row>
    <row r="16" spans="1:6" x14ac:dyDescent="0.25">
      <c r="A16" s="311"/>
      <c r="B16" s="318"/>
      <c r="C16" s="321"/>
      <c r="D16" s="311"/>
      <c r="E16" s="151"/>
    </row>
    <row r="17" spans="1:5" x14ac:dyDescent="0.25">
      <c r="A17" s="268" t="s">
        <v>270</v>
      </c>
      <c r="B17" s="21" t="s">
        <v>98</v>
      </c>
      <c r="C17" s="131">
        <v>1200000</v>
      </c>
      <c r="D17" s="131"/>
      <c r="E17" s="151"/>
    </row>
    <row r="18" spans="1:5" x14ac:dyDescent="0.25">
      <c r="A18" s="268" t="s">
        <v>271</v>
      </c>
      <c r="B18" s="21" t="s">
        <v>99</v>
      </c>
      <c r="C18" s="131"/>
      <c r="D18" s="131"/>
      <c r="E18" s="151"/>
    </row>
    <row r="19" spans="1:5" x14ac:dyDescent="0.25">
      <c r="A19" s="268" t="s">
        <v>273</v>
      </c>
      <c r="B19" s="21" t="s">
        <v>100</v>
      </c>
      <c r="C19" s="21"/>
      <c r="D19" s="131"/>
      <c r="E19" s="151"/>
    </row>
    <row r="20" spans="1:5" x14ac:dyDescent="0.25">
      <c r="A20" s="268">
        <v>107052</v>
      </c>
      <c r="B20" s="21" t="s">
        <v>57</v>
      </c>
      <c r="C20" s="21"/>
      <c r="D20" s="131"/>
      <c r="E20" s="151"/>
    </row>
    <row r="21" spans="1:5" x14ac:dyDescent="0.25">
      <c r="A21" s="268">
        <v>107055</v>
      </c>
      <c r="B21" s="21" t="s">
        <v>101</v>
      </c>
      <c r="C21" s="131"/>
      <c r="D21" s="131"/>
      <c r="E21" s="151"/>
    </row>
    <row r="22" spans="1:5" x14ac:dyDescent="0.25">
      <c r="A22" s="271" t="s">
        <v>272</v>
      </c>
      <c r="B22" s="21" t="s">
        <v>102</v>
      </c>
      <c r="C22" s="131"/>
      <c r="D22" s="131"/>
      <c r="E22" s="151"/>
    </row>
    <row r="23" spans="1:5" x14ac:dyDescent="0.25">
      <c r="A23" s="259" t="s">
        <v>458</v>
      </c>
      <c r="B23" s="21" t="s">
        <v>103</v>
      </c>
      <c r="C23" s="131"/>
      <c r="D23" s="131"/>
      <c r="E23" s="151"/>
    </row>
    <row r="24" spans="1:5" x14ac:dyDescent="0.25">
      <c r="A24" s="259" t="s">
        <v>458</v>
      </c>
      <c r="B24" s="21" t="s">
        <v>104</v>
      </c>
      <c r="C24" s="131"/>
      <c r="D24" s="131"/>
      <c r="E24" s="151"/>
    </row>
    <row r="25" spans="1:5" x14ac:dyDescent="0.25">
      <c r="A25" s="269" t="s">
        <v>459</v>
      </c>
      <c r="B25" s="21" t="s">
        <v>105</v>
      </c>
      <c r="C25" s="131"/>
      <c r="D25" s="131"/>
      <c r="E25" s="151"/>
    </row>
    <row r="26" spans="1:5" x14ac:dyDescent="0.25">
      <c r="A26" s="269" t="s">
        <v>460</v>
      </c>
      <c r="B26" s="21" t="s">
        <v>106</v>
      </c>
      <c r="C26" s="131"/>
      <c r="D26" s="131"/>
      <c r="E26" s="151"/>
    </row>
    <row r="27" spans="1:5" x14ac:dyDescent="0.25">
      <c r="A27" s="269" t="s">
        <v>469</v>
      </c>
      <c r="B27" s="21" t="s">
        <v>107</v>
      </c>
      <c r="C27" s="131"/>
      <c r="D27" s="131"/>
      <c r="E27" s="151"/>
    </row>
    <row r="28" spans="1:5" x14ac:dyDescent="0.25">
      <c r="A28" s="269" t="s">
        <v>470</v>
      </c>
      <c r="B28" s="21" t="s">
        <v>108</v>
      </c>
      <c r="C28" s="131"/>
      <c r="D28" s="131"/>
      <c r="E28" s="151"/>
    </row>
    <row r="29" spans="1:5" x14ac:dyDescent="0.25">
      <c r="A29" s="269" t="s">
        <v>653</v>
      </c>
      <c r="B29" s="21" t="s">
        <v>572</v>
      </c>
      <c r="C29" s="131"/>
      <c r="D29" s="131"/>
      <c r="E29" s="151"/>
    </row>
    <row r="30" spans="1:5" x14ac:dyDescent="0.25">
      <c r="A30" s="269" t="s">
        <v>471</v>
      </c>
      <c r="B30" s="21" t="s">
        <v>109</v>
      </c>
      <c r="C30" s="131"/>
      <c r="D30" s="131"/>
      <c r="E30" s="151"/>
    </row>
    <row r="31" spans="1:5" x14ac:dyDescent="0.25">
      <c r="A31" s="269" t="s">
        <v>275</v>
      </c>
      <c r="B31" s="21" t="s">
        <v>110</v>
      </c>
      <c r="C31" s="131"/>
      <c r="D31" s="131">
        <v>600000</v>
      </c>
      <c r="E31" s="151"/>
    </row>
    <row r="32" spans="1:5" x14ac:dyDescent="0.25">
      <c r="A32" s="272" t="s">
        <v>656</v>
      </c>
      <c r="B32" s="101" t="s">
        <v>659</v>
      </c>
      <c r="C32" s="131"/>
      <c r="D32" s="131">
        <v>5742</v>
      </c>
      <c r="E32" s="151"/>
    </row>
    <row r="33" spans="1:5" x14ac:dyDescent="0.25">
      <c r="A33" s="272" t="s">
        <v>657</v>
      </c>
      <c r="B33" s="101" t="s">
        <v>660</v>
      </c>
      <c r="C33" s="131"/>
      <c r="D33" s="131"/>
      <c r="E33" s="151"/>
    </row>
    <row r="34" spans="1:5" x14ac:dyDescent="0.25">
      <c r="A34" s="272" t="s">
        <v>658</v>
      </c>
      <c r="B34" s="101" t="s">
        <v>661</v>
      </c>
      <c r="C34" s="131"/>
      <c r="D34" s="131">
        <v>2473800</v>
      </c>
      <c r="E34" s="151"/>
    </row>
    <row r="35" spans="1:5" ht="45" x14ac:dyDescent="0.25">
      <c r="A35" s="272" t="s">
        <v>667</v>
      </c>
      <c r="B35" s="154" t="s">
        <v>668</v>
      </c>
      <c r="C35" s="131">
        <v>0</v>
      </c>
      <c r="D35" s="131"/>
      <c r="E35" s="151"/>
    </row>
    <row r="36" spans="1:5" x14ac:dyDescent="0.25">
      <c r="A36" s="272">
        <v>106020</v>
      </c>
      <c r="B36" s="101" t="s">
        <v>669</v>
      </c>
      <c r="C36" s="131">
        <v>0</v>
      </c>
      <c r="D36" s="131"/>
      <c r="E36" s="151"/>
    </row>
    <row r="37" spans="1:5" x14ac:dyDescent="0.25">
      <c r="A37" s="272">
        <v>107060</v>
      </c>
      <c r="B37" s="101" t="s">
        <v>670</v>
      </c>
      <c r="C37" s="131">
        <v>4745000</v>
      </c>
      <c r="D37" s="131"/>
      <c r="E37" s="151"/>
    </row>
    <row r="38" spans="1:5" x14ac:dyDescent="0.25">
      <c r="A38" s="319" t="s">
        <v>141</v>
      </c>
      <c r="B38" s="320"/>
      <c r="C38" s="133">
        <f>SUM(C17:C37)</f>
        <v>5945000</v>
      </c>
      <c r="D38" s="133">
        <f>SUM(D17:D37)</f>
        <v>3079542</v>
      </c>
      <c r="E38" s="151"/>
    </row>
  </sheetData>
  <mergeCells count="8">
    <mergeCell ref="A38:B38"/>
    <mergeCell ref="D15:D16"/>
    <mergeCell ref="A2:E2"/>
    <mergeCell ref="A1:E1"/>
    <mergeCell ref="A6:B6"/>
    <mergeCell ref="A15:A16"/>
    <mergeCell ref="B15:B16"/>
    <mergeCell ref="C15:C16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" workbookViewId="0">
      <selection activeCell="G41" sqref="G41"/>
    </sheetView>
  </sheetViews>
  <sheetFormatPr defaultRowHeight="15" x14ac:dyDescent="0.25"/>
  <cols>
    <col min="1" max="1" width="12" customWidth="1"/>
    <col min="2" max="2" width="30.85546875" customWidth="1"/>
    <col min="3" max="3" width="13.28515625" customWidth="1"/>
    <col min="4" max="4" width="12.140625" customWidth="1"/>
    <col min="5" max="5" width="12.42578125" customWidth="1"/>
    <col min="6" max="6" width="14.28515625" customWidth="1"/>
  </cols>
  <sheetData>
    <row r="1" spans="1:6" x14ac:dyDescent="0.25">
      <c r="A1" s="316" t="s">
        <v>20</v>
      </c>
      <c r="B1" s="316"/>
      <c r="C1" s="316"/>
      <c r="D1" s="316"/>
      <c r="E1" s="151"/>
      <c r="F1" s="151"/>
    </row>
    <row r="2" spans="1:6" x14ac:dyDescent="0.25">
      <c r="A2" s="301" t="s">
        <v>787</v>
      </c>
      <c r="B2" s="301"/>
      <c r="C2" s="301"/>
      <c r="D2" s="301"/>
      <c r="E2" s="151"/>
      <c r="F2" s="151"/>
    </row>
    <row r="3" spans="1:6" x14ac:dyDescent="0.25">
      <c r="A3" s="301"/>
      <c r="B3" s="301"/>
      <c r="C3" s="151"/>
      <c r="D3" s="151"/>
      <c r="E3" s="151"/>
      <c r="F3" s="151"/>
    </row>
    <row r="4" spans="1:6" ht="15" customHeight="1" x14ac:dyDescent="0.25">
      <c r="A4" s="247"/>
      <c r="B4" s="151"/>
      <c r="C4" s="151"/>
      <c r="D4" s="254" t="s">
        <v>466</v>
      </c>
      <c r="E4" s="151"/>
      <c r="F4" s="151"/>
    </row>
    <row r="5" spans="1:6" ht="15" customHeight="1" x14ac:dyDescent="0.25">
      <c r="A5" s="7"/>
      <c r="B5" s="151"/>
      <c r="C5" s="151"/>
      <c r="D5" s="254" t="s">
        <v>613</v>
      </c>
      <c r="E5" s="151"/>
      <c r="F5" s="151"/>
    </row>
    <row r="6" spans="1:6" ht="15" customHeight="1" x14ac:dyDescent="0.25">
      <c r="A6" s="7"/>
      <c r="B6" s="254"/>
      <c r="C6" s="151"/>
      <c r="D6" s="151"/>
      <c r="E6" s="151"/>
      <c r="F6" s="151"/>
    </row>
    <row r="7" spans="1:6" ht="29.25" customHeight="1" x14ac:dyDescent="0.25">
      <c r="A7" s="299" t="s">
        <v>1</v>
      </c>
      <c r="B7" s="300"/>
      <c r="C7" s="250" t="s">
        <v>168</v>
      </c>
      <c r="D7" s="151"/>
      <c r="E7" s="151"/>
      <c r="F7" s="151"/>
    </row>
    <row r="8" spans="1:6" ht="13.5" customHeight="1" x14ac:dyDescent="0.25">
      <c r="A8" s="153" t="s">
        <v>422</v>
      </c>
      <c r="B8" s="152" t="s">
        <v>28</v>
      </c>
      <c r="C8" s="155">
        <v>2700000</v>
      </c>
      <c r="D8" s="151"/>
      <c r="E8" s="151"/>
      <c r="F8" s="151"/>
    </row>
    <row r="9" spans="1:6" ht="13.5" customHeight="1" x14ac:dyDescent="0.25">
      <c r="A9" s="153" t="s">
        <v>423</v>
      </c>
      <c r="B9" s="152" t="s">
        <v>29</v>
      </c>
      <c r="C9" s="155">
        <v>2598425</v>
      </c>
      <c r="D9" s="151"/>
      <c r="E9" s="151"/>
      <c r="F9" s="151"/>
    </row>
    <row r="10" spans="1:6" ht="15" customHeight="1" x14ac:dyDescent="0.25">
      <c r="A10" s="142" t="s">
        <v>424</v>
      </c>
      <c r="B10" s="16" t="s">
        <v>425</v>
      </c>
      <c r="C10" s="131">
        <v>0</v>
      </c>
      <c r="D10" s="151"/>
      <c r="E10" s="151"/>
      <c r="F10" s="151"/>
    </row>
    <row r="11" spans="1:6" ht="15" customHeight="1" x14ac:dyDescent="0.25">
      <c r="A11" s="142" t="s">
        <v>426</v>
      </c>
      <c r="B11" s="16" t="s">
        <v>30</v>
      </c>
      <c r="C11" s="131">
        <v>701575</v>
      </c>
      <c r="D11" s="151"/>
      <c r="E11" s="151"/>
      <c r="F11" s="151"/>
    </row>
    <row r="12" spans="1:6" ht="15" customHeight="1" x14ac:dyDescent="0.25">
      <c r="A12" s="133" t="s">
        <v>427</v>
      </c>
      <c r="B12" s="26" t="s">
        <v>31</v>
      </c>
      <c r="C12" s="133">
        <f>SUM(C8:C11)</f>
        <v>6000000</v>
      </c>
      <c r="D12" s="151"/>
      <c r="E12" s="151"/>
      <c r="F12" s="151"/>
    </row>
    <row r="13" spans="1:6" ht="15" customHeight="1" x14ac:dyDescent="0.25">
      <c r="A13" s="131" t="s">
        <v>428</v>
      </c>
      <c r="B13" s="16" t="s">
        <v>32</v>
      </c>
      <c r="C13" s="131">
        <v>0</v>
      </c>
      <c r="D13" s="151"/>
      <c r="E13" s="151"/>
      <c r="F13" s="151"/>
    </row>
    <row r="14" spans="1:6" ht="15" customHeight="1" x14ac:dyDescent="0.25">
      <c r="A14" s="131" t="s">
        <v>429</v>
      </c>
      <c r="B14" s="16" t="s">
        <v>33</v>
      </c>
      <c r="C14" s="131">
        <v>0</v>
      </c>
      <c r="D14" s="151"/>
      <c r="E14" s="151"/>
      <c r="F14" s="151"/>
    </row>
    <row r="15" spans="1:6" ht="15" customHeight="1" x14ac:dyDescent="0.25">
      <c r="A15" s="131" t="s">
        <v>430</v>
      </c>
      <c r="B15" s="16" t="s">
        <v>34</v>
      </c>
      <c r="C15" s="131">
        <v>0</v>
      </c>
      <c r="D15" s="151"/>
      <c r="E15" s="151"/>
      <c r="F15" s="151"/>
    </row>
    <row r="16" spans="1:6" ht="15" customHeight="1" x14ac:dyDescent="0.25">
      <c r="A16" s="131" t="s">
        <v>431</v>
      </c>
      <c r="B16" s="16" t="s">
        <v>35</v>
      </c>
      <c r="C16" s="131">
        <v>0</v>
      </c>
      <c r="D16" s="151"/>
      <c r="E16" s="151"/>
      <c r="F16" s="151"/>
    </row>
    <row r="17" spans="1:6" ht="15" customHeight="1" x14ac:dyDescent="0.25">
      <c r="A17" s="133" t="s">
        <v>432</v>
      </c>
      <c r="B17" s="26" t="s">
        <v>36</v>
      </c>
      <c r="C17" s="133">
        <f>SUM(C13:C16)</f>
        <v>0</v>
      </c>
      <c r="D17" s="151"/>
      <c r="E17" s="151"/>
      <c r="F17" s="151"/>
    </row>
    <row r="18" spans="1:6" ht="15" customHeight="1" x14ac:dyDescent="0.25">
      <c r="A18" s="131" t="s">
        <v>435</v>
      </c>
      <c r="B18" s="154" t="s">
        <v>468</v>
      </c>
      <c r="C18" s="131">
        <v>3787463</v>
      </c>
      <c r="D18" s="151"/>
      <c r="E18" s="151"/>
      <c r="F18" s="151"/>
    </row>
    <row r="19" spans="1:6" ht="15" customHeight="1" x14ac:dyDescent="0.25">
      <c r="A19" s="131" t="s">
        <v>438</v>
      </c>
      <c r="B19" s="16" t="s">
        <v>84</v>
      </c>
      <c r="C19" s="131">
        <v>47409850</v>
      </c>
      <c r="D19" s="151"/>
      <c r="E19" s="151"/>
      <c r="F19" s="151"/>
    </row>
    <row r="20" spans="1:6" ht="15" customHeight="1" x14ac:dyDescent="0.25">
      <c r="A20" s="131" t="s">
        <v>437</v>
      </c>
      <c r="B20" s="16" t="s">
        <v>85</v>
      </c>
      <c r="C20" s="131">
        <v>45432585</v>
      </c>
      <c r="D20" s="151"/>
      <c r="E20" s="151"/>
      <c r="F20" s="151"/>
    </row>
    <row r="21" spans="1:6" ht="15" customHeight="1" x14ac:dyDescent="0.25">
      <c r="A21" s="131" t="s">
        <v>439</v>
      </c>
      <c r="B21" s="28" t="s">
        <v>38</v>
      </c>
      <c r="C21" s="131">
        <f>SUM(C19:C20)</f>
        <v>92842435</v>
      </c>
      <c r="D21" s="151"/>
      <c r="E21" s="151"/>
      <c r="F21" s="151"/>
    </row>
    <row r="22" spans="1:6" ht="15" customHeight="1" x14ac:dyDescent="0.25">
      <c r="A22" s="132" t="s">
        <v>440</v>
      </c>
      <c r="B22" s="28" t="s">
        <v>39</v>
      </c>
      <c r="C22" s="131">
        <v>0</v>
      </c>
      <c r="D22" s="151"/>
      <c r="E22" s="151"/>
      <c r="F22" s="151"/>
    </row>
    <row r="23" spans="1:6" ht="15" customHeight="1" x14ac:dyDescent="0.25">
      <c r="A23" s="132" t="s">
        <v>441</v>
      </c>
      <c r="B23" s="28" t="s">
        <v>41</v>
      </c>
      <c r="C23" s="131">
        <v>0</v>
      </c>
      <c r="D23" s="151"/>
      <c r="E23" s="151"/>
      <c r="F23" s="151"/>
    </row>
    <row r="24" spans="1:6" ht="15" customHeight="1" x14ac:dyDescent="0.25">
      <c r="A24" s="133" t="s">
        <v>442</v>
      </c>
      <c r="B24" s="26" t="s">
        <v>40</v>
      </c>
      <c r="C24" s="133">
        <f>C18+C21+C22+C23</f>
        <v>96629898</v>
      </c>
      <c r="D24" s="151"/>
      <c r="E24" s="151"/>
      <c r="F24" s="151"/>
    </row>
    <row r="25" spans="1:6" ht="15" customHeight="1" x14ac:dyDescent="0.25">
      <c r="A25" s="133" t="s">
        <v>467</v>
      </c>
      <c r="B25" s="26" t="s">
        <v>42</v>
      </c>
      <c r="C25" s="133">
        <f>C24</f>
        <v>96629898</v>
      </c>
      <c r="D25" s="151"/>
      <c r="E25" s="151"/>
      <c r="F25" s="151"/>
    </row>
    <row r="26" spans="1:6" x14ac:dyDescent="0.25">
      <c r="A26" s="151"/>
      <c r="B26" s="151"/>
      <c r="C26" s="151"/>
      <c r="D26" s="151"/>
      <c r="E26" s="151"/>
      <c r="F26" s="151"/>
    </row>
    <row r="27" spans="1:6" x14ac:dyDescent="0.25">
      <c r="A27" s="151"/>
      <c r="B27" s="151"/>
      <c r="C27" s="151"/>
      <c r="D27" s="151"/>
      <c r="E27" s="151"/>
      <c r="F27" s="151"/>
    </row>
    <row r="28" spans="1:6" x14ac:dyDescent="0.25">
      <c r="A28" s="311" t="s">
        <v>269</v>
      </c>
      <c r="B28" s="317" t="s">
        <v>1</v>
      </c>
      <c r="C28" s="324" t="s">
        <v>662</v>
      </c>
      <c r="D28" s="311" t="s">
        <v>663</v>
      </c>
      <c r="E28" s="311" t="s">
        <v>665</v>
      </c>
      <c r="F28" s="311" t="s">
        <v>664</v>
      </c>
    </row>
    <row r="29" spans="1:6" ht="45" customHeight="1" x14ac:dyDescent="0.25">
      <c r="A29" s="311"/>
      <c r="B29" s="318"/>
      <c r="C29" s="325"/>
      <c r="D29" s="311"/>
      <c r="E29" s="311"/>
      <c r="F29" s="311"/>
    </row>
    <row r="30" spans="1:6" x14ac:dyDescent="0.25">
      <c r="A30" s="268" t="s">
        <v>270</v>
      </c>
      <c r="B30" s="21" t="s">
        <v>98</v>
      </c>
      <c r="C30" s="131">
        <v>6000000</v>
      </c>
      <c r="D30" s="131"/>
      <c r="E30" s="131"/>
      <c r="F30" s="131"/>
    </row>
    <row r="31" spans="1:6" x14ac:dyDescent="0.25">
      <c r="A31" s="268" t="s">
        <v>271</v>
      </c>
      <c r="B31" s="21" t="s">
        <v>99</v>
      </c>
      <c r="C31" s="131"/>
      <c r="D31" s="131"/>
      <c r="E31" s="131"/>
      <c r="F31" s="131"/>
    </row>
    <row r="32" spans="1:6" x14ac:dyDescent="0.25">
      <c r="A32" s="268" t="s">
        <v>273</v>
      </c>
      <c r="B32" s="21" t="s">
        <v>100</v>
      </c>
      <c r="C32" s="131"/>
      <c r="D32" s="131"/>
      <c r="E32" s="131"/>
      <c r="F32" s="131"/>
    </row>
    <row r="33" spans="1:6" x14ac:dyDescent="0.25">
      <c r="A33" s="268">
        <v>107052</v>
      </c>
      <c r="B33" s="21" t="s">
        <v>57</v>
      </c>
      <c r="C33" s="131"/>
      <c r="D33" s="131"/>
      <c r="E33" s="131"/>
      <c r="F33" s="131"/>
    </row>
    <row r="34" spans="1:6" x14ac:dyDescent="0.25">
      <c r="A34" s="268">
        <v>107055</v>
      </c>
      <c r="B34" s="21" t="s">
        <v>101</v>
      </c>
      <c r="C34" s="131"/>
      <c r="D34" s="131"/>
      <c r="E34" s="131"/>
      <c r="F34" s="131"/>
    </row>
    <row r="35" spans="1:6" x14ac:dyDescent="0.25">
      <c r="A35" s="271" t="s">
        <v>272</v>
      </c>
      <c r="B35" s="21" t="s">
        <v>102</v>
      </c>
      <c r="C35" s="131"/>
      <c r="D35" s="131"/>
      <c r="E35" s="131"/>
      <c r="F35" s="131"/>
    </row>
    <row r="36" spans="1:6" x14ac:dyDescent="0.25">
      <c r="A36" s="259" t="s">
        <v>458</v>
      </c>
      <c r="B36" s="21" t="s">
        <v>103</v>
      </c>
      <c r="C36" s="131"/>
      <c r="D36" s="131"/>
      <c r="E36" s="131"/>
      <c r="F36" s="131"/>
    </row>
    <row r="37" spans="1:6" x14ac:dyDescent="0.25">
      <c r="A37" s="259" t="s">
        <v>458</v>
      </c>
      <c r="B37" s="21" t="s">
        <v>104</v>
      </c>
      <c r="C37" s="131"/>
      <c r="D37" s="131"/>
      <c r="E37" s="131"/>
      <c r="F37" s="131"/>
    </row>
    <row r="38" spans="1:6" x14ac:dyDescent="0.25">
      <c r="A38" s="269" t="s">
        <v>459</v>
      </c>
      <c r="B38" s="21" t="s">
        <v>105</v>
      </c>
      <c r="C38" s="131"/>
      <c r="D38" s="131"/>
      <c r="E38" s="131"/>
      <c r="F38" s="131"/>
    </row>
    <row r="39" spans="1:6" x14ac:dyDescent="0.25">
      <c r="A39" s="269" t="s">
        <v>460</v>
      </c>
      <c r="B39" s="21" t="s">
        <v>106</v>
      </c>
      <c r="C39" s="131"/>
      <c r="D39" s="131"/>
      <c r="E39" s="131"/>
      <c r="F39" s="131"/>
    </row>
    <row r="40" spans="1:6" x14ac:dyDescent="0.25">
      <c r="A40" s="269" t="s">
        <v>469</v>
      </c>
      <c r="B40" s="21" t="s">
        <v>107</v>
      </c>
      <c r="C40" s="131"/>
      <c r="D40" s="131"/>
      <c r="E40" s="131"/>
      <c r="F40" s="131"/>
    </row>
    <row r="41" spans="1:6" x14ac:dyDescent="0.25">
      <c r="A41" s="269" t="s">
        <v>470</v>
      </c>
      <c r="B41" s="21" t="s">
        <v>108</v>
      </c>
      <c r="C41" s="131"/>
      <c r="D41" s="131"/>
      <c r="E41" s="131"/>
      <c r="F41" s="131"/>
    </row>
    <row r="42" spans="1:6" x14ac:dyDescent="0.25">
      <c r="A42" s="269" t="s">
        <v>653</v>
      </c>
      <c r="B42" s="21" t="s">
        <v>572</v>
      </c>
      <c r="C42" s="131"/>
      <c r="D42" s="131"/>
      <c r="E42" s="131"/>
      <c r="F42" s="131"/>
    </row>
    <row r="43" spans="1:6" x14ac:dyDescent="0.25">
      <c r="A43" s="269" t="s">
        <v>471</v>
      </c>
      <c r="B43" s="21" t="s">
        <v>109</v>
      </c>
      <c r="C43" s="131"/>
      <c r="D43" s="131"/>
      <c r="E43" s="131"/>
      <c r="F43" s="131"/>
    </row>
    <row r="44" spans="1:6" x14ac:dyDescent="0.25">
      <c r="A44" s="269" t="s">
        <v>275</v>
      </c>
      <c r="B44" s="21" t="s">
        <v>110</v>
      </c>
      <c r="C44" s="131"/>
      <c r="D44" s="131"/>
      <c r="E44" s="131"/>
      <c r="F44" s="131"/>
    </row>
    <row r="45" spans="1:6" x14ac:dyDescent="0.25">
      <c r="A45" s="272" t="s">
        <v>656</v>
      </c>
      <c r="B45" s="101" t="s">
        <v>659</v>
      </c>
      <c r="C45" s="131"/>
      <c r="D45" s="131"/>
      <c r="E45" s="131"/>
      <c r="F45" s="131">
        <v>3787463</v>
      </c>
    </row>
    <row r="46" spans="1:6" x14ac:dyDescent="0.25">
      <c r="A46" s="272" t="s">
        <v>657</v>
      </c>
      <c r="B46" s="101" t="s">
        <v>660</v>
      </c>
      <c r="C46" s="131"/>
      <c r="D46" s="131"/>
      <c r="E46" s="131"/>
      <c r="F46" s="131">
        <v>92842435</v>
      </c>
    </row>
    <row r="47" spans="1:6" x14ac:dyDescent="0.25">
      <c r="A47" s="272" t="s">
        <v>658</v>
      </c>
      <c r="B47" s="101" t="s">
        <v>661</v>
      </c>
      <c r="C47" s="131"/>
      <c r="D47" s="131"/>
      <c r="E47" s="131"/>
      <c r="F47" s="131"/>
    </row>
    <row r="48" spans="1:6" x14ac:dyDescent="0.25">
      <c r="A48" s="322" t="s">
        <v>43</v>
      </c>
      <c r="B48" s="323"/>
      <c r="C48" s="133">
        <f>SUM(C30:C47)</f>
        <v>6000000</v>
      </c>
      <c r="D48" s="133">
        <f t="shared" ref="D48:F48" si="0">SUM(D30:D47)</f>
        <v>0</v>
      </c>
      <c r="E48" s="133">
        <f t="shared" si="0"/>
        <v>0</v>
      </c>
      <c r="F48" s="133">
        <f t="shared" si="0"/>
        <v>96629898</v>
      </c>
    </row>
  </sheetData>
  <mergeCells count="11">
    <mergeCell ref="A1:D1"/>
    <mergeCell ref="A7:B7"/>
    <mergeCell ref="A3:B3"/>
    <mergeCell ref="A28:A29"/>
    <mergeCell ref="B28:B29"/>
    <mergeCell ref="C28:C29"/>
    <mergeCell ref="A48:B48"/>
    <mergeCell ref="D28:D29"/>
    <mergeCell ref="E28:E29"/>
    <mergeCell ref="F28:F29"/>
    <mergeCell ref="A2:D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1</vt:i4>
      </vt:variant>
    </vt:vector>
  </HeadingPairs>
  <TitlesOfParts>
    <vt:vector size="41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4.1 Óvoda</vt:lpstr>
      <vt:lpstr>4.1.1 Köznevelés</vt:lpstr>
      <vt:lpstr>4.1.2 Konyha</vt:lpstr>
      <vt:lpstr>4.2 Közös Hivatal</vt:lpstr>
      <vt:lpstr>4.2.1 Szakmár</vt:lpstr>
      <vt:lpstr>4.2.2 Öregcsertő</vt:lpstr>
      <vt:lpstr>4.2.3 Újtelek</vt:lpstr>
      <vt:lpstr>4.2.4 Jegyző</vt:lpstr>
      <vt:lpstr>5. Felhalmozási bev és kiad</vt:lpstr>
      <vt:lpstr>6. 3 éves terv</vt:lpstr>
      <vt:lpstr>7. Felhasználási ütemterv</vt:lpstr>
      <vt:lpstr>8. Adósságot keletkeztető ü</vt:lpstr>
      <vt:lpstr>9. Létszámadatok</vt:lpstr>
      <vt:lpstr>Munka1</vt:lpstr>
      <vt:lpstr>Munka3</vt:lpstr>
      <vt:lpstr>Bevétel</vt:lpstr>
      <vt:lpstr>Kiadás</vt:lpstr>
      <vt:lpstr>R-1,2,3</vt:lpstr>
      <vt:lpstr>Várható támogatások</vt:lpstr>
      <vt:lpstr>R-3.1</vt:lpstr>
      <vt:lpstr>R-3.2</vt:lpstr>
      <vt:lpstr>R3.3</vt:lpstr>
      <vt:lpstr>R3.4</vt:lpstr>
      <vt:lpstr>R.4</vt:lpstr>
      <vt:lpstr>R-5</vt:lpstr>
      <vt:lpstr>R-6</vt:lpstr>
      <vt:lpstr>R-7</vt:lpstr>
      <vt:lpstr>R-8</vt:lpstr>
      <vt:lpstr>R-9</vt:lpstr>
      <vt:lpstr>Konyha felosztás</vt:lpstr>
      <vt:lpstr>'4. Finanszírozási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Jegyző</cp:lastModifiedBy>
  <cp:lastPrinted>2017-02-09T12:40:20Z</cp:lastPrinted>
  <dcterms:created xsi:type="dcterms:W3CDTF">2014-03-20T09:53:46Z</dcterms:created>
  <dcterms:modified xsi:type="dcterms:W3CDTF">2017-03-27T12:08:50Z</dcterms:modified>
</cp:coreProperties>
</file>