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\KT\200929\Végleges\"/>
    </mc:Choice>
  </mc:AlternateContent>
  <bookViews>
    <workbookView xWindow="0" yWindow="0" windowWidth="28800" windowHeight="12435" tabRatio="895" firstSheet="25" activeTab="32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state="hidden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. - likvid.terv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  <sheet name="13. mell. Mérleg" sheetId="62" r:id="rId32"/>
    <sheet name="14. mell. Pályázati összesítő" sheetId="63" r:id="rId33"/>
    <sheet name="MG fin. tájékoztató" sheetId="60" r:id="rId34"/>
    <sheet name="MSport fin. tájékoztató" sheetId="61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26" hidden="1">'12.a Tételes mód ÖNK'!$A$4:$AO$4</definedName>
    <definedName name="ExportData">'[1]temető egyéb'!$A$1:$AA$62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 localSheetId="33">#REF!</definedName>
    <definedName name="kst">#REF!</definedName>
    <definedName name="nev" localSheetId="7">[2]kod!$CD$8:$CD$3150</definedName>
    <definedName name="nev" localSheetId="8">[2]kod!$CD$8:$CD$3150</definedName>
    <definedName name="nev">[3]kod!$CD$8:$CD$3150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Titles" localSheetId="33">'MG fin. tájékoztató'!$A:$A</definedName>
    <definedName name="_xlnm.Print_Area" localSheetId="1">'1.mell. Mérleg'!$A$1:$E$56</definedName>
    <definedName name="_xlnm.Print_Area" localSheetId="30">'12.e Konszolidált módosítás'!$A$1:$AJ$12</definedName>
    <definedName name="onev" localSheetId="7">[4]kod!$BT$34:$BT$3184</definedName>
    <definedName name="onev" localSheetId="8">[4]kod!$BT$34:$BT$3184</definedName>
    <definedName name="onev">[5]kod!$BT$34:$BT$3184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 localSheetId="33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G19" i="63" l="1"/>
  <c r="E19" i="63"/>
  <c r="H19" i="63" s="1"/>
  <c r="K19" i="63" s="1"/>
  <c r="J16" i="63"/>
  <c r="I16" i="63"/>
  <c r="G16" i="63"/>
  <c r="F16" i="63"/>
  <c r="D16" i="63"/>
  <c r="C16" i="63"/>
  <c r="B16" i="63"/>
  <c r="H15" i="63"/>
  <c r="K15" i="63" s="1"/>
  <c r="E15" i="63"/>
  <c r="K14" i="63"/>
  <c r="E14" i="63"/>
  <c r="E13" i="63"/>
  <c r="H13" i="63" s="1"/>
  <c r="K13" i="63" s="1"/>
  <c r="H12" i="63"/>
  <c r="K12" i="63" s="1"/>
  <c r="E12" i="63"/>
  <c r="E11" i="63"/>
  <c r="H11" i="63" s="1"/>
  <c r="K11" i="63" s="1"/>
  <c r="E10" i="63"/>
  <c r="H10" i="63" s="1"/>
  <c r="K10" i="63" s="1"/>
  <c r="E9" i="63"/>
  <c r="H9" i="63" s="1"/>
  <c r="K9" i="63" s="1"/>
  <c r="H8" i="63"/>
  <c r="K8" i="63" s="1"/>
  <c r="E8" i="63"/>
  <c r="E7" i="63"/>
  <c r="H7" i="63" s="1"/>
  <c r="K7" i="63" s="1"/>
  <c r="E6" i="63"/>
  <c r="H6" i="63" s="1"/>
  <c r="K6" i="63" s="1"/>
  <c r="E5" i="63"/>
  <c r="H5" i="63" s="1"/>
  <c r="K5" i="63" s="1"/>
  <c r="H4" i="63"/>
  <c r="K4" i="63" s="1"/>
  <c r="E4" i="63"/>
  <c r="E3" i="63"/>
  <c r="E16" i="63" s="1"/>
  <c r="H3" i="63" l="1"/>
  <c r="K3" i="63" l="1"/>
  <c r="H16" i="63"/>
  <c r="K16" i="63" s="1"/>
  <c r="G6" i="61" l="1"/>
  <c r="F6" i="61"/>
  <c r="E6" i="61"/>
  <c r="D6" i="61"/>
  <c r="C6" i="61"/>
  <c r="B6" i="61"/>
  <c r="H5" i="61"/>
  <c r="H4" i="61"/>
  <c r="H3" i="61"/>
  <c r="H6" i="61" s="1"/>
  <c r="H2" i="61"/>
  <c r="G33" i="30" l="1"/>
  <c r="I14" i="18" l="1"/>
  <c r="H14" i="18"/>
  <c r="G14" i="18"/>
  <c r="M24" i="60" l="1"/>
  <c r="L24" i="60"/>
  <c r="K24" i="60"/>
  <c r="J24" i="60"/>
  <c r="N24" i="60" s="1"/>
  <c r="I24" i="60"/>
  <c r="M23" i="60"/>
  <c r="L23" i="60"/>
  <c r="K23" i="60"/>
  <c r="J23" i="60"/>
  <c r="N23" i="60" s="1"/>
  <c r="I23" i="60"/>
  <c r="M22" i="60"/>
  <c r="L22" i="60"/>
  <c r="K22" i="60"/>
  <c r="J22" i="60"/>
  <c r="N22" i="60" s="1"/>
  <c r="I22" i="60"/>
  <c r="G21" i="60"/>
  <c r="F21" i="60"/>
  <c r="N21" i="60" s="1"/>
  <c r="G20" i="60"/>
  <c r="N20" i="60" s="1"/>
  <c r="F20" i="60"/>
  <c r="N19" i="60"/>
  <c r="G19" i="60"/>
  <c r="F19" i="60"/>
  <c r="M18" i="60"/>
  <c r="L18" i="60"/>
  <c r="K18" i="60"/>
  <c r="J18" i="60"/>
  <c r="I18" i="60"/>
  <c r="N18" i="60" s="1"/>
  <c r="M17" i="60"/>
  <c r="L17" i="60"/>
  <c r="K17" i="60"/>
  <c r="J17" i="60"/>
  <c r="I17" i="60"/>
  <c r="N17" i="60" s="1"/>
  <c r="M16" i="60"/>
  <c r="M14" i="60" s="1"/>
  <c r="L16" i="60"/>
  <c r="K16" i="60"/>
  <c r="K14" i="60" s="1"/>
  <c r="J16" i="60"/>
  <c r="I16" i="60"/>
  <c r="I14" i="60" s="1"/>
  <c r="H16" i="60"/>
  <c r="G16" i="60"/>
  <c r="F16" i="60"/>
  <c r="N16" i="60" s="1"/>
  <c r="N15" i="60"/>
  <c r="H15" i="60"/>
  <c r="G15" i="60"/>
  <c r="G14" i="60" s="1"/>
  <c r="F15" i="60"/>
  <c r="L14" i="60"/>
  <c r="J14" i="60"/>
  <c r="H14" i="60"/>
  <c r="F14" i="60"/>
  <c r="E14" i="60"/>
  <c r="D14" i="60"/>
  <c r="C14" i="60"/>
  <c r="B14" i="60"/>
  <c r="M13" i="60"/>
  <c r="L13" i="60"/>
  <c r="K13" i="60"/>
  <c r="J13" i="60"/>
  <c r="I13" i="60"/>
  <c r="N13" i="60" s="1"/>
  <c r="M12" i="60"/>
  <c r="L12" i="60"/>
  <c r="K12" i="60"/>
  <c r="J12" i="60"/>
  <c r="I12" i="60"/>
  <c r="N12" i="60" s="1"/>
  <c r="M11" i="60"/>
  <c r="L11" i="60"/>
  <c r="K11" i="60"/>
  <c r="J11" i="60"/>
  <c r="I11" i="60"/>
  <c r="N11" i="60" s="1"/>
  <c r="M10" i="60"/>
  <c r="L10" i="60"/>
  <c r="K10" i="60"/>
  <c r="J10" i="60"/>
  <c r="I10" i="60"/>
  <c r="N10" i="60" s="1"/>
  <c r="M9" i="60"/>
  <c r="L9" i="60"/>
  <c r="K9" i="60"/>
  <c r="J9" i="60"/>
  <c r="I9" i="60"/>
  <c r="N9" i="60" s="1"/>
  <c r="M8" i="60"/>
  <c r="L8" i="60"/>
  <c r="K8" i="60"/>
  <c r="J8" i="60"/>
  <c r="I8" i="60"/>
  <c r="N8" i="60" s="1"/>
  <c r="M7" i="60"/>
  <c r="L7" i="60"/>
  <c r="K7" i="60"/>
  <c r="J7" i="60"/>
  <c r="J6" i="60" s="1"/>
  <c r="I7" i="60"/>
  <c r="N7" i="60" s="1"/>
  <c r="M6" i="60"/>
  <c r="L6" i="60"/>
  <c r="K6" i="60"/>
  <c r="I6" i="60"/>
  <c r="H6" i="60"/>
  <c r="H25" i="60" s="1"/>
  <c r="G6" i="60"/>
  <c r="G25" i="60" s="1"/>
  <c r="F6" i="60"/>
  <c r="F25" i="60" s="1"/>
  <c r="E6" i="60"/>
  <c r="E25" i="60" s="1"/>
  <c r="D6" i="60"/>
  <c r="D25" i="60" s="1"/>
  <c r="C6" i="60"/>
  <c r="C25" i="60" s="1"/>
  <c r="B6" i="60"/>
  <c r="B25" i="60" s="1"/>
  <c r="M5" i="60"/>
  <c r="L5" i="60"/>
  <c r="K5" i="60"/>
  <c r="J5" i="60"/>
  <c r="N5" i="60" s="1"/>
  <c r="I5" i="60"/>
  <c r="N4" i="60"/>
  <c r="M4" i="60"/>
  <c r="L4" i="60"/>
  <c r="K4" i="60"/>
  <c r="J4" i="60"/>
  <c r="I4" i="60"/>
  <c r="M3" i="60"/>
  <c r="L3" i="60"/>
  <c r="K3" i="60"/>
  <c r="J3" i="60"/>
  <c r="N3" i="60" s="1"/>
  <c r="I3" i="60"/>
  <c r="N2" i="60"/>
  <c r="M2" i="60"/>
  <c r="L2" i="60"/>
  <c r="L25" i="60" s="1"/>
  <c r="K2" i="60"/>
  <c r="J2" i="60"/>
  <c r="J25" i="60" s="1"/>
  <c r="I2" i="60"/>
  <c r="I25" i="60" l="1"/>
  <c r="M25" i="60"/>
  <c r="N14" i="60"/>
  <c r="K25" i="60"/>
  <c r="N6" i="60"/>
  <c r="N25" i="60" s="1"/>
  <c r="AG5" i="57" l="1"/>
  <c r="Q5" i="57"/>
  <c r="Q12" i="57" s="1"/>
  <c r="H53" i="12"/>
  <c r="E10" i="56"/>
  <c r="N10" i="56"/>
  <c r="H57" i="12"/>
  <c r="H48" i="12"/>
  <c r="N47" i="58"/>
  <c r="E6" i="56"/>
  <c r="R71" i="12"/>
  <c r="AI68" i="7" l="1"/>
  <c r="E26" i="53"/>
  <c r="D26" i="53"/>
  <c r="AI69" i="7" l="1"/>
  <c r="D60" i="19"/>
  <c r="E15" i="52" l="1"/>
  <c r="E40" i="52"/>
  <c r="AI62" i="7" l="1"/>
  <c r="D71" i="9"/>
  <c r="AA27" i="53"/>
  <c r="N27" i="53"/>
  <c r="D8" i="9"/>
  <c r="C46" i="52"/>
  <c r="M6" i="37"/>
  <c r="J6" i="37"/>
  <c r="D6" i="37"/>
  <c r="G30" i="53"/>
  <c r="F30" i="53"/>
  <c r="AB29" i="53"/>
  <c r="E29" i="53"/>
  <c r="C9" i="43"/>
  <c r="D17" i="9"/>
  <c r="D46" i="43"/>
  <c r="AI66" i="7"/>
  <c r="D7" i="9"/>
  <c r="D5" i="9"/>
  <c r="F47" i="52"/>
  <c r="F13" i="52"/>
  <c r="C13" i="52"/>
  <c r="D20" i="40"/>
  <c r="H27" i="53"/>
  <c r="W9" i="7"/>
  <c r="W5" i="7"/>
  <c r="D71" i="7"/>
  <c r="F70" i="7"/>
  <c r="E70" i="7"/>
  <c r="D70" i="7"/>
  <c r="E69" i="7"/>
  <c r="D69" i="7"/>
  <c r="E68" i="7"/>
  <c r="D68" i="7"/>
  <c r="F67" i="7"/>
  <c r="E67" i="7"/>
  <c r="D67" i="7"/>
  <c r="E66" i="7"/>
  <c r="D66" i="7"/>
  <c r="F65" i="7"/>
  <c r="E65" i="7"/>
  <c r="D65" i="7"/>
  <c r="F64" i="7"/>
  <c r="E64" i="7"/>
  <c r="D64" i="7"/>
  <c r="F63" i="7"/>
  <c r="E63" i="7"/>
  <c r="D63" i="7"/>
  <c r="E62" i="7"/>
  <c r="D62" i="7"/>
  <c r="D100" i="7"/>
  <c r="D99" i="7"/>
  <c r="F98" i="7"/>
  <c r="E98" i="7"/>
  <c r="D98" i="7"/>
  <c r="F97" i="7"/>
  <c r="E97" i="7"/>
  <c r="D97" i="7"/>
  <c r="F96" i="7"/>
  <c r="E96" i="7"/>
  <c r="D96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33" i="7"/>
  <c r="E33" i="7"/>
  <c r="D33" i="7"/>
  <c r="F32" i="7"/>
  <c r="E32" i="7"/>
  <c r="D32" i="7"/>
  <c r="F31" i="7"/>
  <c r="E31" i="7"/>
  <c r="D31" i="7"/>
  <c r="F30" i="7"/>
  <c r="E30" i="7"/>
  <c r="D30" i="7"/>
  <c r="E29" i="7"/>
  <c r="D29" i="7"/>
  <c r="E28" i="7"/>
  <c r="F27" i="7"/>
  <c r="E27" i="7"/>
  <c r="D27" i="7"/>
  <c r="E26" i="7"/>
  <c r="D26" i="7"/>
  <c r="E25" i="7"/>
  <c r="D25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3" i="7"/>
  <c r="E13" i="7"/>
  <c r="D13" i="7"/>
  <c r="E12" i="7"/>
  <c r="D12" i="7"/>
  <c r="E11" i="7"/>
  <c r="D11" i="7"/>
  <c r="E9" i="7"/>
  <c r="D9" i="7"/>
  <c r="E6" i="7"/>
  <c r="D6" i="7"/>
  <c r="E5" i="7"/>
  <c r="D5" i="7"/>
  <c r="AG100" i="7"/>
  <c r="AG99" i="7"/>
  <c r="AG98" i="7"/>
  <c r="AG97" i="7"/>
  <c r="AG96" i="7"/>
  <c r="AG93" i="7"/>
  <c r="AG92" i="7"/>
  <c r="AG91" i="7"/>
  <c r="AG90" i="7"/>
  <c r="AG89" i="7"/>
  <c r="AG88" i="7"/>
  <c r="AF87" i="7"/>
  <c r="AE87" i="7"/>
  <c r="AG87" i="7" s="1"/>
  <c r="AG86" i="7"/>
  <c r="AG85" i="7"/>
  <c r="AG84" i="7"/>
  <c r="AG83" i="7"/>
  <c r="AG82" i="7"/>
  <c r="AF81" i="7"/>
  <c r="AE81" i="7"/>
  <c r="AG81" i="7" s="1"/>
  <c r="AG80" i="7"/>
  <c r="AG79" i="7"/>
  <c r="AG78" i="7"/>
  <c r="AG77" i="7"/>
  <c r="AG76" i="7"/>
  <c r="AG75" i="7"/>
  <c r="AG74" i="7"/>
  <c r="AG73" i="7"/>
  <c r="AE71" i="7"/>
  <c r="AG71" i="7" s="1"/>
  <c r="AG70" i="7"/>
  <c r="AG69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F34" i="7"/>
  <c r="E34" i="7" s="1"/>
  <c r="AE34" i="7"/>
  <c r="D34" i="7" s="1"/>
  <c r="AG33" i="7"/>
  <c r="AG32" i="7"/>
  <c r="AG31" i="7"/>
  <c r="AG30" i="7"/>
  <c r="AG29" i="7"/>
  <c r="F29" i="7" s="1"/>
  <c r="AG28" i="7"/>
  <c r="F28" i="7" s="1"/>
  <c r="AF28" i="7"/>
  <c r="AE28" i="7"/>
  <c r="D28" i="7" s="1"/>
  <c r="AG27" i="7"/>
  <c r="AG26" i="7"/>
  <c r="F26" i="7" s="1"/>
  <c r="AG25" i="7"/>
  <c r="F25" i="7" s="1"/>
  <c r="AF25" i="7"/>
  <c r="AE25" i="7"/>
  <c r="AG24" i="7"/>
  <c r="F24" i="7" s="1"/>
  <c r="AG23" i="7"/>
  <c r="AG22" i="7"/>
  <c r="AG21" i="7"/>
  <c r="AG20" i="7"/>
  <c r="AG19" i="7"/>
  <c r="AG18" i="7"/>
  <c r="AF17" i="7"/>
  <c r="AG17" i="7" s="1"/>
  <c r="AE17" i="7"/>
  <c r="AG16" i="7"/>
  <c r="AG15" i="7"/>
  <c r="AF14" i="7"/>
  <c r="E14" i="7" s="1"/>
  <c r="AE14" i="7"/>
  <c r="D14" i="7" s="1"/>
  <c r="AG13" i="7"/>
  <c r="AG12" i="7"/>
  <c r="F12" i="7" s="1"/>
  <c r="AG11" i="7"/>
  <c r="F11" i="7" s="1"/>
  <c r="AG9" i="7"/>
  <c r="AF7" i="7"/>
  <c r="AE7" i="7"/>
  <c r="D7" i="7" s="1"/>
  <c r="AG6" i="7"/>
  <c r="F6" i="7" s="1"/>
  <c r="AG5" i="7"/>
  <c r="K19" i="7"/>
  <c r="Q48" i="53"/>
  <c r="AF35" i="7" l="1"/>
  <c r="E35" i="7" s="1"/>
  <c r="AG34" i="7"/>
  <c r="F34" i="7" s="1"/>
  <c r="AE35" i="7"/>
  <c r="D35" i="7" s="1"/>
  <c r="AG35" i="7"/>
  <c r="F35" i="7" s="1"/>
  <c r="AG14" i="7"/>
  <c r="F14" i="7" s="1"/>
  <c r="AG7" i="7"/>
  <c r="AE94" i="7"/>
  <c r="D94" i="7" s="1"/>
  <c r="AF94" i="7"/>
  <c r="F65" i="5"/>
  <c r="E65" i="5"/>
  <c r="D65" i="5"/>
  <c r="F63" i="5"/>
  <c r="E63" i="5"/>
  <c r="D63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3" i="5"/>
  <c r="E43" i="5"/>
  <c r="D43" i="5"/>
  <c r="D35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E29" i="5"/>
  <c r="D29" i="5"/>
  <c r="E28" i="5"/>
  <c r="D28" i="5"/>
  <c r="E27" i="5"/>
  <c r="D27" i="5"/>
  <c r="F26" i="5"/>
  <c r="E26" i="5"/>
  <c r="D26" i="5"/>
  <c r="F25" i="5"/>
  <c r="D25" i="5"/>
  <c r="F24" i="5"/>
  <c r="E24" i="5"/>
  <c r="D24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E9" i="5"/>
  <c r="D9" i="5"/>
  <c r="D6" i="5"/>
  <c r="E6" i="5"/>
  <c r="F6" i="5"/>
  <c r="D7" i="5"/>
  <c r="F5" i="5"/>
  <c r="E5" i="5"/>
  <c r="D5" i="5"/>
  <c r="AI63" i="5"/>
  <c r="AH63" i="5"/>
  <c r="AJ62" i="5"/>
  <c r="AJ61" i="5"/>
  <c r="AJ60" i="5"/>
  <c r="AJ59" i="5"/>
  <c r="AI58" i="5"/>
  <c r="AJ58" i="5" s="1"/>
  <c r="AH58" i="5"/>
  <c r="AJ57" i="5"/>
  <c r="AJ56" i="5"/>
  <c r="AJ55" i="5"/>
  <c r="AJ54" i="5"/>
  <c r="AI52" i="5"/>
  <c r="AH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I34" i="5"/>
  <c r="AJ33" i="5"/>
  <c r="AJ32" i="5"/>
  <c r="AJ31" i="5"/>
  <c r="AJ30" i="5"/>
  <c r="AH34" i="5"/>
  <c r="AH35" i="5" s="1"/>
  <c r="AI28" i="5"/>
  <c r="AH28" i="5"/>
  <c r="AJ28" i="5" s="1"/>
  <c r="F28" i="5" s="1"/>
  <c r="AJ27" i="5"/>
  <c r="F27" i="5" s="1"/>
  <c r="AJ26" i="5"/>
  <c r="AI25" i="5"/>
  <c r="AJ25" i="5" s="1"/>
  <c r="AH25" i="5"/>
  <c r="AJ24" i="5"/>
  <c r="AJ23" i="5"/>
  <c r="F23" i="5" s="1"/>
  <c r="AJ22" i="5"/>
  <c r="AJ21" i="5"/>
  <c r="AJ20" i="5"/>
  <c r="AJ19" i="5"/>
  <c r="AJ18" i="5"/>
  <c r="AI17" i="5"/>
  <c r="AJ17" i="5" s="1"/>
  <c r="AH17" i="5"/>
  <c r="AJ16" i="5"/>
  <c r="AJ15" i="5"/>
  <c r="AJ14" i="5"/>
  <c r="AI14" i="5"/>
  <c r="AH14" i="5"/>
  <c r="AJ13" i="5"/>
  <c r="AJ12" i="5"/>
  <c r="AJ11" i="5"/>
  <c r="AJ9" i="5"/>
  <c r="F9" i="5" s="1"/>
  <c r="AI7" i="5"/>
  <c r="E7" i="5" s="1"/>
  <c r="AH7" i="5"/>
  <c r="AJ6" i="5"/>
  <c r="AJ5" i="5"/>
  <c r="F22" i="53"/>
  <c r="N21" i="53"/>
  <c r="G40" i="40"/>
  <c r="M39" i="40"/>
  <c r="G33" i="40"/>
  <c r="AG94" i="7" l="1"/>
  <c r="AI35" i="5"/>
  <c r="E35" i="5" s="1"/>
  <c r="E25" i="5"/>
  <c r="AJ52" i="5"/>
  <c r="AJ7" i="5"/>
  <c r="F7" i="5" s="1"/>
  <c r="AH65" i="5"/>
  <c r="AJ35" i="5"/>
  <c r="F35" i="5" s="1"/>
  <c r="AI65" i="5"/>
  <c r="AJ34" i="5"/>
  <c r="F34" i="5" s="1"/>
  <c r="AJ63" i="5"/>
  <c r="AJ29" i="5"/>
  <c r="F29" i="5" s="1"/>
  <c r="G27" i="40"/>
  <c r="F47" i="40"/>
  <c r="G22" i="40"/>
  <c r="M22" i="40" s="1"/>
  <c r="F22" i="40"/>
  <c r="L22" i="40" s="1"/>
  <c r="M24" i="40"/>
  <c r="L24" i="40"/>
  <c r="H24" i="40"/>
  <c r="N24" i="40" s="1"/>
  <c r="M23" i="40"/>
  <c r="L23" i="40"/>
  <c r="H23" i="40"/>
  <c r="N23" i="40" s="1"/>
  <c r="M25" i="40"/>
  <c r="L25" i="40"/>
  <c r="H25" i="40"/>
  <c r="N25" i="40" s="1"/>
  <c r="Z52" i="41"/>
  <c r="I18" i="53"/>
  <c r="G9" i="40"/>
  <c r="M8" i="40"/>
  <c r="L8" i="40"/>
  <c r="H8" i="40"/>
  <c r="E8" i="40"/>
  <c r="N8" i="40" s="1"/>
  <c r="H33" i="7"/>
  <c r="H24" i="7"/>
  <c r="H29" i="7"/>
  <c r="N47" i="41"/>
  <c r="K47" i="41"/>
  <c r="D9" i="44"/>
  <c r="AJ65" i="5" l="1"/>
  <c r="G47" i="40"/>
  <c r="H22" i="40"/>
  <c r="N22" i="40" l="1"/>
  <c r="E66" i="19" l="1"/>
  <c r="H27" i="12" l="1"/>
  <c r="N4" i="54" l="1"/>
  <c r="D4" i="54"/>
  <c r="C4" i="54"/>
  <c r="E27" i="14"/>
  <c r="E17" i="14"/>
  <c r="D17" i="14"/>
  <c r="H47" i="58"/>
  <c r="G47" i="58"/>
  <c r="E7" i="14"/>
  <c r="M69" i="58" l="1"/>
  <c r="N65" i="58"/>
  <c r="M65" i="58"/>
  <c r="U81" i="12"/>
  <c r="T81" i="12"/>
  <c r="S81" i="12"/>
  <c r="S85" i="12" s="1"/>
  <c r="R81" i="12"/>
  <c r="Q81" i="12"/>
  <c r="P81" i="12"/>
  <c r="O81" i="12"/>
  <c r="N81" i="12"/>
  <c r="M81" i="12"/>
  <c r="L81" i="12"/>
  <c r="K81" i="12"/>
  <c r="J81" i="12"/>
  <c r="I81" i="12"/>
  <c r="H81" i="12"/>
  <c r="G81" i="12"/>
  <c r="G85" i="12" s="1"/>
  <c r="F81" i="12"/>
  <c r="E81" i="12"/>
  <c r="D80" i="12"/>
  <c r="D79" i="12"/>
  <c r="D78" i="12"/>
  <c r="D77" i="12"/>
  <c r="D76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D75" i="12" s="1"/>
  <c r="R74" i="12"/>
  <c r="F74" i="12"/>
  <c r="E74" i="12"/>
  <c r="D74" i="12"/>
  <c r="D73" i="12"/>
  <c r="D72" i="12"/>
  <c r="E71" i="12"/>
  <c r="E75" i="12" s="1"/>
  <c r="N69" i="58" s="1"/>
  <c r="D71" i="12"/>
  <c r="D70" i="12"/>
  <c r="D69" i="12"/>
  <c r="D68" i="12"/>
  <c r="D67" i="12"/>
  <c r="W64" i="12"/>
  <c r="V64" i="12"/>
  <c r="T64" i="12"/>
  <c r="S64" i="12"/>
  <c r="Q64" i="12"/>
  <c r="P64" i="12"/>
  <c r="N64" i="12"/>
  <c r="M64" i="12"/>
  <c r="K64" i="12"/>
  <c r="J64" i="12"/>
  <c r="D64" i="12" s="1"/>
  <c r="H64" i="12"/>
  <c r="I64" i="12" s="1"/>
  <c r="G64" i="12"/>
  <c r="X63" i="12"/>
  <c r="U63" i="12"/>
  <c r="R63" i="12"/>
  <c r="O63" i="12"/>
  <c r="L63" i="12"/>
  <c r="I63" i="12"/>
  <c r="F63" i="12"/>
  <c r="E63" i="12"/>
  <c r="D63" i="12"/>
  <c r="X62" i="12"/>
  <c r="X64" i="12" s="1"/>
  <c r="U62" i="12"/>
  <c r="U64" i="12" s="1"/>
  <c r="R62" i="12"/>
  <c r="R64" i="12" s="1"/>
  <c r="O62" i="12"/>
  <c r="O64" i="12" s="1"/>
  <c r="L62" i="12"/>
  <c r="L64" i="12" s="1"/>
  <c r="I62" i="12"/>
  <c r="E62" i="12"/>
  <c r="D62" i="12"/>
  <c r="F62" i="12" s="1"/>
  <c r="I61" i="12"/>
  <c r="F61" i="12" s="1"/>
  <c r="O65" i="58" s="1"/>
  <c r="E61" i="12"/>
  <c r="E64" i="12" s="1"/>
  <c r="W59" i="12"/>
  <c r="S59" i="12"/>
  <c r="G59" i="12"/>
  <c r="W58" i="12"/>
  <c r="T58" i="12"/>
  <c r="T59" i="12" s="1"/>
  <c r="S58" i="12"/>
  <c r="P58" i="12"/>
  <c r="P59" i="12" s="1"/>
  <c r="N58" i="12"/>
  <c r="N59" i="12" s="1"/>
  <c r="M58" i="12"/>
  <c r="M59" i="12" s="1"/>
  <c r="J58" i="12"/>
  <c r="J59" i="12" s="1"/>
  <c r="H58" i="12"/>
  <c r="G58" i="12"/>
  <c r="X57" i="12"/>
  <c r="U57" i="12"/>
  <c r="R57" i="12"/>
  <c r="O57" i="12"/>
  <c r="L57" i="12"/>
  <c r="E57" i="12"/>
  <c r="F57" i="12" s="1"/>
  <c r="D57" i="12"/>
  <c r="X56" i="12"/>
  <c r="U56" i="12"/>
  <c r="R56" i="12"/>
  <c r="O56" i="12"/>
  <c r="L56" i="12"/>
  <c r="I56" i="12"/>
  <c r="E56" i="12"/>
  <c r="D56" i="12"/>
  <c r="F56" i="12" s="1"/>
  <c r="X55" i="12"/>
  <c r="U55" i="12"/>
  <c r="R55" i="12"/>
  <c r="O55" i="12"/>
  <c r="L55" i="12"/>
  <c r="I55" i="12"/>
  <c r="E55" i="12"/>
  <c r="D55" i="12"/>
  <c r="F55" i="12" s="1"/>
  <c r="X54" i="12"/>
  <c r="U54" i="12"/>
  <c r="R54" i="12"/>
  <c r="O54" i="12"/>
  <c r="L54" i="12"/>
  <c r="I54" i="12"/>
  <c r="E54" i="12"/>
  <c r="F54" i="12" s="1"/>
  <c r="D54" i="12"/>
  <c r="V53" i="12"/>
  <c r="D53" i="12" s="1"/>
  <c r="F53" i="12" s="1"/>
  <c r="U53" i="12"/>
  <c r="U58" i="12" s="1"/>
  <c r="U59" i="12" s="1"/>
  <c r="Q53" i="12"/>
  <c r="R53" i="12" s="1"/>
  <c r="R58" i="12" s="1"/>
  <c r="O53" i="12"/>
  <c r="O58" i="12" s="1"/>
  <c r="L53" i="12"/>
  <c r="L58" i="12" s="1"/>
  <c r="K53" i="12"/>
  <c r="K58" i="12" s="1"/>
  <c r="K59" i="12" s="1"/>
  <c r="I53" i="12"/>
  <c r="E53" i="12"/>
  <c r="E58" i="12" s="1"/>
  <c r="W52" i="12"/>
  <c r="V52" i="12"/>
  <c r="T52" i="12"/>
  <c r="S52" i="12"/>
  <c r="R52" i="12"/>
  <c r="Q52" i="12"/>
  <c r="P52" i="12"/>
  <c r="N52" i="12"/>
  <c r="M52" i="12"/>
  <c r="K52" i="12"/>
  <c r="J52" i="12"/>
  <c r="H52" i="12"/>
  <c r="G52" i="12"/>
  <c r="D52" i="12" s="1"/>
  <c r="X51" i="12"/>
  <c r="U51" i="12"/>
  <c r="R51" i="12"/>
  <c r="O51" i="12"/>
  <c r="L51" i="12"/>
  <c r="I51" i="12"/>
  <c r="E51" i="12"/>
  <c r="D51" i="12"/>
  <c r="F51" i="12" s="1"/>
  <c r="X50" i="12"/>
  <c r="X52" i="12" s="1"/>
  <c r="U50" i="12"/>
  <c r="U52" i="12" s="1"/>
  <c r="R50" i="12"/>
  <c r="O50" i="12"/>
  <c r="O52" i="12" s="1"/>
  <c r="L50" i="12"/>
  <c r="L52" i="12" s="1"/>
  <c r="I50" i="12"/>
  <c r="I52" i="12" s="1"/>
  <c r="E50" i="12"/>
  <c r="E52" i="12" s="1"/>
  <c r="D50" i="12"/>
  <c r="F50" i="12" s="1"/>
  <c r="F52" i="12" s="1"/>
  <c r="W49" i="12"/>
  <c r="V49" i="12"/>
  <c r="T49" i="12"/>
  <c r="S49" i="12"/>
  <c r="Q49" i="12"/>
  <c r="P49" i="12"/>
  <c r="N49" i="12"/>
  <c r="M49" i="12"/>
  <c r="K49" i="12"/>
  <c r="J49" i="12"/>
  <c r="G49" i="12"/>
  <c r="D49" i="12" s="1"/>
  <c r="X48" i="12"/>
  <c r="U48" i="12"/>
  <c r="R48" i="12"/>
  <c r="O48" i="12"/>
  <c r="L48" i="12"/>
  <c r="H49" i="12"/>
  <c r="D48" i="12"/>
  <c r="X47" i="12"/>
  <c r="U47" i="12"/>
  <c r="R47" i="12"/>
  <c r="O47" i="12"/>
  <c r="L47" i="12"/>
  <c r="I47" i="12"/>
  <c r="E47" i="12"/>
  <c r="D47" i="12"/>
  <c r="F47" i="12" s="1"/>
  <c r="X46" i="12"/>
  <c r="U46" i="12"/>
  <c r="R46" i="12"/>
  <c r="O46" i="12"/>
  <c r="L46" i="12"/>
  <c r="I46" i="12"/>
  <c r="E46" i="12"/>
  <c r="F46" i="12" s="1"/>
  <c r="D46" i="12"/>
  <c r="X45" i="12"/>
  <c r="U45" i="12"/>
  <c r="R45" i="12"/>
  <c r="O45" i="12"/>
  <c r="L45" i="12"/>
  <c r="I45" i="12"/>
  <c r="F45" i="12"/>
  <c r="E45" i="12"/>
  <c r="D45" i="12"/>
  <c r="X44" i="12"/>
  <c r="U44" i="12"/>
  <c r="R44" i="12"/>
  <c r="O44" i="12"/>
  <c r="L44" i="12"/>
  <c r="I44" i="12"/>
  <c r="E44" i="12"/>
  <c r="D44" i="12"/>
  <c r="F44" i="12" s="1"/>
  <c r="X43" i="12"/>
  <c r="U43" i="12"/>
  <c r="R43" i="12"/>
  <c r="O43" i="12"/>
  <c r="L43" i="12"/>
  <c r="I43" i="12"/>
  <c r="E43" i="12"/>
  <c r="D43" i="12"/>
  <c r="F43" i="12" s="1"/>
  <c r="X42" i="12"/>
  <c r="U42" i="12"/>
  <c r="R42" i="12"/>
  <c r="O42" i="12"/>
  <c r="L42" i="12"/>
  <c r="I42" i="12"/>
  <c r="E42" i="12"/>
  <c r="D42" i="12"/>
  <c r="X41" i="12"/>
  <c r="U41" i="12"/>
  <c r="R41" i="12"/>
  <c r="O41" i="12"/>
  <c r="L41" i="12"/>
  <c r="I41" i="12"/>
  <c r="F41" i="12"/>
  <c r="E41" i="12"/>
  <c r="D41" i="12"/>
  <c r="X40" i="12"/>
  <c r="X49" i="12" s="1"/>
  <c r="U40" i="12"/>
  <c r="U49" i="12" s="1"/>
  <c r="R40" i="12"/>
  <c r="R49" i="12" s="1"/>
  <c r="O40" i="12"/>
  <c r="O49" i="12" s="1"/>
  <c r="L40" i="12"/>
  <c r="L49" i="12" s="1"/>
  <c r="I40" i="12"/>
  <c r="E40" i="12"/>
  <c r="D40" i="12"/>
  <c r="F40" i="12" s="1"/>
  <c r="X39" i="12"/>
  <c r="W39" i="12"/>
  <c r="V39" i="12"/>
  <c r="T39" i="12"/>
  <c r="S39" i="12"/>
  <c r="Q39" i="12"/>
  <c r="P39" i="12"/>
  <c r="N39" i="12"/>
  <c r="M39" i="12"/>
  <c r="J39" i="12"/>
  <c r="H39" i="12"/>
  <c r="G39" i="12"/>
  <c r="D39" i="12"/>
  <c r="X38" i="12"/>
  <c r="U38" i="12"/>
  <c r="R38" i="12"/>
  <c r="O38" i="12"/>
  <c r="K38" i="12"/>
  <c r="L38" i="12" s="1"/>
  <c r="I38" i="12"/>
  <c r="I39" i="12" s="1"/>
  <c r="F38" i="12"/>
  <c r="E38" i="12"/>
  <c r="D38" i="12"/>
  <c r="X37" i="12"/>
  <c r="U37" i="12"/>
  <c r="U39" i="12" s="1"/>
  <c r="R37" i="12"/>
  <c r="R39" i="12" s="1"/>
  <c r="O37" i="12"/>
  <c r="O39" i="12" s="1"/>
  <c r="K37" i="12"/>
  <c r="K39" i="12" s="1"/>
  <c r="I37" i="12"/>
  <c r="D37" i="12"/>
  <c r="W36" i="12"/>
  <c r="V36" i="12"/>
  <c r="T36" i="12"/>
  <c r="S36" i="12"/>
  <c r="Q36" i="12"/>
  <c r="P36" i="12"/>
  <c r="N36" i="12"/>
  <c r="M36" i="12"/>
  <c r="K36" i="12"/>
  <c r="J36" i="12"/>
  <c r="D36" i="12" s="1"/>
  <c r="H36" i="12"/>
  <c r="G36" i="12"/>
  <c r="X35" i="12"/>
  <c r="U35" i="12"/>
  <c r="R35" i="12"/>
  <c r="O35" i="12"/>
  <c r="L35" i="12"/>
  <c r="I35" i="12"/>
  <c r="F35" i="12"/>
  <c r="E35" i="12"/>
  <c r="D35" i="12"/>
  <c r="X34" i="12"/>
  <c r="U34" i="12"/>
  <c r="U36" i="12" s="1"/>
  <c r="R34" i="12"/>
  <c r="O34" i="12"/>
  <c r="L34" i="12"/>
  <c r="I34" i="12"/>
  <c r="I36" i="12" s="1"/>
  <c r="E34" i="12"/>
  <c r="D34" i="12"/>
  <c r="F34" i="12" s="1"/>
  <c r="X33" i="12"/>
  <c r="X36" i="12" s="1"/>
  <c r="U33" i="12"/>
  <c r="Q33" i="12"/>
  <c r="R33" i="12" s="1"/>
  <c r="R36" i="12" s="1"/>
  <c r="O33" i="12"/>
  <c r="O36" i="12" s="1"/>
  <c r="L33" i="12"/>
  <c r="L36" i="12" s="1"/>
  <c r="I33" i="12"/>
  <c r="E33" i="12"/>
  <c r="E36" i="12" s="1"/>
  <c r="D33" i="12"/>
  <c r="X32" i="12"/>
  <c r="X31" i="12"/>
  <c r="U31" i="12"/>
  <c r="R31" i="12"/>
  <c r="O31" i="12"/>
  <c r="L31" i="12"/>
  <c r="I31" i="12"/>
  <c r="E31" i="12"/>
  <c r="D31" i="12"/>
  <c r="F31" i="12" s="1"/>
  <c r="X30" i="12"/>
  <c r="X26" i="12" s="1"/>
  <c r="U30" i="12"/>
  <c r="R30" i="12"/>
  <c r="O30" i="12"/>
  <c r="L30" i="12"/>
  <c r="I30" i="12"/>
  <c r="E30" i="12"/>
  <c r="D30" i="12"/>
  <c r="F30" i="12" s="1"/>
  <c r="X29" i="12"/>
  <c r="U29" i="12"/>
  <c r="R29" i="12"/>
  <c r="O29" i="12"/>
  <c r="O26" i="12" s="1"/>
  <c r="L29" i="12"/>
  <c r="I29" i="12"/>
  <c r="E29" i="12"/>
  <c r="F29" i="12" s="1"/>
  <c r="D29" i="12"/>
  <c r="X28" i="12"/>
  <c r="U28" i="12"/>
  <c r="R28" i="12"/>
  <c r="O28" i="12"/>
  <c r="L28" i="12"/>
  <c r="I28" i="12"/>
  <c r="F28" i="12"/>
  <c r="E28" i="12"/>
  <c r="D28" i="12"/>
  <c r="T27" i="12"/>
  <c r="T26" i="12" s="1"/>
  <c r="R27" i="12"/>
  <c r="O27" i="12"/>
  <c r="K27" i="12"/>
  <c r="E27" i="12" s="1"/>
  <c r="F27" i="12" s="1"/>
  <c r="I27" i="12"/>
  <c r="I26" i="12" s="1"/>
  <c r="D27" i="12"/>
  <c r="W26" i="12"/>
  <c r="V26" i="12"/>
  <c r="S26" i="12"/>
  <c r="R26" i="12"/>
  <c r="Q26" i="12"/>
  <c r="P26" i="12"/>
  <c r="N26" i="12"/>
  <c r="M26" i="12"/>
  <c r="J26" i="12"/>
  <c r="H26" i="12"/>
  <c r="G26" i="12"/>
  <c r="D26" i="12" s="1"/>
  <c r="W24" i="12"/>
  <c r="S24" i="12"/>
  <c r="G24" i="12"/>
  <c r="X23" i="12"/>
  <c r="X24" i="12" s="1"/>
  <c r="S23" i="12"/>
  <c r="R23" i="12"/>
  <c r="Q23" i="12"/>
  <c r="Q24" i="12" s="1"/>
  <c r="P23" i="12"/>
  <c r="P24" i="12" s="1"/>
  <c r="N23" i="12"/>
  <c r="N24" i="12" s="1"/>
  <c r="M23" i="12"/>
  <c r="M24" i="12" s="1"/>
  <c r="K23" i="12"/>
  <c r="J23" i="12"/>
  <c r="J24" i="12" s="1"/>
  <c r="H23" i="12"/>
  <c r="G23" i="12"/>
  <c r="X22" i="12"/>
  <c r="U22" i="12"/>
  <c r="R22" i="12"/>
  <c r="O22" i="12"/>
  <c r="L22" i="12"/>
  <c r="I22" i="12"/>
  <c r="E22" i="12"/>
  <c r="D22" i="12"/>
  <c r="F22" i="12" s="1"/>
  <c r="X21" i="12"/>
  <c r="T21" i="12"/>
  <c r="U21" i="12" s="1"/>
  <c r="U23" i="12" s="1"/>
  <c r="U24" i="12" s="1"/>
  <c r="R21" i="12"/>
  <c r="O21" i="12"/>
  <c r="O23" i="12" s="1"/>
  <c r="L21" i="12"/>
  <c r="L23" i="12" s="1"/>
  <c r="L24" i="12" s="1"/>
  <c r="I21" i="12"/>
  <c r="I23" i="12" s="1"/>
  <c r="E21" i="12"/>
  <c r="F21" i="12" s="1"/>
  <c r="D21" i="12"/>
  <c r="R20" i="12"/>
  <c r="E20" i="12"/>
  <c r="E23" i="12" s="1"/>
  <c r="D20" i="12"/>
  <c r="W19" i="12"/>
  <c r="V19" i="12"/>
  <c r="V24" i="12" s="1"/>
  <c r="T19" i="12"/>
  <c r="S19" i="12"/>
  <c r="Q19" i="12"/>
  <c r="P19" i="12"/>
  <c r="N19" i="12"/>
  <c r="M19" i="12"/>
  <c r="J19" i="12"/>
  <c r="G19" i="12"/>
  <c r="X18" i="12"/>
  <c r="U18" i="12"/>
  <c r="R18" i="12"/>
  <c r="O18" i="12"/>
  <c r="L18" i="12"/>
  <c r="I18" i="12"/>
  <c r="F18" i="12"/>
  <c r="E18" i="12"/>
  <c r="D18" i="12"/>
  <c r="X17" i="12"/>
  <c r="U17" i="12"/>
  <c r="R17" i="12"/>
  <c r="O17" i="12"/>
  <c r="L17" i="12"/>
  <c r="I17" i="12"/>
  <c r="H17" i="12"/>
  <c r="E17" i="12"/>
  <c r="D17" i="12"/>
  <c r="F17" i="12" s="1"/>
  <c r="X16" i="12"/>
  <c r="U16" i="12"/>
  <c r="R16" i="12"/>
  <c r="O16" i="12"/>
  <c r="L16" i="12"/>
  <c r="I16" i="12"/>
  <c r="E16" i="12"/>
  <c r="F16" i="12" s="1"/>
  <c r="D16" i="12"/>
  <c r="X15" i="12"/>
  <c r="U15" i="12"/>
  <c r="R15" i="12"/>
  <c r="O15" i="12"/>
  <c r="L15" i="12"/>
  <c r="I15" i="12"/>
  <c r="F15" i="12"/>
  <c r="E15" i="12"/>
  <c r="D15" i="12"/>
  <c r="X14" i="12"/>
  <c r="U14" i="12"/>
  <c r="R14" i="12"/>
  <c r="O14" i="12"/>
  <c r="L14" i="12"/>
  <c r="I14" i="12"/>
  <c r="E14" i="12"/>
  <c r="D14" i="12"/>
  <c r="F14" i="12" s="1"/>
  <c r="X13" i="12"/>
  <c r="U13" i="12"/>
  <c r="R13" i="12"/>
  <c r="O13" i="12"/>
  <c r="L13" i="12"/>
  <c r="I13" i="12"/>
  <c r="E13" i="12"/>
  <c r="D13" i="12"/>
  <c r="F13" i="12" s="1"/>
  <c r="X12" i="12"/>
  <c r="U12" i="12"/>
  <c r="R12" i="12"/>
  <c r="O12" i="12"/>
  <c r="L12" i="12"/>
  <c r="I12" i="12"/>
  <c r="E12" i="12"/>
  <c r="F12" i="12" s="1"/>
  <c r="D12" i="12"/>
  <c r="X11" i="12"/>
  <c r="U11" i="12"/>
  <c r="R11" i="12"/>
  <c r="O11" i="12"/>
  <c r="L11" i="12"/>
  <c r="I11" i="12"/>
  <c r="F11" i="12"/>
  <c r="E11" i="12"/>
  <c r="D11" i="12"/>
  <c r="X10" i="12"/>
  <c r="U10" i="12"/>
  <c r="R10" i="12"/>
  <c r="O10" i="12"/>
  <c r="L10" i="12"/>
  <c r="I10" i="12"/>
  <c r="E10" i="12"/>
  <c r="D10" i="12"/>
  <c r="F10" i="12" s="1"/>
  <c r="X9" i="12"/>
  <c r="U9" i="12"/>
  <c r="R9" i="12"/>
  <c r="O9" i="12"/>
  <c r="L9" i="12"/>
  <c r="I9" i="12"/>
  <c r="E9" i="12"/>
  <c r="D9" i="12"/>
  <c r="F9" i="12" s="1"/>
  <c r="X8" i="12"/>
  <c r="U8" i="12"/>
  <c r="R8" i="12"/>
  <c r="O8" i="12"/>
  <c r="L8" i="12"/>
  <c r="I8" i="12"/>
  <c r="E8" i="12"/>
  <c r="F8" i="12" s="1"/>
  <c r="D8" i="12"/>
  <c r="X7" i="12"/>
  <c r="U7" i="12"/>
  <c r="R7" i="12"/>
  <c r="O7" i="12"/>
  <c r="L7" i="12"/>
  <c r="I7" i="12"/>
  <c r="F7" i="12"/>
  <c r="E7" i="12"/>
  <c r="D7" i="12"/>
  <c r="X6" i="12"/>
  <c r="U6" i="12"/>
  <c r="U19" i="12" s="1"/>
  <c r="R6" i="12"/>
  <c r="O6" i="12"/>
  <c r="L6" i="12"/>
  <c r="I6" i="12"/>
  <c r="E6" i="12"/>
  <c r="D6" i="12"/>
  <c r="F6" i="12" s="1"/>
  <c r="X5" i="12"/>
  <c r="X19" i="12" s="1"/>
  <c r="U5" i="12"/>
  <c r="R5" i="12"/>
  <c r="R19" i="12" s="1"/>
  <c r="O5" i="12"/>
  <c r="O19" i="12" s="1"/>
  <c r="L5" i="12"/>
  <c r="L19" i="12" s="1"/>
  <c r="K5" i="12"/>
  <c r="K19" i="12" s="1"/>
  <c r="K24" i="12" s="1"/>
  <c r="H5" i="12"/>
  <c r="H19" i="12" s="1"/>
  <c r="D5" i="12"/>
  <c r="D19" i="12" s="1"/>
  <c r="U14" i="56"/>
  <c r="T14" i="56"/>
  <c r="S14" i="56"/>
  <c r="R14" i="56"/>
  <c r="Q14" i="56"/>
  <c r="P14" i="56"/>
  <c r="O14" i="56"/>
  <c r="M14" i="56"/>
  <c r="L14" i="56"/>
  <c r="J14" i="56"/>
  <c r="I14" i="56"/>
  <c r="H14" i="56"/>
  <c r="G14" i="56"/>
  <c r="F14" i="56"/>
  <c r="V13" i="56"/>
  <c r="K13" i="56"/>
  <c r="V12" i="56"/>
  <c r="K12" i="56"/>
  <c r="V11" i="56"/>
  <c r="K11" i="56"/>
  <c r="N14" i="56"/>
  <c r="D10" i="56"/>
  <c r="C10" i="56"/>
  <c r="K10" i="56" s="1"/>
  <c r="V9" i="56"/>
  <c r="K9" i="56"/>
  <c r="V8" i="56"/>
  <c r="K8" i="56"/>
  <c r="V7" i="56"/>
  <c r="E7" i="56"/>
  <c r="C7" i="56"/>
  <c r="K7" i="56" s="1"/>
  <c r="V6" i="56"/>
  <c r="G6" i="56"/>
  <c r="E14" i="56"/>
  <c r="D6" i="56"/>
  <c r="C6" i="56"/>
  <c r="K6" i="56" s="1"/>
  <c r="V5" i="56"/>
  <c r="K5" i="56"/>
  <c r="V4" i="56"/>
  <c r="D4" i="56"/>
  <c r="D14" i="56" s="1"/>
  <c r="C4" i="56"/>
  <c r="K4" i="56" s="1"/>
  <c r="U14" i="55"/>
  <c r="T14" i="55"/>
  <c r="S14" i="55"/>
  <c r="R14" i="55"/>
  <c r="Q14" i="55"/>
  <c r="P14" i="55"/>
  <c r="O14" i="55"/>
  <c r="N14" i="55"/>
  <c r="M14" i="55"/>
  <c r="L14" i="55"/>
  <c r="J14" i="55"/>
  <c r="I14" i="55"/>
  <c r="H14" i="55"/>
  <c r="G14" i="55"/>
  <c r="F14" i="55"/>
  <c r="D14" i="55"/>
  <c r="V13" i="55"/>
  <c r="K13" i="55"/>
  <c r="V12" i="55"/>
  <c r="K12" i="55"/>
  <c r="V11" i="55"/>
  <c r="K11" i="55"/>
  <c r="V10" i="55"/>
  <c r="K10" i="55"/>
  <c r="V9" i="55"/>
  <c r="K9" i="55"/>
  <c r="V8" i="55"/>
  <c r="K8" i="55"/>
  <c r="V7" i="55"/>
  <c r="K7" i="55"/>
  <c r="V6" i="55"/>
  <c r="E6" i="55"/>
  <c r="E14" i="55" s="1"/>
  <c r="C6" i="55"/>
  <c r="K6" i="55" s="1"/>
  <c r="V5" i="55"/>
  <c r="K5" i="55"/>
  <c r="V4" i="55"/>
  <c r="V14" i="55" s="1"/>
  <c r="K4" i="55"/>
  <c r="C4" i="55"/>
  <c r="C14" i="55" s="1"/>
  <c r="K14" i="55" s="1"/>
  <c r="U13" i="54"/>
  <c r="T13" i="54"/>
  <c r="S13" i="54"/>
  <c r="R13" i="54"/>
  <c r="Q13" i="54"/>
  <c r="P13" i="54"/>
  <c r="O13" i="54"/>
  <c r="N13" i="54"/>
  <c r="L13" i="54"/>
  <c r="J13" i="54"/>
  <c r="I13" i="54"/>
  <c r="H13" i="54"/>
  <c r="G13" i="54"/>
  <c r="F13" i="54"/>
  <c r="E13" i="54"/>
  <c r="V12" i="54"/>
  <c r="K12" i="54"/>
  <c r="V11" i="54"/>
  <c r="K11" i="54"/>
  <c r="V10" i="54"/>
  <c r="K10" i="54"/>
  <c r="V9" i="54"/>
  <c r="K9" i="54"/>
  <c r="V8" i="54"/>
  <c r="K8" i="54"/>
  <c r="V7" i="54"/>
  <c r="K7" i="54"/>
  <c r="M6" i="54"/>
  <c r="M13" i="54" s="1"/>
  <c r="D6" i="54"/>
  <c r="C6" i="54"/>
  <c r="K6" i="54" s="1"/>
  <c r="V5" i="54"/>
  <c r="K5" i="54"/>
  <c r="V4" i="54"/>
  <c r="K4" i="54"/>
  <c r="D13" i="54"/>
  <c r="M48" i="58"/>
  <c r="N48" i="58"/>
  <c r="N49" i="58" s="1"/>
  <c r="L47" i="58"/>
  <c r="I47" i="58"/>
  <c r="N46" i="58"/>
  <c r="M46" i="58"/>
  <c r="K46" i="58"/>
  <c r="K48" i="58" s="1"/>
  <c r="J46" i="58"/>
  <c r="J48" i="58" s="1"/>
  <c r="H46" i="58"/>
  <c r="H48" i="58" s="1"/>
  <c r="G46" i="58"/>
  <c r="G48" i="58" s="1"/>
  <c r="L45" i="58"/>
  <c r="I45" i="58"/>
  <c r="L44" i="58"/>
  <c r="I44" i="58"/>
  <c r="O43" i="58"/>
  <c r="O46" i="58" s="1"/>
  <c r="L43" i="58"/>
  <c r="I43" i="58"/>
  <c r="I46" i="58" s="1"/>
  <c r="N42" i="58"/>
  <c r="O41" i="58"/>
  <c r="M41" i="58"/>
  <c r="M42" i="58" s="1"/>
  <c r="J41" i="58"/>
  <c r="L41" i="58" s="1"/>
  <c r="I41" i="58"/>
  <c r="G41" i="58"/>
  <c r="O40" i="58"/>
  <c r="L40" i="58"/>
  <c r="I40" i="58"/>
  <c r="M39" i="58"/>
  <c r="O39" i="58" s="1"/>
  <c r="J39" i="58"/>
  <c r="L39" i="58" s="1"/>
  <c r="G39" i="58"/>
  <c r="I39" i="58" s="1"/>
  <c r="O38" i="58"/>
  <c r="L38" i="58"/>
  <c r="I38" i="58"/>
  <c r="L37" i="58"/>
  <c r="I37" i="58"/>
  <c r="N36" i="58"/>
  <c r="M36" i="58"/>
  <c r="K36" i="58"/>
  <c r="K42" i="58" s="1"/>
  <c r="J36" i="58"/>
  <c r="H36" i="58"/>
  <c r="H42" i="58" s="1"/>
  <c r="G36" i="58"/>
  <c r="G42" i="58" s="1"/>
  <c r="O35" i="58"/>
  <c r="L35" i="58"/>
  <c r="I35" i="58"/>
  <c r="O34" i="58"/>
  <c r="L34" i="58"/>
  <c r="I34" i="58"/>
  <c r="O33" i="58"/>
  <c r="L33" i="58"/>
  <c r="I33" i="58"/>
  <c r="O32" i="58"/>
  <c r="L32" i="58"/>
  <c r="I32" i="58"/>
  <c r="O31" i="58"/>
  <c r="L31" i="58"/>
  <c r="I31" i="58"/>
  <c r="O30" i="58"/>
  <c r="O36" i="58" s="1"/>
  <c r="L30" i="58"/>
  <c r="I30" i="58"/>
  <c r="O29" i="58"/>
  <c r="L29" i="58"/>
  <c r="L36" i="58" s="1"/>
  <c r="I29" i="58"/>
  <c r="I36" i="58" s="1"/>
  <c r="O28" i="58"/>
  <c r="L28" i="58"/>
  <c r="I28" i="58"/>
  <c r="M27" i="58"/>
  <c r="O27" i="58" s="1"/>
  <c r="J27" i="58"/>
  <c r="L27" i="58" s="1"/>
  <c r="I27" i="58"/>
  <c r="O26" i="58"/>
  <c r="L26" i="58"/>
  <c r="I26" i="58"/>
  <c r="O25" i="58"/>
  <c r="L25" i="58"/>
  <c r="I25" i="58"/>
  <c r="O24" i="58"/>
  <c r="L24" i="58"/>
  <c r="I24" i="58"/>
  <c r="O23" i="58"/>
  <c r="L23" i="58"/>
  <c r="I23" i="58"/>
  <c r="O22" i="58"/>
  <c r="L22" i="58"/>
  <c r="I22" i="58"/>
  <c r="O21" i="58"/>
  <c r="L21" i="58"/>
  <c r="I21" i="58"/>
  <c r="O20" i="58"/>
  <c r="L20" i="58"/>
  <c r="I20" i="58"/>
  <c r="O19" i="58"/>
  <c r="L19" i="58"/>
  <c r="I19" i="58"/>
  <c r="O18" i="58"/>
  <c r="L18" i="58"/>
  <c r="I18" i="58"/>
  <c r="O17" i="58"/>
  <c r="L17" i="58"/>
  <c r="I17" i="58"/>
  <c r="O16" i="58"/>
  <c r="M16" i="58"/>
  <c r="J16" i="58"/>
  <c r="L16" i="58" s="1"/>
  <c r="I16" i="58"/>
  <c r="M15" i="58"/>
  <c r="O15" i="58" s="1"/>
  <c r="J15" i="58"/>
  <c r="L15" i="58" s="1"/>
  <c r="H15" i="58"/>
  <c r="G15" i="58"/>
  <c r="O14" i="58"/>
  <c r="L14" i="58"/>
  <c r="O13" i="58"/>
  <c r="L13" i="58"/>
  <c r="O12" i="58"/>
  <c r="L12" i="58"/>
  <c r="O11" i="58"/>
  <c r="L11" i="58"/>
  <c r="O10" i="58"/>
  <c r="L10" i="58"/>
  <c r="O9" i="58"/>
  <c r="L9" i="58"/>
  <c r="O8" i="58"/>
  <c r="L8" i="58"/>
  <c r="O7" i="58"/>
  <c r="L7" i="58"/>
  <c r="O6" i="58"/>
  <c r="L6" i="58"/>
  <c r="O5" i="58"/>
  <c r="L5" i="58"/>
  <c r="O4" i="58"/>
  <c r="M4" i="58"/>
  <c r="J4" i="58"/>
  <c r="L4" i="58" s="1"/>
  <c r="I4" i="58"/>
  <c r="I15" i="58" s="1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79" i="16"/>
  <c r="D78" i="16"/>
  <c r="D77" i="16"/>
  <c r="D76" i="16"/>
  <c r="D80" i="16" s="1"/>
  <c r="Q74" i="16"/>
  <c r="P74" i="16"/>
  <c r="N74" i="16"/>
  <c r="M74" i="16"/>
  <c r="K74" i="16"/>
  <c r="J74" i="16"/>
  <c r="H74" i="16"/>
  <c r="G74" i="16"/>
  <c r="R73" i="16"/>
  <c r="R74" i="16" s="1"/>
  <c r="O73" i="16"/>
  <c r="O74" i="16" s="1"/>
  <c r="L73" i="16"/>
  <c r="L74" i="16" s="1"/>
  <c r="I73" i="16"/>
  <c r="F73" i="16" s="1"/>
  <c r="E73" i="16"/>
  <c r="D73" i="16"/>
  <c r="R72" i="16"/>
  <c r="O72" i="16"/>
  <c r="L72" i="16"/>
  <c r="I72" i="16"/>
  <c r="F72" i="16" s="1"/>
  <c r="E72" i="16"/>
  <c r="D72" i="16"/>
  <c r="R71" i="16"/>
  <c r="O71" i="16"/>
  <c r="L71" i="16"/>
  <c r="I71" i="16"/>
  <c r="F71" i="16"/>
  <c r="E71" i="16"/>
  <c r="D71" i="16"/>
  <c r="R70" i="16"/>
  <c r="O70" i="16"/>
  <c r="L70" i="16"/>
  <c r="F70" i="16" s="1"/>
  <c r="I70" i="16"/>
  <c r="E70" i="16"/>
  <c r="D70" i="16"/>
  <c r="R69" i="16"/>
  <c r="O69" i="16"/>
  <c r="L69" i="16"/>
  <c r="I69" i="16"/>
  <c r="F69" i="16" s="1"/>
  <c r="E69" i="16"/>
  <c r="D69" i="16"/>
  <c r="R68" i="16"/>
  <c r="O68" i="16"/>
  <c r="L68" i="16"/>
  <c r="I68" i="16"/>
  <c r="F68" i="16" s="1"/>
  <c r="E68" i="16"/>
  <c r="D68" i="16"/>
  <c r="R67" i="16"/>
  <c r="O67" i="16"/>
  <c r="L67" i="16"/>
  <c r="I67" i="16"/>
  <c r="F67" i="16"/>
  <c r="E67" i="16"/>
  <c r="D67" i="16"/>
  <c r="R66" i="16"/>
  <c r="O66" i="16"/>
  <c r="L66" i="16"/>
  <c r="F66" i="16" s="1"/>
  <c r="I66" i="16"/>
  <c r="E66" i="16"/>
  <c r="E74" i="16" s="1"/>
  <c r="D66" i="16"/>
  <c r="D74" i="16" s="1"/>
  <c r="Q63" i="16"/>
  <c r="N63" i="16"/>
  <c r="M63" i="16"/>
  <c r="K63" i="16"/>
  <c r="K84" i="16" s="1"/>
  <c r="J63" i="16"/>
  <c r="H63" i="16"/>
  <c r="G63" i="16"/>
  <c r="R62" i="16"/>
  <c r="O62" i="16"/>
  <c r="L62" i="16"/>
  <c r="I62" i="16"/>
  <c r="F62" i="16"/>
  <c r="E62" i="16"/>
  <c r="D62" i="16"/>
  <c r="R61" i="16"/>
  <c r="R63" i="16" s="1"/>
  <c r="O61" i="16"/>
  <c r="O63" i="16" s="1"/>
  <c r="L61" i="16"/>
  <c r="L63" i="16" s="1"/>
  <c r="K61" i="16"/>
  <c r="I61" i="16"/>
  <c r="I63" i="16" s="1"/>
  <c r="E61" i="16"/>
  <c r="E63" i="16" s="1"/>
  <c r="D61" i="16"/>
  <c r="D63" i="16" s="1"/>
  <c r="I60" i="16"/>
  <c r="Q58" i="16"/>
  <c r="P58" i="16"/>
  <c r="P59" i="16" s="1"/>
  <c r="N58" i="16"/>
  <c r="M58" i="16"/>
  <c r="K58" i="16"/>
  <c r="K59" i="16" s="1"/>
  <c r="H58" i="16"/>
  <c r="G58" i="16"/>
  <c r="G59" i="16" s="1"/>
  <c r="R57" i="16"/>
  <c r="O57" i="16"/>
  <c r="L57" i="16"/>
  <c r="I57" i="16"/>
  <c r="F57" i="16" s="1"/>
  <c r="E57" i="16"/>
  <c r="D57" i="16"/>
  <c r="R56" i="16"/>
  <c r="O56" i="16"/>
  <c r="L56" i="16"/>
  <c r="I56" i="16"/>
  <c r="F56" i="16"/>
  <c r="E56" i="16"/>
  <c r="D56" i="16"/>
  <c r="R55" i="16"/>
  <c r="O55" i="16"/>
  <c r="L55" i="16"/>
  <c r="I55" i="16"/>
  <c r="F55" i="16" s="1"/>
  <c r="E55" i="16"/>
  <c r="D55" i="16"/>
  <c r="R54" i="16"/>
  <c r="O54" i="16"/>
  <c r="L54" i="16"/>
  <c r="I54" i="16"/>
  <c r="F54" i="16" s="1"/>
  <c r="E54" i="16"/>
  <c r="D54" i="16"/>
  <c r="R53" i="16"/>
  <c r="R58" i="16" s="1"/>
  <c r="O53" i="16"/>
  <c r="O58" i="16" s="1"/>
  <c r="J53" i="16"/>
  <c r="J58" i="16" s="1"/>
  <c r="J59" i="16" s="1"/>
  <c r="I53" i="16"/>
  <c r="E53" i="16"/>
  <c r="E58" i="16" s="1"/>
  <c r="Q52" i="16"/>
  <c r="Q59" i="16" s="1"/>
  <c r="P52" i="16"/>
  <c r="O52" i="16"/>
  <c r="N52" i="16"/>
  <c r="M52" i="16"/>
  <c r="M59" i="16" s="1"/>
  <c r="K52" i="16"/>
  <c r="J52" i="16"/>
  <c r="H52" i="16"/>
  <c r="G52" i="16"/>
  <c r="R51" i="16"/>
  <c r="R52" i="16" s="1"/>
  <c r="O51" i="16"/>
  <c r="L51" i="16"/>
  <c r="L52" i="16" s="1"/>
  <c r="I51" i="16"/>
  <c r="I52" i="16" s="1"/>
  <c r="F51" i="16"/>
  <c r="F52" i="16" s="1"/>
  <c r="E51" i="16"/>
  <c r="E52" i="16" s="1"/>
  <c r="R50" i="16"/>
  <c r="O50" i="16"/>
  <c r="L50" i="16"/>
  <c r="I50" i="16"/>
  <c r="F50" i="16" s="1"/>
  <c r="E50" i="16"/>
  <c r="D50" i="16"/>
  <c r="D52" i="16" s="1"/>
  <c r="Q49" i="16"/>
  <c r="P49" i="16"/>
  <c r="N49" i="16"/>
  <c r="M49" i="16"/>
  <c r="K49" i="16"/>
  <c r="J49" i="16"/>
  <c r="G49" i="16"/>
  <c r="R48" i="16"/>
  <c r="O48" i="16"/>
  <c r="L48" i="16"/>
  <c r="F48" i="16" s="1"/>
  <c r="I48" i="16"/>
  <c r="E48" i="16"/>
  <c r="D48" i="16"/>
  <c r="R47" i="16"/>
  <c r="O47" i="16"/>
  <c r="L47" i="16"/>
  <c r="I47" i="16"/>
  <c r="F47" i="16" s="1"/>
  <c r="E47" i="16"/>
  <c r="D47" i="16"/>
  <c r="R46" i="16"/>
  <c r="O46" i="16"/>
  <c r="L46" i="16"/>
  <c r="I46" i="16"/>
  <c r="R45" i="16"/>
  <c r="O45" i="16"/>
  <c r="L45" i="16"/>
  <c r="I45" i="16"/>
  <c r="R44" i="16"/>
  <c r="O44" i="16"/>
  <c r="L44" i="16"/>
  <c r="I44" i="16"/>
  <c r="F44" i="16" s="1"/>
  <c r="E44" i="16"/>
  <c r="D44" i="16"/>
  <c r="R43" i="16"/>
  <c r="O43" i="16"/>
  <c r="L43" i="16"/>
  <c r="I43" i="16"/>
  <c r="F43" i="16"/>
  <c r="E43" i="16"/>
  <c r="D43" i="16"/>
  <c r="R42" i="16"/>
  <c r="O42" i="16"/>
  <c r="O49" i="16" s="1"/>
  <c r="L42" i="16"/>
  <c r="F42" i="16" s="1"/>
  <c r="I42" i="16"/>
  <c r="E42" i="16"/>
  <c r="D42" i="16"/>
  <c r="R41" i="16"/>
  <c r="O41" i="16"/>
  <c r="L41" i="16"/>
  <c r="I41" i="16"/>
  <c r="F41" i="16" s="1"/>
  <c r="E41" i="16"/>
  <c r="D41" i="16"/>
  <c r="R40" i="16"/>
  <c r="R49" i="16" s="1"/>
  <c r="O40" i="16"/>
  <c r="L40" i="16"/>
  <c r="L49" i="16" s="1"/>
  <c r="I40" i="16"/>
  <c r="F40" i="16" s="1"/>
  <c r="F49" i="16" s="1"/>
  <c r="E40" i="16"/>
  <c r="E49" i="16" s="1"/>
  <c r="D40" i="16"/>
  <c r="D49" i="16" s="1"/>
  <c r="R39" i="16"/>
  <c r="Q39" i="16"/>
  <c r="P39" i="16"/>
  <c r="N39" i="16"/>
  <c r="N59" i="16" s="1"/>
  <c r="M39" i="16"/>
  <c r="K39" i="16"/>
  <c r="J39" i="16"/>
  <c r="H39" i="16"/>
  <c r="G39" i="16"/>
  <c r="R38" i="16"/>
  <c r="O38" i="16"/>
  <c r="O39" i="16" s="1"/>
  <c r="L38" i="16"/>
  <c r="L39" i="16" s="1"/>
  <c r="I38" i="16"/>
  <c r="I39" i="16" s="1"/>
  <c r="E38" i="16"/>
  <c r="D38" i="16"/>
  <c r="R37" i="16"/>
  <c r="O37" i="16"/>
  <c r="L37" i="16"/>
  <c r="I37" i="16"/>
  <c r="F37" i="16" s="1"/>
  <c r="E37" i="16"/>
  <c r="E39" i="16" s="1"/>
  <c r="D37" i="16"/>
  <c r="D39" i="16" s="1"/>
  <c r="Q36" i="16"/>
  <c r="P36" i="16"/>
  <c r="N36" i="16"/>
  <c r="M36" i="16"/>
  <c r="K36" i="16"/>
  <c r="J36" i="16"/>
  <c r="H36" i="16"/>
  <c r="G36" i="16"/>
  <c r="R35" i="16"/>
  <c r="O35" i="16"/>
  <c r="L35" i="16"/>
  <c r="I35" i="16"/>
  <c r="F35" i="16"/>
  <c r="E35" i="16"/>
  <c r="D35" i="16"/>
  <c r="R34" i="16"/>
  <c r="O34" i="16"/>
  <c r="O36" i="16" s="1"/>
  <c r="L34" i="16"/>
  <c r="I34" i="16"/>
  <c r="F34" i="16" s="1"/>
  <c r="E34" i="16"/>
  <c r="D34" i="16"/>
  <c r="R33" i="16"/>
  <c r="R36" i="16" s="1"/>
  <c r="O33" i="16"/>
  <c r="L33" i="16"/>
  <c r="L36" i="16" s="1"/>
  <c r="I33" i="16"/>
  <c r="I36" i="16" s="1"/>
  <c r="E33" i="16"/>
  <c r="E36" i="16" s="1"/>
  <c r="D33" i="16"/>
  <c r="D36" i="16" s="1"/>
  <c r="R31" i="16"/>
  <c r="O31" i="16"/>
  <c r="L31" i="16"/>
  <c r="I31" i="16"/>
  <c r="F31" i="16" s="1"/>
  <c r="G31" i="16"/>
  <c r="E31" i="16"/>
  <c r="D31" i="16"/>
  <c r="R30" i="16"/>
  <c r="O30" i="16"/>
  <c r="L30" i="16"/>
  <c r="I30" i="16"/>
  <c r="F30" i="16" s="1"/>
  <c r="E30" i="16"/>
  <c r="D30" i="16"/>
  <c r="R29" i="16"/>
  <c r="O29" i="16"/>
  <c r="L29" i="16"/>
  <c r="G29" i="16"/>
  <c r="G26" i="16" s="1"/>
  <c r="E29" i="16"/>
  <c r="R28" i="16"/>
  <c r="R26" i="16" s="1"/>
  <c r="O28" i="16"/>
  <c r="L28" i="16"/>
  <c r="I28" i="16"/>
  <c r="F28" i="16"/>
  <c r="E28" i="16"/>
  <c r="D28" i="16"/>
  <c r="R27" i="16"/>
  <c r="O27" i="16"/>
  <c r="O26" i="16" s="1"/>
  <c r="L27" i="16"/>
  <c r="I27" i="16"/>
  <c r="F27" i="16" s="1"/>
  <c r="E27" i="16"/>
  <c r="D27" i="16"/>
  <c r="Q26" i="16"/>
  <c r="P26" i="16"/>
  <c r="N26" i="16"/>
  <c r="M26" i="16"/>
  <c r="L26" i="16"/>
  <c r="K26" i="16"/>
  <c r="J26" i="16"/>
  <c r="H26" i="16"/>
  <c r="E26" i="16" s="1"/>
  <c r="R23" i="16"/>
  <c r="Q23" i="16"/>
  <c r="Q24" i="16" s="1"/>
  <c r="P23" i="16"/>
  <c r="P24" i="16" s="1"/>
  <c r="N23" i="16"/>
  <c r="N24" i="16" s="1"/>
  <c r="M23" i="16"/>
  <c r="M24" i="16" s="1"/>
  <c r="K23" i="16"/>
  <c r="J23" i="16"/>
  <c r="J24" i="16" s="1"/>
  <c r="H23" i="16"/>
  <c r="H24" i="16" s="1"/>
  <c r="G23" i="16"/>
  <c r="R22" i="16"/>
  <c r="O22" i="16"/>
  <c r="L22" i="16"/>
  <c r="I22" i="16"/>
  <c r="D22" i="16"/>
  <c r="F22" i="16" s="1"/>
  <c r="R21" i="16"/>
  <c r="O21" i="16"/>
  <c r="O23" i="16" s="1"/>
  <c r="L21" i="16"/>
  <c r="I21" i="16"/>
  <c r="F21" i="16" s="1"/>
  <c r="E21" i="16"/>
  <c r="E23" i="16" s="1"/>
  <c r="E24" i="16" s="1"/>
  <c r="D21" i="16"/>
  <c r="L20" i="16"/>
  <c r="L23" i="16" s="1"/>
  <c r="I20" i="16"/>
  <c r="I23" i="16" s="1"/>
  <c r="E20" i="16"/>
  <c r="D20" i="16"/>
  <c r="D23" i="16" s="1"/>
  <c r="D24" i="16" s="1"/>
  <c r="Q19" i="16"/>
  <c r="P19" i="16"/>
  <c r="N19" i="16"/>
  <c r="M19" i="16"/>
  <c r="K19" i="16"/>
  <c r="K24" i="16" s="1"/>
  <c r="J19" i="16"/>
  <c r="H19" i="16"/>
  <c r="G19" i="16"/>
  <c r="G24" i="16" s="1"/>
  <c r="R18" i="16"/>
  <c r="O18" i="16"/>
  <c r="L18" i="16"/>
  <c r="I18" i="16"/>
  <c r="F18" i="16"/>
  <c r="E18" i="16"/>
  <c r="D18" i="16"/>
  <c r="R17" i="16"/>
  <c r="O17" i="16"/>
  <c r="L17" i="16"/>
  <c r="I17" i="16"/>
  <c r="F17" i="16" s="1"/>
  <c r="E17" i="16"/>
  <c r="D17" i="16"/>
  <c r="R16" i="16"/>
  <c r="O16" i="16"/>
  <c r="L16" i="16"/>
  <c r="I16" i="16"/>
  <c r="F16" i="16" s="1"/>
  <c r="E16" i="16"/>
  <c r="D16" i="16"/>
  <c r="R15" i="16"/>
  <c r="O15" i="16"/>
  <c r="L15" i="16"/>
  <c r="I15" i="16"/>
  <c r="F15" i="16" s="1"/>
  <c r="E15" i="16"/>
  <c r="D15" i="16"/>
  <c r="R14" i="16"/>
  <c r="O14" i="16"/>
  <c r="L14" i="16"/>
  <c r="I14" i="16"/>
  <c r="F14" i="16"/>
  <c r="E14" i="16"/>
  <c r="D14" i="16"/>
  <c r="R13" i="16"/>
  <c r="O13" i="16"/>
  <c r="L13" i="16"/>
  <c r="I13" i="16"/>
  <c r="F13" i="16" s="1"/>
  <c r="E13" i="16"/>
  <c r="D13" i="16"/>
  <c r="R12" i="16"/>
  <c r="O12" i="16"/>
  <c r="L12" i="16"/>
  <c r="I12" i="16"/>
  <c r="F12" i="16" s="1"/>
  <c r="E12" i="16"/>
  <c r="D12" i="16"/>
  <c r="R11" i="16"/>
  <c r="O11" i="16"/>
  <c r="L11" i="16"/>
  <c r="I11" i="16"/>
  <c r="F11" i="16" s="1"/>
  <c r="G11" i="16"/>
  <c r="E11" i="16"/>
  <c r="D11" i="16"/>
  <c r="R10" i="16"/>
  <c r="O10" i="16"/>
  <c r="L10" i="16"/>
  <c r="I10" i="16"/>
  <c r="F10" i="16" s="1"/>
  <c r="E10" i="16"/>
  <c r="D10" i="16"/>
  <c r="R9" i="16"/>
  <c r="O9" i="16"/>
  <c r="L9" i="16"/>
  <c r="I9" i="16"/>
  <c r="F9" i="16"/>
  <c r="E9" i="16"/>
  <c r="D9" i="16"/>
  <c r="R8" i="16"/>
  <c r="O8" i="16"/>
  <c r="O19" i="16" s="1"/>
  <c r="L8" i="16"/>
  <c r="I8" i="16"/>
  <c r="F8" i="16" s="1"/>
  <c r="E8" i="16"/>
  <c r="D8" i="16"/>
  <c r="R7" i="16"/>
  <c r="O7" i="16"/>
  <c r="L7" i="16"/>
  <c r="I7" i="16"/>
  <c r="F7" i="16" s="1"/>
  <c r="E7" i="16"/>
  <c r="D7" i="16"/>
  <c r="R6" i="16"/>
  <c r="O6" i="16"/>
  <c r="L6" i="16"/>
  <c r="I6" i="16"/>
  <c r="F6" i="16" s="1"/>
  <c r="E6" i="16"/>
  <c r="D6" i="16"/>
  <c r="R5" i="16"/>
  <c r="R19" i="16" s="1"/>
  <c r="O5" i="16"/>
  <c r="L5" i="16"/>
  <c r="L19" i="16" s="1"/>
  <c r="I5" i="16"/>
  <c r="I19" i="16" s="1"/>
  <c r="F5" i="16"/>
  <c r="F19" i="16" s="1"/>
  <c r="E5" i="16"/>
  <c r="E19" i="16" s="1"/>
  <c r="D5" i="16"/>
  <c r="D19" i="16" s="1"/>
  <c r="F79" i="14"/>
  <c r="E79" i="14"/>
  <c r="D79" i="14"/>
  <c r="E74" i="14"/>
  <c r="D74" i="14"/>
  <c r="F73" i="14"/>
  <c r="F72" i="14"/>
  <c r="F71" i="14"/>
  <c r="F70" i="14"/>
  <c r="F69" i="14"/>
  <c r="F68" i="14"/>
  <c r="F66" i="14"/>
  <c r="F74" i="14" s="1"/>
  <c r="F65" i="14"/>
  <c r="E64" i="14"/>
  <c r="D64" i="14"/>
  <c r="F63" i="14"/>
  <c r="F64" i="14" s="1"/>
  <c r="F62" i="14"/>
  <c r="E58" i="14"/>
  <c r="D58" i="14"/>
  <c r="F57" i="14"/>
  <c r="F56" i="14"/>
  <c r="F55" i="14"/>
  <c r="F54" i="14"/>
  <c r="F53" i="14"/>
  <c r="F58" i="14" s="1"/>
  <c r="E52" i="14"/>
  <c r="D52" i="14"/>
  <c r="F51" i="14"/>
  <c r="F50" i="14"/>
  <c r="F52" i="14" s="1"/>
  <c r="E49" i="14"/>
  <c r="D49" i="14"/>
  <c r="F48" i="14"/>
  <c r="F47" i="14"/>
  <c r="F44" i="14"/>
  <c r="F43" i="14"/>
  <c r="F42" i="14"/>
  <c r="F41" i="14"/>
  <c r="F40" i="14"/>
  <c r="F49" i="14" s="1"/>
  <c r="E39" i="14"/>
  <c r="D39" i="14"/>
  <c r="F38" i="14"/>
  <c r="F37" i="14"/>
  <c r="F39" i="14" s="1"/>
  <c r="E36" i="14"/>
  <c r="E59" i="14" s="1"/>
  <c r="D36" i="14"/>
  <c r="D59" i="14" s="1"/>
  <c r="F35" i="14"/>
  <c r="F34" i="14"/>
  <c r="F36" i="14" s="1"/>
  <c r="F33" i="14"/>
  <c r="F31" i="14"/>
  <c r="F30" i="14"/>
  <c r="F29" i="14"/>
  <c r="F28" i="14"/>
  <c r="E26" i="14"/>
  <c r="D26" i="14"/>
  <c r="E24" i="14"/>
  <c r="E23" i="14"/>
  <c r="D23" i="14"/>
  <c r="F22" i="14"/>
  <c r="F21" i="14"/>
  <c r="F20" i="14"/>
  <c r="F23" i="14" s="1"/>
  <c r="E19" i="14"/>
  <c r="D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58" i="12" l="1"/>
  <c r="W85" i="12"/>
  <c r="C13" i="54"/>
  <c r="K13" i="54" s="1"/>
  <c r="I48" i="58"/>
  <c r="E84" i="14"/>
  <c r="D24" i="14"/>
  <c r="F19" i="14"/>
  <c r="F24" i="14" s="1"/>
  <c r="L59" i="12"/>
  <c r="K85" i="12"/>
  <c r="O24" i="12"/>
  <c r="R24" i="12"/>
  <c r="O59" i="12"/>
  <c r="O85" i="12" s="1"/>
  <c r="H59" i="12"/>
  <c r="H85" i="12" s="1"/>
  <c r="M85" i="12"/>
  <c r="J85" i="12"/>
  <c r="N85" i="12"/>
  <c r="L85" i="12"/>
  <c r="P85" i="12"/>
  <c r="F23" i="12"/>
  <c r="H24" i="12"/>
  <c r="R59" i="12"/>
  <c r="R85" i="12" s="1"/>
  <c r="F64" i="12"/>
  <c r="K26" i="12"/>
  <c r="E26" i="12" s="1"/>
  <c r="F26" i="12" s="1"/>
  <c r="L27" i="12"/>
  <c r="L26" i="12" s="1"/>
  <c r="U27" i="12"/>
  <c r="U26" i="12" s="1"/>
  <c r="U85" i="12" s="1"/>
  <c r="F33" i="12"/>
  <c r="F36" i="12" s="1"/>
  <c r="E37" i="12"/>
  <c r="E39" i="12" s="1"/>
  <c r="L37" i="12"/>
  <c r="L39" i="12" s="1"/>
  <c r="F42" i="12"/>
  <c r="I48" i="12"/>
  <c r="I49" i="12" s="1"/>
  <c r="Q58" i="12"/>
  <c r="Q59" i="12" s="1"/>
  <c r="Q85" i="12" s="1"/>
  <c r="D81" i="12"/>
  <c r="I5" i="12"/>
  <c r="I19" i="12" s="1"/>
  <c r="I24" i="12" s="1"/>
  <c r="D23" i="12"/>
  <c r="D24" i="12" s="1"/>
  <c r="T23" i="12"/>
  <c r="T24" i="12" s="1"/>
  <c r="T85" i="12" s="1"/>
  <c r="E48" i="12"/>
  <c r="E49" i="12" s="1"/>
  <c r="E59" i="12" s="1"/>
  <c r="X53" i="12"/>
  <c r="X58" i="12" s="1"/>
  <c r="X59" i="12" s="1"/>
  <c r="X85" i="12" s="1"/>
  <c r="I57" i="12"/>
  <c r="I58" i="12" s="1"/>
  <c r="I59" i="12" s="1"/>
  <c r="I85" i="12" s="1"/>
  <c r="V58" i="12"/>
  <c r="F71" i="12"/>
  <c r="F75" i="12" s="1"/>
  <c r="O69" i="58" s="1"/>
  <c r="E5" i="12"/>
  <c r="C14" i="56"/>
  <c r="K14" i="56" s="1"/>
  <c r="V10" i="56"/>
  <c r="V14" i="56" s="1"/>
  <c r="V6" i="54"/>
  <c r="V13" i="54" s="1"/>
  <c r="K49" i="58"/>
  <c r="L48" i="58"/>
  <c r="I42" i="58"/>
  <c r="G49" i="58"/>
  <c r="O42" i="58"/>
  <c r="I49" i="58"/>
  <c r="H49" i="58"/>
  <c r="M49" i="58"/>
  <c r="J42" i="58"/>
  <c r="J49" i="58" s="1"/>
  <c r="L46" i="58"/>
  <c r="O47" i="58"/>
  <c r="O48" i="58" s="1"/>
  <c r="O59" i="16"/>
  <c r="I24" i="16"/>
  <c r="E59" i="16"/>
  <c r="R59" i="16"/>
  <c r="G84" i="16"/>
  <c r="H84" i="16"/>
  <c r="P84" i="16"/>
  <c r="L24" i="16"/>
  <c r="R24" i="16"/>
  <c r="F53" i="16"/>
  <c r="F58" i="16" s="1"/>
  <c r="E84" i="16"/>
  <c r="M84" i="16"/>
  <c r="Q84" i="16"/>
  <c r="O24" i="16"/>
  <c r="O84" i="16" s="1"/>
  <c r="F74" i="16"/>
  <c r="J84" i="16"/>
  <c r="N84" i="16"/>
  <c r="R84" i="16"/>
  <c r="D53" i="16"/>
  <c r="D58" i="16" s="1"/>
  <c r="D59" i="16" s="1"/>
  <c r="D84" i="16" s="1"/>
  <c r="F61" i="16"/>
  <c r="F63" i="16" s="1"/>
  <c r="D29" i="16"/>
  <c r="D26" i="16" s="1"/>
  <c r="I29" i="16"/>
  <c r="F38" i="16"/>
  <c r="F39" i="16" s="1"/>
  <c r="L53" i="16"/>
  <c r="L58" i="16" s="1"/>
  <c r="L59" i="16" s="1"/>
  <c r="L84" i="16" s="1"/>
  <c r="I58" i="16"/>
  <c r="F20" i="16"/>
  <c r="F23" i="16" s="1"/>
  <c r="F24" i="16" s="1"/>
  <c r="F33" i="16"/>
  <c r="F36" i="16" s="1"/>
  <c r="I49" i="16"/>
  <c r="I74" i="16"/>
  <c r="F59" i="14"/>
  <c r="D84" i="14"/>
  <c r="F27" i="14"/>
  <c r="F26" i="14" s="1"/>
  <c r="F48" i="12" l="1"/>
  <c r="F49" i="12" s="1"/>
  <c r="F84" i="14"/>
  <c r="E19" i="12"/>
  <c r="E24" i="12" s="1"/>
  <c r="E85" i="12" s="1"/>
  <c r="F5" i="12"/>
  <c r="F19" i="12" s="1"/>
  <c r="F24" i="12" s="1"/>
  <c r="F37" i="12"/>
  <c r="F39" i="12" s="1"/>
  <c r="V59" i="12"/>
  <c r="D58" i="12"/>
  <c r="L42" i="58"/>
  <c r="O49" i="58"/>
  <c r="L49" i="58"/>
  <c r="F59" i="16"/>
  <c r="F84" i="16" s="1"/>
  <c r="I59" i="16"/>
  <c r="I84" i="16" s="1"/>
  <c r="F29" i="16"/>
  <c r="I26" i="16"/>
  <c r="F26" i="16" s="1"/>
  <c r="F59" i="12" l="1"/>
  <c r="F85" i="12" s="1"/>
  <c r="D59" i="12"/>
  <c r="D85" i="12" s="1"/>
  <c r="V85" i="12"/>
  <c r="AJ6" i="53" l="1"/>
  <c r="X6" i="53"/>
  <c r="AJ7" i="53"/>
  <c r="X7" i="53"/>
  <c r="F33" i="30" l="1"/>
  <c r="E65" i="19"/>
  <c r="S11" i="8" l="1"/>
  <c r="M7" i="37"/>
  <c r="T13" i="8" s="1"/>
  <c r="L7" i="37"/>
  <c r="S13" i="8" s="1"/>
  <c r="J7" i="37"/>
  <c r="T11" i="8" s="1"/>
  <c r="I7" i="37"/>
  <c r="N6" i="37"/>
  <c r="K6" i="37"/>
  <c r="N5" i="37"/>
  <c r="K5" i="37"/>
  <c r="N4" i="37"/>
  <c r="K4" i="37"/>
  <c r="G7" i="37"/>
  <c r="T9" i="8" s="1"/>
  <c r="F7" i="37"/>
  <c r="S9" i="8" s="1"/>
  <c r="H6" i="37"/>
  <c r="H5" i="37"/>
  <c r="H4" i="37"/>
  <c r="N7" i="37" l="1"/>
  <c r="U13" i="8" s="1"/>
  <c r="T14" i="8"/>
  <c r="H7" i="37"/>
  <c r="U9" i="8" s="1"/>
  <c r="S14" i="8"/>
  <c r="K7" i="37"/>
  <c r="U11" i="8" s="1"/>
  <c r="U14" i="8" l="1"/>
  <c r="C68" i="19"/>
  <c r="C59" i="19"/>
  <c r="E64" i="19"/>
  <c r="C24" i="44" l="1"/>
  <c r="B24" i="44"/>
  <c r="C19" i="44"/>
  <c r="B19" i="44"/>
  <c r="B21" i="44"/>
  <c r="B20" i="44"/>
  <c r="B16" i="44"/>
  <c r="B15" i="44"/>
  <c r="F68" i="41"/>
  <c r="E68" i="41"/>
  <c r="D68" i="41"/>
  <c r="F64" i="41"/>
  <c r="E64" i="41"/>
  <c r="D64" i="41"/>
  <c r="E58" i="41"/>
  <c r="D58" i="41"/>
  <c r="F57" i="41"/>
  <c r="E57" i="41"/>
  <c r="D57" i="41"/>
  <c r="F56" i="41"/>
  <c r="E56" i="41"/>
  <c r="D56" i="41"/>
  <c r="E55" i="41"/>
  <c r="D55" i="41"/>
  <c r="E52" i="41"/>
  <c r="D52" i="41"/>
  <c r="F51" i="41"/>
  <c r="E51" i="41"/>
  <c r="D51" i="41"/>
  <c r="F50" i="41"/>
  <c r="E50" i="41"/>
  <c r="D50" i="41"/>
  <c r="E49" i="41"/>
  <c r="D49" i="41"/>
  <c r="F48" i="41"/>
  <c r="E48" i="41"/>
  <c r="D48" i="41"/>
  <c r="E47" i="41"/>
  <c r="D47" i="41"/>
  <c r="E46" i="41"/>
  <c r="D46" i="41"/>
  <c r="F44" i="41"/>
  <c r="E44" i="41"/>
  <c r="D44" i="41"/>
  <c r="D35" i="41"/>
  <c r="D34" i="41"/>
  <c r="E33" i="41"/>
  <c r="D33" i="41"/>
  <c r="F32" i="41"/>
  <c r="E32" i="41"/>
  <c r="D32" i="41"/>
  <c r="F31" i="41"/>
  <c r="E31" i="41"/>
  <c r="D31" i="41"/>
  <c r="E30" i="41"/>
  <c r="D30" i="41"/>
  <c r="E29" i="41"/>
  <c r="D29" i="41"/>
  <c r="D28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9" i="41"/>
  <c r="E9" i="41"/>
  <c r="D9" i="41"/>
  <c r="F7" i="41"/>
  <c r="E7" i="41"/>
  <c r="D7" i="41"/>
  <c r="F6" i="41"/>
  <c r="E6" i="41"/>
  <c r="D6" i="41"/>
  <c r="F5" i="41"/>
  <c r="E5" i="41"/>
  <c r="D5" i="41"/>
  <c r="AA68" i="41"/>
  <c r="Z64" i="41"/>
  <c r="Y64" i="41"/>
  <c r="AA63" i="41"/>
  <c r="AA62" i="41"/>
  <c r="AA61" i="41"/>
  <c r="AA64" i="41" s="1"/>
  <c r="Z59" i="41"/>
  <c r="AA59" i="41" s="1"/>
  <c r="Y59" i="41"/>
  <c r="AA58" i="41"/>
  <c r="AA57" i="41"/>
  <c r="AA56" i="41"/>
  <c r="AA55" i="41"/>
  <c r="Y53" i="41"/>
  <c r="AA52" i="41"/>
  <c r="AA51" i="41"/>
  <c r="AA50" i="41"/>
  <c r="AA49" i="41"/>
  <c r="F49" i="41" s="1"/>
  <c r="AA48" i="41"/>
  <c r="AA47" i="41"/>
  <c r="Z53" i="41"/>
  <c r="AA46" i="41"/>
  <c r="F46" i="41" s="1"/>
  <c r="AA44" i="41"/>
  <c r="AA43" i="41"/>
  <c r="AA42" i="41"/>
  <c r="AA41" i="41"/>
  <c r="AA40" i="41"/>
  <c r="AA39" i="41"/>
  <c r="AA38" i="41"/>
  <c r="Z34" i="41"/>
  <c r="Y34" i="41"/>
  <c r="AA33" i="41"/>
  <c r="AA32" i="41"/>
  <c r="AA31" i="41"/>
  <c r="AA30" i="41"/>
  <c r="AA29" i="41"/>
  <c r="AA34" i="41" s="1"/>
  <c r="Z28" i="41"/>
  <c r="Y28" i="41"/>
  <c r="AA27" i="41"/>
  <c r="AA26" i="41"/>
  <c r="AA28" i="41" s="1"/>
  <c r="Z25" i="41"/>
  <c r="Z35" i="41" s="1"/>
  <c r="Y25" i="41"/>
  <c r="Y35" i="41" s="1"/>
  <c r="AA24" i="41"/>
  <c r="AA23" i="41"/>
  <c r="AA25" i="41" s="1"/>
  <c r="AA22" i="41"/>
  <c r="AA21" i="41"/>
  <c r="AA20" i="41"/>
  <c r="AA19" i="41"/>
  <c r="AA18" i="41"/>
  <c r="AA17" i="41"/>
  <c r="Y17" i="41"/>
  <c r="Y14" i="41"/>
  <c r="AA13" i="41"/>
  <c r="AA12" i="41"/>
  <c r="AA11" i="41"/>
  <c r="AA14" i="41" s="1"/>
  <c r="AA9" i="41"/>
  <c r="Z7" i="41"/>
  <c r="Y7" i="41"/>
  <c r="AA6" i="41"/>
  <c r="AA5" i="41"/>
  <c r="AA7" i="41" s="1"/>
  <c r="Y66" i="41" l="1"/>
  <c r="AA53" i="41"/>
  <c r="AA35" i="41"/>
  <c r="Z66" i="41"/>
  <c r="AJ68" i="7"/>
  <c r="F68" i="7" s="1"/>
  <c r="AA66" i="41" l="1"/>
  <c r="F34" i="30"/>
  <c r="I33" i="30"/>
  <c r="E33" i="30"/>
  <c r="C33" i="30"/>
  <c r="B18" i="30"/>
  <c r="B15" i="30"/>
  <c r="B8" i="30"/>
  <c r="B7" i="30"/>
  <c r="H29" i="40"/>
  <c r="N29" i="40" s="1"/>
  <c r="E38" i="20" l="1"/>
  <c r="C38" i="20"/>
  <c r="E37" i="20"/>
  <c r="E36" i="20"/>
  <c r="E35" i="20"/>
  <c r="E33" i="20"/>
  <c r="E32" i="20"/>
  <c r="E31" i="20"/>
  <c r="D30" i="20"/>
  <c r="D34" i="20" s="1"/>
  <c r="C30" i="20"/>
  <c r="C34" i="20" s="1"/>
  <c r="E29" i="20"/>
  <c r="E28" i="20"/>
  <c r="E27" i="20"/>
  <c r="D26" i="20"/>
  <c r="C26" i="20"/>
  <c r="E25" i="20"/>
  <c r="E26" i="20" s="1"/>
  <c r="D23" i="20"/>
  <c r="E23" i="20" s="1"/>
  <c r="C23" i="20"/>
  <c r="E22" i="20"/>
  <c r="E21" i="20"/>
  <c r="E14" i="20"/>
  <c r="E13" i="20" s="1"/>
  <c r="E16" i="20" s="1"/>
  <c r="D13" i="20"/>
  <c r="D16" i="20" s="1"/>
  <c r="C13" i="20"/>
  <c r="C16" i="20" s="1"/>
  <c r="E12" i="20"/>
  <c r="D9" i="20"/>
  <c r="C9" i="20"/>
  <c r="E7" i="20"/>
  <c r="E6" i="20"/>
  <c r="D78" i="19"/>
  <c r="C78" i="19"/>
  <c r="E76" i="19"/>
  <c r="E75" i="19"/>
  <c r="E74" i="19"/>
  <c r="E70" i="19"/>
  <c r="E68" i="19" s="1"/>
  <c r="E69" i="19"/>
  <c r="D68" i="19"/>
  <c r="E67" i="19"/>
  <c r="E63" i="19"/>
  <c r="E62" i="19"/>
  <c r="E61" i="19"/>
  <c r="E60" i="19"/>
  <c r="D59" i="19"/>
  <c r="C71" i="19"/>
  <c r="D56" i="19"/>
  <c r="C56" i="19"/>
  <c r="E53" i="19"/>
  <c r="E56" i="19" s="1"/>
  <c r="E46" i="19"/>
  <c r="E45" i="19" s="1"/>
  <c r="D45" i="19"/>
  <c r="C45" i="19"/>
  <c r="C50" i="19" s="1"/>
  <c r="E41" i="19"/>
  <c r="E39" i="19" s="1"/>
  <c r="D39" i="19"/>
  <c r="C39" i="19"/>
  <c r="E35" i="19"/>
  <c r="E34" i="19" s="1"/>
  <c r="D34" i="19"/>
  <c r="C34" i="19"/>
  <c r="C29" i="19"/>
  <c r="D25" i="19"/>
  <c r="C25" i="19"/>
  <c r="E23" i="19"/>
  <c r="E22" i="19"/>
  <c r="E25" i="19" s="1"/>
  <c r="D17" i="19"/>
  <c r="D19" i="19" s="1"/>
  <c r="C17" i="19"/>
  <c r="C19" i="19" s="1"/>
  <c r="E15" i="19"/>
  <c r="E13" i="19"/>
  <c r="E12" i="19"/>
  <c r="E11" i="19"/>
  <c r="E10" i="19"/>
  <c r="E9" i="19"/>
  <c r="E8" i="19"/>
  <c r="E7" i="19"/>
  <c r="E6" i="19"/>
  <c r="D50" i="19" l="1"/>
  <c r="E50" i="19"/>
  <c r="E34" i="20"/>
  <c r="E30" i="20"/>
  <c r="C39" i="20"/>
  <c r="E9" i="20"/>
  <c r="E39" i="20" s="1"/>
  <c r="E78" i="19"/>
  <c r="D71" i="19"/>
  <c r="D79" i="19" s="1"/>
  <c r="E59" i="19"/>
  <c r="E71" i="19" s="1"/>
  <c r="E17" i="19"/>
  <c r="E19" i="19" s="1"/>
  <c r="D39" i="20"/>
  <c r="C79" i="19"/>
  <c r="E79" i="19" l="1"/>
  <c r="C15" i="44"/>
  <c r="D15" i="44" s="1"/>
  <c r="C16" i="44"/>
  <c r="D8" i="44"/>
  <c r="R80" i="7"/>
  <c r="R77" i="7"/>
  <c r="R29" i="7"/>
  <c r="R12" i="7"/>
  <c r="C17" i="44" l="1"/>
  <c r="U68" i="41"/>
  <c r="T64" i="41"/>
  <c r="S64" i="41"/>
  <c r="U63" i="41"/>
  <c r="U62" i="41"/>
  <c r="U64" i="41" s="1"/>
  <c r="U61" i="41"/>
  <c r="T59" i="41"/>
  <c r="S59" i="41"/>
  <c r="U58" i="41"/>
  <c r="U57" i="41"/>
  <c r="U56" i="41"/>
  <c r="U55" i="41"/>
  <c r="T53" i="41"/>
  <c r="S53" i="41"/>
  <c r="U52" i="41"/>
  <c r="U51" i="41"/>
  <c r="U50" i="41"/>
  <c r="U49" i="41"/>
  <c r="U48" i="41"/>
  <c r="U47" i="41"/>
  <c r="U46" i="41"/>
  <c r="U44" i="41"/>
  <c r="U43" i="41"/>
  <c r="U42" i="41"/>
  <c r="U41" i="41"/>
  <c r="U40" i="41"/>
  <c r="U39" i="41"/>
  <c r="U38" i="41"/>
  <c r="T34" i="41"/>
  <c r="S34" i="41"/>
  <c r="S35" i="41" s="1"/>
  <c r="U33" i="41"/>
  <c r="U32" i="41"/>
  <c r="U31" i="41"/>
  <c r="U30" i="41"/>
  <c r="U29" i="41"/>
  <c r="U34" i="41" s="1"/>
  <c r="T28" i="41"/>
  <c r="S28" i="41"/>
  <c r="U27" i="41"/>
  <c r="U26" i="41"/>
  <c r="U28" i="41" s="1"/>
  <c r="T25" i="41"/>
  <c r="T35" i="41" s="1"/>
  <c r="S25" i="41"/>
  <c r="U24" i="41"/>
  <c r="U23" i="41"/>
  <c r="U25" i="41" s="1"/>
  <c r="U22" i="41"/>
  <c r="U21" i="41"/>
  <c r="U20" i="41"/>
  <c r="U19" i="41"/>
  <c r="U18" i="41"/>
  <c r="U17" i="41"/>
  <c r="S17" i="41"/>
  <c r="S14" i="41"/>
  <c r="U13" i="41"/>
  <c r="U12" i="41"/>
  <c r="U11" i="41"/>
  <c r="U14" i="41" s="1"/>
  <c r="U9" i="41"/>
  <c r="T7" i="41"/>
  <c r="S7" i="41"/>
  <c r="U6" i="41"/>
  <c r="U5" i="41"/>
  <c r="U7" i="41" s="1"/>
  <c r="I15" i="18"/>
  <c r="H15" i="18"/>
  <c r="G15" i="18"/>
  <c r="X29" i="53"/>
  <c r="U59" i="41" l="1"/>
  <c r="U53" i="41"/>
  <c r="U35" i="41"/>
  <c r="S66" i="41"/>
  <c r="T66" i="41"/>
  <c r="U66" i="41"/>
  <c r="I9" i="57" l="1"/>
  <c r="G9" i="57"/>
  <c r="Y8" i="57"/>
  <c r="I8" i="57"/>
  <c r="G8" i="57"/>
  <c r="AC7" i="57"/>
  <c r="AB7" i="57"/>
  <c r="J7" i="57"/>
  <c r="K7" i="57"/>
  <c r="G7" i="57"/>
  <c r="AI9" i="57"/>
  <c r="Z9" i="57"/>
  <c r="Y9" i="57"/>
  <c r="H9" i="57"/>
  <c r="E9" i="57"/>
  <c r="D9" i="57"/>
  <c r="AI8" i="57"/>
  <c r="Z8" i="57"/>
  <c r="H8" i="57"/>
  <c r="E8" i="57"/>
  <c r="D8" i="57"/>
  <c r="AI7" i="57"/>
  <c r="Y7" i="57"/>
  <c r="I7" i="57"/>
  <c r="H7" i="57"/>
  <c r="E7" i="57"/>
  <c r="Z7" i="57"/>
  <c r="D7" i="57"/>
  <c r="M62" i="58"/>
  <c r="M61" i="58"/>
  <c r="N59" i="58"/>
  <c r="O59" i="58"/>
  <c r="M59" i="58"/>
  <c r="C9" i="57" l="1"/>
  <c r="C8" i="57"/>
  <c r="C7" i="57"/>
  <c r="N58" i="58"/>
  <c r="M58" i="58"/>
  <c r="M60" i="58"/>
  <c r="N62" i="58"/>
  <c r="O61" i="58"/>
  <c r="N60" i="58"/>
  <c r="N61" i="58"/>
  <c r="O58" i="58"/>
  <c r="O62" i="58" l="1"/>
  <c r="O60" i="58" l="1"/>
  <c r="G69" i="58" l="1"/>
  <c r="I65" i="58" l="1"/>
  <c r="G66" i="58"/>
  <c r="G65" i="58"/>
  <c r="J53" i="58"/>
  <c r="K53" i="58"/>
  <c r="L53" i="58"/>
  <c r="M53" i="58"/>
  <c r="N53" i="58"/>
  <c r="O53" i="58"/>
  <c r="J54" i="58"/>
  <c r="J55" i="58" s="1"/>
  <c r="K54" i="58"/>
  <c r="L54" i="58"/>
  <c r="M54" i="58"/>
  <c r="N54" i="58"/>
  <c r="O54" i="58"/>
  <c r="J56" i="58"/>
  <c r="K56" i="58"/>
  <c r="L56" i="58"/>
  <c r="M56" i="58"/>
  <c r="N56" i="58"/>
  <c r="O56" i="58"/>
  <c r="J58" i="58"/>
  <c r="K58" i="58"/>
  <c r="L58" i="58"/>
  <c r="J59" i="58"/>
  <c r="K59" i="58"/>
  <c r="L59" i="58"/>
  <c r="J60" i="58"/>
  <c r="K60" i="58"/>
  <c r="L60" i="58"/>
  <c r="I61" i="58"/>
  <c r="J61" i="58"/>
  <c r="K61" i="58"/>
  <c r="L61" i="58"/>
  <c r="J62" i="58"/>
  <c r="K62" i="58"/>
  <c r="L62" i="58"/>
  <c r="N63" i="58"/>
  <c r="H65" i="58"/>
  <c r="H66" i="58"/>
  <c r="J66" i="58"/>
  <c r="J67" i="58" s="1"/>
  <c r="K66" i="58"/>
  <c r="K67" i="58" s="1"/>
  <c r="L66" i="58"/>
  <c r="M66" i="58"/>
  <c r="N66" i="58"/>
  <c r="N67" i="58" s="1"/>
  <c r="O66" i="58"/>
  <c r="H69" i="58"/>
  <c r="J69" i="58"/>
  <c r="K69" i="58"/>
  <c r="L69" i="58"/>
  <c r="G71" i="58"/>
  <c r="H71" i="58"/>
  <c r="I71" i="58"/>
  <c r="J71" i="58"/>
  <c r="K71" i="58"/>
  <c r="L71" i="58"/>
  <c r="M71" i="58"/>
  <c r="N71" i="58"/>
  <c r="O71" i="58"/>
  <c r="G73" i="58"/>
  <c r="H73" i="58"/>
  <c r="I73" i="58"/>
  <c r="J73" i="58"/>
  <c r="K73" i="58"/>
  <c r="L73" i="58"/>
  <c r="I69" i="58"/>
  <c r="I66" i="58"/>
  <c r="H62" i="58"/>
  <c r="G62" i="58"/>
  <c r="H61" i="58"/>
  <c r="G61" i="58"/>
  <c r="G60" i="58"/>
  <c r="H60" i="58"/>
  <c r="H59" i="58"/>
  <c r="G59" i="58"/>
  <c r="I59" i="58"/>
  <c r="H58" i="58"/>
  <c r="G58" i="58"/>
  <c r="I58" i="58"/>
  <c r="H56" i="58"/>
  <c r="G56" i="58"/>
  <c r="G54" i="58"/>
  <c r="I54" i="58"/>
  <c r="H53" i="58"/>
  <c r="O55" i="58" l="1"/>
  <c r="K55" i="58"/>
  <c r="N55" i="58"/>
  <c r="N75" i="58" s="1"/>
  <c r="N79" i="58" s="1"/>
  <c r="M55" i="58"/>
  <c r="J63" i="58"/>
  <c r="J75" i="58" s="1"/>
  <c r="J79" i="58" s="1"/>
  <c r="I53" i="58"/>
  <c r="I55" i="58" s="1"/>
  <c r="O63" i="58"/>
  <c r="O67" i="58"/>
  <c r="M67" i="58"/>
  <c r="M63" i="58"/>
  <c r="L63" i="58"/>
  <c r="L67" i="58"/>
  <c r="K63" i="58"/>
  <c r="K75" i="58" s="1"/>
  <c r="K79" i="58" s="1"/>
  <c r="L55" i="58"/>
  <c r="H54" i="58"/>
  <c r="G53" i="58"/>
  <c r="G55" i="58" s="1"/>
  <c r="H67" i="58"/>
  <c r="H55" i="58"/>
  <c r="G67" i="58"/>
  <c r="H63" i="58"/>
  <c r="G63" i="58"/>
  <c r="I67" i="58"/>
  <c r="I56" i="58"/>
  <c r="I60" i="58"/>
  <c r="I62" i="58"/>
  <c r="O75" i="58" l="1"/>
  <c r="O79" i="58" s="1"/>
  <c r="I63" i="58"/>
  <c r="M75" i="58"/>
  <c r="M79" i="58" s="1"/>
  <c r="L75" i="58"/>
  <c r="L79" i="58" s="1"/>
  <c r="G75" i="58"/>
  <c r="G79" i="58" s="1"/>
  <c r="I75" i="58"/>
  <c r="I79" i="58" s="1"/>
  <c r="H75" i="58"/>
  <c r="H79" i="58" s="1"/>
  <c r="O37" i="30" l="1"/>
  <c r="N36" i="30"/>
  <c r="M36" i="30"/>
  <c r="L36" i="30"/>
  <c r="K36" i="30"/>
  <c r="J36" i="30"/>
  <c r="I36" i="30"/>
  <c r="H36" i="30"/>
  <c r="G36" i="30"/>
  <c r="F36" i="30"/>
  <c r="E36" i="30"/>
  <c r="D36" i="30"/>
  <c r="C36" i="30"/>
  <c r="O35" i="30"/>
  <c r="O34" i="30"/>
  <c r="O33" i="30"/>
  <c r="O36" i="30" s="1"/>
  <c r="O18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7" i="30" s="1"/>
  <c r="O15" i="30"/>
  <c r="O14" i="30"/>
  <c r="J8" i="30"/>
  <c r="L7" i="30"/>
  <c r="E15" i="21"/>
  <c r="E14" i="21"/>
  <c r="E9" i="21"/>
  <c r="E10" i="21"/>
  <c r="E7" i="21"/>
  <c r="G87" i="7"/>
  <c r="G81" i="7"/>
  <c r="J34" i="7"/>
  <c r="J28" i="7"/>
  <c r="J25" i="7"/>
  <c r="J17" i="7"/>
  <c r="J14" i="7"/>
  <c r="J7" i="7"/>
  <c r="G34" i="7"/>
  <c r="G28" i="7"/>
  <c r="G20" i="7"/>
  <c r="G17" i="7"/>
  <c r="G14" i="7"/>
  <c r="G7" i="7"/>
  <c r="F44" i="40"/>
  <c r="F40" i="40"/>
  <c r="F33" i="40"/>
  <c r="F27" i="40" s="1"/>
  <c r="M36" i="40"/>
  <c r="L36" i="40"/>
  <c r="H36" i="40"/>
  <c r="N36" i="40" s="1"/>
  <c r="M35" i="40"/>
  <c r="L35" i="40"/>
  <c r="H35" i="40"/>
  <c r="N35" i="40" s="1"/>
  <c r="L34" i="40"/>
  <c r="H34" i="40"/>
  <c r="N34" i="40" s="1"/>
  <c r="M33" i="40"/>
  <c r="M32" i="40"/>
  <c r="L32" i="40"/>
  <c r="H32" i="40"/>
  <c r="N32" i="40" s="1"/>
  <c r="M45" i="6"/>
  <c r="M34" i="6"/>
  <c r="M35" i="6" s="1"/>
  <c r="M28" i="6"/>
  <c r="M25" i="6"/>
  <c r="M17" i="6"/>
  <c r="M14" i="6"/>
  <c r="M7" i="6"/>
  <c r="J45" i="6"/>
  <c r="J34" i="6"/>
  <c r="J35" i="6" s="1"/>
  <c r="J28" i="6"/>
  <c r="J25" i="6"/>
  <c r="J17" i="6"/>
  <c r="J14" i="6"/>
  <c r="J7" i="6"/>
  <c r="G45" i="6"/>
  <c r="G44" i="6"/>
  <c r="G34" i="6"/>
  <c r="G28" i="6"/>
  <c r="G35" i="6" s="1"/>
  <c r="G25" i="6"/>
  <c r="G17" i="6"/>
  <c r="G14" i="6"/>
  <c r="G7" i="6"/>
  <c r="AE58" i="5"/>
  <c r="AE51" i="5"/>
  <c r="AE52" i="5" s="1"/>
  <c r="AE33" i="5"/>
  <c r="AE29" i="5"/>
  <c r="AE34" i="5" s="1"/>
  <c r="AE35" i="5" s="1"/>
  <c r="AE28" i="5"/>
  <c r="AE25" i="5"/>
  <c r="AE17" i="5"/>
  <c r="AE14" i="5"/>
  <c r="AE7" i="5"/>
  <c r="AB58" i="5"/>
  <c r="AB52" i="5"/>
  <c r="AB33" i="5"/>
  <c r="AB29" i="5"/>
  <c r="AB34" i="5" s="1"/>
  <c r="AB35" i="5" s="1"/>
  <c r="AB28" i="5"/>
  <c r="AB25" i="5"/>
  <c r="AB17" i="5"/>
  <c r="AB14" i="5"/>
  <c r="AB7" i="5"/>
  <c r="V63" i="5"/>
  <c r="V58" i="5"/>
  <c r="V52" i="5"/>
  <c r="V46" i="5"/>
  <c r="V33" i="5"/>
  <c r="V30" i="5"/>
  <c r="V29" i="5"/>
  <c r="V34" i="5" s="1"/>
  <c r="V35" i="5" s="1"/>
  <c r="V28" i="5"/>
  <c r="V25" i="5"/>
  <c r="V17" i="5"/>
  <c r="V14" i="5"/>
  <c r="V7" i="5"/>
  <c r="S58" i="5"/>
  <c r="S52" i="5"/>
  <c r="S34" i="5"/>
  <c r="S28" i="5"/>
  <c r="S25" i="5"/>
  <c r="S17" i="5"/>
  <c r="S14" i="5"/>
  <c r="S7" i="5"/>
  <c r="P63" i="5"/>
  <c r="P58" i="5"/>
  <c r="P52" i="5"/>
  <c r="P34" i="5"/>
  <c r="P28" i="5"/>
  <c r="P25" i="5"/>
  <c r="P17" i="5"/>
  <c r="P14" i="5"/>
  <c r="P7" i="5"/>
  <c r="M63" i="5"/>
  <c r="M58" i="5"/>
  <c r="M52" i="5"/>
  <c r="M51" i="5"/>
  <c r="M29" i="5"/>
  <c r="M28" i="5"/>
  <c r="M25" i="5"/>
  <c r="M17" i="5"/>
  <c r="M14" i="5"/>
  <c r="M7" i="5"/>
  <c r="J63" i="5"/>
  <c r="J58" i="5"/>
  <c r="J52" i="5"/>
  <c r="J34" i="5"/>
  <c r="J35" i="5" s="1"/>
  <c r="J29" i="5"/>
  <c r="J28" i="5"/>
  <c r="J25" i="5"/>
  <c r="J17" i="5"/>
  <c r="J14" i="5"/>
  <c r="J7" i="5"/>
  <c r="G63" i="5"/>
  <c r="G58" i="5"/>
  <c r="G52" i="5"/>
  <c r="G51" i="5"/>
  <c r="G46" i="5"/>
  <c r="G34" i="5"/>
  <c r="G33" i="5"/>
  <c r="G29" i="5"/>
  <c r="G28" i="5"/>
  <c r="G25" i="5"/>
  <c r="G24" i="5"/>
  <c r="G17" i="5"/>
  <c r="G14" i="5"/>
  <c r="G7" i="5"/>
  <c r="E62" i="5"/>
  <c r="D62" i="5"/>
  <c r="E61" i="5"/>
  <c r="D61" i="5"/>
  <c r="E60" i="5"/>
  <c r="D60" i="5"/>
  <c r="E42" i="5"/>
  <c r="D42" i="5"/>
  <c r="E41" i="5"/>
  <c r="D41" i="5"/>
  <c r="E40" i="5"/>
  <c r="D40" i="5"/>
  <c r="E39" i="5"/>
  <c r="D39" i="5"/>
  <c r="E38" i="5"/>
  <c r="D38" i="5"/>
  <c r="E37" i="5"/>
  <c r="D37" i="5"/>
  <c r="AL63" i="5"/>
  <c r="AM63" i="5" s="1"/>
  <c r="AK63" i="5"/>
  <c r="AM62" i="5"/>
  <c r="AM61" i="5"/>
  <c r="AM60" i="5"/>
  <c r="AM59" i="5"/>
  <c r="AL58" i="5"/>
  <c r="AM58" i="5" s="1"/>
  <c r="AK58" i="5"/>
  <c r="AM57" i="5"/>
  <c r="AM56" i="5"/>
  <c r="AM55" i="5"/>
  <c r="AM54" i="5"/>
  <c r="AL52" i="5"/>
  <c r="AK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L34" i="5"/>
  <c r="AL35" i="5" s="1"/>
  <c r="AK34" i="5"/>
  <c r="AK35" i="5" s="1"/>
  <c r="AM33" i="5"/>
  <c r="AM32" i="5"/>
  <c r="AM31" i="5"/>
  <c r="AM30" i="5"/>
  <c r="AM29" i="5"/>
  <c r="AL28" i="5"/>
  <c r="AM28" i="5" s="1"/>
  <c r="AK28" i="5"/>
  <c r="AM27" i="5"/>
  <c r="AM26" i="5"/>
  <c r="AM25" i="5"/>
  <c r="AL25" i="5"/>
  <c r="AK25" i="5"/>
  <c r="AM24" i="5"/>
  <c r="AM23" i="5"/>
  <c r="AM22" i="5"/>
  <c r="AM21" i="5"/>
  <c r="AM20" i="5"/>
  <c r="AM19" i="5"/>
  <c r="AM18" i="5"/>
  <c r="AL17" i="5"/>
  <c r="AK17" i="5"/>
  <c r="AM17" i="5" s="1"/>
  <c r="AM16" i="5"/>
  <c r="AM15" i="5"/>
  <c r="AL14" i="5"/>
  <c r="AM14" i="5" s="1"/>
  <c r="AK14" i="5"/>
  <c r="AM13" i="5"/>
  <c r="AM12" i="5"/>
  <c r="AM11" i="5"/>
  <c r="AM9" i="5"/>
  <c r="AL7" i="5"/>
  <c r="AK7" i="5"/>
  <c r="AM7" i="5" s="1"/>
  <c r="AM6" i="5"/>
  <c r="AM5" i="5"/>
  <c r="AE64" i="41"/>
  <c r="AE53" i="41"/>
  <c r="D53" i="41" s="1"/>
  <c r="AE34" i="41"/>
  <c r="AE28" i="41"/>
  <c r="AE25" i="41"/>
  <c r="AE17" i="41"/>
  <c r="AE14" i="41"/>
  <c r="AE7" i="41"/>
  <c r="AB59" i="41"/>
  <c r="D59" i="41" s="1"/>
  <c r="AB53" i="41"/>
  <c r="AB52" i="41"/>
  <c r="AB47" i="41"/>
  <c r="AB34" i="41"/>
  <c r="AB33" i="41"/>
  <c r="AB29" i="41"/>
  <c r="AB28" i="41"/>
  <c r="AB25" i="41"/>
  <c r="AB17" i="41"/>
  <c r="AB14" i="41"/>
  <c r="AB7" i="41"/>
  <c r="V64" i="41"/>
  <c r="V59" i="41"/>
  <c r="V53" i="41"/>
  <c r="V34" i="41"/>
  <c r="V35" i="41" s="1"/>
  <c r="V28" i="41"/>
  <c r="V25" i="41"/>
  <c r="V17" i="41"/>
  <c r="V14" i="41"/>
  <c r="V7" i="41"/>
  <c r="P64" i="41"/>
  <c r="P66" i="41" s="1"/>
  <c r="P59" i="41"/>
  <c r="P53" i="41"/>
  <c r="P34" i="41"/>
  <c r="P35" i="41" s="1"/>
  <c r="P28" i="41"/>
  <c r="P25" i="41"/>
  <c r="P17" i="41"/>
  <c r="P14" i="41"/>
  <c r="P7" i="41"/>
  <c r="M64" i="41"/>
  <c r="M59" i="41"/>
  <c r="M53" i="41"/>
  <c r="M34" i="41"/>
  <c r="M35" i="41" s="1"/>
  <c r="M28" i="41"/>
  <c r="M25" i="41"/>
  <c r="M17" i="41"/>
  <c r="M14" i="41"/>
  <c r="M7" i="41"/>
  <c r="J64" i="41"/>
  <c r="J59" i="41"/>
  <c r="J53" i="41"/>
  <c r="J34" i="41"/>
  <c r="J35" i="41" s="1"/>
  <c r="J28" i="41"/>
  <c r="J25" i="41"/>
  <c r="J17" i="41"/>
  <c r="J14" i="41"/>
  <c r="J7" i="41"/>
  <c r="G64" i="41"/>
  <c r="G59" i="41"/>
  <c r="G53" i="41"/>
  <c r="G34" i="41"/>
  <c r="G35" i="41" s="1"/>
  <c r="G28" i="41"/>
  <c r="G25" i="41"/>
  <c r="G17" i="41"/>
  <c r="G14" i="41"/>
  <c r="G7" i="41"/>
  <c r="AG68" i="41"/>
  <c r="AG64" i="41"/>
  <c r="AF64" i="41"/>
  <c r="AG63" i="41"/>
  <c r="AG62" i="41"/>
  <c r="AG61" i="41"/>
  <c r="AF59" i="41"/>
  <c r="AG59" i="41"/>
  <c r="AG58" i="41"/>
  <c r="AG57" i="41"/>
  <c r="AG56" i="41"/>
  <c r="AG55" i="41"/>
  <c r="AF53" i="41"/>
  <c r="AG52" i="41"/>
  <c r="AG51" i="41"/>
  <c r="AG50" i="41"/>
  <c r="AG49" i="41"/>
  <c r="AG48" i="41"/>
  <c r="AG47" i="41"/>
  <c r="AG46" i="41"/>
  <c r="AG44" i="41"/>
  <c r="AG43" i="41"/>
  <c r="AG42" i="41"/>
  <c r="AG41" i="41"/>
  <c r="AG40" i="41"/>
  <c r="AG39" i="41"/>
  <c r="AG38" i="41"/>
  <c r="AF34" i="41"/>
  <c r="AG33" i="41"/>
  <c r="AG32" i="41"/>
  <c r="AG31" i="41"/>
  <c r="AG30" i="41"/>
  <c r="AG29" i="41"/>
  <c r="AF28" i="41"/>
  <c r="AG28" i="41"/>
  <c r="AG27" i="41"/>
  <c r="AG26" i="41"/>
  <c r="AF25" i="41"/>
  <c r="AF35" i="41" s="1"/>
  <c r="AG25" i="41"/>
  <c r="AG24" i="41"/>
  <c r="AG23" i="41"/>
  <c r="AG22" i="41"/>
  <c r="AG21" i="41"/>
  <c r="AG20" i="41"/>
  <c r="AG19" i="41"/>
  <c r="AG18" i="41"/>
  <c r="AG17" i="41"/>
  <c r="AF17" i="41"/>
  <c r="AG16" i="41"/>
  <c r="AG15" i="41"/>
  <c r="AF14" i="41"/>
  <c r="AG14" i="41"/>
  <c r="AG13" i="41"/>
  <c r="AG12" i="41"/>
  <c r="AG11" i="41"/>
  <c r="AG9" i="41"/>
  <c r="AG7" i="41"/>
  <c r="AF7" i="41"/>
  <c r="AG6" i="41"/>
  <c r="AG5" i="41"/>
  <c r="D63" i="1"/>
  <c r="D52" i="1"/>
  <c r="D43" i="1"/>
  <c r="D29" i="1"/>
  <c r="D34" i="1" s="1"/>
  <c r="D35" i="1" s="1"/>
  <c r="D28" i="1"/>
  <c r="D24" i="1"/>
  <c r="D25" i="1" s="1"/>
  <c r="D23" i="1"/>
  <c r="D17" i="1"/>
  <c r="D12" i="1"/>
  <c r="D14" i="1" s="1"/>
  <c r="D7" i="1"/>
  <c r="H33" i="40" l="1"/>
  <c r="N33" i="40" s="1"/>
  <c r="L33" i="40"/>
  <c r="S35" i="5"/>
  <c r="P35" i="5"/>
  <c r="AG53" i="41"/>
  <c r="AB35" i="41"/>
  <c r="AF66" i="41"/>
  <c r="AM52" i="5"/>
  <c r="N8" i="30"/>
  <c r="F8" i="30"/>
  <c r="D7" i="30"/>
  <c r="K7" i="30"/>
  <c r="G7" i="30"/>
  <c r="C7" i="30"/>
  <c r="M7" i="30"/>
  <c r="I7" i="30"/>
  <c r="E7" i="30"/>
  <c r="F7" i="30"/>
  <c r="N7" i="30"/>
  <c r="J7" i="30"/>
  <c r="H7" i="30"/>
  <c r="M8" i="30"/>
  <c r="I8" i="30"/>
  <c r="E8" i="30"/>
  <c r="L8" i="30"/>
  <c r="H8" i="30"/>
  <c r="D8" i="30"/>
  <c r="K8" i="30"/>
  <c r="G8" i="30"/>
  <c r="C8" i="30"/>
  <c r="G25" i="7"/>
  <c r="G35" i="7" s="1"/>
  <c r="G94" i="7" s="1"/>
  <c r="J35" i="7"/>
  <c r="J94" i="7" s="1"/>
  <c r="M58" i="6"/>
  <c r="J58" i="6"/>
  <c r="G58" i="6"/>
  <c r="AE65" i="5"/>
  <c r="AB65" i="5"/>
  <c r="V65" i="5"/>
  <c r="S65" i="5"/>
  <c r="P65" i="5"/>
  <c r="M34" i="5"/>
  <c r="M35" i="5" s="1"/>
  <c r="M65" i="5" s="1"/>
  <c r="J65" i="5"/>
  <c r="G35" i="5"/>
  <c r="AM35" i="5"/>
  <c r="AK65" i="5"/>
  <c r="AL65" i="5"/>
  <c r="AM34" i="5"/>
  <c r="AE35" i="41"/>
  <c r="AG35" i="41" s="1"/>
  <c r="V66" i="41"/>
  <c r="M66" i="41"/>
  <c r="J66" i="41"/>
  <c r="G66" i="41"/>
  <c r="AG34" i="41"/>
  <c r="D65" i="1"/>
  <c r="O8" i="30" l="1"/>
  <c r="O7" i="30"/>
  <c r="AM65" i="5"/>
  <c r="G65" i="5"/>
  <c r="AE66" i="41"/>
  <c r="AG66" i="41" s="1"/>
  <c r="C21" i="45" l="1"/>
  <c r="C17" i="45"/>
  <c r="D17" i="45"/>
  <c r="D15" i="45"/>
  <c r="D16" i="45"/>
  <c r="D3" i="45"/>
  <c r="B21" i="45"/>
  <c r="B17" i="45"/>
  <c r="B10" i="45"/>
  <c r="B7" i="45"/>
  <c r="B33" i="44" l="1"/>
  <c r="B25" i="44"/>
  <c r="B22" i="44"/>
  <c r="B17" i="44"/>
  <c r="B12" i="44"/>
  <c r="B11" i="44"/>
  <c r="B6" i="44"/>
  <c r="B5" i="44"/>
  <c r="B4" i="44"/>
  <c r="B13" i="44" s="1"/>
  <c r="B28" i="44" l="1"/>
  <c r="D16" i="43"/>
  <c r="C16" i="43"/>
  <c r="B16" i="43"/>
  <c r="D12" i="43"/>
  <c r="C13" i="43"/>
  <c r="B13" i="43"/>
  <c r="B5" i="43"/>
  <c r="C75" i="9"/>
  <c r="C78" i="9" s="1"/>
  <c r="C79" i="9" s="1"/>
  <c r="C71" i="9"/>
  <c r="C69" i="9"/>
  <c r="C66" i="9"/>
  <c r="C58" i="9"/>
  <c r="C56" i="9"/>
  <c r="C65" i="9" s="1"/>
  <c r="C52" i="9"/>
  <c r="C43" i="9"/>
  <c r="C40" i="9"/>
  <c r="C54" i="9" s="1"/>
  <c r="C29" i="9"/>
  <c r="C26" i="9"/>
  <c r="C37" i="9" s="1"/>
  <c r="C16" i="9"/>
  <c r="C12" i="9"/>
  <c r="C11" i="9"/>
  <c r="B18" i="43" l="1"/>
  <c r="C23" i="9"/>
  <c r="C72" i="9" s="1"/>
  <c r="C18" i="43"/>
  <c r="D31" i="44" l="1"/>
  <c r="D33" i="44" s="1"/>
  <c r="C33" i="44"/>
  <c r="W53" i="41" l="1"/>
  <c r="D11" i="43" l="1"/>
  <c r="C10" i="40" l="1"/>
  <c r="D16" i="37"/>
  <c r="K87" i="7" l="1"/>
  <c r="L87" i="7" s="1"/>
  <c r="M87" i="7"/>
  <c r="N87" i="7"/>
  <c r="P87" i="7"/>
  <c r="Q87" i="7"/>
  <c r="S87" i="7"/>
  <c r="T87" i="7"/>
  <c r="V87" i="7"/>
  <c r="W87" i="7"/>
  <c r="Y87" i="7"/>
  <c r="Z87" i="7"/>
  <c r="AA87" i="7" s="1"/>
  <c r="AB87" i="7"/>
  <c r="AC87" i="7"/>
  <c r="AH87" i="7"/>
  <c r="AI87" i="7"/>
  <c r="H87" i="7"/>
  <c r="I87" i="7" s="1"/>
  <c r="AH81" i="7"/>
  <c r="AC81" i="7"/>
  <c r="AB81" i="7"/>
  <c r="Z81" i="7"/>
  <c r="Y81" i="7"/>
  <c r="W81" i="7"/>
  <c r="V81" i="7"/>
  <c r="N81" i="7"/>
  <c r="M81" i="7"/>
  <c r="K81" i="7"/>
  <c r="L81" i="7" s="1"/>
  <c r="AI81" i="7"/>
  <c r="U81" i="7"/>
  <c r="T81" i="7"/>
  <c r="S81" i="7"/>
  <c r="R81" i="7"/>
  <c r="Q81" i="7"/>
  <c r="P81" i="7"/>
  <c r="P7" i="7"/>
  <c r="Q7" i="7"/>
  <c r="S7" i="7"/>
  <c r="T7" i="7"/>
  <c r="P14" i="7"/>
  <c r="Q14" i="7"/>
  <c r="R14" i="7"/>
  <c r="S14" i="7"/>
  <c r="T14" i="7"/>
  <c r="U14" i="7"/>
  <c r="P17" i="7"/>
  <c r="Q17" i="7"/>
  <c r="R17" i="7"/>
  <c r="S17" i="7"/>
  <c r="T17" i="7"/>
  <c r="U17" i="7"/>
  <c r="P25" i="7"/>
  <c r="Q25" i="7"/>
  <c r="R25" i="7"/>
  <c r="S25" i="7"/>
  <c r="T25" i="7"/>
  <c r="U25" i="7"/>
  <c r="P28" i="7"/>
  <c r="Q28" i="7"/>
  <c r="R28" i="7"/>
  <c r="S28" i="7"/>
  <c r="T28" i="7"/>
  <c r="U28" i="7"/>
  <c r="P34" i="7"/>
  <c r="Q34" i="7"/>
  <c r="R34" i="7"/>
  <c r="S34" i="7"/>
  <c r="T34" i="7"/>
  <c r="U34" i="7"/>
  <c r="P71" i="7"/>
  <c r="Q71" i="7"/>
  <c r="R71" i="7"/>
  <c r="S71" i="7"/>
  <c r="T71" i="7"/>
  <c r="U71" i="7"/>
  <c r="P100" i="7"/>
  <c r="Q100" i="7"/>
  <c r="R100" i="7"/>
  <c r="T100" i="7"/>
  <c r="U100" i="7"/>
  <c r="S100" i="7"/>
  <c r="H81" i="7"/>
  <c r="Y25" i="7"/>
  <c r="S35" i="7" l="1"/>
  <c r="T35" i="7"/>
  <c r="P35" i="7"/>
  <c r="P94" i="7" s="1"/>
  <c r="U35" i="7"/>
  <c r="Q35" i="7"/>
  <c r="Q94" i="7" s="1"/>
  <c r="U7" i="7"/>
  <c r="AJ87" i="7"/>
  <c r="R35" i="7"/>
  <c r="X81" i="7"/>
  <c r="AD81" i="7"/>
  <c r="X87" i="7"/>
  <c r="I81" i="7"/>
  <c r="U87" i="7"/>
  <c r="O87" i="7"/>
  <c r="R7" i="7"/>
  <c r="O81" i="7"/>
  <c r="AA81" i="7"/>
  <c r="R87" i="7"/>
  <c r="AJ81" i="7"/>
  <c r="AD87" i="7"/>
  <c r="T94" i="7"/>
  <c r="S94" i="7"/>
  <c r="Y21" i="8"/>
  <c r="Z21" i="8"/>
  <c r="AA21" i="8" l="1"/>
  <c r="G48" i="59"/>
  <c r="F48" i="59"/>
  <c r="E48" i="59"/>
  <c r="F15" i="59"/>
  <c r="G15" i="59" s="1"/>
  <c r="E15" i="59"/>
  <c r="F15" i="52"/>
  <c r="G13" i="52"/>
  <c r="G14" i="52"/>
  <c r="G13" i="59"/>
  <c r="D44" i="52"/>
  <c r="D45" i="52"/>
  <c r="D46" i="52"/>
  <c r="D47" i="52"/>
  <c r="D44" i="59"/>
  <c r="D45" i="59"/>
  <c r="D46" i="59"/>
  <c r="D47" i="59"/>
  <c r="G46" i="59"/>
  <c r="G47" i="59"/>
  <c r="G46" i="52"/>
  <c r="G47" i="52"/>
  <c r="I13" i="59"/>
  <c r="H13" i="59"/>
  <c r="D13" i="59"/>
  <c r="C15" i="59"/>
  <c r="B15" i="59"/>
  <c r="I13" i="52"/>
  <c r="H13" i="52"/>
  <c r="D13" i="52"/>
  <c r="C15" i="52"/>
  <c r="B15" i="52"/>
  <c r="D17" i="37"/>
  <c r="C17" i="37"/>
  <c r="C16" i="37"/>
  <c r="D15" i="37"/>
  <c r="C15" i="37"/>
  <c r="D14" i="37"/>
  <c r="C14" i="37"/>
  <c r="D13" i="37"/>
  <c r="C13" i="37"/>
  <c r="D12" i="37"/>
  <c r="C12" i="37"/>
  <c r="D11" i="37"/>
  <c r="C11" i="37"/>
  <c r="D18" i="37" l="1"/>
  <c r="C18" i="37"/>
  <c r="J13" i="52"/>
  <c r="J13" i="59"/>
  <c r="AI71" i="7"/>
  <c r="E71" i="7" s="1"/>
  <c r="H7" i="7"/>
  <c r="K7" i="7"/>
  <c r="L7" i="7" s="1"/>
  <c r="M7" i="7"/>
  <c r="N7" i="7"/>
  <c r="Y7" i="7"/>
  <c r="Z7" i="7"/>
  <c r="AA7" i="7" s="1"/>
  <c r="AB7" i="7"/>
  <c r="AC7" i="7"/>
  <c r="AH7" i="7"/>
  <c r="AI7" i="7"/>
  <c r="AJ7" i="7" s="1"/>
  <c r="J68" i="59"/>
  <c r="H68" i="59"/>
  <c r="J47" i="59"/>
  <c r="I47" i="59"/>
  <c r="H47" i="59"/>
  <c r="J46" i="59"/>
  <c r="I46" i="59"/>
  <c r="H46" i="59"/>
  <c r="J45" i="59"/>
  <c r="I45" i="59"/>
  <c r="H45" i="59"/>
  <c r="G45" i="59"/>
  <c r="J44" i="59"/>
  <c r="I44" i="59"/>
  <c r="H44" i="59"/>
  <c r="G44" i="59"/>
  <c r="I43" i="59"/>
  <c r="H43" i="59"/>
  <c r="G43" i="59"/>
  <c r="D43" i="59"/>
  <c r="I42" i="59"/>
  <c r="H42" i="59"/>
  <c r="G42" i="59"/>
  <c r="D42" i="59"/>
  <c r="I41" i="59"/>
  <c r="H41" i="59"/>
  <c r="G41" i="59"/>
  <c r="D41" i="59"/>
  <c r="I40" i="59"/>
  <c r="G40" i="59"/>
  <c r="F40" i="59"/>
  <c r="E40" i="59"/>
  <c r="H40" i="59" s="1"/>
  <c r="D40" i="59"/>
  <c r="H39" i="59"/>
  <c r="G39" i="59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J34" i="59" s="1"/>
  <c r="I33" i="59"/>
  <c r="H33" i="59"/>
  <c r="G33" i="59"/>
  <c r="D33" i="59"/>
  <c r="J33" i="59" s="1"/>
  <c r="I32" i="59"/>
  <c r="H32" i="59"/>
  <c r="G32" i="59"/>
  <c r="D32" i="59"/>
  <c r="J32" i="59" s="1"/>
  <c r="I31" i="59"/>
  <c r="H31" i="59"/>
  <c r="G31" i="59"/>
  <c r="D31" i="59"/>
  <c r="I30" i="59"/>
  <c r="G29" i="59"/>
  <c r="E29" i="59"/>
  <c r="C29" i="59"/>
  <c r="I29" i="59" s="1"/>
  <c r="B29" i="59"/>
  <c r="H29" i="59" s="1"/>
  <c r="I28" i="59"/>
  <c r="H28" i="59"/>
  <c r="G28" i="59"/>
  <c r="D28" i="59"/>
  <c r="I27" i="59"/>
  <c r="H27" i="59"/>
  <c r="G27" i="59"/>
  <c r="D27" i="59"/>
  <c r="I26" i="59"/>
  <c r="E26" i="59"/>
  <c r="E30" i="59" s="1"/>
  <c r="C26" i="59"/>
  <c r="B26" i="59"/>
  <c r="H26" i="59" s="1"/>
  <c r="I25" i="59"/>
  <c r="H25" i="59"/>
  <c r="G25" i="59"/>
  <c r="D25" i="59"/>
  <c r="I24" i="59"/>
  <c r="H24" i="59"/>
  <c r="G24" i="59"/>
  <c r="D24" i="59"/>
  <c r="G23" i="59"/>
  <c r="E23" i="59"/>
  <c r="C23" i="59"/>
  <c r="I23" i="59" s="1"/>
  <c r="B23" i="59"/>
  <c r="H23" i="59" s="1"/>
  <c r="I22" i="59"/>
  <c r="H22" i="59"/>
  <c r="G22" i="59"/>
  <c r="D22" i="59"/>
  <c r="I21" i="59"/>
  <c r="H21" i="59"/>
  <c r="G21" i="59"/>
  <c r="D21" i="59"/>
  <c r="I20" i="59"/>
  <c r="H20" i="59"/>
  <c r="G20" i="59"/>
  <c r="D20" i="59"/>
  <c r="J19" i="59"/>
  <c r="I19" i="59"/>
  <c r="H19" i="59"/>
  <c r="G19" i="59"/>
  <c r="E18" i="59"/>
  <c r="G18" i="59" s="1"/>
  <c r="C18" i="59"/>
  <c r="I18" i="59" s="1"/>
  <c r="B18" i="59"/>
  <c r="H18" i="59" s="1"/>
  <c r="I17" i="59"/>
  <c r="H17" i="59"/>
  <c r="G17" i="59"/>
  <c r="D17" i="59"/>
  <c r="J17" i="59" s="1"/>
  <c r="I16" i="59"/>
  <c r="H16" i="59"/>
  <c r="G16" i="59"/>
  <c r="D16" i="59"/>
  <c r="J16" i="59" s="1"/>
  <c r="C48" i="59"/>
  <c r="H15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D27" i="43"/>
  <c r="AD7" i="7" l="1"/>
  <c r="O7" i="7"/>
  <c r="I7" i="7"/>
  <c r="I48" i="59"/>
  <c r="J20" i="59"/>
  <c r="J21" i="59"/>
  <c r="J22" i="59"/>
  <c r="J24" i="59"/>
  <c r="J25" i="59"/>
  <c r="J27" i="59"/>
  <c r="J28" i="59"/>
  <c r="J41" i="59"/>
  <c r="J42" i="59"/>
  <c r="J12" i="59"/>
  <c r="J14" i="59"/>
  <c r="J40" i="59"/>
  <c r="J31" i="59"/>
  <c r="D26" i="59"/>
  <c r="G30" i="59"/>
  <c r="B30" i="59"/>
  <c r="D15" i="59"/>
  <c r="J15" i="59" s="1"/>
  <c r="I15" i="59"/>
  <c r="D23" i="59"/>
  <c r="J23" i="59" s="1"/>
  <c r="G26" i="59"/>
  <c r="J26" i="59" s="1"/>
  <c r="D29" i="59"/>
  <c r="J29" i="59" s="1"/>
  <c r="J43" i="59"/>
  <c r="D18" i="59"/>
  <c r="J18" i="59" s="1"/>
  <c r="B48" i="59" l="1"/>
  <c r="H48" i="59" s="1"/>
  <c r="D30" i="59"/>
  <c r="H30" i="59"/>
  <c r="J30" i="59" l="1"/>
  <c r="D48" i="59"/>
  <c r="J48" i="59" s="1"/>
  <c r="D42" i="52"/>
  <c r="D43" i="52"/>
  <c r="D41" i="52"/>
  <c r="F40" i="52"/>
  <c r="F48" i="52" s="1"/>
  <c r="E48" i="52"/>
  <c r="G32" i="52"/>
  <c r="G33" i="52"/>
  <c r="G34" i="52"/>
  <c r="G35" i="52"/>
  <c r="G36" i="52"/>
  <c r="G37" i="52"/>
  <c r="G38" i="52"/>
  <c r="G39" i="52"/>
  <c r="G31" i="52"/>
  <c r="D28" i="52"/>
  <c r="D27" i="52"/>
  <c r="C29" i="52"/>
  <c r="D25" i="52"/>
  <c r="D24" i="52"/>
  <c r="C26" i="52"/>
  <c r="C23" i="52"/>
  <c r="B23" i="52"/>
  <c r="D20" i="52"/>
  <c r="D21" i="52"/>
  <c r="D22" i="52"/>
  <c r="C18" i="52"/>
  <c r="B18" i="52"/>
  <c r="D17" i="52"/>
  <c r="D16" i="52"/>
  <c r="D15" i="52"/>
  <c r="D4" i="52"/>
  <c r="D5" i="52"/>
  <c r="D6" i="52"/>
  <c r="D7" i="52"/>
  <c r="D8" i="52"/>
  <c r="D9" i="52"/>
  <c r="D10" i="52"/>
  <c r="D11" i="52"/>
  <c r="D12" i="52"/>
  <c r="D14" i="52"/>
  <c r="D3" i="52"/>
  <c r="D20" i="45"/>
  <c r="C13" i="44"/>
  <c r="D13" i="44" l="1"/>
  <c r="D3" i="44"/>
  <c r="D4" i="44"/>
  <c r="D5" i="44"/>
  <c r="D6" i="44"/>
  <c r="D7" i="44"/>
  <c r="D10" i="44"/>
  <c r="D11" i="44"/>
  <c r="D12" i="44"/>
  <c r="C38" i="43"/>
  <c r="C39" i="43" s="1"/>
  <c r="B39" i="43"/>
  <c r="C36" i="43"/>
  <c r="B36" i="43"/>
  <c r="B41" i="43" s="1"/>
  <c r="D13" i="45"/>
  <c r="D12" i="45"/>
  <c r="D9" i="45"/>
  <c r="D10" i="45" s="1"/>
  <c r="C10" i="45"/>
  <c r="C7" i="45"/>
  <c r="D4" i="45"/>
  <c r="D5" i="45"/>
  <c r="D6" i="45"/>
  <c r="D7" i="45" l="1"/>
  <c r="C41" i="43"/>
  <c r="D38" i="43"/>
  <c r="D39" i="43" s="1"/>
  <c r="D35" i="43"/>
  <c r="D36" i="43" s="1"/>
  <c r="D25" i="43"/>
  <c r="D26" i="43"/>
  <c r="D24" i="43"/>
  <c r="D15" i="43"/>
  <c r="D6" i="43"/>
  <c r="D7" i="43"/>
  <c r="D8" i="43"/>
  <c r="D9" i="43"/>
  <c r="D10" i="43"/>
  <c r="D5" i="43"/>
  <c r="C25" i="44"/>
  <c r="D24" i="44"/>
  <c r="C21" i="44"/>
  <c r="D21" i="44" s="1"/>
  <c r="C20" i="44"/>
  <c r="D20" i="44" s="1"/>
  <c r="C22" i="44" l="1"/>
  <c r="C28" i="44" s="1"/>
  <c r="D25" i="44"/>
  <c r="D41" i="43"/>
  <c r="D13" i="43"/>
  <c r="D18" i="43" s="1"/>
  <c r="D22" i="44"/>
  <c r="D19" i="44"/>
  <c r="D16" i="44"/>
  <c r="D17" i="44" s="1"/>
  <c r="D28" i="44" l="1"/>
  <c r="E34" i="1"/>
  <c r="F30" i="1"/>
  <c r="F31" i="1"/>
  <c r="F32" i="1"/>
  <c r="F33" i="1"/>
  <c r="F29" i="1"/>
  <c r="E28" i="1"/>
  <c r="F27" i="1"/>
  <c r="F26" i="1"/>
  <c r="F28" i="1" s="1"/>
  <c r="F34" i="1" l="1"/>
  <c r="F19" i="1"/>
  <c r="F20" i="1"/>
  <c r="F21" i="1"/>
  <c r="F22" i="1"/>
  <c r="F23" i="1"/>
  <c r="F24" i="1"/>
  <c r="F18" i="1"/>
  <c r="E25" i="1"/>
  <c r="F16" i="1"/>
  <c r="F15" i="1"/>
  <c r="F17" i="1" s="1"/>
  <c r="E17" i="1"/>
  <c r="E14" i="1"/>
  <c r="F12" i="1"/>
  <c r="F13" i="1"/>
  <c r="F11" i="1"/>
  <c r="F9" i="1"/>
  <c r="E7" i="1"/>
  <c r="F6" i="1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AB71" i="7"/>
  <c r="C47" i="40"/>
  <c r="E9" i="40"/>
  <c r="D7" i="37"/>
  <c r="C7" i="37"/>
  <c r="I9" i="6"/>
  <c r="F14" i="1" l="1"/>
  <c r="AH71" i="7"/>
  <c r="AJ62" i="7"/>
  <c r="F62" i="7" s="1"/>
  <c r="E35" i="1"/>
  <c r="F25" i="1"/>
  <c r="F35" i="1" s="1"/>
  <c r="AJ71" i="7" l="1"/>
  <c r="F71" i="7" s="1"/>
  <c r="X5" i="5"/>
  <c r="X6" i="5"/>
  <c r="X7" i="5" s="1"/>
  <c r="W7" i="5"/>
  <c r="X9" i="5"/>
  <c r="X11" i="5"/>
  <c r="X12" i="5"/>
  <c r="X13" i="5"/>
  <c r="W14" i="5"/>
  <c r="X15" i="5"/>
  <c r="X16" i="5"/>
  <c r="W17" i="5"/>
  <c r="X17" i="5" s="1"/>
  <c r="X18" i="5"/>
  <c r="X19" i="5"/>
  <c r="X20" i="5"/>
  <c r="X21" i="5"/>
  <c r="X22" i="5"/>
  <c r="X23" i="5"/>
  <c r="X24" i="5"/>
  <c r="W25" i="5"/>
  <c r="X26" i="5"/>
  <c r="X27" i="5"/>
  <c r="W28" i="5"/>
  <c r="X28" i="5" s="1"/>
  <c r="X29" i="5"/>
  <c r="X30" i="5"/>
  <c r="X31" i="5"/>
  <c r="X32" i="5"/>
  <c r="X33" i="5"/>
  <c r="W34" i="5"/>
  <c r="X34" i="5" s="1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W52" i="5"/>
  <c r="X54" i="5"/>
  <c r="X55" i="5"/>
  <c r="X56" i="5"/>
  <c r="X57" i="5"/>
  <c r="W58" i="5"/>
  <c r="X58" i="5"/>
  <c r="X59" i="5"/>
  <c r="X60" i="5"/>
  <c r="X61" i="5"/>
  <c r="X62" i="5"/>
  <c r="W63" i="5"/>
  <c r="X63" i="5" s="1"/>
  <c r="AF7" i="5"/>
  <c r="AC7" i="5"/>
  <c r="Z7" i="5"/>
  <c r="Y7" i="5"/>
  <c r="T7" i="5"/>
  <c r="Q7" i="5"/>
  <c r="N7" i="5"/>
  <c r="K7" i="5"/>
  <c r="H7" i="5"/>
  <c r="N59" i="41"/>
  <c r="AC59" i="41"/>
  <c r="E59" i="41" s="1"/>
  <c r="W59" i="41"/>
  <c r="Q59" i="41"/>
  <c r="K59" i="41"/>
  <c r="H59" i="41"/>
  <c r="X52" i="5" l="1"/>
  <c r="X14" i="5"/>
  <c r="X25" i="5"/>
  <c r="W35" i="5"/>
  <c r="X35" i="5" s="1"/>
  <c r="H39" i="52"/>
  <c r="Q7" i="41"/>
  <c r="R7" i="41" s="1"/>
  <c r="W65" i="5" l="1"/>
  <c r="X65" i="5" s="1"/>
  <c r="I25" i="18" l="1"/>
  <c r="H13" i="18"/>
  <c r="H16" i="18"/>
  <c r="H17" i="18"/>
  <c r="D28" i="18"/>
  <c r="D27" i="18"/>
  <c r="E27" i="18"/>
  <c r="D25" i="18"/>
  <c r="D24" i="18"/>
  <c r="D26" i="18" l="1"/>
  <c r="J46" i="52"/>
  <c r="I46" i="52"/>
  <c r="H46" i="52"/>
  <c r="H47" i="52"/>
  <c r="C48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4" i="52"/>
  <c r="I14" i="52"/>
  <c r="I15" i="52"/>
  <c r="H16" i="52"/>
  <c r="I16" i="52"/>
  <c r="H17" i="52"/>
  <c r="I17" i="52"/>
  <c r="I18" i="52"/>
  <c r="H19" i="52"/>
  <c r="I19" i="52"/>
  <c r="H20" i="52"/>
  <c r="I20" i="52"/>
  <c r="H21" i="52"/>
  <c r="I21" i="52"/>
  <c r="H22" i="52"/>
  <c r="I22" i="52"/>
  <c r="I23" i="52"/>
  <c r="H24" i="52"/>
  <c r="I24" i="52"/>
  <c r="H25" i="52"/>
  <c r="I25" i="52"/>
  <c r="I26" i="52"/>
  <c r="H27" i="52"/>
  <c r="I27" i="52"/>
  <c r="H28" i="52"/>
  <c r="I28" i="52"/>
  <c r="I29" i="52"/>
  <c r="I30" i="52"/>
  <c r="H31" i="52"/>
  <c r="I31" i="52"/>
  <c r="J31" i="52"/>
  <c r="H32" i="52"/>
  <c r="I32" i="52"/>
  <c r="H33" i="52"/>
  <c r="I33" i="52"/>
  <c r="H34" i="52"/>
  <c r="I34" i="52"/>
  <c r="H35" i="52"/>
  <c r="I35" i="52"/>
  <c r="J35" i="52"/>
  <c r="H36" i="52"/>
  <c r="I36" i="52"/>
  <c r="H37" i="52"/>
  <c r="I37" i="52"/>
  <c r="H38" i="52"/>
  <c r="I38" i="52"/>
  <c r="I40" i="52"/>
  <c r="H41" i="52"/>
  <c r="I41" i="52"/>
  <c r="H42" i="52"/>
  <c r="I42" i="52"/>
  <c r="H43" i="52"/>
  <c r="I43" i="52"/>
  <c r="H44" i="52"/>
  <c r="I44" i="52"/>
  <c r="H45" i="52"/>
  <c r="I45" i="52"/>
  <c r="J45" i="52"/>
  <c r="I47" i="52"/>
  <c r="I3" i="52"/>
  <c r="J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4" i="52"/>
  <c r="G15" i="52"/>
  <c r="G16" i="52"/>
  <c r="J16" i="52" s="1"/>
  <c r="G17" i="52"/>
  <c r="J17" i="52" s="1"/>
  <c r="G18" i="52"/>
  <c r="G19" i="52"/>
  <c r="G20" i="52"/>
  <c r="J20" i="52" s="1"/>
  <c r="G21" i="52"/>
  <c r="J21" i="52" s="1"/>
  <c r="G22" i="52"/>
  <c r="J22" i="52" s="1"/>
  <c r="G23" i="52"/>
  <c r="G24" i="52"/>
  <c r="J24" i="52" s="1"/>
  <c r="G25" i="52"/>
  <c r="J25" i="52" s="1"/>
  <c r="G26" i="52"/>
  <c r="G27" i="52"/>
  <c r="J27" i="52" s="1"/>
  <c r="G28" i="52"/>
  <c r="J28" i="52" s="1"/>
  <c r="G29" i="52"/>
  <c r="G30" i="52"/>
  <c r="G41" i="52"/>
  <c r="J41" i="52" s="1"/>
  <c r="G42" i="52"/>
  <c r="J42" i="52" s="1"/>
  <c r="G43" i="52"/>
  <c r="J43" i="52" s="1"/>
  <c r="G44" i="52"/>
  <c r="J44" i="52" s="1"/>
  <c r="G45" i="52"/>
  <c r="G3" i="52"/>
  <c r="J19" i="52"/>
  <c r="D31" i="52"/>
  <c r="D32" i="52"/>
  <c r="J32" i="52" s="1"/>
  <c r="D33" i="52"/>
  <c r="J33" i="52" s="1"/>
  <c r="D34" i="52"/>
  <c r="J34" i="52" s="1"/>
  <c r="D35" i="52"/>
  <c r="D36" i="52"/>
  <c r="J36" i="52" s="1"/>
  <c r="D37" i="52"/>
  <c r="J37" i="52" s="1"/>
  <c r="D38" i="52"/>
  <c r="J38" i="52" s="1"/>
  <c r="D40" i="52"/>
  <c r="E29" i="52"/>
  <c r="E26" i="52"/>
  <c r="E23" i="52"/>
  <c r="E18" i="52"/>
  <c r="B29" i="52"/>
  <c r="D29" i="52" s="1"/>
  <c r="J29" i="52" s="1"/>
  <c r="B26" i="52"/>
  <c r="H26" i="52" s="1"/>
  <c r="D23" i="52"/>
  <c r="J23" i="52" s="1"/>
  <c r="H18" i="52"/>
  <c r="D8" i="45"/>
  <c r="D11" i="45"/>
  <c r="D14" i="45"/>
  <c r="D18" i="45"/>
  <c r="D19" i="45"/>
  <c r="D21" i="45" s="1"/>
  <c r="D24" i="17"/>
  <c r="E24" i="17"/>
  <c r="B20" i="30" s="1"/>
  <c r="C24" i="17"/>
  <c r="N20" i="30" l="1"/>
  <c r="J20" i="30"/>
  <c r="L20" i="30"/>
  <c r="G20" i="30"/>
  <c r="H20" i="30"/>
  <c r="K20" i="30"/>
  <c r="M20" i="30"/>
  <c r="C20" i="30"/>
  <c r="O20" i="30" s="1"/>
  <c r="I20" i="30"/>
  <c r="D20" i="30"/>
  <c r="F20" i="30"/>
  <c r="E20" i="30"/>
  <c r="J15" i="52"/>
  <c r="I48" i="52"/>
  <c r="H29" i="52"/>
  <c r="D26" i="52"/>
  <c r="J26" i="52" s="1"/>
  <c r="H40" i="52"/>
  <c r="G40" i="52"/>
  <c r="J40" i="52" s="1"/>
  <c r="H23" i="52"/>
  <c r="D18" i="52"/>
  <c r="J18" i="52" s="1"/>
  <c r="B30" i="52"/>
  <c r="B48" i="52" s="1"/>
  <c r="H48" i="52" s="1"/>
  <c r="H15" i="52"/>
  <c r="J47" i="52"/>
  <c r="E30" i="52"/>
  <c r="G48" i="52" l="1"/>
  <c r="H30" i="52"/>
  <c r="D30" i="52"/>
  <c r="F77" i="58"/>
  <c r="E77" i="58"/>
  <c r="D77" i="58"/>
  <c r="F73" i="58"/>
  <c r="E40" i="17" s="1"/>
  <c r="B35" i="30" s="1"/>
  <c r="D73" i="58"/>
  <c r="C40" i="17" s="1"/>
  <c r="E71" i="58"/>
  <c r="F71" i="58"/>
  <c r="D71" i="58"/>
  <c r="D65" i="58"/>
  <c r="E47" i="58"/>
  <c r="D47" i="58"/>
  <c r="AH100" i="7" s="1"/>
  <c r="E45" i="58"/>
  <c r="D45" i="58"/>
  <c r="F44" i="58"/>
  <c r="E44" i="58"/>
  <c r="D44" i="58"/>
  <c r="E43" i="58"/>
  <c r="E41" i="58"/>
  <c r="F40" i="58"/>
  <c r="E40" i="58"/>
  <c r="D40" i="58"/>
  <c r="E39" i="58"/>
  <c r="C39" i="58"/>
  <c r="E38" i="58"/>
  <c r="D38" i="58"/>
  <c r="F37" i="58"/>
  <c r="E37" i="58"/>
  <c r="D37" i="58"/>
  <c r="E35" i="58"/>
  <c r="D35" i="58"/>
  <c r="E34" i="58"/>
  <c r="D34" i="58"/>
  <c r="E33" i="58"/>
  <c r="D33" i="58"/>
  <c r="E32" i="58"/>
  <c r="D32" i="58"/>
  <c r="E31" i="58"/>
  <c r="D31" i="58"/>
  <c r="E30" i="58"/>
  <c r="D30" i="58"/>
  <c r="D29" i="58"/>
  <c r="E29" i="58"/>
  <c r="E28" i="58"/>
  <c r="D28" i="58"/>
  <c r="E27" i="58"/>
  <c r="E26" i="58"/>
  <c r="D26" i="58"/>
  <c r="E25" i="58"/>
  <c r="D25" i="58"/>
  <c r="E24" i="58"/>
  <c r="D24" i="58"/>
  <c r="E23" i="58"/>
  <c r="D23" i="58"/>
  <c r="E22" i="58"/>
  <c r="D22" i="58"/>
  <c r="E21" i="58"/>
  <c r="D21" i="58"/>
  <c r="E20" i="58"/>
  <c r="D20" i="58"/>
  <c r="E19" i="58"/>
  <c r="D19" i="58"/>
  <c r="E18" i="58"/>
  <c r="D18" i="58"/>
  <c r="E17" i="58"/>
  <c r="D17" i="58"/>
  <c r="E16" i="58"/>
  <c r="E15" i="58"/>
  <c r="F14" i="58"/>
  <c r="E14" i="58"/>
  <c r="D14" i="58"/>
  <c r="E13" i="58"/>
  <c r="D13" i="58"/>
  <c r="E12" i="58"/>
  <c r="D12" i="58"/>
  <c r="E11" i="58"/>
  <c r="D11" i="58"/>
  <c r="E10" i="58"/>
  <c r="D10" i="58"/>
  <c r="E9" i="58"/>
  <c r="D9" i="58"/>
  <c r="E8" i="58"/>
  <c r="D8" i="58"/>
  <c r="E7" i="58"/>
  <c r="D7" i="58"/>
  <c r="E6" i="58"/>
  <c r="D6" i="58"/>
  <c r="E5" i="58"/>
  <c r="D5" i="58"/>
  <c r="E4" i="58"/>
  <c r="AI99" i="7" l="1"/>
  <c r="E99" i="7" s="1"/>
  <c r="E73" i="58"/>
  <c r="F6" i="58"/>
  <c r="F10" i="58"/>
  <c r="F11" i="58"/>
  <c r="F12" i="58"/>
  <c r="F13" i="58"/>
  <c r="F18" i="58"/>
  <c r="F17" i="58"/>
  <c r="F21" i="58"/>
  <c r="F25" i="58"/>
  <c r="F28" i="58"/>
  <c r="F22" i="58"/>
  <c r="F26" i="58"/>
  <c r="F38" i="58"/>
  <c r="E46" i="58"/>
  <c r="D23" i="17" s="1"/>
  <c r="D11" i="18" s="1"/>
  <c r="D10" i="18" s="1"/>
  <c r="F33" i="58"/>
  <c r="F47" i="58"/>
  <c r="E48" i="58"/>
  <c r="D39" i="58"/>
  <c r="F30" i="58"/>
  <c r="F31" i="58"/>
  <c r="F35" i="58"/>
  <c r="E36" i="58"/>
  <c r="F32" i="58"/>
  <c r="F34" i="58"/>
  <c r="E42" i="58"/>
  <c r="J30" i="52"/>
  <c r="D48" i="52"/>
  <c r="J48" i="52" s="1"/>
  <c r="F45" i="58"/>
  <c r="D4" i="58"/>
  <c r="F5" i="58"/>
  <c r="F7" i="58"/>
  <c r="F8" i="58"/>
  <c r="F9" i="58"/>
  <c r="F19" i="58"/>
  <c r="F23" i="58"/>
  <c r="F16" i="58"/>
  <c r="F20" i="58"/>
  <c r="F24" i="58"/>
  <c r="F43" i="58"/>
  <c r="F4" i="58"/>
  <c r="F27" i="58"/>
  <c r="D27" i="58"/>
  <c r="D16" i="58"/>
  <c r="F39" i="58"/>
  <c r="D41" i="58"/>
  <c r="D43" i="58"/>
  <c r="AI100" i="7" l="1"/>
  <c r="E100" i="7" s="1"/>
  <c r="W9" i="57"/>
  <c r="F36" i="58"/>
  <c r="E49" i="58"/>
  <c r="D46" i="58"/>
  <c r="C23" i="17" s="1"/>
  <c r="C11" i="18" s="1"/>
  <c r="F41" i="58"/>
  <c r="D36" i="58"/>
  <c r="F46" i="58"/>
  <c r="E23" i="17" s="1"/>
  <c r="B19" i="30" s="1"/>
  <c r="F29" i="58"/>
  <c r="D15" i="58"/>
  <c r="F15" i="58"/>
  <c r="K19" i="30" l="1"/>
  <c r="K21" i="30" s="1"/>
  <c r="K22" i="30" s="1"/>
  <c r="L19" i="30"/>
  <c r="L21" i="30" s="1"/>
  <c r="L22" i="30" s="1"/>
  <c r="H19" i="30"/>
  <c r="H21" i="30" s="1"/>
  <c r="H22" i="30" s="1"/>
  <c r="I19" i="30"/>
  <c r="I21" i="30" s="1"/>
  <c r="I22" i="30" s="1"/>
  <c r="G19" i="30"/>
  <c r="G21" i="30" s="1"/>
  <c r="G22" i="30" s="1"/>
  <c r="F19" i="30"/>
  <c r="F21" i="30" s="1"/>
  <c r="F22" i="30" s="1"/>
  <c r="B21" i="30"/>
  <c r="B22" i="30" s="1"/>
  <c r="N19" i="30"/>
  <c r="N21" i="30" s="1"/>
  <c r="N22" i="30" s="1"/>
  <c r="D19" i="30"/>
  <c r="D21" i="30" s="1"/>
  <c r="D22" i="30" s="1"/>
  <c r="M19" i="30"/>
  <c r="M21" i="30" s="1"/>
  <c r="M22" i="30" s="1"/>
  <c r="J19" i="30"/>
  <c r="J21" i="30" s="1"/>
  <c r="J22" i="30" s="1"/>
  <c r="E19" i="30"/>
  <c r="E21" i="30" s="1"/>
  <c r="E22" i="30" s="1"/>
  <c r="C19" i="30"/>
  <c r="E11" i="18"/>
  <c r="E10" i="18" s="1"/>
  <c r="F42" i="58"/>
  <c r="D48" i="58"/>
  <c r="F48" i="58"/>
  <c r="D42" i="58"/>
  <c r="O19" i="30" l="1"/>
  <c r="O21" i="30" s="1"/>
  <c r="O22" i="30" s="1"/>
  <c r="C21" i="30"/>
  <c r="C22" i="30" s="1"/>
  <c r="D49" i="58"/>
  <c r="F49" i="58"/>
  <c r="D37" i="7" l="1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G12" i="18"/>
  <c r="H12" i="18"/>
  <c r="G11" i="18"/>
  <c r="H11" i="18"/>
  <c r="D88" i="7"/>
  <c r="E88" i="7"/>
  <c r="D89" i="7"/>
  <c r="E89" i="7"/>
  <c r="D90" i="7"/>
  <c r="E90" i="7"/>
  <c r="D91" i="7"/>
  <c r="E91" i="7"/>
  <c r="D92" i="7"/>
  <c r="E92" i="7"/>
  <c r="D12" i="9" l="1"/>
  <c r="D6" i="17" s="1"/>
  <c r="Z7" i="8"/>
  <c r="W7" i="7"/>
  <c r="E7" i="7" s="1"/>
  <c r="Z4" i="8"/>
  <c r="Y4" i="8"/>
  <c r="Z3" i="8"/>
  <c r="E65" i="58"/>
  <c r="E66" i="58" l="1"/>
  <c r="E67" i="58"/>
  <c r="D67" i="58" l="1"/>
  <c r="D66" i="58"/>
  <c r="E25" i="8" l="1"/>
  <c r="F25" i="8"/>
  <c r="D22" i="17"/>
  <c r="D21" i="17"/>
  <c r="D18" i="17"/>
  <c r="D17" i="17"/>
  <c r="D12" i="17"/>
  <c r="D9" i="17"/>
  <c r="D11" i="9"/>
  <c r="E11" i="9"/>
  <c r="E5" i="17" s="1"/>
  <c r="B4" i="30" s="1"/>
  <c r="D43" i="9"/>
  <c r="D10" i="17" s="1"/>
  <c r="D52" i="9"/>
  <c r="D11" i="17" s="1"/>
  <c r="D69" i="9"/>
  <c r="D14" i="17" s="1"/>
  <c r="D7" i="18" s="1"/>
  <c r="E69" i="9"/>
  <c r="E14" i="17" s="1"/>
  <c r="B12" i="30" s="1"/>
  <c r="D65" i="9"/>
  <c r="D13" i="17" s="1"/>
  <c r="D6" i="18" s="1"/>
  <c r="AJ6" i="7"/>
  <c r="AJ9" i="7"/>
  <c r="AJ11" i="7"/>
  <c r="AJ12" i="7"/>
  <c r="AJ13" i="7"/>
  <c r="AJ15" i="7"/>
  <c r="AJ16" i="7"/>
  <c r="AJ18" i="7"/>
  <c r="AJ19" i="7"/>
  <c r="AJ20" i="7"/>
  <c r="AJ21" i="7"/>
  <c r="AJ22" i="7"/>
  <c r="AJ23" i="7"/>
  <c r="AJ24" i="7"/>
  <c r="AJ26" i="7"/>
  <c r="AJ27" i="7"/>
  <c r="AJ29" i="7"/>
  <c r="AJ30" i="7"/>
  <c r="AJ31" i="7"/>
  <c r="AJ32" i="7"/>
  <c r="AJ33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61" i="7"/>
  <c r="AJ63" i="7"/>
  <c r="AJ64" i="7"/>
  <c r="AJ65" i="7"/>
  <c r="AJ66" i="7"/>
  <c r="AJ67" i="7"/>
  <c r="AJ69" i="7"/>
  <c r="F69" i="7" s="1"/>
  <c r="AJ70" i="7"/>
  <c r="AJ73" i="7"/>
  <c r="AJ74" i="7"/>
  <c r="AJ75" i="7"/>
  <c r="AJ76" i="7"/>
  <c r="AJ77" i="7"/>
  <c r="AJ78" i="7"/>
  <c r="AJ79" i="7"/>
  <c r="AJ80" i="7"/>
  <c r="AJ82" i="7"/>
  <c r="AJ83" i="7"/>
  <c r="AJ84" i="7"/>
  <c r="AJ85" i="7"/>
  <c r="AJ86" i="7"/>
  <c r="AJ88" i="7"/>
  <c r="AJ89" i="7"/>
  <c r="AJ90" i="7"/>
  <c r="AJ91" i="7"/>
  <c r="AJ92" i="7"/>
  <c r="AJ93" i="7"/>
  <c r="AJ97" i="7"/>
  <c r="AJ98" i="7"/>
  <c r="AJ99" i="7"/>
  <c r="F99" i="7" s="1"/>
  <c r="AJ5" i="7"/>
  <c r="AD6" i="7"/>
  <c r="AD9" i="7"/>
  <c r="AD11" i="7"/>
  <c r="AD12" i="7"/>
  <c r="AD13" i="7"/>
  <c r="AD15" i="7"/>
  <c r="AD16" i="7"/>
  <c r="AD18" i="7"/>
  <c r="AD19" i="7"/>
  <c r="AD20" i="7"/>
  <c r="AD21" i="7"/>
  <c r="AD22" i="7"/>
  <c r="AD23" i="7"/>
  <c r="AD24" i="7"/>
  <c r="AD26" i="7"/>
  <c r="AD27" i="7"/>
  <c r="AD29" i="7"/>
  <c r="AD30" i="7"/>
  <c r="AD31" i="7"/>
  <c r="AD32" i="7"/>
  <c r="AD33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9" i="7"/>
  <c r="AD70" i="7"/>
  <c r="AD71" i="7"/>
  <c r="AD73" i="7"/>
  <c r="AD74" i="7"/>
  <c r="AD75" i="7"/>
  <c r="AD76" i="7"/>
  <c r="AD77" i="7"/>
  <c r="AD78" i="7"/>
  <c r="AD79" i="7"/>
  <c r="AD80" i="7"/>
  <c r="AD82" i="7"/>
  <c r="AD83" i="7"/>
  <c r="AD84" i="7"/>
  <c r="AD85" i="7"/>
  <c r="AD86" i="7"/>
  <c r="AD88" i="7"/>
  <c r="AD89" i="7"/>
  <c r="AD90" i="7"/>
  <c r="AD91" i="7"/>
  <c r="AD92" i="7"/>
  <c r="AD93" i="7"/>
  <c r="AD96" i="7"/>
  <c r="AD97" i="7"/>
  <c r="AD98" i="7"/>
  <c r="AD99" i="7"/>
  <c r="AD100" i="7"/>
  <c r="AD5" i="7"/>
  <c r="AA6" i="7"/>
  <c r="AA9" i="7"/>
  <c r="AA11" i="7"/>
  <c r="AA12" i="7"/>
  <c r="AA13" i="7"/>
  <c r="AA15" i="7"/>
  <c r="AA16" i="7"/>
  <c r="AA18" i="7"/>
  <c r="AA19" i="7"/>
  <c r="AA20" i="7"/>
  <c r="AA21" i="7"/>
  <c r="AA22" i="7"/>
  <c r="AA23" i="7"/>
  <c r="AA24" i="7"/>
  <c r="AA26" i="7"/>
  <c r="AA27" i="7"/>
  <c r="AA29" i="7"/>
  <c r="AA30" i="7"/>
  <c r="AA31" i="7"/>
  <c r="AA32" i="7"/>
  <c r="AA33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9" i="7"/>
  <c r="AA70" i="7"/>
  <c r="AA73" i="7"/>
  <c r="AA74" i="7"/>
  <c r="AA75" i="7"/>
  <c r="AA76" i="7"/>
  <c r="AA77" i="7"/>
  <c r="AA78" i="7"/>
  <c r="AA79" i="7"/>
  <c r="AA80" i="7"/>
  <c r="AA82" i="7"/>
  <c r="AA83" i="7"/>
  <c r="AA84" i="7"/>
  <c r="AA85" i="7"/>
  <c r="AA86" i="7"/>
  <c r="AA88" i="7"/>
  <c r="AA89" i="7"/>
  <c r="AA90" i="7"/>
  <c r="AA91" i="7"/>
  <c r="AA92" i="7"/>
  <c r="AA93" i="7"/>
  <c r="AA96" i="7"/>
  <c r="AA97" i="7"/>
  <c r="AA98" i="7"/>
  <c r="AA99" i="7"/>
  <c r="AA5" i="7"/>
  <c r="X6" i="7"/>
  <c r="X9" i="7"/>
  <c r="F9" i="7" s="1"/>
  <c r="X11" i="7"/>
  <c r="X12" i="7"/>
  <c r="X13" i="7"/>
  <c r="X15" i="7"/>
  <c r="X16" i="7"/>
  <c r="X18" i="7"/>
  <c r="X19" i="7"/>
  <c r="X20" i="7"/>
  <c r="X21" i="7"/>
  <c r="X22" i="7"/>
  <c r="X23" i="7"/>
  <c r="X24" i="7"/>
  <c r="X26" i="7"/>
  <c r="X27" i="7"/>
  <c r="X29" i="7"/>
  <c r="X30" i="7"/>
  <c r="X31" i="7"/>
  <c r="X32" i="7"/>
  <c r="X33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9" i="7"/>
  <c r="X70" i="7"/>
  <c r="X73" i="7"/>
  <c r="X74" i="7"/>
  <c r="X75" i="7"/>
  <c r="X76" i="7"/>
  <c r="X77" i="7"/>
  <c r="X78" i="7"/>
  <c r="X79" i="7"/>
  <c r="X80" i="7"/>
  <c r="X82" i="7"/>
  <c r="X83" i="7"/>
  <c r="X84" i="7"/>
  <c r="X85" i="7"/>
  <c r="X86" i="7"/>
  <c r="X88" i="7"/>
  <c r="X89" i="7"/>
  <c r="X90" i="7"/>
  <c r="X91" i="7"/>
  <c r="X92" i="7"/>
  <c r="X93" i="7"/>
  <c r="X97" i="7"/>
  <c r="X98" i="7"/>
  <c r="X99" i="7"/>
  <c r="X5" i="7"/>
  <c r="F5" i="7" s="1"/>
  <c r="O6" i="7"/>
  <c r="O9" i="7"/>
  <c r="O11" i="7"/>
  <c r="O12" i="7"/>
  <c r="O13" i="7"/>
  <c r="O15" i="7"/>
  <c r="O16" i="7"/>
  <c r="O18" i="7"/>
  <c r="O19" i="7"/>
  <c r="O20" i="7"/>
  <c r="O21" i="7"/>
  <c r="O22" i="7"/>
  <c r="O23" i="7"/>
  <c r="O24" i="7"/>
  <c r="O26" i="7"/>
  <c r="O27" i="7"/>
  <c r="O29" i="7"/>
  <c r="O30" i="7"/>
  <c r="O31" i="7"/>
  <c r="O32" i="7"/>
  <c r="O33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9" i="7"/>
  <c r="O70" i="7"/>
  <c r="O71" i="7"/>
  <c r="O73" i="7"/>
  <c r="O74" i="7"/>
  <c r="O75" i="7"/>
  <c r="O76" i="7"/>
  <c r="O77" i="7"/>
  <c r="O78" i="7"/>
  <c r="O79" i="7"/>
  <c r="O80" i="7"/>
  <c r="O82" i="7"/>
  <c r="O83" i="7"/>
  <c r="O84" i="7"/>
  <c r="O85" i="7"/>
  <c r="O86" i="7"/>
  <c r="O88" i="7"/>
  <c r="O89" i="7"/>
  <c r="O90" i="7"/>
  <c r="O91" i="7"/>
  <c r="O92" i="7"/>
  <c r="O93" i="7"/>
  <c r="O96" i="7"/>
  <c r="O97" i="7"/>
  <c r="O98" i="7"/>
  <c r="O99" i="7"/>
  <c r="O100" i="7"/>
  <c r="O5" i="7"/>
  <c r="L6" i="7"/>
  <c r="L9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6" i="7"/>
  <c r="L27" i="7"/>
  <c r="L28" i="7"/>
  <c r="L29" i="7"/>
  <c r="L30" i="7"/>
  <c r="L31" i="7"/>
  <c r="L32" i="7"/>
  <c r="L33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9" i="7"/>
  <c r="L70" i="7"/>
  <c r="L71" i="7"/>
  <c r="L73" i="7"/>
  <c r="L74" i="7"/>
  <c r="L75" i="7"/>
  <c r="L76" i="7"/>
  <c r="L77" i="7"/>
  <c r="L78" i="7"/>
  <c r="L79" i="7"/>
  <c r="L80" i="7"/>
  <c r="L82" i="7"/>
  <c r="L83" i="7"/>
  <c r="L84" i="7"/>
  <c r="L85" i="7"/>
  <c r="L86" i="7"/>
  <c r="L88" i="7"/>
  <c r="L89" i="7"/>
  <c r="L90" i="7"/>
  <c r="L91" i="7"/>
  <c r="L92" i="7"/>
  <c r="L93" i="7"/>
  <c r="L96" i="7"/>
  <c r="L97" i="7"/>
  <c r="L98" i="7"/>
  <c r="L99" i="7"/>
  <c r="L100" i="7"/>
  <c r="L5" i="7"/>
  <c r="I6" i="7"/>
  <c r="I9" i="7"/>
  <c r="I11" i="7"/>
  <c r="I12" i="7"/>
  <c r="I13" i="7"/>
  <c r="I15" i="7"/>
  <c r="I16" i="7"/>
  <c r="I18" i="7"/>
  <c r="I19" i="7"/>
  <c r="I20" i="7"/>
  <c r="I21" i="7"/>
  <c r="I22" i="7"/>
  <c r="I23" i="7"/>
  <c r="I24" i="7"/>
  <c r="I26" i="7"/>
  <c r="I27" i="7"/>
  <c r="I29" i="7"/>
  <c r="I30" i="7"/>
  <c r="I31" i="7"/>
  <c r="I32" i="7"/>
  <c r="I33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9" i="7"/>
  <c r="I70" i="7"/>
  <c r="I73" i="7"/>
  <c r="I74" i="7"/>
  <c r="I75" i="7"/>
  <c r="I76" i="7"/>
  <c r="I77" i="7"/>
  <c r="I78" i="7"/>
  <c r="I79" i="7"/>
  <c r="I80" i="7"/>
  <c r="I82" i="7"/>
  <c r="I83" i="7"/>
  <c r="I84" i="7"/>
  <c r="I85" i="7"/>
  <c r="I86" i="7"/>
  <c r="I88" i="7"/>
  <c r="I89" i="7"/>
  <c r="I90" i="7"/>
  <c r="I91" i="7"/>
  <c r="I92" i="7"/>
  <c r="I96" i="7"/>
  <c r="I97" i="7"/>
  <c r="I98" i="7"/>
  <c r="I99" i="7"/>
  <c r="I100" i="7"/>
  <c r="I5" i="7"/>
  <c r="H5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6" i="40"/>
  <c r="H27" i="40"/>
  <c r="H47" i="40" s="1"/>
  <c r="H28" i="40"/>
  <c r="H30" i="40"/>
  <c r="H31" i="40"/>
  <c r="H37" i="40"/>
  <c r="H38" i="40"/>
  <c r="H39" i="40"/>
  <c r="N39" i="40" s="1"/>
  <c r="H40" i="40"/>
  <c r="H41" i="40"/>
  <c r="H42" i="40"/>
  <c r="H43" i="40"/>
  <c r="H44" i="40"/>
  <c r="H45" i="40"/>
  <c r="H46" i="40"/>
  <c r="H4" i="40"/>
  <c r="D10" i="40"/>
  <c r="D47" i="40" s="1"/>
  <c r="E12" i="37"/>
  <c r="E13" i="37"/>
  <c r="E14" i="37"/>
  <c r="E15" i="37"/>
  <c r="E16" i="37"/>
  <c r="E17" i="37"/>
  <c r="E11" i="37"/>
  <c r="E5" i="37"/>
  <c r="E6" i="37"/>
  <c r="E7" i="37" s="1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F23" i="6" s="1"/>
  <c r="O24" i="6"/>
  <c r="O18" i="6"/>
  <c r="O16" i="6"/>
  <c r="O15" i="6"/>
  <c r="O12" i="6"/>
  <c r="O13" i="6"/>
  <c r="O11" i="6"/>
  <c r="L38" i="6"/>
  <c r="L39" i="6"/>
  <c r="L40" i="6"/>
  <c r="L41" i="6"/>
  <c r="L42" i="6"/>
  <c r="L43" i="6"/>
  <c r="L44" i="6"/>
  <c r="L37" i="6"/>
  <c r="L30" i="6"/>
  <c r="L31" i="6"/>
  <c r="L32" i="6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I39" i="6"/>
  <c r="F39" i="6" s="1"/>
  <c r="I40" i="6"/>
  <c r="I41" i="6"/>
  <c r="I42" i="6"/>
  <c r="I43" i="6"/>
  <c r="F43" i="6" s="1"/>
  <c r="I44" i="6"/>
  <c r="I37" i="6"/>
  <c r="I30" i="6"/>
  <c r="I31" i="6"/>
  <c r="F31" i="6" s="1"/>
  <c r="I32" i="6"/>
  <c r="I33" i="6"/>
  <c r="I29" i="6"/>
  <c r="I27" i="6"/>
  <c r="I26" i="6"/>
  <c r="I19" i="6"/>
  <c r="I20" i="6"/>
  <c r="I21" i="6"/>
  <c r="F21" i="6" s="1"/>
  <c r="I22" i="6"/>
  <c r="I23" i="6"/>
  <c r="I24" i="6"/>
  <c r="I18" i="6"/>
  <c r="F18" i="6" s="1"/>
  <c r="I16" i="6"/>
  <c r="I15" i="6"/>
  <c r="I12" i="6"/>
  <c r="I13" i="6"/>
  <c r="F13" i="6" s="1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D40" i="6"/>
  <c r="E40" i="6"/>
  <c r="F40" i="6"/>
  <c r="D41" i="6"/>
  <c r="E41" i="6"/>
  <c r="D42" i="6"/>
  <c r="E42" i="6"/>
  <c r="D43" i="6"/>
  <c r="E43" i="6"/>
  <c r="D44" i="6"/>
  <c r="E44" i="6"/>
  <c r="F44" i="6"/>
  <c r="E37" i="6"/>
  <c r="F37" i="6"/>
  <c r="D30" i="6"/>
  <c r="E30" i="6"/>
  <c r="D31" i="6"/>
  <c r="E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D22" i="6"/>
  <c r="E22" i="6"/>
  <c r="D23" i="6"/>
  <c r="E23" i="6"/>
  <c r="D24" i="6"/>
  <c r="E24" i="6"/>
  <c r="E18" i="6"/>
  <c r="D16" i="6"/>
  <c r="E16" i="6"/>
  <c r="E15" i="6"/>
  <c r="D12" i="6"/>
  <c r="E12" i="6"/>
  <c r="D13" i="6"/>
  <c r="E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AA24" i="5"/>
  <c r="AA26" i="5"/>
  <c r="AA27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R56" i="5"/>
  <c r="R57" i="5"/>
  <c r="R59" i="5"/>
  <c r="R60" i="5"/>
  <c r="R61" i="5"/>
  <c r="R62" i="5"/>
  <c r="R5" i="5"/>
  <c r="O6" i="5"/>
  <c r="O7" i="5"/>
  <c r="O9" i="5"/>
  <c r="O11" i="5"/>
  <c r="O12" i="5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I9" i="5"/>
  <c r="I11" i="5"/>
  <c r="I12" i="5"/>
  <c r="I13" i="5"/>
  <c r="I15" i="5"/>
  <c r="I16" i="5"/>
  <c r="I18" i="5"/>
  <c r="I19" i="5"/>
  <c r="I20" i="5"/>
  <c r="I21" i="5"/>
  <c r="I22" i="5"/>
  <c r="I23" i="5"/>
  <c r="I24" i="5"/>
  <c r="I26" i="5"/>
  <c r="I27" i="5"/>
  <c r="I29" i="5"/>
  <c r="I30" i="5"/>
  <c r="I31" i="5"/>
  <c r="I32" i="5"/>
  <c r="I33" i="5"/>
  <c r="I37" i="5"/>
  <c r="F37" i="5" s="1"/>
  <c r="I38" i="5"/>
  <c r="I39" i="5"/>
  <c r="I40" i="5"/>
  <c r="F40" i="5" s="1"/>
  <c r="I41" i="5"/>
  <c r="F41" i="5" s="1"/>
  <c r="I42" i="5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9" i="5"/>
  <c r="I60" i="5"/>
  <c r="F60" i="5" s="1"/>
  <c r="I61" i="5"/>
  <c r="I62" i="5"/>
  <c r="I5" i="5"/>
  <c r="T63" i="5"/>
  <c r="H58" i="5"/>
  <c r="K58" i="5"/>
  <c r="N58" i="5"/>
  <c r="O58" i="5" s="1"/>
  <c r="Q58" i="5"/>
  <c r="T58" i="5"/>
  <c r="Y58" i="5"/>
  <c r="Z58" i="5"/>
  <c r="AA58" i="5" s="1"/>
  <c r="AC58" i="5"/>
  <c r="AF58" i="5"/>
  <c r="AG58" i="5" s="1"/>
  <c r="I58" i="5"/>
  <c r="T52" i="5"/>
  <c r="U52" i="5" s="1"/>
  <c r="T34" i="5"/>
  <c r="T28" i="5"/>
  <c r="T25" i="5"/>
  <c r="T17" i="5"/>
  <c r="U17" i="5" s="1"/>
  <c r="T14" i="5"/>
  <c r="AD6" i="41"/>
  <c r="AD9" i="41"/>
  <c r="AD11" i="41"/>
  <c r="AD12" i="41"/>
  <c r="AD13" i="41"/>
  <c r="AD14" i="41"/>
  <c r="AD15" i="41"/>
  <c r="AD16" i="41"/>
  <c r="AD17" i="41"/>
  <c r="AD18" i="41"/>
  <c r="AD19" i="41"/>
  <c r="AD20" i="41"/>
  <c r="AD21" i="41"/>
  <c r="AD22" i="41"/>
  <c r="AD23" i="41"/>
  <c r="AD24" i="41"/>
  <c r="AD26" i="41"/>
  <c r="AD27" i="41"/>
  <c r="AD29" i="41"/>
  <c r="AD30" i="41"/>
  <c r="AD31" i="41"/>
  <c r="AD32" i="41"/>
  <c r="AD33" i="41"/>
  <c r="AD38" i="41"/>
  <c r="AD39" i="41"/>
  <c r="AD40" i="41"/>
  <c r="AD41" i="41"/>
  <c r="AD42" i="41"/>
  <c r="AD43" i="41"/>
  <c r="AD44" i="41"/>
  <c r="AD46" i="41"/>
  <c r="AD47" i="41"/>
  <c r="AD48" i="41"/>
  <c r="AD49" i="41"/>
  <c r="AD50" i="41"/>
  <c r="AD51" i="41"/>
  <c r="AD52" i="41"/>
  <c r="AD55" i="41"/>
  <c r="F55" i="41" s="1"/>
  <c r="AD56" i="41"/>
  <c r="AD57" i="41"/>
  <c r="AD58" i="41"/>
  <c r="F58" i="41" s="1"/>
  <c r="AD59" i="41"/>
  <c r="F59" i="41" s="1"/>
  <c r="AD61" i="41"/>
  <c r="AD62" i="41"/>
  <c r="AD63" i="41"/>
  <c r="AD64" i="41"/>
  <c r="AD68" i="41"/>
  <c r="AD5" i="41"/>
  <c r="D11" i="41"/>
  <c r="E11" i="41"/>
  <c r="D12" i="41"/>
  <c r="E12" i="41"/>
  <c r="D13" i="41"/>
  <c r="E13" i="41"/>
  <c r="K9" i="8"/>
  <c r="J10" i="8"/>
  <c r="K10" i="8"/>
  <c r="D38" i="41"/>
  <c r="E38" i="41"/>
  <c r="D39" i="41"/>
  <c r="E39" i="41"/>
  <c r="D40" i="41"/>
  <c r="E40" i="41"/>
  <c r="D41" i="41"/>
  <c r="E41" i="41"/>
  <c r="D42" i="41"/>
  <c r="E42" i="41"/>
  <c r="D43" i="41"/>
  <c r="E43" i="41"/>
  <c r="K23" i="8"/>
  <c r="D61" i="41"/>
  <c r="E61" i="41"/>
  <c r="D62" i="41"/>
  <c r="E62" i="41"/>
  <c r="D63" i="41"/>
  <c r="E63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F29" i="41" s="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F52" i="41" s="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F30" i="41" s="1"/>
  <c r="L31" i="41"/>
  <c r="L32" i="41"/>
  <c r="L33" i="41"/>
  <c r="F33" i="41" s="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I18" i="41"/>
  <c r="I19" i="41"/>
  <c r="I20" i="41"/>
  <c r="I21" i="41"/>
  <c r="I22" i="41"/>
  <c r="I23" i="4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I48" i="41"/>
  <c r="I49" i="41"/>
  <c r="I50" i="41"/>
  <c r="I51" i="41"/>
  <c r="I52" i="41"/>
  <c r="I55" i="41"/>
  <c r="I56" i="41"/>
  <c r="I57" i="41"/>
  <c r="I58" i="41"/>
  <c r="I59" i="41"/>
  <c r="I5" i="41"/>
  <c r="Y63" i="5"/>
  <c r="Z63" i="5"/>
  <c r="AA63" i="5" s="1"/>
  <c r="AC63" i="5"/>
  <c r="Q63" i="5"/>
  <c r="Q52" i="5"/>
  <c r="Q34" i="5"/>
  <c r="Q28" i="5"/>
  <c r="Q25" i="5"/>
  <c r="Q17" i="5"/>
  <c r="Q14" i="5"/>
  <c r="K7" i="6"/>
  <c r="W64" i="41"/>
  <c r="W34" i="41"/>
  <c r="W28" i="41"/>
  <c r="W25" i="41"/>
  <c r="X17" i="41"/>
  <c r="W7" i="41"/>
  <c r="X6" i="41"/>
  <c r="X9" i="41"/>
  <c r="X11" i="41"/>
  <c r="X12" i="41"/>
  <c r="X13" i="41"/>
  <c r="X18" i="41"/>
  <c r="X19" i="41"/>
  <c r="X20" i="41"/>
  <c r="X21" i="41"/>
  <c r="X22" i="41"/>
  <c r="X23" i="41"/>
  <c r="X24" i="41"/>
  <c r="X26" i="41"/>
  <c r="X27" i="41"/>
  <c r="X29" i="41"/>
  <c r="X30" i="41"/>
  <c r="X31" i="41"/>
  <c r="X32" i="41"/>
  <c r="X33" i="41"/>
  <c r="X38" i="41"/>
  <c r="X39" i="41"/>
  <c r="X40" i="41"/>
  <c r="X41" i="41"/>
  <c r="X42" i="41"/>
  <c r="X43" i="41"/>
  <c r="X44" i="41"/>
  <c r="X46" i="41"/>
  <c r="X47" i="41"/>
  <c r="X48" i="41"/>
  <c r="X49" i="41"/>
  <c r="X50" i="41"/>
  <c r="X51" i="41"/>
  <c r="X52" i="41"/>
  <c r="X55" i="41"/>
  <c r="X56" i="41"/>
  <c r="X57" i="41"/>
  <c r="X58" i="41"/>
  <c r="X59" i="41"/>
  <c r="X61" i="41"/>
  <c r="X62" i="41"/>
  <c r="X63" i="41"/>
  <c r="X68" i="41"/>
  <c r="X5" i="41"/>
  <c r="X7" i="41" s="1"/>
  <c r="I13" i="18" l="1"/>
  <c r="F66" i="7"/>
  <c r="F47" i="41"/>
  <c r="F27" i="41"/>
  <c r="F15" i="6"/>
  <c r="J12" i="30"/>
  <c r="F12" i="30"/>
  <c r="E12" i="30"/>
  <c r="K12" i="30"/>
  <c r="G12" i="30"/>
  <c r="C12" i="30"/>
  <c r="L12" i="30"/>
  <c r="I12" i="30"/>
  <c r="N12" i="30"/>
  <c r="M12" i="30"/>
  <c r="H12" i="30"/>
  <c r="D12" i="30"/>
  <c r="F4" i="30"/>
  <c r="L4" i="30"/>
  <c r="D4" i="30"/>
  <c r="H4" i="30"/>
  <c r="I4" i="30"/>
  <c r="C4" i="30"/>
  <c r="E4" i="30"/>
  <c r="J4" i="30"/>
  <c r="K4" i="30"/>
  <c r="N4" i="30"/>
  <c r="G4" i="30"/>
  <c r="M4" i="30"/>
  <c r="F50" i="7"/>
  <c r="F42" i="7"/>
  <c r="F54" i="7"/>
  <c r="F46" i="7"/>
  <c r="F38" i="7"/>
  <c r="E18" i="37"/>
  <c r="F20" i="6"/>
  <c r="F30" i="6"/>
  <c r="F42" i="6"/>
  <c r="F38" i="6"/>
  <c r="F19" i="6"/>
  <c r="F41" i="6"/>
  <c r="F62" i="5"/>
  <c r="F61" i="5"/>
  <c r="F42" i="5"/>
  <c r="F38" i="5"/>
  <c r="R63" i="5"/>
  <c r="U63" i="5"/>
  <c r="F39" i="5"/>
  <c r="F62" i="41"/>
  <c r="F39" i="41"/>
  <c r="F43" i="41"/>
  <c r="F11" i="41"/>
  <c r="F42" i="41"/>
  <c r="F38" i="41"/>
  <c r="F63" i="41"/>
  <c r="F40" i="41"/>
  <c r="F12" i="41"/>
  <c r="F61" i="41"/>
  <c r="F41" i="41"/>
  <c r="F13" i="41"/>
  <c r="H25" i="18"/>
  <c r="D40" i="17"/>
  <c r="F89" i="7"/>
  <c r="AA3" i="8"/>
  <c r="F92" i="7"/>
  <c r="F26" i="6"/>
  <c r="U58" i="5"/>
  <c r="F24" i="6"/>
  <c r="F12" i="6"/>
  <c r="F11" i="6"/>
  <c r="R34" i="5"/>
  <c r="R14" i="5"/>
  <c r="U25" i="5"/>
  <c r="R25" i="5"/>
  <c r="U14" i="5"/>
  <c r="AD63" i="5"/>
  <c r="R58" i="5"/>
  <c r="L58" i="5"/>
  <c r="R17" i="5"/>
  <c r="R28" i="5"/>
  <c r="Q35" i="5"/>
  <c r="U28" i="5"/>
  <c r="T35" i="5"/>
  <c r="U34" i="5"/>
  <c r="AD58" i="5"/>
  <c r="R52" i="5"/>
  <c r="I17" i="18"/>
  <c r="F32" i="6"/>
  <c r="F16" i="6"/>
  <c r="H7" i="18"/>
  <c r="E7" i="18"/>
  <c r="D23" i="9"/>
  <c r="D5" i="17"/>
  <c r="D7" i="17" s="1"/>
  <c r="D4" i="18" s="1"/>
  <c r="F88" i="7"/>
  <c r="F53" i="7"/>
  <c r="F49" i="7"/>
  <c r="F41" i="7"/>
  <c r="AA4" i="8"/>
  <c r="F91" i="7"/>
  <c r="F56" i="7"/>
  <c r="F52" i="7"/>
  <c r="F48" i="7"/>
  <c r="F44" i="7"/>
  <c r="F40" i="7"/>
  <c r="I16" i="18"/>
  <c r="I12" i="18"/>
  <c r="I11" i="18"/>
  <c r="F45" i="7"/>
  <c r="F37" i="7"/>
  <c r="F90" i="7"/>
  <c r="F55" i="7"/>
  <c r="F51" i="7"/>
  <c r="F47" i="7"/>
  <c r="F43" i="7"/>
  <c r="F39" i="7"/>
  <c r="AA7" i="8"/>
  <c r="D20" i="17"/>
  <c r="D8" i="17"/>
  <c r="D54" i="9"/>
  <c r="D5" i="18" s="1"/>
  <c r="F33" i="6"/>
  <c r="F29" i="6"/>
  <c r="F27" i="6"/>
  <c r="F22" i="6"/>
  <c r="X28" i="41"/>
  <c r="X25" i="41"/>
  <c r="X64" i="41"/>
  <c r="X34" i="41"/>
  <c r="X14" i="41"/>
  <c r="W35" i="41"/>
  <c r="W66" i="41" s="1"/>
  <c r="X53" i="41"/>
  <c r="O12" i="30" l="1"/>
  <c r="O4" i="30"/>
  <c r="Q65" i="5"/>
  <c r="R65" i="5" s="1"/>
  <c r="D52" i="17"/>
  <c r="U35" i="5"/>
  <c r="T65" i="5"/>
  <c r="U65" i="5" s="1"/>
  <c r="R35" i="5"/>
  <c r="I7" i="18"/>
  <c r="D3" i="18"/>
  <c r="D18" i="18" s="1"/>
  <c r="D4" i="17"/>
  <c r="Z19" i="8"/>
  <c r="E19" i="8" s="1"/>
  <c r="AA19" i="8"/>
  <c r="F19" i="8" s="1"/>
  <c r="X35" i="41"/>
  <c r="X66" i="41" s="1"/>
  <c r="U94" i="7" l="1"/>
  <c r="E36" i="17"/>
  <c r="B31" i="30" s="1"/>
  <c r="I10" i="18"/>
  <c r="D36" i="17"/>
  <c r="H10" i="18"/>
  <c r="L6" i="6"/>
  <c r="L5" i="6"/>
  <c r="F5" i="1"/>
  <c r="F7" i="1" s="1"/>
  <c r="D26" i="9"/>
  <c r="D37" i="9" s="1"/>
  <c r="D75" i="9"/>
  <c r="D78" i="9" s="1"/>
  <c r="D79" i="9" s="1"/>
  <c r="H31" i="30" l="1"/>
  <c r="K31" i="30"/>
  <c r="L31" i="30"/>
  <c r="J31" i="30"/>
  <c r="C31" i="30"/>
  <c r="N31" i="30"/>
  <c r="F31" i="30"/>
  <c r="E31" i="30"/>
  <c r="G31" i="30"/>
  <c r="D31" i="30"/>
  <c r="I31" i="30"/>
  <c r="M31" i="30"/>
  <c r="R94" i="7"/>
  <c r="L7" i="6"/>
  <c r="D16" i="17"/>
  <c r="D72" i="9"/>
  <c r="Y52" i="5"/>
  <c r="Z52" i="5"/>
  <c r="AA52" i="5" s="1"/>
  <c r="N17" i="5"/>
  <c r="O17" i="5" s="1"/>
  <c r="Y17" i="5"/>
  <c r="Z17" i="5"/>
  <c r="AC17" i="5"/>
  <c r="N14" i="5"/>
  <c r="O14" i="5" s="1"/>
  <c r="Y14" i="5"/>
  <c r="Z14" i="5"/>
  <c r="AC14" i="5"/>
  <c r="Y34" i="5"/>
  <c r="Z34" i="5"/>
  <c r="AA34" i="5" s="1"/>
  <c r="Y28" i="5"/>
  <c r="Z28" i="5"/>
  <c r="AA28" i="5" s="1"/>
  <c r="Y25" i="5"/>
  <c r="Z25" i="5"/>
  <c r="E5" i="40"/>
  <c r="E11" i="40"/>
  <c r="E12" i="40"/>
  <c r="E13" i="40"/>
  <c r="E14" i="40"/>
  <c r="E15" i="40"/>
  <c r="E16" i="40"/>
  <c r="E17" i="40"/>
  <c r="E18" i="40"/>
  <c r="E19" i="40"/>
  <c r="E20" i="40"/>
  <c r="E4" i="40"/>
  <c r="AA17" i="5" l="1"/>
  <c r="O31" i="30"/>
  <c r="AD14" i="5"/>
  <c r="AD17" i="5"/>
  <c r="E10" i="40"/>
  <c r="E47" i="40" s="1"/>
  <c r="AA25" i="5"/>
  <c r="AA14" i="5"/>
  <c r="Y35" i="5"/>
  <c r="D15" i="17"/>
  <c r="D23" i="18"/>
  <c r="D22" i="18" s="1"/>
  <c r="D29" i="18" s="1"/>
  <c r="D30" i="18" s="1"/>
  <c r="Z35" i="5"/>
  <c r="D19" i="17" l="1"/>
  <c r="D25" i="17"/>
  <c r="Y65" i="5"/>
  <c r="Z65" i="5"/>
  <c r="AA35" i="5"/>
  <c r="F65" i="58"/>
  <c r="AA65" i="5" l="1"/>
  <c r="AJ11" i="57"/>
  <c r="W11" i="57"/>
  <c r="AH10" i="57"/>
  <c r="AG10" i="57"/>
  <c r="AG12" i="57" s="1"/>
  <c r="AE10" i="57"/>
  <c r="AD10" i="57"/>
  <c r="X10" i="57"/>
  <c r="V10" i="57"/>
  <c r="T10" i="57"/>
  <c r="O10" i="57"/>
  <c r="N10" i="57"/>
  <c r="M10" i="57"/>
  <c r="K10" i="57"/>
  <c r="F10" i="57"/>
  <c r="AJ9" i="57"/>
  <c r="AJ8" i="57"/>
  <c r="W8" i="57"/>
  <c r="AC10" i="57"/>
  <c r="AB10" i="57"/>
  <c r="J10" i="57"/>
  <c r="I10" i="57"/>
  <c r="H10" i="57"/>
  <c r="W6" i="57"/>
  <c r="AE12" i="57"/>
  <c r="AI10" i="57"/>
  <c r="AA10" i="57"/>
  <c r="Z10" i="57"/>
  <c r="G10" i="57"/>
  <c r="E10" i="57"/>
  <c r="D10" i="57"/>
  <c r="AI48" i="53"/>
  <c r="AI5" i="57" s="1"/>
  <c r="AH48" i="53"/>
  <c r="AH5" i="57" s="1"/>
  <c r="AH12" i="57" s="1"/>
  <c r="AG48" i="53"/>
  <c r="AF48" i="53"/>
  <c r="AF5" i="57" s="1"/>
  <c r="AF12" i="57" s="1"/>
  <c r="AE48" i="53"/>
  <c r="AD5" i="57" s="1"/>
  <c r="AD12" i="57" s="1"/>
  <c r="AD48" i="53"/>
  <c r="AC48" i="53"/>
  <c r="AC5" i="57" s="1"/>
  <c r="AB48" i="53"/>
  <c r="AB5" i="57" s="1"/>
  <c r="Z48" i="53"/>
  <c r="Y5" i="57" s="1"/>
  <c r="Y48" i="53"/>
  <c r="X5" i="57" s="1"/>
  <c r="X12" i="57" s="1"/>
  <c r="W48" i="53"/>
  <c r="V5" i="57" s="1"/>
  <c r="V12" i="57" s="1"/>
  <c r="V48" i="53"/>
  <c r="U5" i="57" s="1"/>
  <c r="U12" i="57" s="1"/>
  <c r="T48" i="53"/>
  <c r="S5" i="57" s="1"/>
  <c r="S12" i="57" s="1"/>
  <c r="S48" i="53"/>
  <c r="R5" i="57" s="1"/>
  <c r="R12" i="57" s="1"/>
  <c r="R48" i="53"/>
  <c r="P5" i="57" s="1"/>
  <c r="P12" i="57" s="1"/>
  <c r="O48" i="53"/>
  <c r="N5" i="57" s="1"/>
  <c r="N12" i="57" s="1"/>
  <c r="M48" i="53"/>
  <c r="L5" i="57" s="1"/>
  <c r="L12" i="57" s="1"/>
  <c r="L48" i="53"/>
  <c r="K5" i="57" s="1"/>
  <c r="K12" i="57" s="1"/>
  <c r="K48" i="53"/>
  <c r="J5" i="57" s="1"/>
  <c r="I48" i="53"/>
  <c r="H5" i="57" s="1"/>
  <c r="AJ47" i="53"/>
  <c r="X47" i="53"/>
  <c r="AJ46" i="53"/>
  <c r="X46" i="53"/>
  <c r="AJ45" i="53"/>
  <c r="X45" i="53"/>
  <c r="AJ44" i="53"/>
  <c r="X44" i="53"/>
  <c r="AJ43" i="53"/>
  <c r="E48" i="53"/>
  <c r="D5" i="57" s="1"/>
  <c r="X43" i="53"/>
  <c r="AJ42" i="53"/>
  <c r="X42" i="53"/>
  <c r="AJ41" i="53"/>
  <c r="X41" i="53"/>
  <c r="AJ40" i="53"/>
  <c r="X40" i="53"/>
  <c r="AJ39" i="53"/>
  <c r="G48" i="53"/>
  <c r="F5" i="57" s="1"/>
  <c r="F12" i="57" s="1"/>
  <c r="X39" i="53"/>
  <c r="AJ38" i="53"/>
  <c r="X38" i="53"/>
  <c r="AJ37" i="53"/>
  <c r="X37" i="53"/>
  <c r="AJ36" i="53"/>
  <c r="X36" i="53"/>
  <c r="AJ35" i="53"/>
  <c r="X35" i="53"/>
  <c r="AJ34" i="53"/>
  <c r="X34" i="53"/>
  <c r="AJ33" i="53"/>
  <c r="X33" i="53"/>
  <c r="AJ32" i="53"/>
  <c r="X32" i="53"/>
  <c r="AJ31" i="53"/>
  <c r="X31" i="53"/>
  <c r="AJ30" i="53"/>
  <c r="X30" i="53"/>
  <c r="AJ29" i="53"/>
  <c r="AJ28" i="53"/>
  <c r="X28" i="53"/>
  <c r="AJ27" i="53"/>
  <c r="J48" i="53"/>
  <c r="I5" i="57" s="1"/>
  <c r="AJ26" i="53"/>
  <c r="X26" i="53"/>
  <c r="AJ25" i="53"/>
  <c r="X25" i="53"/>
  <c r="AJ24" i="53"/>
  <c r="X24" i="53"/>
  <c r="AJ23" i="53"/>
  <c r="X23" i="53"/>
  <c r="AJ22" i="53"/>
  <c r="X22" i="53"/>
  <c r="AJ21" i="53"/>
  <c r="X21" i="53"/>
  <c r="AJ20" i="53"/>
  <c r="X20" i="53"/>
  <c r="AJ19" i="53"/>
  <c r="X19" i="53"/>
  <c r="AJ18" i="53"/>
  <c r="X18" i="53"/>
  <c r="AJ17" i="53"/>
  <c r="X17" i="53"/>
  <c r="AJ16" i="53"/>
  <c r="X16" i="53"/>
  <c r="AJ15" i="53"/>
  <c r="X15" i="53"/>
  <c r="AJ14" i="53"/>
  <c r="X14" i="53"/>
  <c r="U48" i="53"/>
  <c r="T5" i="57" s="1"/>
  <c r="T12" i="57" s="1"/>
  <c r="AJ13" i="53"/>
  <c r="X13" i="53"/>
  <c r="AJ12" i="53"/>
  <c r="X12" i="53"/>
  <c r="P48" i="53"/>
  <c r="O5" i="57" s="1"/>
  <c r="O12" i="57" s="1"/>
  <c r="AJ11" i="53"/>
  <c r="N48" i="53"/>
  <c r="M5" i="57" s="1"/>
  <c r="H48" i="53"/>
  <c r="G5" i="57" s="1"/>
  <c r="AJ10" i="53"/>
  <c r="X10" i="53"/>
  <c r="AJ9" i="53"/>
  <c r="F48" i="53"/>
  <c r="E5" i="57" s="1"/>
  <c r="AJ8" i="53"/>
  <c r="X8" i="53"/>
  <c r="AJ5" i="53"/>
  <c r="X5" i="53"/>
  <c r="J12" i="57" l="1"/>
  <c r="AC12" i="57"/>
  <c r="AJ7" i="57"/>
  <c r="AJ10" i="57" s="1"/>
  <c r="I12" i="57"/>
  <c r="E12" i="57"/>
  <c r="AI12" i="57"/>
  <c r="G12" i="57"/>
  <c r="D12" i="57"/>
  <c r="H12" i="57"/>
  <c r="AB12" i="57"/>
  <c r="W7" i="57"/>
  <c r="C10" i="57"/>
  <c r="W10" i="57" s="1"/>
  <c r="Y10" i="57"/>
  <c r="Y12" i="57" s="1"/>
  <c r="X9" i="53"/>
  <c r="X11" i="53"/>
  <c r="D48" i="53"/>
  <c r="X27" i="53"/>
  <c r="AA48" i="53"/>
  <c r="E62" i="58"/>
  <c r="E61" i="58"/>
  <c r="F61" i="58"/>
  <c r="E60" i="58"/>
  <c r="E59" i="58"/>
  <c r="F59" i="58"/>
  <c r="F60" i="58" l="1"/>
  <c r="E63" i="58"/>
  <c r="E58" i="58"/>
  <c r="AJ48" i="53"/>
  <c r="AA5" i="57"/>
  <c r="X48" i="53"/>
  <c r="C5" i="57"/>
  <c r="W5" i="57" s="1"/>
  <c r="F62" i="58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9" i="17" s="1"/>
  <c r="E41" i="9"/>
  <c r="E42" i="9"/>
  <c r="E47" i="9"/>
  <c r="E48" i="9"/>
  <c r="E49" i="9"/>
  <c r="E51" i="9"/>
  <c r="E53" i="9"/>
  <c r="E12" i="17" s="1"/>
  <c r="B9" i="30" s="1"/>
  <c r="E55" i="9"/>
  <c r="E63" i="9"/>
  <c r="E64" i="9"/>
  <c r="E65" i="9" s="1"/>
  <c r="E13" i="17" s="1"/>
  <c r="B11" i="30" s="1"/>
  <c r="E66" i="9"/>
  <c r="E70" i="9"/>
  <c r="E24" i="18" s="1"/>
  <c r="E71" i="9"/>
  <c r="E18" i="17" s="1"/>
  <c r="B16" i="30" s="1"/>
  <c r="E73" i="9"/>
  <c r="E74" i="9"/>
  <c r="E22" i="17"/>
  <c r="K11" i="30" l="1"/>
  <c r="L11" i="30"/>
  <c r="M11" i="30"/>
  <c r="J11" i="30"/>
  <c r="C11" i="30"/>
  <c r="N11" i="30"/>
  <c r="I11" i="30"/>
  <c r="D11" i="30"/>
  <c r="G11" i="30"/>
  <c r="F11" i="30"/>
  <c r="H11" i="30"/>
  <c r="E11" i="30"/>
  <c r="K9" i="30"/>
  <c r="K10" i="30" s="1"/>
  <c r="H9" i="30"/>
  <c r="H10" i="30" s="1"/>
  <c r="M9" i="30"/>
  <c r="M10" i="30" s="1"/>
  <c r="N9" i="30"/>
  <c r="N10" i="30" s="1"/>
  <c r="E9" i="30"/>
  <c r="E10" i="30" s="1"/>
  <c r="I9" i="30"/>
  <c r="I10" i="30" s="1"/>
  <c r="J9" i="30"/>
  <c r="J10" i="30" s="1"/>
  <c r="G9" i="30"/>
  <c r="G10" i="30" s="1"/>
  <c r="L9" i="30"/>
  <c r="L10" i="30" s="1"/>
  <c r="D9" i="30"/>
  <c r="D10" i="30" s="1"/>
  <c r="F9" i="30"/>
  <c r="F10" i="30" s="1"/>
  <c r="C9" i="30"/>
  <c r="B10" i="30"/>
  <c r="E25" i="18"/>
  <c r="E17" i="17"/>
  <c r="E6" i="18"/>
  <c r="E28" i="18"/>
  <c r="E26" i="18" s="1"/>
  <c r="E21" i="17"/>
  <c r="F67" i="58"/>
  <c r="F66" i="58"/>
  <c r="F63" i="58"/>
  <c r="F58" i="58"/>
  <c r="AA12" i="57"/>
  <c r="AJ12" i="57" s="1"/>
  <c r="AJ5" i="57"/>
  <c r="C12" i="57"/>
  <c r="W12" i="57" s="1"/>
  <c r="E12" i="9"/>
  <c r="E6" i="17" s="1"/>
  <c r="B5" i="30" s="1"/>
  <c r="O11" i="30" l="1"/>
  <c r="O9" i="30"/>
  <c r="O10" i="30" s="1"/>
  <c r="C10" i="30"/>
  <c r="C5" i="30"/>
  <c r="J5" i="30"/>
  <c r="J6" i="30" s="1"/>
  <c r="J13" i="30" s="1"/>
  <c r="J23" i="30" s="1"/>
  <c r="L5" i="30"/>
  <c r="L6" i="30" s="1"/>
  <c r="L13" i="30" s="1"/>
  <c r="L23" i="30" s="1"/>
  <c r="F5" i="30"/>
  <c r="F6" i="30" s="1"/>
  <c r="F13" i="30" s="1"/>
  <c r="F23" i="30" s="1"/>
  <c r="N5" i="30"/>
  <c r="N6" i="30" s="1"/>
  <c r="N13" i="30" s="1"/>
  <c r="N23" i="30" s="1"/>
  <c r="M5" i="30"/>
  <c r="M6" i="30" s="1"/>
  <c r="M13" i="30" s="1"/>
  <c r="M23" i="30" s="1"/>
  <c r="H5" i="30"/>
  <c r="H6" i="30" s="1"/>
  <c r="H13" i="30" s="1"/>
  <c r="H23" i="30" s="1"/>
  <c r="K5" i="30"/>
  <c r="K6" i="30" s="1"/>
  <c r="K13" i="30" s="1"/>
  <c r="K23" i="30" s="1"/>
  <c r="I5" i="30"/>
  <c r="I6" i="30" s="1"/>
  <c r="I13" i="30" s="1"/>
  <c r="I23" i="30" s="1"/>
  <c r="G5" i="30"/>
  <c r="G6" i="30" s="1"/>
  <c r="G13" i="30" s="1"/>
  <c r="G23" i="30" s="1"/>
  <c r="E5" i="30"/>
  <c r="E6" i="30" s="1"/>
  <c r="E13" i="30" s="1"/>
  <c r="E23" i="30" s="1"/>
  <c r="D5" i="30"/>
  <c r="D6" i="30" s="1"/>
  <c r="D13" i="30" s="1"/>
  <c r="D23" i="30" s="1"/>
  <c r="B6" i="30"/>
  <c r="B13" i="30" s="1"/>
  <c r="E20" i="17"/>
  <c r="E52" i="17" s="1"/>
  <c r="E7" i="17"/>
  <c r="E4" i="18" s="1"/>
  <c r="E23" i="9"/>
  <c r="R68" i="41"/>
  <c r="O5" i="30" l="1"/>
  <c r="O6" i="30" s="1"/>
  <c r="O13" i="30" s="1"/>
  <c r="O23" i="30" s="1"/>
  <c r="C6" i="30"/>
  <c r="C13" i="30" s="1"/>
  <c r="C23" i="30" s="1"/>
  <c r="I47" i="41"/>
  <c r="L55" i="41" l="1"/>
  <c r="L18" i="40" l="1"/>
  <c r="L17" i="40"/>
  <c r="M40" i="40"/>
  <c r="N40" i="40"/>
  <c r="M41" i="40"/>
  <c r="N41" i="40"/>
  <c r="M42" i="40"/>
  <c r="N42" i="40"/>
  <c r="M43" i="40"/>
  <c r="N43" i="40"/>
  <c r="M44" i="40"/>
  <c r="N44" i="40"/>
  <c r="M45" i="40"/>
  <c r="N45" i="40"/>
  <c r="M46" i="40"/>
  <c r="N46" i="40"/>
  <c r="L40" i="40"/>
  <c r="L41" i="40"/>
  <c r="L42" i="40"/>
  <c r="L43" i="40"/>
  <c r="L45" i="40"/>
  <c r="L46" i="40"/>
  <c r="L44" i="40"/>
  <c r="L39" i="40"/>
  <c r="G16" i="18" l="1"/>
  <c r="E26" i="9" l="1"/>
  <c r="E37" i="9" s="1"/>
  <c r="G13" i="18"/>
  <c r="E16" i="17" l="1"/>
  <c r="B14" i="30" s="1"/>
  <c r="B17" i="30" s="1"/>
  <c r="B23" i="30" s="1"/>
  <c r="E15" i="17" l="1"/>
  <c r="E23" i="18"/>
  <c r="E22" i="18" s="1"/>
  <c r="E29" i="18" s="1"/>
  <c r="K29" i="8"/>
  <c r="L29" i="8"/>
  <c r="J29" i="8"/>
  <c r="G17" i="18" l="1"/>
  <c r="Y17" i="7" l="1"/>
  <c r="Z17" i="7"/>
  <c r="AB17" i="7"/>
  <c r="AC17" i="7"/>
  <c r="Y14" i="7"/>
  <c r="Z14" i="7"/>
  <c r="AB14" i="7"/>
  <c r="AC14" i="7"/>
  <c r="AB34" i="7"/>
  <c r="AC34" i="7"/>
  <c r="AB28" i="7"/>
  <c r="AC28" i="7"/>
  <c r="AB25" i="7"/>
  <c r="AC25" i="7"/>
  <c r="AD14" i="7" l="1"/>
  <c r="AA14" i="7"/>
  <c r="AD17" i="7"/>
  <c r="AA17" i="7"/>
  <c r="AD34" i="7"/>
  <c r="AD28" i="7"/>
  <c r="AD25" i="7"/>
  <c r="AC35" i="7"/>
  <c r="AC94" i="7" s="1"/>
  <c r="AB35" i="7"/>
  <c r="AB94" i="7" s="1"/>
  <c r="AD94" i="7" l="1"/>
  <c r="AD35" i="7"/>
  <c r="N63" i="5"/>
  <c r="N52" i="5"/>
  <c r="N25" i="5"/>
  <c r="N28" i="5"/>
  <c r="N34" i="5"/>
  <c r="O52" i="5" l="1"/>
  <c r="O28" i="5"/>
  <c r="O34" i="5"/>
  <c r="O25" i="5"/>
  <c r="O63" i="5"/>
  <c r="N35" i="5"/>
  <c r="N65" i="5" s="1"/>
  <c r="O65" i="5" l="1"/>
  <c r="O35" i="5"/>
  <c r="D11" i="21" l="1"/>
  <c r="D16" i="21" s="1"/>
  <c r="C11" i="21"/>
  <c r="C16" i="21" s="1"/>
  <c r="G7" i="18" l="1"/>
  <c r="AC64" i="41"/>
  <c r="AB64" i="41"/>
  <c r="AC53" i="41"/>
  <c r="AD53" i="41"/>
  <c r="AC34" i="41"/>
  <c r="AD34" i="41" s="1"/>
  <c r="AC28" i="41"/>
  <c r="AD28" i="41" s="1"/>
  <c r="AC25" i="41"/>
  <c r="AD25" i="41"/>
  <c r="AC17" i="41"/>
  <c r="AC14" i="41"/>
  <c r="AC7" i="41"/>
  <c r="AD7" i="41" l="1"/>
  <c r="AC35" i="41"/>
  <c r="AC66" i="41" s="1"/>
  <c r="AB66" i="41" l="1"/>
  <c r="D66" i="41" s="1"/>
  <c r="AD35" i="41"/>
  <c r="M5" i="40"/>
  <c r="N5" i="40"/>
  <c r="M6" i="40"/>
  <c r="N6" i="40"/>
  <c r="M7" i="40"/>
  <c r="N7" i="40"/>
  <c r="L6" i="40"/>
  <c r="L7" i="40"/>
  <c r="L5" i="40"/>
  <c r="AD66" i="41" l="1"/>
  <c r="K7" i="8"/>
  <c r="L7" i="8"/>
  <c r="K3" i="8"/>
  <c r="L3" i="8"/>
  <c r="K4" i="8"/>
  <c r="L4" i="8"/>
  <c r="J7" i="8"/>
  <c r="J4" i="8"/>
  <c r="J3" i="8"/>
  <c r="J68" i="52" l="1"/>
  <c r="H68" i="52"/>
  <c r="H3" i="52"/>
  <c r="J23" i="8" l="1"/>
  <c r="L59" i="41"/>
  <c r="L23" i="8" l="1"/>
  <c r="H7" i="41"/>
  <c r="K7" i="41"/>
  <c r="N7" i="41"/>
  <c r="L7" i="41" l="1"/>
  <c r="O7" i="41"/>
  <c r="I7" i="41"/>
  <c r="J5" i="8"/>
  <c r="C25" i="18" l="1"/>
  <c r="J14" i="29" l="1"/>
  <c r="E14" i="29"/>
  <c r="F14" i="29"/>
  <c r="G14" i="29"/>
  <c r="H14" i="29"/>
  <c r="I14" i="29"/>
  <c r="D14" i="29"/>
  <c r="J47" i="40" l="1"/>
  <c r="K47" i="40"/>
  <c r="I47" i="40"/>
  <c r="L9" i="40"/>
  <c r="M9" i="40"/>
  <c r="N9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6" i="40"/>
  <c r="M16" i="40"/>
  <c r="N16" i="40"/>
  <c r="L19" i="40"/>
  <c r="M19" i="40"/>
  <c r="N19" i="40"/>
  <c r="M20" i="40"/>
  <c r="N20" i="40"/>
  <c r="L21" i="40"/>
  <c r="M21" i="40"/>
  <c r="N21" i="40"/>
  <c r="L26" i="40"/>
  <c r="M26" i="40"/>
  <c r="N26" i="40"/>
  <c r="M27" i="40"/>
  <c r="N27" i="40"/>
  <c r="L30" i="40"/>
  <c r="M30" i="40"/>
  <c r="N30" i="40"/>
  <c r="L31" i="40"/>
  <c r="M31" i="40"/>
  <c r="N31" i="40"/>
  <c r="L28" i="40"/>
  <c r="M28" i="40"/>
  <c r="N28" i="40"/>
  <c r="L37" i="40"/>
  <c r="M37" i="40"/>
  <c r="N37" i="40"/>
  <c r="L38" i="40"/>
  <c r="M38" i="40"/>
  <c r="N38" i="40"/>
  <c r="M4" i="40"/>
  <c r="N4" i="40"/>
  <c r="L4" i="40"/>
  <c r="L20" i="40" l="1"/>
  <c r="L10" i="40" l="1"/>
  <c r="Y71" i="7" l="1"/>
  <c r="Z71" i="7"/>
  <c r="Y100" i="7"/>
  <c r="Z100" i="7"/>
  <c r="AA100" i="7" s="1"/>
  <c r="AA71" i="7" l="1"/>
  <c r="Y34" i="7"/>
  <c r="Z34" i="7"/>
  <c r="Y28" i="7"/>
  <c r="Z28" i="7"/>
  <c r="Z25" i="7"/>
  <c r="AA28" i="7" l="1"/>
  <c r="AA34" i="7"/>
  <c r="AA25" i="7"/>
  <c r="Z35" i="7"/>
  <c r="Z94" i="7" s="1"/>
  <c r="Y35" i="7"/>
  <c r="Y94" i="7" s="1"/>
  <c r="V7" i="7"/>
  <c r="AA35" i="7" l="1"/>
  <c r="Y5" i="8"/>
  <c r="X7" i="7"/>
  <c r="F7" i="7" s="1"/>
  <c r="C6" i="17"/>
  <c r="H25" i="7"/>
  <c r="K25" i="7"/>
  <c r="H34" i="7"/>
  <c r="K34" i="7"/>
  <c r="M34" i="7"/>
  <c r="E11" i="21"/>
  <c r="L34" i="7" l="1"/>
  <c r="L25" i="7"/>
  <c r="AA94" i="7"/>
  <c r="K35" i="7"/>
  <c r="K94" i="7" s="1"/>
  <c r="D25" i="8"/>
  <c r="C27" i="18"/>
  <c r="C21" i="17"/>
  <c r="L35" i="7" l="1"/>
  <c r="C28" i="18"/>
  <c r="L94" i="7" l="1"/>
  <c r="L47" i="40"/>
  <c r="L27" i="40"/>
  <c r="C26" i="18"/>
  <c r="E75" i="9" l="1"/>
  <c r="H7" i="6" l="1"/>
  <c r="I7" i="6"/>
  <c r="C24" i="18" l="1"/>
  <c r="C50" i="43" l="1"/>
  <c r="D50" i="43"/>
  <c r="B50" i="43"/>
  <c r="C29" i="43"/>
  <c r="D29" i="43"/>
  <c r="B29" i="43"/>
  <c r="C14" i="17" l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N64" i="41"/>
  <c r="K64" i="41"/>
  <c r="H64" i="41"/>
  <c r="Q53" i="41"/>
  <c r="N53" i="41"/>
  <c r="K53" i="41"/>
  <c r="H53" i="41"/>
  <c r="Q34" i="41"/>
  <c r="N34" i="41"/>
  <c r="K34" i="41"/>
  <c r="H34" i="41"/>
  <c r="Q28" i="41"/>
  <c r="N28" i="41"/>
  <c r="K28" i="41"/>
  <c r="H28" i="41"/>
  <c r="Q25" i="41"/>
  <c r="N25" i="41"/>
  <c r="K25" i="41"/>
  <c r="H25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G3" i="8"/>
  <c r="E34" i="41" l="1"/>
  <c r="E53" i="41"/>
  <c r="E28" i="41"/>
  <c r="K21" i="8"/>
  <c r="K13" i="8"/>
  <c r="F3" i="8"/>
  <c r="I8" i="18"/>
  <c r="E34" i="17"/>
  <c r="B29" i="30" s="1"/>
  <c r="H8" i="18"/>
  <c r="D34" i="17"/>
  <c r="E7" i="8"/>
  <c r="F7" i="8"/>
  <c r="E39" i="17"/>
  <c r="B34" i="30" s="1"/>
  <c r="I24" i="18"/>
  <c r="H24" i="18"/>
  <c r="D39" i="17"/>
  <c r="E4" i="8"/>
  <c r="J12" i="8"/>
  <c r="K12" i="8"/>
  <c r="J13" i="8"/>
  <c r="K11" i="8"/>
  <c r="J11" i="8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47" i="40"/>
  <c r="X18" i="8" s="1"/>
  <c r="X27" i="8" s="1"/>
  <c r="X30" i="8" s="1"/>
  <c r="M47" i="40"/>
  <c r="W18" i="8" s="1"/>
  <c r="W27" i="8" s="1"/>
  <c r="W30" i="8" s="1"/>
  <c r="Q35" i="41"/>
  <c r="K35" i="41"/>
  <c r="H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E7" i="6"/>
  <c r="F7" i="6"/>
  <c r="D7" i="6"/>
  <c r="R4" i="8"/>
  <c r="R5" i="8" s="1"/>
  <c r="Q5" i="8"/>
  <c r="O5" i="8"/>
  <c r="N5" i="8"/>
  <c r="H71" i="7"/>
  <c r="N34" i="7"/>
  <c r="O34" i="7" s="1"/>
  <c r="N28" i="7"/>
  <c r="M28" i="7"/>
  <c r="H28" i="7"/>
  <c r="N25" i="7"/>
  <c r="M25" i="7"/>
  <c r="N17" i="7"/>
  <c r="M17" i="7"/>
  <c r="H17" i="7"/>
  <c r="N14" i="7"/>
  <c r="M14" i="7"/>
  <c r="H14" i="7"/>
  <c r="F34" i="41" l="1"/>
  <c r="F53" i="41"/>
  <c r="L21" i="8" s="1"/>
  <c r="F28" i="41"/>
  <c r="L12" i="8" s="1"/>
  <c r="E35" i="41"/>
  <c r="K14" i="8" s="1"/>
  <c r="K29" i="30"/>
  <c r="M29" i="30"/>
  <c r="C29" i="30"/>
  <c r="J29" i="30"/>
  <c r="L29" i="30"/>
  <c r="I29" i="30"/>
  <c r="F29" i="30"/>
  <c r="G29" i="30"/>
  <c r="D29" i="30"/>
  <c r="E29" i="30"/>
  <c r="H29" i="30"/>
  <c r="N29" i="30"/>
  <c r="O28" i="7"/>
  <c r="I28" i="7"/>
  <c r="F4" i="8"/>
  <c r="L13" i="8"/>
  <c r="L11" i="8"/>
  <c r="L9" i="8"/>
  <c r="L10" i="8"/>
  <c r="I71" i="7"/>
  <c r="O14" i="7"/>
  <c r="O17" i="7"/>
  <c r="I34" i="7"/>
  <c r="F5" i="8"/>
  <c r="O25" i="7"/>
  <c r="I25" i="7"/>
  <c r="I17" i="7"/>
  <c r="I14" i="7"/>
  <c r="H27" i="8"/>
  <c r="H30" i="8" s="1"/>
  <c r="E5" i="8"/>
  <c r="I27" i="8"/>
  <c r="I30" i="8" s="1"/>
  <c r="R35" i="41"/>
  <c r="N66" i="41"/>
  <c r="O66" i="41" s="1"/>
  <c r="O35" i="41"/>
  <c r="H66" i="41"/>
  <c r="I35" i="41"/>
  <c r="K66" i="41"/>
  <c r="L35" i="41"/>
  <c r="Q66" i="41"/>
  <c r="J21" i="8"/>
  <c r="H35" i="7"/>
  <c r="H94" i="7" s="1"/>
  <c r="N35" i="7"/>
  <c r="N94" i="7" s="1"/>
  <c r="M35" i="7"/>
  <c r="M94" i="7" s="1"/>
  <c r="F35" i="41" l="1"/>
  <c r="L14" i="8" s="1"/>
  <c r="L27" i="8" s="1"/>
  <c r="L30" i="8" s="1"/>
  <c r="L66" i="41"/>
  <c r="E66" i="41"/>
  <c r="O29" i="30"/>
  <c r="I94" i="7"/>
  <c r="O35" i="7"/>
  <c r="I35" i="7"/>
  <c r="K27" i="8"/>
  <c r="K30" i="8" s="1"/>
  <c r="R66" i="41"/>
  <c r="I66" i="41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E16" i="21"/>
  <c r="AH14" i="7"/>
  <c r="AI14" i="7"/>
  <c r="AH17" i="7"/>
  <c r="AI17" i="7"/>
  <c r="AH25" i="7"/>
  <c r="AI25" i="7"/>
  <c r="AH28" i="7"/>
  <c r="AI28" i="7"/>
  <c r="AH34" i="7"/>
  <c r="AI34" i="7"/>
  <c r="C13" i="17"/>
  <c r="C6" i="18" s="1"/>
  <c r="E52" i="9"/>
  <c r="E11" i="17" s="1"/>
  <c r="E78" i="9"/>
  <c r="E79" i="9" s="1"/>
  <c r="H63" i="5"/>
  <c r="K63" i="5"/>
  <c r="AF63" i="5"/>
  <c r="AG63" i="5" s="1"/>
  <c r="E54" i="58"/>
  <c r="F54" i="58"/>
  <c r="D54" i="58"/>
  <c r="G4" i="8"/>
  <c r="C17" i="17"/>
  <c r="C12" i="17"/>
  <c r="E43" i="9"/>
  <c r="C9" i="17"/>
  <c r="C7" i="18"/>
  <c r="C16" i="17"/>
  <c r="F69" i="58"/>
  <c r="E69" i="58"/>
  <c r="D69" i="58"/>
  <c r="D62" i="58"/>
  <c r="D61" i="58"/>
  <c r="D60" i="58"/>
  <c r="D59" i="58"/>
  <c r="F56" i="58"/>
  <c r="E32" i="17" s="1"/>
  <c r="B27" i="30" s="1"/>
  <c r="E56" i="58"/>
  <c r="D32" i="17" s="1"/>
  <c r="H5" i="18" s="1"/>
  <c r="D56" i="58"/>
  <c r="AF52" i="5"/>
  <c r="AF14" i="5"/>
  <c r="AF17" i="5"/>
  <c r="AF25" i="5"/>
  <c r="AF28" i="5"/>
  <c r="AF34" i="5"/>
  <c r="H28" i="5"/>
  <c r="K28" i="5"/>
  <c r="AC28" i="5"/>
  <c r="AD28" i="5" s="1"/>
  <c r="H34" i="5"/>
  <c r="K34" i="5"/>
  <c r="AC34" i="5"/>
  <c r="H52" i="5"/>
  <c r="K52" i="5"/>
  <c r="AC52" i="5"/>
  <c r="AC25" i="5"/>
  <c r="AD25" i="5" s="1"/>
  <c r="K25" i="5"/>
  <c r="L25" i="5" s="1"/>
  <c r="H25" i="5"/>
  <c r="K17" i="5"/>
  <c r="H17" i="5"/>
  <c r="K14" i="5"/>
  <c r="H14" i="5"/>
  <c r="V34" i="7"/>
  <c r="W34" i="7"/>
  <c r="V28" i="7"/>
  <c r="W28" i="7"/>
  <c r="V25" i="7"/>
  <c r="W25" i="7"/>
  <c r="V17" i="7"/>
  <c r="W17" i="7"/>
  <c r="V14" i="7"/>
  <c r="W14" i="7"/>
  <c r="V71" i="7"/>
  <c r="W71" i="7"/>
  <c r="H28" i="6"/>
  <c r="I28" i="6"/>
  <c r="K28" i="6"/>
  <c r="L28" i="6"/>
  <c r="N28" i="6"/>
  <c r="O28" i="6"/>
  <c r="P28" i="6"/>
  <c r="Q28" i="6"/>
  <c r="R28" i="6"/>
  <c r="S28" i="6"/>
  <c r="T28" i="6"/>
  <c r="U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K45" i="6"/>
  <c r="L45" i="6"/>
  <c r="N45" i="6"/>
  <c r="O45" i="6"/>
  <c r="P45" i="6"/>
  <c r="Q45" i="6"/>
  <c r="R45" i="6"/>
  <c r="S45" i="6"/>
  <c r="T45" i="6"/>
  <c r="U45" i="6"/>
  <c r="H34" i="6"/>
  <c r="I34" i="6"/>
  <c r="K34" i="6"/>
  <c r="L34" i="6"/>
  <c r="N34" i="6"/>
  <c r="O34" i="6"/>
  <c r="P34" i="6"/>
  <c r="Q34" i="6"/>
  <c r="R34" i="6"/>
  <c r="S34" i="6"/>
  <c r="T34" i="6"/>
  <c r="U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L25" i="6"/>
  <c r="K25" i="6"/>
  <c r="I25" i="6"/>
  <c r="H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L17" i="6"/>
  <c r="K17" i="6"/>
  <c r="I17" i="6"/>
  <c r="H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L14" i="6"/>
  <c r="K14" i="6"/>
  <c r="I14" i="6"/>
  <c r="H14" i="6"/>
  <c r="E65" i="1"/>
  <c r="F65" i="1"/>
  <c r="G13" i="8"/>
  <c r="G12" i="8"/>
  <c r="G11" i="8"/>
  <c r="G10" i="8"/>
  <c r="K35" i="5" l="1"/>
  <c r="N13" i="8"/>
  <c r="F66" i="41"/>
  <c r="K27" i="30"/>
  <c r="D27" i="30"/>
  <c r="E27" i="30"/>
  <c r="J27" i="30"/>
  <c r="G27" i="30"/>
  <c r="L27" i="30"/>
  <c r="C27" i="30"/>
  <c r="H27" i="30"/>
  <c r="I27" i="30"/>
  <c r="N27" i="30"/>
  <c r="M27" i="30"/>
  <c r="F27" i="30"/>
  <c r="X25" i="7"/>
  <c r="X34" i="7"/>
  <c r="X71" i="7"/>
  <c r="AA18" i="8" s="1"/>
  <c r="F18" i="8" s="1"/>
  <c r="E35" i="17" s="1"/>
  <c r="B30" i="30" s="1"/>
  <c r="Z18" i="8"/>
  <c r="E18" i="8" s="1"/>
  <c r="D35" i="17" s="1"/>
  <c r="H9" i="18" s="1"/>
  <c r="X14" i="7"/>
  <c r="Z9" i="8"/>
  <c r="X17" i="7"/>
  <c r="Z10" i="8"/>
  <c r="X28" i="7"/>
  <c r="V100" i="7"/>
  <c r="C42" i="17"/>
  <c r="Y9" i="8"/>
  <c r="Y10" i="8"/>
  <c r="Y11" i="8"/>
  <c r="Y12" i="8"/>
  <c r="W100" i="7"/>
  <c r="D42" i="17"/>
  <c r="AJ100" i="7"/>
  <c r="AJ28" i="7"/>
  <c r="AJ17" i="7"/>
  <c r="AJ14" i="7"/>
  <c r="E28" i="6"/>
  <c r="Q12" i="8" s="1"/>
  <c r="L52" i="5"/>
  <c r="L14" i="5"/>
  <c r="L17" i="5"/>
  <c r="AG28" i="5"/>
  <c r="AG17" i="5"/>
  <c r="AG52" i="5"/>
  <c r="I14" i="5"/>
  <c r="I17" i="5"/>
  <c r="AD34" i="5"/>
  <c r="I63" i="5"/>
  <c r="L28" i="5"/>
  <c r="AG25" i="5"/>
  <c r="AG14" i="5"/>
  <c r="L63" i="5"/>
  <c r="D63" i="58"/>
  <c r="D58" i="58"/>
  <c r="I5" i="18"/>
  <c r="E53" i="58"/>
  <c r="D53" i="58"/>
  <c r="F53" i="58"/>
  <c r="AJ34" i="7"/>
  <c r="Z13" i="8"/>
  <c r="AJ25" i="7"/>
  <c r="Z11" i="8"/>
  <c r="O94" i="7"/>
  <c r="E34" i="6"/>
  <c r="Q13" i="8" s="1"/>
  <c r="AD52" i="5"/>
  <c r="N21" i="8"/>
  <c r="AG34" i="5"/>
  <c r="M13" i="8"/>
  <c r="L34" i="5"/>
  <c r="I34" i="5"/>
  <c r="I28" i="5"/>
  <c r="N12" i="8"/>
  <c r="I25" i="5"/>
  <c r="N11" i="8"/>
  <c r="E10" i="17"/>
  <c r="E54" i="9"/>
  <c r="F34" i="6"/>
  <c r="R13" i="8" s="1"/>
  <c r="F28" i="6"/>
  <c r="R12" i="8" s="1"/>
  <c r="N9" i="8"/>
  <c r="N10" i="8"/>
  <c r="Z12" i="8"/>
  <c r="J9" i="29"/>
  <c r="J17" i="29" s="1"/>
  <c r="J27" i="8"/>
  <c r="J30" i="8" s="1"/>
  <c r="H17" i="29"/>
  <c r="D17" i="29"/>
  <c r="G17" i="29"/>
  <c r="I17" i="29"/>
  <c r="C11" i="17"/>
  <c r="C10" i="17"/>
  <c r="C5" i="17"/>
  <c r="C23" i="18"/>
  <c r="C22" i="18" s="1"/>
  <c r="G5" i="8"/>
  <c r="C18" i="17"/>
  <c r="G14" i="8"/>
  <c r="W35" i="7"/>
  <c r="W94" i="7" s="1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R35" i="6"/>
  <c r="H35" i="5"/>
  <c r="M7" i="8"/>
  <c r="C39" i="17"/>
  <c r="M3" i="8"/>
  <c r="K35" i="6"/>
  <c r="K58" i="6" s="1"/>
  <c r="S35" i="6"/>
  <c r="S58" i="6" s="1"/>
  <c r="P4" i="8"/>
  <c r="AI35" i="7"/>
  <c r="AI94" i="7" s="1"/>
  <c r="AH35" i="7"/>
  <c r="AH94" i="7" s="1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D25" i="6"/>
  <c r="D28" i="6"/>
  <c r="P12" i="8" s="1"/>
  <c r="M9" i="8"/>
  <c r="M11" i="8"/>
  <c r="AF35" i="5"/>
  <c r="V35" i="7"/>
  <c r="V94" i="7" s="1"/>
  <c r="AC35" i="5"/>
  <c r="AC65" i="5" s="1"/>
  <c r="AA29" i="8" l="1"/>
  <c r="F29" i="8" s="1"/>
  <c r="F100" i="7"/>
  <c r="E94" i="7"/>
  <c r="O27" i="30"/>
  <c r="M30" i="30"/>
  <c r="H30" i="30"/>
  <c r="C30" i="30"/>
  <c r="F30" i="30"/>
  <c r="N30" i="30"/>
  <c r="J30" i="30"/>
  <c r="I30" i="30"/>
  <c r="D30" i="30"/>
  <c r="E30" i="30"/>
  <c r="K30" i="30"/>
  <c r="L30" i="30"/>
  <c r="G30" i="30"/>
  <c r="E9" i="8"/>
  <c r="AA11" i="8"/>
  <c r="D4" i="8"/>
  <c r="O13" i="8"/>
  <c r="O10" i="8"/>
  <c r="O12" i="8"/>
  <c r="G27" i="18"/>
  <c r="X100" i="7"/>
  <c r="E21" i="8"/>
  <c r="D38" i="17" s="1"/>
  <c r="AA13" i="8"/>
  <c r="E42" i="17"/>
  <c r="B37" i="30" s="1"/>
  <c r="Z29" i="8"/>
  <c r="E29" i="8" s="1"/>
  <c r="D53" i="17"/>
  <c r="D51" i="17" s="1"/>
  <c r="H27" i="18"/>
  <c r="AA12" i="8"/>
  <c r="AA10" i="8"/>
  <c r="AA9" i="8"/>
  <c r="E12" i="8"/>
  <c r="E10" i="8"/>
  <c r="O11" i="8"/>
  <c r="O9" i="8"/>
  <c r="E55" i="58"/>
  <c r="D31" i="17" s="1"/>
  <c r="H4" i="18" s="1"/>
  <c r="D55" i="58"/>
  <c r="F55" i="58"/>
  <c r="E31" i="17" s="1"/>
  <c r="B26" i="30" s="1"/>
  <c r="X94" i="7"/>
  <c r="X35" i="7"/>
  <c r="AJ35" i="7"/>
  <c r="I52" i="5"/>
  <c r="AF65" i="5"/>
  <c r="AG65" i="5" s="1"/>
  <c r="AG35" i="5"/>
  <c r="AD65" i="5"/>
  <c r="AD35" i="5"/>
  <c r="N14" i="8"/>
  <c r="N27" i="8" s="1"/>
  <c r="N30" i="8" s="1"/>
  <c r="E13" i="8"/>
  <c r="K65" i="5"/>
  <c r="L35" i="5"/>
  <c r="E11" i="8"/>
  <c r="I35" i="5"/>
  <c r="E5" i="18"/>
  <c r="E3" i="18" s="1"/>
  <c r="E18" i="18" s="1"/>
  <c r="E30" i="18" s="1"/>
  <c r="E72" i="9"/>
  <c r="E8" i="17"/>
  <c r="E4" i="17" s="1"/>
  <c r="I9" i="18"/>
  <c r="F35" i="6"/>
  <c r="F58" i="6" s="1"/>
  <c r="R14" i="8"/>
  <c r="R27" i="8" s="1"/>
  <c r="R30" i="8" s="1"/>
  <c r="H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C8" i="17"/>
  <c r="C53" i="17"/>
  <c r="D7" i="8"/>
  <c r="C32" i="17" s="1"/>
  <c r="G5" i="18" s="1"/>
  <c r="C22" i="17"/>
  <c r="C7" i="17"/>
  <c r="C4" i="18" s="1"/>
  <c r="Z14" i="8"/>
  <c r="Y29" i="8"/>
  <c r="C15" i="17"/>
  <c r="N58" i="6"/>
  <c r="R58" i="6"/>
  <c r="P58" i="6"/>
  <c r="P3" i="8"/>
  <c r="P5" i="8" s="1"/>
  <c r="M14" i="8"/>
  <c r="M5" i="8"/>
  <c r="Q58" i="6"/>
  <c r="G24" i="18"/>
  <c r="C5" i="18"/>
  <c r="D35" i="6"/>
  <c r="L26" i="30" l="1"/>
  <c r="G26" i="30"/>
  <c r="F26" i="30"/>
  <c r="J26" i="30"/>
  <c r="M26" i="30"/>
  <c r="C26" i="30"/>
  <c r="N26" i="30"/>
  <c r="E26" i="30"/>
  <c r="K26" i="30"/>
  <c r="H26" i="30"/>
  <c r="I26" i="30"/>
  <c r="D26" i="30"/>
  <c r="O30" i="30"/>
  <c r="F11" i="8"/>
  <c r="F10" i="8"/>
  <c r="O21" i="8"/>
  <c r="F21" i="8" s="1"/>
  <c r="E38" i="17" s="1"/>
  <c r="B33" i="30" s="1"/>
  <c r="B36" i="30" s="1"/>
  <c r="F12" i="8"/>
  <c r="D37" i="17"/>
  <c r="H23" i="18"/>
  <c r="H22" i="18" s="1"/>
  <c r="H29" i="18" s="1"/>
  <c r="AA14" i="8"/>
  <c r="AA27" i="8" s="1"/>
  <c r="F9" i="8"/>
  <c r="E53" i="17"/>
  <c r="E51" i="17" s="1"/>
  <c r="I27" i="18"/>
  <c r="AJ94" i="7"/>
  <c r="F94" i="7" s="1"/>
  <c r="O14" i="8"/>
  <c r="I4" i="18"/>
  <c r="E75" i="58"/>
  <c r="E79" i="58"/>
  <c r="D75" i="58"/>
  <c r="D79" i="58"/>
  <c r="F75" i="58"/>
  <c r="F79" i="58"/>
  <c r="F13" i="8"/>
  <c r="L65" i="5"/>
  <c r="I65" i="5"/>
  <c r="E25" i="17"/>
  <c r="E19" i="17"/>
  <c r="Z27" i="8"/>
  <c r="Z30" i="8" s="1"/>
  <c r="E14" i="8"/>
  <c r="D33" i="17" s="1"/>
  <c r="H6" i="18" s="1"/>
  <c r="H3" i="18" s="1"/>
  <c r="M21" i="8"/>
  <c r="M27" i="8" s="1"/>
  <c r="M30" i="8" s="1"/>
  <c r="P14" i="8"/>
  <c r="D13" i="8"/>
  <c r="Y14" i="8"/>
  <c r="C20" i="17"/>
  <c r="D5" i="8"/>
  <c r="C31" i="17" s="1"/>
  <c r="G4" i="18" s="1"/>
  <c r="D29" i="8"/>
  <c r="D3" i="8"/>
  <c r="C4" i="17"/>
  <c r="C3" i="18"/>
  <c r="D58" i="6"/>
  <c r="G25" i="18"/>
  <c r="O26" i="30" l="1"/>
  <c r="E37" i="17"/>
  <c r="I23" i="18"/>
  <c r="I22" i="18" s="1"/>
  <c r="I29" i="18" s="1"/>
  <c r="O27" i="8"/>
  <c r="O30" i="8" s="1"/>
  <c r="H18" i="18"/>
  <c r="H30" i="18" s="1"/>
  <c r="F14" i="8"/>
  <c r="E33" i="17" s="1"/>
  <c r="B28" i="30" s="1"/>
  <c r="D30" i="17"/>
  <c r="D41" i="17" s="1"/>
  <c r="AA30" i="8"/>
  <c r="E27" i="8"/>
  <c r="E30" i="8" s="1"/>
  <c r="D21" i="8"/>
  <c r="C38" i="17" s="1"/>
  <c r="G23" i="18" s="1"/>
  <c r="D14" i="8"/>
  <c r="P27" i="8"/>
  <c r="P30" i="8" s="1"/>
  <c r="C52" i="17"/>
  <c r="C18" i="18"/>
  <c r="C19" i="17"/>
  <c r="C25" i="17"/>
  <c r="Y18" i="8"/>
  <c r="G8" i="18"/>
  <c r="C34" i="17"/>
  <c r="F28" i="30" l="1"/>
  <c r="F32" i="30" s="1"/>
  <c r="F38" i="30" s="1"/>
  <c r="I28" i="30"/>
  <c r="I32" i="30" s="1"/>
  <c r="I38" i="30" s="1"/>
  <c r="D28" i="30"/>
  <c r="D32" i="30" s="1"/>
  <c r="D38" i="30" s="1"/>
  <c r="K28" i="30"/>
  <c r="K32" i="30" s="1"/>
  <c r="K38" i="30" s="1"/>
  <c r="J28" i="30"/>
  <c r="J32" i="30" s="1"/>
  <c r="J38" i="30" s="1"/>
  <c r="N28" i="30"/>
  <c r="N32" i="30" s="1"/>
  <c r="N38" i="30" s="1"/>
  <c r="M28" i="30"/>
  <c r="M32" i="30" s="1"/>
  <c r="M38" i="30" s="1"/>
  <c r="H28" i="30"/>
  <c r="H32" i="30" s="1"/>
  <c r="H38" i="30" s="1"/>
  <c r="C28" i="30"/>
  <c r="E28" i="30"/>
  <c r="E32" i="30" s="1"/>
  <c r="E38" i="30" s="1"/>
  <c r="L28" i="30"/>
  <c r="L32" i="30" s="1"/>
  <c r="L38" i="30" s="1"/>
  <c r="G28" i="30"/>
  <c r="G32" i="30" s="1"/>
  <c r="G38" i="30" s="1"/>
  <c r="B32" i="30"/>
  <c r="B38" i="30" s="1"/>
  <c r="B40" i="30" s="1"/>
  <c r="C3" i="30" s="1"/>
  <c r="F27" i="8"/>
  <c r="F30" i="8" s="1"/>
  <c r="D43" i="17"/>
  <c r="D56" i="17" s="1"/>
  <c r="C33" i="17"/>
  <c r="G6" i="18" s="1"/>
  <c r="I6" i="18"/>
  <c r="I3" i="18" s="1"/>
  <c r="I18" i="18" s="1"/>
  <c r="I30" i="18" s="1"/>
  <c r="E30" i="17"/>
  <c r="E41" i="17" s="1"/>
  <c r="D47" i="17"/>
  <c r="G22" i="18"/>
  <c r="C29" i="18"/>
  <c r="C51" i="17"/>
  <c r="C37" i="17"/>
  <c r="Y27" i="8"/>
  <c r="Y30" i="8" s="1"/>
  <c r="D18" i="8"/>
  <c r="C35" i="17" s="1"/>
  <c r="G9" i="18" s="1"/>
  <c r="O28" i="30" l="1"/>
  <c r="O32" i="30" s="1"/>
  <c r="O38" i="30" s="1"/>
  <c r="C32" i="30"/>
  <c r="C38" i="30" s="1"/>
  <c r="C40" i="30" s="1"/>
  <c r="D3" i="30" s="1"/>
  <c r="D40" i="30" s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" i="30" s="1"/>
  <c r="E47" i="17"/>
  <c r="E43" i="17"/>
  <c r="E56" i="17" s="1"/>
  <c r="C30" i="18"/>
  <c r="G29" i="18"/>
  <c r="G3" i="18"/>
  <c r="G18" i="18" s="1"/>
  <c r="D27" i="8"/>
  <c r="D30" i="8" s="1"/>
  <c r="O40" i="30" l="1"/>
  <c r="G30" i="18"/>
  <c r="C30" i="17"/>
  <c r="C41" i="17" s="1"/>
  <c r="C43" i="17" s="1"/>
  <c r="C56" i="17" l="1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VP piac: 50.000 eFt
VP külterület: 58.309 eFt
LEADER zongora: 8.797 eFT</t>
        </r>
      </text>
    </comment>
  </commentList>
</comments>
</file>

<file path=xl/comments10.xml><?xml version="1.0" encoding="utf-8"?>
<comments xmlns="http://schemas.openxmlformats.org/spreadsheetml/2006/main">
  <authors>
    <author>Felhasználó</author>
  </authors>
  <commentLis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PM-ból</t>
        </r>
      </text>
    </comment>
    <comment ref="G1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12*36 E Ft</t>
        </r>
      </text>
    </comment>
    <comment ref="S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megbízási szerződéssel vannak főállásúak helyett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fénymásoló üzemeltetés 420 ezer FT, bankköltség, postaköltség, ill. rendezvények költségei, melyek a 2018.évben 4975 ezer Ft volt. Idei évben 2623 Eft és  BBK rendezvény 6098 E ft MVÖ a szolgáltatási terv alapján, 10.22 rendezvényterv alapján ez 9135 Eft , szeprtemberi 2 napos rendezvény nincs benne ebben az összegben az tartalékba lett helyezve.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250e Ft bevétellel tervezve
70e Ft továbbszámlázás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1,5 millió Ft bevétellel tervezve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 Ft bevétellel számolva</t>
        </r>
      </text>
    </comment>
    <comment ref="V5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5.3.1 2020-2021 évi kiadás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J6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V8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 2018. terhére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folyóiratok, könyvek:60+16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Kar.naptár:400+100áfa
Koszorú, meghívó: 150+50áfa
Repi anyag: 400+100
Önk.díjak rekláma., prop: 180+50</t>
        </r>
      </text>
    </comment>
    <comment ref="D2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ügyvédi díj:1000+áfa</t>
        </r>
      </text>
    </commen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koncert:78+22
Fogl.eü: 200
Kontroll Audit: 480+30uti+áfa
Bankktg+likvidhitelktg: 3.300eFt
Kommunikációs díja: 12*220=2.640eFt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Járási Hivatal isk. kiváltása - 800M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Út és közmű - 800M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VÜ telephely 800M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Rekreációs terület 800M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Tornaterem építés</t>
        </r>
      </text>
    </comment>
    <comment ref="J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 951eFt</t>
        </r>
      </text>
    </comment>
    <comment ref="M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</t>
        </r>
      </text>
    </comment>
    <comment ref="J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Közbesz.közzétételi díj 8eFt</t>
        </r>
      </text>
    </comment>
    <comment ref="M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közbesz.szakértő 1.535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Támogatás és többlet igény együtt</t>
        </r>
      </text>
    </commen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J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Iskolaeü: 12*43</t>
        </r>
      </text>
    </comment>
    <comment ref="G3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Stefánia pr: 236+64</t>
        </r>
      </text>
    </comment>
    <comment ref="G4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Digitális mérleg: 125+35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Egyéb (400eFT): 
Rákóczi Szöv 100eFt
Kárpátaljai f.nyar 150eFt
Bálványosi Sz.egy 100eFt
Csángó bál 50eFt
</t>
        </r>
      </text>
    </comment>
    <comment ref="F4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MG 2020 terv 3.verzió csökkentve 2.336eFt-tal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AI6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
</t>
        </r>
      </text>
    </comment>
    <comment ref="AI9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 </t>
        </r>
      </text>
    </comment>
  </commentList>
</comments>
</file>

<file path=xl/comments8.xml><?xml version="1.0" encoding="utf-8"?>
<comments xmlns="http://schemas.openxmlformats.org/spreadsheetml/2006/main">
  <authors>
    <author>Felhasználó</author>
  </authors>
  <commentList>
    <comment ref="D6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</commentList>
</comments>
</file>

<file path=xl/comments9.xml><?xml version="1.0" encoding="utf-8"?>
<comments xmlns="http://schemas.openxmlformats.org/spreadsheetml/2006/main">
  <authors>
    <author>Felhasználó</author>
  </authors>
  <commentList>
    <comment ref="G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gar.bérminimum 231 E Ft-ra emelkedik+ NOKS dolgozók 10% pótléka, összeses 4E Ft növekedést eredményez
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2019.10.16-án 704 E a teljesítés</t>
        </r>
      </text>
    </comment>
    <comment ref="G3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Eddig 15. Eft/év volt a ruhapénz, most szeretné a vezető 30 Eft/év/főre módosítani.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normatíva adatokkal tervezve</t>
        </r>
      </text>
    </comment>
    <comment ref="J4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Alba Idea nyomtató karbantartása kb. 9000 Ft/hó</t>
        </r>
      </text>
    </comment>
    <comment ref="J4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450 E Ft bankköltség, 90 E Ft postaköltség</t>
        </r>
      </text>
    </commen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D5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1166 E Ft növekedés, ami a ruhapénz emelése 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</commentList>
</comments>
</file>

<file path=xl/sharedStrings.xml><?xml version="1.0" encoding="utf-8"?>
<sst xmlns="http://schemas.openxmlformats.org/spreadsheetml/2006/main" count="2864" uniqueCount="1071">
  <si>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</si>
  <si>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</si>
  <si>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</si>
  <si>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</si>
  <si>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</si>
  <si>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</si>
  <si>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</si>
  <si>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</si>
  <si>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</si>
  <si>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</si>
  <si>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</si>
  <si>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</si>
  <si>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</si>
  <si>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</si>
  <si>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</si>
  <si>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</si>
  <si>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</si>
  <si>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</si>
  <si>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</si>
  <si>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</si>
  <si>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</si>
  <si>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</si>
  <si>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</si>
  <si>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</si>
  <si>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</si>
  <si>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</si>
  <si>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</si>
  <si>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</si>
  <si>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</si>
  <si>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</si>
  <si>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</si>
  <si>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</si>
  <si>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</si>
  <si>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</si>
  <si>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</si>
  <si>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</si>
  <si>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</si>
  <si>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</si>
  <si>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</si>
  <si>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</si>
  <si>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</si>
  <si>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</si>
  <si>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</si>
  <si>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</si>
  <si>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</si>
  <si>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</si>
  <si>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</si>
  <si>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</si>
  <si>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</si>
  <si>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</si>
  <si>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</si>
  <si>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</si>
  <si>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</si>
  <si>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</si>
  <si>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</si>
  <si>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</si>
  <si>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</si>
  <si>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</si>
  <si>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</si>
  <si>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</si>
  <si>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</si>
  <si>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</si>
  <si>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</si>
  <si>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</si>
  <si>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</si>
  <si>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</si>
  <si>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</si>
  <si>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</si>
  <si>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</si>
  <si>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</si>
  <si>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</si>
  <si>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</si>
  <si>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</si>
  <si>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</si>
  <si>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</si>
  <si>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</si>
  <si>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</si>
  <si>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</si>
  <si>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</si>
  <si>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</si>
  <si>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</si>
  <si>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</si>
  <si>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</si>
  <si>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</si>
  <si>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</si>
  <si>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</si>
  <si>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</si>
  <si>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</si>
  <si>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</si>
  <si>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</si>
  <si>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</si>
  <si>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</si>
  <si>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</si>
  <si>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</si>
  <si>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</si>
  <si>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</si>
  <si>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</si>
  <si>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</si>
  <si>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</si>
  <si>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</si>
  <si>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</si>
  <si>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</si>
  <si>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</si>
  <si>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</si>
  <si>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</si>
  <si>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</si>
  <si>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</si>
  <si>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</si>
  <si>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</si>
  <si>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</si>
  <si>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</si>
  <si>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</si>
  <si>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</si>
  <si>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</si>
  <si>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</si>
  <si>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</si>
  <si>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</si>
  <si>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</si>
  <si>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</si>
  <si>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</si>
  <si>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</si>
  <si>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</si>
  <si>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</si>
  <si>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</si>
  <si>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</si>
  <si>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</si>
  <si>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</si>
  <si>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</si>
  <si>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</si>
  <si>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</si>
  <si>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</si>
  <si>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</si>
  <si>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</si>
  <si>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</si>
  <si>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</si>
  <si>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</si>
  <si>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</si>
  <si>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</si>
  <si>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</si>
  <si>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</si>
  <si>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</si>
  <si>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</si>
  <si>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</si>
  <si>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</si>
  <si>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</si>
  <si>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</si>
  <si>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</si>
  <si>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</si>
  <si>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</si>
  <si>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</si>
  <si>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</si>
  <si>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</si>
  <si>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</si>
  <si>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</si>
  <si>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</si>
  <si>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</si>
  <si>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</si>
  <si>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</si>
  <si>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</si>
  <si>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</si>
  <si>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</si>
  <si>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</si>
  <si>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</si>
  <si>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</si>
  <si>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</si>
  <si>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</si>
  <si>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</si>
  <si>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</si>
  <si>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</si>
  <si>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</si>
  <si>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</si>
  <si>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</si>
  <si>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</si>
  <si>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</si>
  <si>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</si>
  <si>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</si>
  <si>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</si>
  <si>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</si>
  <si>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</si>
  <si>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</si>
  <si>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</si>
  <si>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</si>
  <si>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</si>
  <si>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</si>
  <si>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</si>
  <si>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</si>
  <si>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</si>
  <si>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</si>
  <si>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</si>
  <si>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</si>
  <si>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</si>
  <si>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</si>
  <si>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</si>
  <si>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</si>
  <si>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</si>
  <si>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</si>
  <si>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</si>
  <si>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</si>
  <si>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</si>
  <si>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</si>
  <si>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</si>
  <si>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</si>
  <si>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</si>
  <si>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</si>
  <si>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</si>
  <si>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</si>
  <si>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</si>
  <si>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</si>
  <si>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</si>
  <si>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</si>
  <si>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</si>
  <si>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</si>
  <si>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</si>
  <si>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</si>
  <si>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</si>
  <si>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</si>
  <si>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</si>
  <si>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</si>
  <si>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</si>
  <si>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</si>
  <si>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</si>
  <si>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</si>
  <si>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</si>
  <si>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</si>
  <si>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</si>
  <si>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</si>
  <si>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</si>
  <si>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</si>
  <si>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</si>
  <si>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</si>
  <si>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</si>
  <si>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</si>
  <si>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</si>
  <si>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</si>
  <si>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</si>
  <si>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</si>
  <si>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</si>
  <si>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</si>
  <si>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</si>
  <si>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</si>
  <si>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</si>
  <si>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</si>
  <si>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</si>
  <si>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</si>
  <si>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</si>
  <si>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</si>
  <si>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</si>
  <si>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</si>
  <si>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</si>
  <si>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</si>
  <si>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</si>
  <si>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</si>
  <si>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</si>
  <si>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</si>
  <si>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</si>
  <si>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</si>
  <si>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</si>
  <si>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</si>
  <si>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</si>
  <si>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</si>
  <si>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</si>
  <si>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</si>
  <si>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</si>
  <si>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</si>
  <si>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</si>
  <si>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</si>
  <si>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</si>
  <si>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</si>
  <si>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</si>
  <si>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</si>
  <si>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</si>
  <si>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</si>
  <si>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</si>
  <si>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</si>
  <si>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</si>
  <si>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</si>
  <si>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</si>
  <si>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</si>
  <si>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</si>
  <si>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</si>
  <si>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</si>
  <si>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</si>
  <si>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</si>
  <si>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</si>
  <si>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</si>
  <si>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</si>
  <si>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</si>
  <si>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</si>
  <si>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</si>
  <si>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</si>
  <si>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</si>
  <si>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</si>
  <si>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</si>
  <si>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</si>
  <si>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</si>
  <si>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</si>
  <si>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</si>
  <si>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</si>
  <si>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</si>
  <si>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</si>
  <si>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</si>
  <si>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</si>
  <si>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</si>
  <si>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</si>
  <si>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</si>
  <si>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</si>
  <si>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</si>
  <si>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</si>
  <si>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</si>
  <si>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</si>
  <si>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</si>
  <si>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</si>
  <si>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</si>
  <si>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</si>
  <si>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</si>
  <si>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</si>
  <si>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</si>
  <si>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</si>
  <si>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</si>
  <si>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</si>
  <si>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</si>
  <si>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</si>
  <si>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</si>
  <si>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</si>
  <si>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</si>
  <si>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</si>
  <si>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</si>
  <si>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</si>
  <si>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</si>
  <si>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</si>
  <si>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</si>
  <si>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</si>
  <si>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</si>
  <si>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</si>
  <si>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</si>
  <si>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</si>
  <si>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</si>
  <si>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</si>
  <si>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</si>
  <si>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</si>
  <si>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</si>
  <si>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</si>
  <si>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</si>
  <si>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</si>
  <si>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</si>
  <si>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</si>
  <si>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</si>
  <si>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</si>
  <si>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</si>
  <si>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</si>
  <si>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</si>
  <si>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</si>
  <si>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</si>
  <si>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</si>
  <si>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</si>
  <si>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</si>
  <si>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</si>
  <si>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</si>
  <si>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</si>
  <si>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</si>
  <si>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</si>
  <si>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</si>
  <si>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</si>
  <si>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</si>
  <si>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</si>
  <si>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</si>
  <si>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</si>
  <si>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</si>
  <si>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</si>
  <si>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</si>
  <si>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</si>
  <si>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</si>
  <si>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</si>
  <si>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</si>
  <si>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</si>
  <si>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</si>
  <si>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</si>
  <si>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</si>
  <si>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</si>
  <si>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</si>
  <si>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</si>
  <si>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</si>
  <si>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</si>
  <si>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</si>
  <si>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</si>
  <si>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</si>
  <si>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</si>
  <si>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</si>
  <si>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</si>
  <si>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</si>
  <si>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</si>
  <si>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</si>
  <si>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</si>
  <si>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</si>
  <si>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</si>
  <si>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</si>
  <si>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</si>
  <si>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</si>
  <si>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</si>
  <si>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</si>
  <si>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</si>
  <si>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</si>
  <si>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</si>
  <si>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</si>
  <si>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</si>
  <si>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</si>
  <si>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</si>
  <si>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</si>
  <si>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</si>
  <si>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</si>
  <si>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</si>
  <si>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</si>
  <si>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</si>
  <si>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</si>
  <si>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</si>
  <si>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</si>
  <si>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</si>
  <si>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</si>
  <si>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</si>
  <si>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</si>
  <si>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</si>
  <si>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</si>
  <si>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</si>
  <si>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</si>
  <si>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</si>
  <si>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</si>
  <si>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</si>
  <si>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</si>
  <si>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</si>
  <si>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</si>
  <si>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</si>
  <si>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</si>
  <si>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</si>
  <si>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</si>
  <si>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</si>
  <si>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</si>
  <si>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</si>
  <si>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</si>
  <si>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</si>
  <si>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</si>
  <si>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</si>
  <si>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</si>
  <si>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</si>
  <si>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</si>
  <si>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</si>
  <si>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</si>
  <si>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</si>
  <si>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</si>
  <si>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</si>
  <si>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</si>
  <si>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</si>
  <si>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</si>
  <si>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</si>
  <si>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</si>
  <si>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</si>
  <si>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</si>
  <si>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</si>
  <si>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</si>
  <si>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</si>
  <si>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</si>
  <si>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</si>
  <si>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</si>
  <si>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</si>
  <si>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</si>
  <si>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</si>
  <si>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</si>
  <si>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</si>
  <si>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</si>
  <si>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</si>
  <si>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</si>
  <si>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</si>
  <si>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</si>
  <si>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</si>
  <si>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</si>
  <si>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</si>
  <si>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</si>
  <si>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</si>
  <si>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</si>
  <si>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</si>
  <si>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</si>
  <si>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</si>
  <si>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</si>
  <si>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</si>
  <si>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</si>
  <si>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</si>
  <si>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</si>
  <si>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</si>
  <si>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</si>
  <si>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</si>
  <si>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</si>
  <si>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</si>
  <si>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</si>
  <si>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</si>
  <si>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</si>
  <si>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</si>
  <si>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</si>
  <si>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</si>
  <si>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</si>
  <si>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</si>
  <si>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</si>
  <si>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</si>
  <si>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</si>
  <si>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</si>
  <si>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</si>
  <si>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</si>
  <si>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</si>
  <si>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</si>
  <si>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</si>
  <si>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</si>
  <si>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</si>
  <si>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</si>
  <si>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</si>
  <si>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</si>
  <si>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</si>
  <si>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</si>
  <si>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</si>
  <si>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</si>
  <si>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</si>
  <si>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</si>
  <si>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</si>
  <si>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</si>
  <si>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</si>
  <si>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</si>
  <si>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</si>
  <si>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</si>
  <si>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</si>
  <si>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</si>
  <si>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</si>
  <si>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</si>
  <si>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</si>
  <si>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</si>
  <si>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</si>
  <si>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</si>
  <si>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</si>
  <si>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</si>
  <si>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</si>
  <si>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</si>
  <si>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</si>
  <si>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</si>
  <si>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</si>
  <si>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</si>
  <si>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</si>
  <si>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</si>
  <si>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</si>
  <si>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</si>
  <si>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</si>
  <si>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</si>
  <si>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</si>
  <si>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</si>
  <si>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</si>
  <si>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</si>
  <si>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</si>
  <si>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</si>
  <si>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</si>
  <si>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</si>
  <si>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</si>
  <si>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</si>
  <si>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</si>
  <si>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</si>
  <si>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</si>
  <si>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</si>
  <si>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</si>
  <si>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</si>
  <si>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</si>
  <si>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</si>
  <si>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</si>
  <si>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</si>
  <si>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</si>
  <si>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</si>
  <si>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</si>
  <si>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</si>
  <si>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</si>
  <si>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</si>
  <si>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</si>
  <si>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</si>
  <si>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</si>
  <si>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</si>
  <si>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</si>
  <si>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</si>
  <si>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</si>
  <si>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</si>
  <si>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</si>
  <si>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</si>
  <si>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</si>
  <si>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</si>
  <si>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</si>
  <si>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</si>
  <si>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</si>
  <si>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</si>
  <si>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</si>
  <si>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</si>
  <si>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</si>
  <si>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</si>
  <si>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</si>
  <si>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</si>
  <si>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</si>
  <si>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</si>
  <si>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</si>
  <si>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</si>
  <si>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</si>
  <si>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</si>
  <si>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</si>
  <si>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</si>
  <si>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</si>
  <si>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</si>
  <si>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Általános tartalék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</si>
  <si>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</si>
  <si>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</si>
  <si>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</si>
  <si>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</si>
  <si>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</si>
  <si>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</si>
  <si>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</si>
  <si>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</si>
  <si>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</si>
  <si>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</si>
  <si>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</si>
  <si>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</si>
  <si>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</si>
  <si>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</si>
  <si>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</si>
  <si>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</si>
  <si>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</si>
  <si>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</si>
  <si>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</si>
  <si>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</si>
  <si>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</si>
  <si>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</si>
  <si>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</si>
  <si>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</si>
  <si>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</si>
  <si>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</si>
  <si>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</si>
  <si>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</si>
  <si>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</si>
  <si>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066020- Város- és községgazdálkodás</t>
  </si>
  <si>
    <t>Családi napközi / bölcsőde</t>
  </si>
  <si>
    <t>013350</t>
  </si>
  <si>
    <t>Rendezvények céltartléka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</si>
  <si>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</si>
  <si>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</si>
  <si>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</si>
  <si>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</si>
  <si>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</si>
  <si>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</si>
  <si>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</si>
  <si>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</si>
  <si>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</si>
  <si>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</si>
  <si>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</si>
  <si>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</si>
  <si>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</si>
  <si>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</si>
  <si>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</si>
  <si>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</si>
  <si>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</si>
  <si>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</si>
  <si>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</si>
  <si>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</si>
  <si>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</si>
  <si>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</si>
  <si>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</si>
  <si>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</si>
  <si>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</si>
  <si>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</si>
  <si>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</si>
  <si>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</si>
  <si>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051030</t>
  </si>
  <si>
    <t>013320</t>
  </si>
  <si>
    <t>045150</t>
  </si>
  <si>
    <t>064010</t>
  </si>
  <si>
    <t>066010</t>
  </si>
  <si>
    <t>066020</t>
  </si>
  <si>
    <t>Forgatási célú belföldi értékpapírok beváltása</t>
  </si>
  <si>
    <t>B812</t>
  </si>
  <si>
    <t>Forgatási célú értékpapírok bevátlása</t>
  </si>
  <si>
    <t xml:space="preserve">Tartalék </t>
  </si>
  <si>
    <t>Felhalmozási célú támogatás</t>
  </si>
  <si>
    <t>Piacterület, vásártartás</t>
  </si>
  <si>
    <t>Bölcsöde</t>
  </si>
  <si>
    <t>Fogorvosi szolgáltatás</t>
  </si>
  <si>
    <t>072312</t>
  </si>
  <si>
    <t>104030</t>
  </si>
  <si>
    <t>Polgármesteri illetmény támogatása</t>
  </si>
  <si>
    <t>Gyermekétkeztetés bevétele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</si>
  <si>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</si>
  <si>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</si>
  <si>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</si>
  <si>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</si>
  <si>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</si>
  <si>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</si>
  <si>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</si>
  <si>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</si>
  <si>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</si>
  <si>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</si>
  <si>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Mód.ei.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</si>
  <si>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</si>
  <si>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</si>
  <si>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</si>
  <si>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</si>
  <si>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</si>
  <si>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</si>
  <si>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</si>
  <si>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</si>
  <si>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</si>
  <si>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</si>
  <si>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</si>
  <si>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Fejlesztési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</si>
  <si>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</si>
  <si>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</si>
  <si>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</si>
  <si>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</si>
  <si>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</si>
  <si>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</si>
  <si>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</si>
  <si>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</si>
  <si>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</si>
  <si>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</si>
  <si>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</si>
  <si>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</si>
  <si>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Bevételek összesen</t>
  </si>
  <si>
    <t>Szem jell.</t>
  </si>
  <si>
    <t>Járulék</t>
  </si>
  <si>
    <t>Ber.célú p.e.átadás</t>
  </si>
  <si>
    <t>Műk.célú bevétel</t>
  </si>
  <si>
    <t>Felhalm. Bevétel</t>
  </si>
  <si>
    <t>Felhalm.c.bevétel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</si>
  <si>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</si>
  <si>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</si>
  <si>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</si>
  <si>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</si>
  <si>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</si>
  <si>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</si>
  <si>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</si>
  <si>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</si>
  <si>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</si>
  <si>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</si>
  <si>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</si>
  <si>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</si>
  <si>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</si>
  <si>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</si>
  <si>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</si>
  <si>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</si>
  <si>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</si>
  <si>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</si>
  <si>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</si>
  <si>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</si>
  <si>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</si>
  <si>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</si>
  <si>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</si>
  <si>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</si>
  <si>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</si>
  <si>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</si>
  <si>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</si>
  <si>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</si>
  <si>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Kulturális ill.pótlék</t>
  </si>
  <si>
    <t>Választás (Önkormányzati)</t>
  </si>
  <si>
    <t>VP Piac</t>
  </si>
  <si>
    <t>VP 7.2.1 Külterületi utak</t>
  </si>
  <si>
    <t>Munkáltatói kölcsön visszatérítése</t>
  </si>
  <si>
    <t xml:space="preserve">Óvodai és iskolai szociális segítő tevékenység támogatása </t>
  </si>
  <si>
    <t>VP 7.2.7 (Külterületi út)</t>
  </si>
  <si>
    <t>TOP-3.2.1 Iskolaenergetika</t>
  </si>
  <si>
    <t>Polgárőrség, Rendőrség, Mentőszolgálat és Tűzoltóság  támogatása</t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</si>
  <si>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</si>
  <si>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</si>
  <si>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</si>
  <si>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</si>
  <si>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</si>
  <si>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</si>
  <si>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</si>
  <si>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</si>
  <si>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</si>
  <si>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</si>
  <si>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</si>
  <si>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</si>
  <si>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</si>
  <si>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</si>
  <si>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</si>
  <si>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</si>
  <si>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</si>
  <si>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</si>
  <si>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</si>
  <si>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</si>
  <si>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</si>
  <si>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</si>
  <si>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</si>
  <si>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</si>
  <si>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</si>
  <si>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</si>
  <si>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</si>
  <si>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</si>
  <si>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</si>
  <si>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Tornacsarnok</t>
  </si>
  <si>
    <t>2019. évi módosítás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</si>
  <si>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</si>
  <si>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</si>
  <si>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</si>
  <si>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</si>
  <si>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</si>
  <si>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</si>
  <si>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Kehop-2.2.1 csatorna beruházás</t>
  </si>
  <si>
    <t>2019. évi támogatás eredeti ei.</t>
  </si>
  <si>
    <t>2019. évi módosított támogatás ei.</t>
  </si>
  <si>
    <t>2018/2019 8hó</t>
  </si>
  <si>
    <t>2019/2020 4 hó</t>
  </si>
  <si>
    <t>2018/2019 8 hó</t>
  </si>
  <si>
    <t>Szociális ágazati pótlék</t>
  </si>
  <si>
    <t>052020 Szennyvíz gyűjtése, tisztítása, elhelyezése;
063080 Vízellátással kapcsolatos közmű építése, fenntartása, üzemeltetése</t>
  </si>
  <si>
    <t>084032;
011130</t>
  </si>
  <si>
    <t>Kehop 2.2.1 csatorna</t>
  </si>
  <si>
    <t>Tornacsarnok tervezési különbözet</t>
  </si>
  <si>
    <t>Martongazdának adott előleg</t>
  </si>
  <si>
    <t>Műk.célú pénzeszk.átvétel SZLV TKT és Segítő Szolg.</t>
  </si>
  <si>
    <t>Helyi adóból származó bevételekcél tartaléka</t>
  </si>
  <si>
    <t>Ingatlan értékesítés (Mirrotron)</t>
  </si>
  <si>
    <t>Martonvásár Város Képviselőtestület …../2020 (….) önkormányzati rendelete Martonvásár Város 2020.évi költségvetésének módosításáról</t>
  </si>
  <si>
    <t>Martonvásár Város Önkormányzatának 2020.évi költségvetésének pénzügyi mérlege I.</t>
  </si>
  <si>
    <t>Martonvásár Város Önkormányzatának 2020.évi költségvetésének pénzügyi mérlege II.</t>
  </si>
  <si>
    <t>Martonvásár Város Önkormányzatának 2020. évi bevétele (intézmények nélkül)</t>
  </si>
  <si>
    <t>Martonvásár Város Önkormányzatának 2020. évi átvett pénzeszközei</t>
  </si>
  <si>
    <t>Martonvásár Város Önkormányzatának 2020. évi működési bevételei</t>
  </si>
  <si>
    <t>Martonvásár Város Önkormányzatának 2020. évi  közhatalmi bevételei</t>
  </si>
  <si>
    <t>Martonvásár Város Önkormányzatának 2020. évi normatív támogatásai</t>
  </si>
  <si>
    <t>Martonvásár Város Önkormányzatának 2020. évi kiadásai (intézmények nélkül)</t>
  </si>
  <si>
    <t>Martonvásár Város Önkormányzatának 2020. évi kiadásai - Önkormányzati jogalkotás kormányzati funkció</t>
  </si>
  <si>
    <t>Martonvásár Város Önkormányzatának 2020. évi kiadásai - Városfejlesztési feladatok ellátása saját forrásból</t>
  </si>
  <si>
    <t>Martonvásár Város Önkormányzatának 2020. évi kiadásai - Városfejlesztési feladatok ellátása EU forrásból</t>
  </si>
  <si>
    <t>Martonvásár Város Önkormányzatának 2020. évi kiadásai - Védőnői és eü feladatok ellátása</t>
  </si>
  <si>
    <t>Martonvásár Város Önkormányzatának 2020. évi kiadásai - Szociális feladatok ellátása</t>
  </si>
  <si>
    <t>Martonvásár Város Önkormányzatának 2020. évi kiadásai - Átadott pénzeszközök</t>
  </si>
  <si>
    <t>Martonvásár Város Önkormányzatának 2020. évi kiadásai - Egyéb feladatok ellátása</t>
  </si>
  <si>
    <t>Martonvásári Polgármesteri Hivatal 2020. évi kiadásai</t>
  </si>
  <si>
    <t>Brunszvik Teréz Óvoda 2020. évi kiadásai</t>
  </si>
  <si>
    <t>Brunszvik-Beethoven Kulturális Központ 2020. évi kiadásai</t>
  </si>
  <si>
    <t>Martonvásár Város Önkormányzata és Intézményei  2020. évi létszámkerete</t>
  </si>
  <si>
    <t>2020. évi</t>
  </si>
  <si>
    <t>Nyári diákmunka támogatása</t>
  </si>
  <si>
    <t>Köztisztviselői illetményalap változás támogatása</t>
  </si>
  <si>
    <t>LEADER zongor</t>
  </si>
  <si>
    <t>PH  bevételek (telefon továbbszla)</t>
  </si>
  <si>
    <t xml:space="preserve">Ingatlan értékesítés </t>
  </si>
  <si>
    <t>Települési adó</t>
  </si>
  <si>
    <t>Mezőőri járulék</t>
  </si>
  <si>
    <t>Behajtási engedély, közterület foglalás</t>
  </si>
  <si>
    <t>2020. évi módosítás</t>
  </si>
  <si>
    <t>045120-Útépítés</t>
  </si>
  <si>
    <t>013350- Városüzemeltetési telephely építés</t>
  </si>
  <si>
    <t>066020 - BM támogatás 400M (Brunszvik Terv megvalósítása)</t>
  </si>
  <si>
    <t>EFOP 4.1.8 (Könyvtár)</t>
  </si>
  <si>
    <t>EFOP 4.1.9 (Múzeum)</t>
  </si>
  <si>
    <t>KEHOP 2.1.2 (Csatorna)</t>
  </si>
  <si>
    <t>LEADER VP - zongora</t>
  </si>
  <si>
    <t>K48 - Egyéb nem intézményi ellátások</t>
  </si>
  <si>
    <t>K506 - Egyéb működési célú támogatások áh-n belülre</t>
  </si>
  <si>
    <t>ebből Közterek gondozása</t>
  </si>
  <si>
    <t>ebből Emlékezés tere és épített tartozékai</t>
  </si>
  <si>
    <t>ebből Játszóterek</t>
  </si>
  <si>
    <t>ebből Brunszvik kert</t>
  </si>
  <si>
    <t>ebből Ifipark</t>
  </si>
  <si>
    <t>Épület és létesítményüzemeltetés</t>
  </si>
  <si>
    <t>ebből Beethoven Általános Iskola</t>
  </si>
  <si>
    <t>ebből Egészségház</t>
  </si>
  <si>
    <t>ebből Martongazda telephely, Malom</t>
  </si>
  <si>
    <t>ebből Martongazda telephely, Vásártér</t>
  </si>
  <si>
    <t>ebből Egyéb ingatlanok</t>
  </si>
  <si>
    <t>104035 - 104037 - Gyermekétkeztetés bölcsödében és fogyatékosok nappali intézményében               104037 - Intézményen kívüli gyermekétkeztetés</t>
  </si>
  <si>
    <t>Települési adó bevételből származó többlet tartalék</t>
  </si>
  <si>
    <t>Leader - zongora beszerzés</t>
  </si>
  <si>
    <t>1521/2018. (X.17.) Korm. Határozat szerinti támogatás keretében megvalósuló beruházások</t>
  </si>
  <si>
    <t>1521/2018. (X.17.) Korm. Határozat szerinti támogatás keretében megvalósuló beruházások összesen</t>
  </si>
  <si>
    <t>HÉSZ módosítás</t>
  </si>
  <si>
    <t>Stefánia program (védőnő)</t>
  </si>
  <si>
    <t>Digitális mérleg (védőnő)</t>
  </si>
  <si>
    <t>1521/2018. (X.17.) Korm. Határozat szerinti támogatás keretében megvalósuló felújítások</t>
  </si>
  <si>
    <t>1521/2018. (X.17.) Korm. Határozat szerinti támogatás keretében megvalósuló felújítások összesen</t>
  </si>
  <si>
    <t>Kulturális illetménypótlék</t>
  </si>
  <si>
    <t>013350- Az önkormányzati vagyonnal való gazdálkodással kapcsolatos feladat (saját forrás)</t>
  </si>
  <si>
    <t xml:space="preserve">074040 - Fertőző megbetegedések megelőzése, járványügyi ellátás  </t>
  </si>
  <si>
    <t>013350- Az önkormányzati vagyonnal való gazdálkodással kapcsolatos feladat (Tornaterem)</t>
  </si>
  <si>
    <t>Hátralékok behajtása, adós letéti bevétel</t>
  </si>
  <si>
    <t>Letétre kapott bevételek</t>
  </si>
  <si>
    <t>PH házasságkötés bevétele</t>
  </si>
  <si>
    <t>Tölcséres hangsugárzó (vészhelyzeti kiadás)</t>
  </si>
  <si>
    <t>Acél kétszárnyas kapu (Egészségházhoz)</t>
  </si>
  <si>
    <t>Ingatlan vásárlásra átadott óvadéki összeg (218.hrsz)</t>
  </si>
  <si>
    <t>Óvodamúzeum Emlékszoba ablakainak UV védelemmel való ellátása</t>
  </si>
  <si>
    <t>045160</t>
  </si>
  <si>
    <t>Közutak, hidak üzemeltetése</t>
  </si>
  <si>
    <t>Módosított előirányzat II.</t>
  </si>
  <si>
    <t>2020. évi módosított ei. II.</t>
  </si>
  <si>
    <t>Mód.ei. II.</t>
  </si>
  <si>
    <t>066020- Város- és községgazdálkodás (saját forrás)</t>
  </si>
  <si>
    <t>Szőlők és gyümölcsösök támogatási tartaléka</t>
  </si>
  <si>
    <t>Szőlők és gyümölcsösök támogatási tartalék</t>
  </si>
  <si>
    <t>Térfigyelő rendszer bővítése</t>
  </si>
  <si>
    <t>K312 - Üzemeltetési anyagok beszerzése</t>
  </si>
  <si>
    <t>K337 - Egyéb szolgáltatások</t>
  </si>
  <si>
    <t>K351 - Működési célú előzetesen felszámított ÁFA</t>
  </si>
  <si>
    <t>Útjelző táblák beszerzése</t>
  </si>
  <si>
    <t>Viziközmű fejlesztési ct.</t>
  </si>
  <si>
    <t>Viziközmű fejlesztési céltartalék</t>
  </si>
  <si>
    <t>Veszélyhelyzeti tartalék</t>
  </si>
  <si>
    <t>MARTONGAZDA 2020 ÜTEMEZÉS</t>
  </si>
  <si>
    <t>Augusztus</t>
  </si>
  <si>
    <t>2./ HELYI KÖZÖSSÉGI KÖZLEKEDÉS</t>
  </si>
  <si>
    <t>3./ ÚT, JÁRDA KARBANTARTÁS</t>
  </si>
  <si>
    <t>4./ KÖZVILÁGÍTÁS</t>
  </si>
  <si>
    <t>5./ KÖZTEMETŐ</t>
  </si>
  <si>
    <t>6./ ZÖLDFELÜLETEK</t>
  </si>
  <si>
    <t>6.1/ KÖZTEREK GONDOZÁSA</t>
  </si>
  <si>
    <t>6.2/ EMLÉKEZÉS TERE ÉS ÉPÍTETT TARTOZÉKAI</t>
  </si>
  <si>
    <t>6.3/ JÁTSZÓTEREK</t>
  </si>
  <si>
    <t>6.4/ BRUNSZVIK KERT</t>
  </si>
  <si>
    <t>6.5/ IFIPARK</t>
  </si>
  <si>
    <t>7./ TELEPÜLÉSI HULLADÉKGAZDÁKODÁS</t>
  </si>
  <si>
    <t>8./ VÁSÁRTARTÁS</t>
  </si>
  <si>
    <t>9./ ÉPÜLET- ÉS LÉTESÍTMÉNYÜZEMELTETÉS, RENDEZVÉNYKISZOLGÁLÁS</t>
  </si>
  <si>
    <t>9.1/ VÁROSHÁZA</t>
  </si>
  <si>
    <t>9.2/ BRUNSZVIK TERÉZ ÓVODA</t>
  </si>
  <si>
    <t>9.3/ BEETHOVEN ÁLTALÁNOS ISKOLA</t>
  </si>
  <si>
    <t>9.5/ MARTONGAZDA MALOM TELEPHELY</t>
  </si>
  <si>
    <t>9.6/ BRUNSZVIK-BEETHOVEN KÖZÖSSÉGI HÁZ</t>
  </si>
  <si>
    <t>9.7/ ÓVODAMÚZEUM</t>
  </si>
  <si>
    <t>9.8/ KÖNYVTÁR</t>
  </si>
  <si>
    <t>9.11/ EGÉSZSÉGHÁZ</t>
  </si>
  <si>
    <t>9.14/ MARTONGAZDA TELEPHELY VÁSÁRTÉR</t>
  </si>
  <si>
    <t>9.15/ EGYÉB INGATLANOK</t>
  </si>
  <si>
    <t>Tájékoztató 1</t>
  </si>
  <si>
    <t>Martongazda Nonprofit Kft 2020.évi átadott pénzeszközök részletezése</t>
  </si>
  <si>
    <t>Martongazda Kft. Ei. Csökkentése</t>
  </si>
  <si>
    <t>Anyakönyvvezetői díjra ei. Képzése</t>
  </si>
  <si>
    <t>Tanácsadó költségére ei. Képzés</t>
  </si>
  <si>
    <t>Kamarai tagdíj kiadásra átcsoportosítás</t>
  </si>
  <si>
    <t>Martongazda Kft..ei. Kompenzálása</t>
  </si>
  <si>
    <t>Átcsoportosítás vállalkozási szerződés szerinti SNI fejlesztésre</t>
  </si>
  <si>
    <t>Könyvtári állománygyarapítás normatíva 10% átadása önkormányzati tartalékba</t>
  </si>
  <si>
    <t>Intézmény megszűntetés miatt ei. elvonása</t>
  </si>
  <si>
    <t>TOP páláyzat intézményi előírányzatainak elvonása Önk. tartalékba helyezése</t>
  </si>
  <si>
    <t>Plusz finanszírozás személyi kiadásokra megszűnt vezetői kinevezés miatt</t>
  </si>
  <si>
    <t>Könyvtári Érdekeltségnövelő támogatás</t>
  </si>
  <si>
    <t>előírányzatok rendezése intézményi záráshoz</t>
  </si>
  <si>
    <t>Módosított ei. II.</t>
  </si>
  <si>
    <t>Módosított ei.III.</t>
  </si>
  <si>
    <t>Módosított előirányzat III.</t>
  </si>
  <si>
    <t>Módosított ei. III</t>
  </si>
  <si>
    <t>2020. évi módosított ei. III.</t>
  </si>
  <si>
    <t>Mód.ei. II</t>
  </si>
  <si>
    <t>Mód.ei. III.</t>
  </si>
  <si>
    <t>Mód ei. II.</t>
  </si>
  <si>
    <t>Mód. ei. II</t>
  </si>
  <si>
    <t>Módosított előirányzat II</t>
  </si>
  <si>
    <t>2020. évi módosított létszám II. (fő)</t>
  </si>
  <si>
    <t>2020. évi módosított létszám III.</t>
  </si>
  <si>
    <t>65/2020</t>
  </si>
  <si>
    <t>Klíma beszerzés orvosi rendelőkbe fejl.tart terhére</t>
  </si>
  <si>
    <t>Klíma beszerzése (orvosi rendelők)</t>
  </si>
  <si>
    <t>66/2020</t>
  </si>
  <si>
    <t>Régészeti megfigyelés Térségi Szolg.ház építésénél fejl.tart.terhére</t>
  </si>
  <si>
    <t>67/2020</t>
  </si>
  <si>
    <t>Térfigyelő rendszer karbantartása fejl.tart terhére</t>
  </si>
  <si>
    <t>68/2020</t>
  </si>
  <si>
    <t>Téli rezsicsökkentés visszafizetése miatti kamat fizetésre átcsoportosítás egyéb szolgáltatásról</t>
  </si>
  <si>
    <t>74/2020</t>
  </si>
  <si>
    <t>Fertőtlenítő szer VH tartalék terhére</t>
  </si>
  <si>
    <t>78/2020</t>
  </si>
  <si>
    <t>Viziközmű csatl.kvóta értékesítése, fejl.tart.helyezése</t>
  </si>
  <si>
    <t>Viziközmű csatlakozási kvóta értékesítése</t>
  </si>
  <si>
    <t>81/2020</t>
  </si>
  <si>
    <t>Martonvásári Fúvószenei Egyesület műk.támogatása ált.tart.terhére</t>
  </si>
  <si>
    <t>83/2020</t>
  </si>
  <si>
    <t>93/2020</t>
  </si>
  <si>
    <t>Ei.átcsoportosítás dologi kiadásokról ingatlan beruházásra (800M)</t>
  </si>
  <si>
    <t>85/2020</t>
  </si>
  <si>
    <t>PH int.fin átadás önkorm.tanácsadó ktgtérítésére fejl.tart terhére</t>
  </si>
  <si>
    <t>87/2020</t>
  </si>
  <si>
    <t>Kossuth tér geodéziai felmérése fej.tart terhére</t>
  </si>
  <si>
    <t>88/2020</t>
  </si>
  <si>
    <t>Talajvizsgálati jelentés, Kossuth tér, fejl.tart.terhére</t>
  </si>
  <si>
    <t>89/2020</t>
  </si>
  <si>
    <t>182 hrsz kerítés és Orbánhegyi út nyomvonalának kitűzése fejl.tart.terhére</t>
  </si>
  <si>
    <t>91/2020</t>
  </si>
  <si>
    <t>Közbeszerzési eljárás ellenőrzési díj fejl.tart.terhére</t>
  </si>
  <si>
    <t>Szőlőült, gyümölcsösök támogatása</t>
  </si>
  <si>
    <t>92/2020</t>
  </si>
  <si>
    <t>Szőlőültetvények és gyümölcsösök támogatása ált.tart és szőlőült.tart terhére</t>
  </si>
  <si>
    <t>HÉSZ szerződés módosítása fejl.tart.terhére</t>
  </si>
  <si>
    <t>082030</t>
  </si>
  <si>
    <t>Tánc</t>
  </si>
  <si>
    <t>082044</t>
  </si>
  <si>
    <t>Könyvtár</t>
  </si>
  <si>
    <t>082061</t>
  </si>
  <si>
    <t>Óvodamúzeum</t>
  </si>
  <si>
    <t>082091</t>
  </si>
  <si>
    <t>Közművelődés</t>
  </si>
  <si>
    <t>95/2020</t>
  </si>
  <si>
    <t>BBK megszűntetése miatti int.fin elvonása, Martonsport Kft pénzeszköz átadása</t>
  </si>
  <si>
    <t>96/2020</t>
  </si>
  <si>
    <t>Martongazda Kft eredeti ei és üzleti terv közötti eltérés rendezése</t>
  </si>
  <si>
    <t>98/2020</t>
  </si>
  <si>
    <t>BBK TOP pályázati bevétel átvétele és kiadási ei.rendezése</t>
  </si>
  <si>
    <t>BBK TOP pályázati pénz átvétele</t>
  </si>
  <si>
    <t>TOP 5.3.1 - BBK (Helyi identitás)</t>
  </si>
  <si>
    <t>100/2020</t>
  </si>
  <si>
    <t>BBK int.fin intézményvezető jutalmára ált.tart terhére</t>
  </si>
  <si>
    <t>Önkormányzati - élelmezési tartalék</t>
  </si>
  <si>
    <t>107/2020</t>
  </si>
  <si>
    <t>Gyermekétkeztetés megtakarításból élelmezési tartalék képzése</t>
  </si>
  <si>
    <t>Közművelődés, könyvtári tevékenység (BBK)</t>
  </si>
  <si>
    <t>109/2020</t>
  </si>
  <si>
    <t>Könyvtári állománygyarapítás miatti BBK int.fin elvonás</t>
  </si>
  <si>
    <t>110/2020</t>
  </si>
  <si>
    <t>Közfoglalkoztatási támogatás bér kifizetéshez</t>
  </si>
  <si>
    <t>Könyvtári érdekeltségnövelő támogatás</t>
  </si>
  <si>
    <t>B111</t>
  </si>
  <si>
    <t>Költségvetési támogatások (bérkomp, szoc.ág, kult.pótl, könyvtári érd.növ) és átadása TKTnak, int.fin</t>
  </si>
  <si>
    <t>113/2020</t>
  </si>
  <si>
    <t>ÁHT-n kívülről átvett pénzeszközök fejlesztési tart.helyezése</t>
  </si>
  <si>
    <t>Infrastruktúra fejlesztésre átvett pénzeszköz ÁHT-n kívülről</t>
  </si>
  <si>
    <t>114/2020</t>
  </si>
  <si>
    <t>OEP támogatás eü.szakdolgozók egyszeri juttatása</t>
  </si>
  <si>
    <t>Karanténban lévők ellátásására átcsoportosítás ellátottak pénzbeli juttatásairól</t>
  </si>
  <si>
    <t>115/2020, 116/2020</t>
  </si>
  <si>
    <t>118/2020</t>
  </si>
  <si>
    <t>Laborhoz kapcsolodó megbíz.díj átcsop egyéb szolgáltatásra</t>
  </si>
  <si>
    <t>111/2020, 112/2020, 132/2020</t>
  </si>
  <si>
    <t>136/2020</t>
  </si>
  <si>
    <t>BBK megszűntetése miatt int.fin emelés (bankszámla zárás) ált.tart.terhére</t>
  </si>
  <si>
    <t>Tájékoztató 2</t>
  </si>
  <si>
    <t>MartonSport Nonprofit Kft 2020.évi átadott pénzeszközök részletezése</t>
  </si>
  <si>
    <t>MARTONSPORT 2020 ÜTEMEZÉS</t>
  </si>
  <si>
    <t>Közművelődés - 082091</t>
  </si>
  <si>
    <t>Óvodamúzeum - 082061</t>
  </si>
  <si>
    <t>Könyvtár - 082044</t>
  </si>
  <si>
    <t>Tánc - 082030</t>
  </si>
  <si>
    <t xml:space="preserve">az államháztartásról szóló 2011. évi CXCV. Törvény az  102.  § (3) bekezdésében foglalt előírások alapján </t>
  </si>
  <si>
    <t>2018.évi teljesített ei.</t>
  </si>
  <si>
    <t>2019. évi módosított (várható) előirányzat</t>
  </si>
  <si>
    <t>2020. évi eredeti előirányzat</t>
  </si>
  <si>
    <t>Forgatási  célú értékpapírok beváltása</t>
  </si>
  <si>
    <t>ÁH-n belüli megelőlegezések</t>
  </si>
  <si>
    <t>Áh-n belüli megelőlegezések visszafizetése</t>
  </si>
  <si>
    <t>Felhalmozási célú tám. Áh belülről</t>
  </si>
  <si>
    <t>Likvid hitel törlesztése</t>
  </si>
  <si>
    <t>Viziközmű hitel törlesztése</t>
  </si>
  <si>
    <t>Kötvény törlesztése</t>
  </si>
  <si>
    <t>Felhalmozási tartalék</t>
  </si>
  <si>
    <t>Pályázatok (e Ft-ban)</t>
  </si>
  <si>
    <t>Beérkezett pályázati támogatás 2016-tól</t>
  </si>
  <si>
    <t>Önerő</t>
  </si>
  <si>
    <t>Kamat-bevétel</t>
  </si>
  <si>
    <t>Összes bevétel (2+3+4)</t>
  </si>
  <si>
    <t>Kiadások 2018-ig teljesítve</t>
  </si>
  <si>
    <t>Kiadások 2019-ig teljesítve</t>
  </si>
  <si>
    <t>2020. évre áthúzódó feladatok (5-(6+7))</t>
  </si>
  <si>
    <t>2020. évi várható támogatás</t>
  </si>
  <si>
    <t>2020. évi önerő</t>
  </si>
  <si>
    <t>2020. évi kiadások (8+9+10)</t>
  </si>
  <si>
    <t>TOP-2.1.2 Zöld Város</t>
  </si>
  <si>
    <t>TOP-4.1.1 Egészségház</t>
  </si>
  <si>
    <t>EFOP-4.1.8 Könyvtár</t>
  </si>
  <si>
    <t>EFOP-4.1.9 Múzeum</t>
  </si>
  <si>
    <t>TOP-5.3.1 Helyi identitás</t>
  </si>
  <si>
    <t>VP-külterületi utak</t>
  </si>
  <si>
    <t>VP-helyi piac</t>
  </si>
  <si>
    <t xml:space="preserve">TOP-3.2.1 Iskola </t>
  </si>
  <si>
    <t xml:space="preserve">NGM tám. 800M </t>
  </si>
  <si>
    <t xml:space="preserve">BM Brunszvik Terv 400M </t>
  </si>
  <si>
    <t>Tornaterem felújítás</t>
  </si>
  <si>
    <t>LEADER (zongora besz.)</t>
  </si>
  <si>
    <r>
      <t xml:space="preserve">TOP-5.3.1 </t>
    </r>
    <r>
      <rPr>
        <b/>
        <sz val="12"/>
        <color theme="1"/>
        <rFont val="Times New Roman"/>
        <family val="1"/>
        <charset val="238"/>
      </rPr>
      <t>BBK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</si>
</sst>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71" formatCode="_-* #,##0.00\ _F_t_-;\-* #,##0.00\ _F_t_-;_-* &quot;-&quot;??\ _F_t_-;_-@_-"/>
    <numFmt numFmtId="172" formatCode="#,##0\ &quot;Ft&quot;"/>
  </numFmts>
  <fonts count="8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</font>
    <font>
      <sz val="12"/>
      <color rgb="FF000000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lightUp"/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84" fillId="0" borderId="0"/>
    <xf numFmtId="171" fontId="84" fillId="0" borderId="0" applyFont="0" applyFill="0" applyBorder="0" applyAlignment="0" applyProtection="0"/>
    <xf numFmtId="0" fontId="84" fillId="0" borderId="0"/>
    <xf numFmtId="0" fontId="84" fillId="0" borderId="0"/>
  </cellStyleXfs>
  <cellXfs count="1578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6" fillId="0" borderId="44" xfId="0" applyFont="1" applyBorder="1"/>
    <xf numFmtId="3" fontId="36" fillId="0" borderId="46" xfId="0" applyNumberFormat="1" applyFont="1" applyBorder="1"/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0" fontId="5" fillId="0" borderId="0" xfId="43" applyFont="1" applyFill="1"/>
    <xf numFmtId="0" fontId="5" fillId="0" borderId="0" xfId="43" applyFont="1"/>
    <xf numFmtId="0" fontId="69" fillId="0" borderId="16" xfId="0" applyFont="1" applyBorder="1" applyAlignment="1">
      <alignment horizontal="center" vertical="center"/>
    </xf>
    <xf numFmtId="0" fontId="73" fillId="0" borderId="0" xfId="43" applyFont="1"/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3" fillId="33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3" fillId="0" borderId="0" xfId="43" applyFont="1"/>
    <xf numFmtId="167" fontId="5" fillId="0" borderId="0" xfId="98" applyNumberFormat="1" applyFont="1"/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5" fillId="0" borderId="1" xfId="43" applyNumberFormat="1" applyFont="1" applyFill="1" applyBorder="1"/>
    <xf numFmtId="0" fontId="5" fillId="0" borderId="20" xfId="43" applyFont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49" fontId="3" fillId="0" borderId="38" xfId="43" applyNumberFormat="1" applyFont="1" applyBorder="1"/>
    <xf numFmtId="3" fontId="5" fillId="0" borderId="1" xfId="43" applyNumberFormat="1" applyFont="1" applyBorder="1" applyAlignment="1">
      <alignment horizontal="right" vertical="center" wrapText="1"/>
    </xf>
    <xf numFmtId="3" fontId="5" fillId="0" borderId="1" xfId="43" applyNumberFormat="1" applyFont="1" applyFill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33" borderId="19" xfId="4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3" fillId="0" borderId="8" xfId="1" applyNumberFormat="1" applyFont="1" applyBorder="1"/>
    <xf numFmtId="3" fontId="3" fillId="0" borderId="38" xfId="1" applyNumberFormat="1" applyFont="1" applyBorder="1"/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99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29" fillId="0" borderId="21" xfId="0" applyFont="1" applyBorder="1"/>
    <xf numFmtId="3" fontId="30" fillId="0" borderId="8" xfId="0" applyNumberFormat="1" applyFont="1" applyFill="1" applyBorder="1"/>
    <xf numFmtId="0" fontId="29" fillId="0" borderId="8" xfId="0" applyFont="1" applyBorder="1"/>
    <xf numFmtId="0" fontId="29" fillId="0" borderId="38" xfId="0" applyFont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5" fillId="0" borderId="0" xfId="43" applyNumberFormat="1" applyFont="1"/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0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0" fillId="0" borderId="2" xfId="0" applyNumberFormat="1" applyFont="1" applyBorder="1"/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3" fillId="0" borderId="15" xfId="42" applyFont="1" applyBorder="1" applyAlignment="1">
      <alignment horizontal="center" wrapText="1"/>
    </xf>
    <xf numFmtId="0" fontId="2" fillId="0" borderId="25" xfId="42" applyFont="1" applyBorder="1"/>
    <xf numFmtId="0" fontId="3" fillId="0" borderId="23" xfId="42" applyFont="1" applyBorder="1" applyAlignment="1">
      <alignment vertical="center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29" fillId="21" borderId="21" xfId="0" applyFont="1" applyFill="1" applyBorder="1" applyAlignment="1" applyProtection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 wrapText="1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 applyProtection="1">
      <alignment wrapText="1"/>
    </xf>
    <xf numFmtId="0" fontId="31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3" fontId="31" fillId="0" borderId="1" xfId="0" applyNumberFormat="1" applyFont="1" applyFill="1" applyBorder="1"/>
    <xf numFmtId="3" fontId="5" fillId="0" borderId="1" xfId="98" applyNumberFormat="1" applyFont="1" applyFill="1" applyBorder="1" applyAlignment="1">
      <alignment horizontal="right" wrapText="1"/>
    </xf>
    <xf numFmtId="3" fontId="5" fillId="0" borderId="1" xfId="98" applyNumberFormat="1" applyFont="1" applyBorder="1" applyAlignment="1">
      <alignment horizontal="right" wrapText="1"/>
    </xf>
    <xf numFmtId="3" fontId="5" fillId="0" borderId="1" xfId="98" applyNumberFormat="1" applyFont="1" applyBorder="1" applyAlignment="1">
      <alignment horizontal="right" vertical="center" wrapText="1"/>
    </xf>
    <xf numFmtId="3" fontId="5" fillId="0" borderId="1" xfId="98" applyNumberFormat="1" applyFont="1" applyFill="1" applyBorder="1" applyAlignment="1">
      <alignment horizontal="right" vertical="center" wrapText="1"/>
    </xf>
    <xf numFmtId="3" fontId="3" fillId="0" borderId="62" xfId="50" applyNumberFormat="1" applyFont="1" applyBorder="1"/>
    <xf numFmtId="3" fontId="13" fillId="0" borderId="6" xfId="0" applyNumberFormat="1" applyFont="1" applyFill="1" applyBorder="1" applyAlignment="1" applyProtection="1">
      <alignment horizontal="right"/>
    </xf>
    <xf numFmtId="3" fontId="4" fillId="0" borderId="8" xfId="42" applyNumberFormat="1" applyFont="1" applyFill="1" applyBorder="1"/>
    <xf numFmtId="3" fontId="2" fillId="0" borderId="24" xfId="42" applyNumberFormat="1" applyFont="1" applyBorder="1"/>
    <xf numFmtId="3" fontId="5" fillId="0" borderId="24" xfId="42" applyNumberFormat="1" applyFont="1" applyFill="1" applyBorder="1"/>
    <xf numFmtId="3" fontId="3" fillId="0" borderId="22" xfId="42" applyNumberFormat="1" applyFont="1" applyBorder="1"/>
    <xf numFmtId="3" fontId="2" fillId="0" borderId="24" xfId="42" applyNumberFormat="1" applyFont="1" applyBorder="1" applyAlignment="1">
      <alignment horizontal="right"/>
    </xf>
    <xf numFmtId="3" fontId="3" fillId="0" borderId="24" xfId="42" applyNumberFormat="1" applyFont="1" applyBorder="1"/>
    <xf numFmtId="3" fontId="4" fillId="0" borderId="24" xfId="42" applyNumberFormat="1" applyFont="1" applyBorder="1" applyAlignment="1">
      <alignment horizontal="right"/>
    </xf>
    <xf numFmtId="3" fontId="2" fillId="0" borderId="22" xfId="42" applyNumberFormat="1" applyFont="1" applyBorder="1" applyAlignment="1">
      <alignment horizontal="right"/>
    </xf>
    <xf numFmtId="0" fontId="5" fillId="0" borderId="82" xfId="50" applyFont="1" applyBorder="1"/>
    <xf numFmtId="3" fontId="3" fillId="0" borderId="61" xfId="5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40" xfId="50" applyFont="1" applyFill="1" applyBorder="1"/>
    <xf numFmtId="0" fontId="36" fillId="0" borderId="4" xfId="0" applyFont="1" applyFill="1" applyBorder="1" applyAlignment="1">
      <alignment horizontal="left" vertical="center" wrapText="1"/>
    </xf>
    <xf numFmtId="167" fontId="30" fillId="0" borderId="2" xfId="98" applyNumberFormat="1" applyFont="1" applyBorder="1"/>
    <xf numFmtId="3" fontId="29" fillId="0" borderId="3" xfId="0" applyNumberFormat="1" applyFont="1" applyBorder="1"/>
    <xf numFmtId="3" fontId="29" fillId="0" borderId="32" xfId="0" applyNumberFormat="1" applyFont="1" applyBorder="1"/>
    <xf numFmtId="3" fontId="30" fillId="0" borderId="58" xfId="0" applyNumberFormat="1" applyFont="1" applyBorder="1"/>
    <xf numFmtId="0" fontId="30" fillId="0" borderId="58" xfId="0" applyFont="1" applyBorder="1"/>
    <xf numFmtId="3" fontId="30" fillId="0" borderId="25" xfId="0" applyNumberFormat="1" applyFont="1" applyBorder="1"/>
    <xf numFmtId="3" fontId="29" fillId="0" borderId="47" xfId="0" applyNumberFormat="1" applyFont="1" applyBorder="1"/>
    <xf numFmtId="3" fontId="76" fillId="0" borderId="1" xfId="0" applyNumberFormat="1" applyFont="1" applyBorder="1"/>
    <xf numFmtId="3" fontId="5" fillId="0" borderId="0" xfId="0" applyNumberFormat="1" applyFont="1" applyBorder="1"/>
    <xf numFmtId="3" fontId="3" fillId="0" borderId="21" xfId="0" applyNumberFormat="1" applyFont="1" applyBorder="1"/>
    <xf numFmtId="49" fontId="30" fillId="0" borderId="18" xfId="0" applyNumberFormat="1" applyFont="1" applyBorder="1" applyAlignment="1">
      <alignment vertical="center" wrapText="1"/>
    </xf>
    <xf numFmtId="3" fontId="29" fillId="0" borderId="28" xfId="0" applyNumberFormat="1" applyFont="1" applyBorder="1"/>
    <xf numFmtId="3" fontId="30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9" fillId="0" borderId="18" xfId="0" applyNumberFormat="1" applyFont="1" applyFill="1" applyBorder="1" applyAlignment="1">
      <alignment horizontal="center" vertical="center" wrapText="1"/>
    </xf>
    <xf numFmtId="3" fontId="29" fillId="0" borderId="19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/>
    <xf numFmtId="0" fontId="36" fillId="31" borderId="1" xfId="0" applyFont="1" applyFill="1" applyBorder="1"/>
    <xf numFmtId="0" fontId="34" fillId="0" borderId="1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6" fillId="0" borderId="3" xfId="0" applyFont="1" applyFill="1" applyBorder="1"/>
    <xf numFmtId="1" fontId="34" fillId="0" borderId="1" xfId="0" applyNumberFormat="1" applyFont="1" applyFill="1" applyBorder="1"/>
    <xf numFmtId="1" fontId="36" fillId="0" borderId="1" xfId="0" applyNumberFormat="1" applyFont="1" applyFill="1" applyBorder="1"/>
    <xf numFmtId="0" fontId="36" fillId="0" borderId="11" xfId="0" applyFont="1" applyFill="1" applyBorder="1"/>
    <xf numFmtId="0" fontId="5" fillId="0" borderId="1" xfId="0" applyFont="1" applyFill="1" applyBorder="1"/>
    <xf numFmtId="0" fontId="37" fillId="0" borderId="1" xfId="0" applyFont="1" applyFill="1" applyBorder="1" applyAlignment="1">
      <alignment horizontal="left"/>
    </xf>
    <xf numFmtId="1" fontId="37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/>
    <xf numFmtId="1" fontId="0" fillId="0" borderId="0" xfId="0" applyNumberFormat="1" applyFill="1" applyAlignment="1">
      <alignment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6" fillId="0" borderId="6" xfId="0" applyFont="1" applyFill="1" applyBorder="1"/>
    <xf numFmtId="0" fontId="36" fillId="0" borderId="9" xfId="0" applyFont="1" applyFill="1" applyBorder="1"/>
    <xf numFmtId="0" fontId="36" fillId="0" borderId="10" xfId="0" applyFont="1" applyFill="1" applyBorder="1"/>
    <xf numFmtId="3" fontId="36" fillId="0" borderId="0" xfId="0" applyNumberFormat="1" applyFont="1" applyFill="1"/>
    <xf numFmtId="3" fontId="76" fillId="0" borderId="0" xfId="0" applyNumberFormat="1" applyFont="1" applyFill="1"/>
    <xf numFmtId="0" fontId="79" fillId="0" borderId="6" xfId="0" applyFont="1" applyFill="1" applyBorder="1" applyAlignment="1">
      <alignment horizontal="right"/>
    </xf>
    <xf numFmtId="0" fontId="79" fillId="0" borderId="6" xfId="0" applyFont="1" applyFill="1" applyBorder="1" applyAlignment="1">
      <alignment horizontal="left"/>
    </xf>
    <xf numFmtId="0" fontId="79" fillId="0" borderId="6" xfId="0" applyFont="1" applyFill="1" applyBorder="1"/>
    <xf numFmtId="0" fontId="80" fillId="0" borderId="0" xfId="0" applyFont="1" applyFill="1" applyAlignment="1">
      <alignment wrapText="1"/>
    </xf>
    <xf numFmtId="0" fontId="8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0" fontId="81" fillId="0" borderId="0" xfId="0" applyFont="1" applyFill="1"/>
    <xf numFmtId="0" fontId="3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/>
    <xf numFmtId="0" fontId="5" fillId="0" borderId="8" xfId="0" applyFont="1" applyFill="1" applyBorder="1"/>
    <xf numFmtId="0" fontId="5" fillId="0" borderId="3" xfId="0" applyFont="1" applyFill="1" applyBorder="1"/>
    <xf numFmtId="0" fontId="7" fillId="0" borderId="3" xfId="0" applyFont="1" applyFill="1" applyBorder="1" applyAlignment="1">
      <alignment horizontal="left"/>
    </xf>
    <xf numFmtId="1" fontId="7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/>
    <xf numFmtId="1" fontId="3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/>
    <xf numFmtId="0" fontId="3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wrapText="1"/>
    </xf>
    <xf numFmtId="0" fontId="3" fillId="0" borderId="12" xfId="0" applyFont="1" applyFill="1" applyBorder="1" applyAlignment="1">
      <alignment horizontal="right" vertical="center" wrapText="1"/>
    </xf>
    <xf numFmtId="1" fontId="3" fillId="0" borderId="13" xfId="0" applyNumberFormat="1" applyFont="1" applyFill="1" applyBorder="1"/>
    <xf numFmtId="0" fontId="3" fillId="0" borderId="13" xfId="0" applyFont="1" applyFill="1" applyBorder="1"/>
    <xf numFmtId="0" fontId="5" fillId="0" borderId="0" xfId="0" applyFont="1" applyFill="1" applyAlignment="1">
      <alignment horizontal="right"/>
    </xf>
    <xf numFmtId="1" fontId="5" fillId="0" borderId="0" xfId="0" applyNumberFormat="1" applyFont="1" applyFill="1"/>
    <xf numFmtId="3" fontId="3" fillId="0" borderId="1" xfId="43" applyNumberFormat="1" applyFont="1" applyFill="1" applyBorder="1" applyAlignment="1">
      <alignment vertical="center"/>
    </xf>
    <xf numFmtId="0" fontId="5" fillId="0" borderId="1" xfId="43" applyFont="1" applyFill="1" applyBorder="1"/>
    <xf numFmtId="0" fontId="6" fillId="0" borderId="49" xfId="1" applyFont="1" applyFill="1" applyBorder="1" applyAlignment="1">
      <alignment horizontal="left" vertical="center" wrapText="1" indent="2"/>
    </xf>
    <xf numFmtId="0" fontId="30" fillId="0" borderId="1" xfId="0" applyFont="1" applyFill="1" applyBorder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/>
    </xf>
    <xf numFmtId="167" fontId="34" fillId="4" borderId="39" xfId="98" applyNumberFormat="1" applyFont="1" applyFill="1" applyBorder="1" applyAlignment="1">
      <alignment vertical="center" wrapText="1"/>
    </xf>
    <xf numFmtId="0" fontId="34" fillId="0" borderId="46" xfId="0" applyFont="1" applyBorder="1" applyAlignment="1">
      <alignment horizontal="left" vertical="center"/>
    </xf>
    <xf numFmtId="3" fontId="34" fillId="4" borderId="105" xfId="0" applyNumberFormat="1" applyFont="1" applyFill="1" applyBorder="1" applyAlignment="1">
      <alignment horizontal="center" vertical="center"/>
    </xf>
    <xf numFmtId="166" fontId="34" fillId="4" borderId="105" xfId="0" applyNumberFormat="1" applyFont="1" applyFill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3" fontId="34" fillId="0" borderId="33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8" fillId="0" borderId="12" xfId="0" applyFont="1" applyBorder="1"/>
    <xf numFmtId="3" fontId="28" fillId="0" borderId="13" xfId="0" applyNumberFormat="1" applyFont="1" applyBorder="1"/>
    <xf numFmtId="3" fontId="28" fillId="0" borderId="42" xfId="0" applyNumberFormat="1" applyFont="1" applyBorder="1"/>
    <xf numFmtId="3" fontId="28" fillId="0" borderId="34" xfId="0" applyNumberFormat="1" applyFont="1" applyBorder="1"/>
    <xf numFmtId="0" fontId="28" fillId="0" borderId="0" xfId="0" applyFont="1"/>
    <xf numFmtId="0" fontId="0" fillId="0" borderId="31" xfId="0" applyBorder="1"/>
    <xf numFmtId="3" fontId="0" fillId="0" borderId="5" xfId="0" applyNumberFormat="1" applyBorder="1"/>
    <xf numFmtId="3" fontId="0" fillId="0" borderId="35" xfId="0" applyNumberFormat="1" applyBorder="1"/>
    <xf numFmtId="3" fontId="28" fillId="0" borderId="46" xfId="0" applyNumberFormat="1" applyFont="1" applyBorder="1"/>
    <xf numFmtId="0" fontId="0" fillId="0" borderId="18" xfId="0" applyBorder="1"/>
    <xf numFmtId="3" fontId="0" fillId="0" borderId="1" xfId="0" applyNumberFormat="1" applyBorder="1"/>
    <xf numFmtId="3" fontId="0" fillId="0" borderId="3" xfId="0" applyNumberFormat="1" applyBorder="1"/>
    <xf numFmtId="3" fontId="28" fillId="0" borderId="40" xfId="0" applyNumberFormat="1" applyFont="1" applyBorder="1"/>
    <xf numFmtId="0" fontId="82" fillId="0" borderId="18" xfId="0" applyFont="1" applyBorder="1"/>
    <xf numFmtId="3" fontId="82" fillId="0" borderId="1" xfId="0" applyNumberFormat="1" applyFont="1" applyBorder="1"/>
    <xf numFmtId="3" fontId="82" fillId="0" borderId="3" xfId="0" applyNumberFormat="1" applyFont="1" applyBorder="1"/>
    <xf numFmtId="3" fontId="83" fillId="0" borderId="40" xfId="0" applyNumberFormat="1" applyFont="1" applyBorder="1"/>
    <xf numFmtId="0" fontId="82" fillId="0" borderId="0" xfId="0" applyFont="1"/>
    <xf numFmtId="3" fontId="0" fillId="0" borderId="0" xfId="0" applyNumberFormat="1" applyFill="1" applyBorder="1"/>
    <xf numFmtId="3" fontId="0" fillId="0" borderId="0" xfId="0" applyNumberFormat="1"/>
    <xf numFmtId="0" fontId="0" fillId="0" borderId="18" xfId="0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3" fontId="28" fillId="0" borderId="40" xfId="0" applyNumberFormat="1" applyFont="1" applyFill="1" applyBorder="1"/>
    <xf numFmtId="0" fontId="0" fillId="0" borderId="0" xfId="0" applyFill="1"/>
    <xf numFmtId="0" fontId="0" fillId="0" borderId="23" xfId="0" applyBorder="1"/>
    <xf numFmtId="3" fontId="0" fillId="0" borderId="2" xfId="0" applyNumberFormat="1" applyBorder="1"/>
    <xf numFmtId="3" fontId="0" fillId="0" borderId="10" xfId="0" applyNumberFormat="1" applyBorder="1"/>
    <xf numFmtId="3" fontId="28" fillId="0" borderId="49" xfId="0" applyNumberFormat="1" applyFont="1" applyBorder="1"/>
    <xf numFmtId="3" fontId="28" fillId="0" borderId="0" xfId="0" applyNumberFormat="1" applyFont="1"/>
    <xf numFmtId="0" fontId="3" fillId="0" borderId="4" xfId="0" applyFont="1" applyFill="1" applyBorder="1" applyAlignment="1">
      <alignment horizontal="left" vertical="center" wrapText="1"/>
    </xf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6" fillId="0" borderId="8" xfId="0" applyNumberFormat="1" applyFont="1" applyFill="1" applyBorder="1"/>
    <xf numFmtId="0" fontId="34" fillId="31" borderId="1" xfId="0" applyFont="1" applyFill="1" applyBorder="1"/>
    <xf numFmtId="1" fontId="36" fillId="0" borderId="11" xfId="0" applyNumberFormat="1" applyFont="1" applyFill="1" applyBorder="1"/>
    <xf numFmtId="1" fontId="34" fillId="0" borderId="11" xfId="0" applyNumberFormat="1" applyFont="1" applyFill="1" applyBorder="1"/>
    <xf numFmtId="1" fontId="36" fillId="0" borderId="6" xfId="0" applyNumberFormat="1" applyFont="1" applyFill="1" applyBorder="1"/>
    <xf numFmtId="1" fontId="36" fillId="0" borderId="9" xfId="0" applyNumberFormat="1" applyFont="1" applyFill="1" applyBorder="1"/>
    <xf numFmtId="1" fontId="34" fillId="0" borderId="13" xfId="98" applyNumberFormat="1" applyFont="1" applyFill="1" applyBorder="1" applyAlignment="1">
      <alignment horizontal="right" vertical="center"/>
    </xf>
    <xf numFmtId="0" fontId="5" fillId="31" borderId="1" xfId="0" applyFont="1" applyFill="1" applyBorder="1" applyAlignment="1"/>
    <xf numFmtId="0" fontId="3" fillId="31" borderId="1" xfId="0" applyFont="1" applyFill="1" applyBorder="1" applyAlignment="1"/>
    <xf numFmtId="0" fontId="5" fillId="31" borderId="1" xfId="0" applyFont="1" applyFill="1" applyBorder="1"/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3" fontId="29" fillId="0" borderId="20" xfId="0" applyNumberFormat="1" applyFont="1" applyBorder="1"/>
    <xf numFmtId="49" fontId="5" fillId="0" borderId="8" xfId="43" applyNumberFormat="1" applyFont="1" applyFill="1" applyBorder="1" applyAlignment="1">
      <alignment vertical="center" wrapText="1"/>
    </xf>
    <xf numFmtId="3" fontId="3" fillId="0" borderId="21" xfId="43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82" fillId="0" borderId="0" xfId="0" applyFont="1" applyFill="1"/>
    <xf numFmtId="3" fontId="0" fillId="35" borderId="1" xfId="0" applyNumberFormat="1" applyFill="1" applyBorder="1"/>
    <xf numFmtId="3" fontId="0" fillId="35" borderId="3" xfId="0" applyNumberFormat="1" applyFill="1" applyBorder="1"/>
    <xf numFmtId="0" fontId="28" fillId="0" borderId="0" xfId="0" applyFont="1" applyFill="1"/>
    <xf numFmtId="0" fontId="6" fillId="0" borderId="11" xfId="1" applyFont="1" applyFill="1" applyBorder="1" applyAlignment="1">
      <alignment horizontal="left" vertical="center" wrapText="1" indent="2"/>
    </xf>
    <xf numFmtId="0" fontId="28" fillId="0" borderId="34" xfId="0" applyFont="1" applyFill="1" applyBorder="1" applyAlignment="1">
      <alignment vertical="center"/>
    </xf>
    <xf numFmtId="3" fontId="28" fillId="0" borderId="12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34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3" fontId="0" fillId="0" borderId="15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0" fillId="0" borderId="20" xfId="0" applyNumberFormat="1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3" fontId="28" fillId="0" borderId="12" xfId="0" applyNumberFormat="1" applyFont="1" applyFill="1" applyBorder="1" applyAlignment="1">
      <alignment vertical="center"/>
    </xf>
    <xf numFmtId="3" fontId="28" fillId="0" borderId="13" xfId="0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3" fontId="28" fillId="0" borderId="34" xfId="0" applyNumberFormat="1" applyFont="1" applyFill="1" applyBorder="1" applyAlignment="1">
      <alignment vertical="center"/>
    </xf>
    <xf numFmtId="3" fontId="28" fillId="0" borderId="0" xfId="0" applyNumberFormat="1" applyFont="1" applyFill="1"/>
    <xf numFmtId="0" fontId="0" fillId="0" borderId="4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60" xfId="0" applyNumberFormat="1" applyFont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49" fontId="30" fillId="0" borderId="62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01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right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5" fillId="31" borderId="4" xfId="0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72" fillId="0" borderId="16" xfId="43" applyFont="1" applyFill="1" applyBorder="1" applyAlignment="1">
      <alignment horizontal="center" vertical="center" wrapText="1"/>
    </xf>
    <xf numFmtId="0" fontId="72" fillId="0" borderId="1" xfId="43" applyFont="1" applyFill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5" fillId="0" borderId="41" xfId="43" applyFont="1" applyFill="1" applyBorder="1" applyAlignment="1">
      <alignment horizontal="center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  <xf numFmtId="0" fontId="73" fillId="0" borderId="8" xfId="43" applyFont="1" applyBorder="1" applyAlignment="1">
      <alignment horizontal="center" vertical="center" wrapText="1"/>
    </xf>
    <xf numFmtId="3" fontId="71" fillId="0" borderId="113" xfId="0" applyNumberFormat="1" applyFont="1" applyBorder="1" applyAlignment="1">
      <alignment horizontal="right"/>
    </xf>
    <xf numFmtId="0" fontId="71" fillId="0" borderId="112" xfId="0" applyFont="1" applyBorder="1"/>
    <xf numFmtId="0" fontId="71" fillId="0" borderId="109" xfId="0" applyFont="1" applyBorder="1" applyAlignment="1">
      <alignment vertical="center"/>
    </xf>
    <xf numFmtId="3" fontId="32" fillId="0" borderId="52" xfId="0" applyNumberFormat="1" applyFont="1" applyBorder="1" applyAlignment="1">
      <alignment horizontal="right"/>
    </xf>
    <xf numFmtId="3" fontId="71" fillId="0" borderId="114" xfId="0" applyNumberFormat="1" applyFont="1" applyBorder="1" applyAlignment="1">
      <alignment horizontal="right"/>
    </xf>
    <xf numFmtId="3" fontId="65" fillId="0" borderId="110" xfId="0" applyNumberFormat="1" applyFont="1" applyBorder="1" applyAlignment="1">
      <alignment horizontal="right"/>
    </xf>
    <xf numFmtId="3" fontId="32" fillId="0" borderId="0" xfId="0" applyNumberFormat="1" applyFont="1"/>
    <xf numFmtId="3" fontId="71" fillId="0" borderId="0" xfId="0" applyNumberFormat="1" applyFont="1"/>
    <xf numFmtId="172" fontId="71" fillId="0" borderId="0" xfId="0" applyNumberFormat="1" applyFont="1"/>
    <xf numFmtId="3" fontId="32" fillId="0" borderId="34" xfId="0" applyNumberFormat="1" applyFont="1" applyBorder="1" applyAlignment="1">
      <alignment horizontal="right"/>
    </xf>
    <xf numFmtId="0" fontId="32" fillId="0" borderId="34" xfId="0" applyFont="1" applyBorder="1"/>
    <xf numFmtId="3" fontId="32" fillId="0" borderId="26" xfId="0" applyNumberFormat="1" applyFont="1" applyBorder="1" applyAlignment="1">
      <alignment horizontal="right"/>
    </xf>
    <xf numFmtId="3" fontId="19" fillId="0" borderId="113" xfId="0" applyNumberFormat="1" applyFont="1" applyBorder="1" applyAlignment="1">
      <alignment horizontal="right"/>
    </xf>
    <xf numFmtId="3" fontId="71" fillId="0" borderId="110" xfId="0" applyNumberFormat="1" applyFont="1" applyFill="1" applyBorder="1" applyAlignment="1">
      <alignment horizontal="right"/>
    </xf>
    <xf numFmtId="3" fontId="19" fillId="0" borderId="110" xfId="0" applyNumberFormat="1" applyFont="1" applyBorder="1" applyAlignment="1">
      <alignment horizontal="right" vertical="center"/>
    </xf>
    <xf numFmtId="0" fontId="71" fillId="0" borderId="109" xfId="0" applyFont="1" applyFill="1" applyBorder="1"/>
    <xf numFmtId="3" fontId="71" fillId="0" borderId="110" xfId="0" applyNumberFormat="1" applyFont="1" applyBorder="1"/>
    <xf numFmtId="3" fontId="71" fillId="0" borderId="110" xfId="0" applyNumberFormat="1" applyFont="1" applyBorder="1" applyAlignment="1">
      <alignment horizontal="right"/>
    </xf>
    <xf numFmtId="0" fontId="71" fillId="0" borderId="109" xfId="0" applyFont="1" applyBorder="1"/>
    <xf numFmtId="3" fontId="19" fillId="0" borderId="110" xfId="0" applyNumberFormat="1" applyFont="1" applyFill="1" applyBorder="1" applyAlignment="1">
      <alignment horizontal="right" vertical="center"/>
    </xf>
    <xf numFmtId="3" fontId="32" fillId="0" borderId="110" xfId="0" applyNumberFormat="1" applyFont="1" applyBorder="1" applyAlignment="1">
      <alignment horizontal="right" vertical="center"/>
    </xf>
    <xf numFmtId="3" fontId="71" fillId="0" borderId="110" xfId="0" applyNumberFormat="1" applyFont="1" applyBorder="1" applyAlignment="1">
      <alignment horizontal="right" vertical="center"/>
    </xf>
    <xf numFmtId="3" fontId="32" fillId="0" borderId="110" xfId="0" applyNumberFormat="1" applyFont="1" applyBorder="1" applyAlignment="1">
      <alignment horizontal="right"/>
    </xf>
    <xf numFmtId="3" fontId="71" fillId="0" borderId="5" xfId="0" applyNumberFormat="1" applyFont="1" applyBorder="1" applyAlignment="1">
      <alignment horizontal="right"/>
    </xf>
    <xf numFmtId="0" fontId="71" fillId="0" borderId="31" xfId="0" applyFont="1" applyBorder="1"/>
    <xf numFmtId="0" fontId="32" fillId="0" borderId="111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109" xfId="0" applyFont="1" applyBorder="1" applyAlignment="1">
      <alignment horizontal="center" vertical="center"/>
    </xf>
    <xf numFmtId="3" fontId="32" fillId="0" borderId="108" xfId="0" applyNumberFormat="1" applyFont="1" applyBorder="1" applyAlignment="1">
      <alignment horizontal="right"/>
    </xf>
    <xf numFmtId="3" fontId="32" fillId="0" borderId="113" xfId="0" applyNumberFormat="1" applyFont="1" applyBorder="1" applyAlignment="1">
      <alignment horizontal="right"/>
    </xf>
    <xf numFmtId="3" fontId="19" fillId="0" borderId="5" xfId="0" applyNumberFormat="1" applyFont="1" applyBorder="1" applyAlignment="1">
      <alignment horizontal="right"/>
    </xf>
    <xf numFmtId="3" fontId="32" fillId="0" borderId="5" xfId="0" applyNumberFormat="1" applyFont="1" applyBorder="1" applyAlignment="1">
      <alignment horizontal="right"/>
    </xf>
    <xf numFmtId="0" fontId="32" fillId="0" borderId="107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/>
    </xf>
    <xf numFmtId="3" fontId="85" fillId="0" borderId="37" xfId="103" applyNumberFormat="1" applyFont="1" applyBorder="1" applyAlignment="1">
      <alignment horizontal="center"/>
    </xf>
    <xf numFmtId="0" fontId="0" fillId="0" borderId="0" xfId="0"/>
    <xf numFmtId="0" fontId="34" fillId="0" borderId="34" xfId="103" applyFont="1" applyBorder="1" applyAlignment="1">
      <alignment horizontal="center" vertical="center"/>
    </xf>
    <xf numFmtId="0" fontId="3" fillId="0" borderId="34" xfId="103" applyFont="1" applyBorder="1" applyAlignment="1">
      <alignment horizontal="center" vertical="center" wrapText="1"/>
    </xf>
    <xf numFmtId="0" fontId="3" fillId="4" borderId="34" xfId="103" applyFont="1" applyFill="1" applyBorder="1" applyAlignment="1">
      <alignment horizontal="center" vertical="center" wrapText="1"/>
    </xf>
    <xf numFmtId="0" fontId="34" fillId="4" borderId="27" xfId="103" applyFont="1" applyFill="1" applyBorder="1" applyAlignment="1">
      <alignment horizontal="center" vertical="center" wrapText="1"/>
    </xf>
    <xf numFmtId="0" fontId="3" fillId="0" borderId="29" xfId="103" applyFont="1" applyBorder="1" applyAlignment="1">
      <alignment horizontal="center" vertical="center" wrapText="1"/>
    </xf>
    <xf numFmtId="0" fontId="34" fillId="4" borderId="34" xfId="103" applyFont="1" applyFill="1" applyBorder="1" applyAlignment="1">
      <alignment horizontal="center" vertical="center" wrapText="1"/>
    </xf>
    <xf numFmtId="0" fontId="34" fillId="0" borderId="39" xfId="103" applyFont="1" applyBorder="1" applyAlignment="1">
      <alignment horizontal="left" vertical="center"/>
    </xf>
    <xf numFmtId="167" fontId="3" fillId="0" borderId="39" xfId="102" applyNumberFormat="1" applyFont="1" applyBorder="1" applyAlignment="1">
      <alignment horizontal="center" vertical="center"/>
    </xf>
    <xf numFmtId="167" fontId="34" fillId="4" borderId="59" xfId="102" applyNumberFormat="1" applyFont="1" applyFill="1" applyBorder="1" applyAlignment="1">
      <alignment horizontal="center" vertical="center" wrapText="1"/>
    </xf>
    <xf numFmtId="167" fontId="34" fillId="0" borderId="39" xfId="102" applyNumberFormat="1" applyFont="1" applyBorder="1" applyAlignment="1">
      <alignment horizontal="left" vertical="center"/>
    </xf>
    <xf numFmtId="167" fontId="3" fillId="0" borderId="60" xfId="102" applyNumberFormat="1" applyFont="1" applyBorder="1" applyAlignment="1">
      <alignment horizontal="center" vertical="center"/>
    </xf>
    <xf numFmtId="167" fontId="34" fillId="0" borderId="39" xfId="102" applyNumberFormat="1" applyFont="1" applyBorder="1" applyAlignment="1">
      <alignment horizontal="center" vertical="center"/>
    </xf>
    <xf numFmtId="0" fontId="36" fillId="0" borderId="40" xfId="103" applyFont="1" applyBorder="1"/>
    <xf numFmtId="167" fontId="5" fillId="0" borderId="40" xfId="102" applyNumberFormat="1" applyFont="1" applyBorder="1"/>
    <xf numFmtId="167" fontId="36" fillId="0" borderId="47" xfId="102" applyNumberFormat="1" applyFont="1" applyBorder="1"/>
    <xf numFmtId="167" fontId="36" fillId="0" borderId="46" xfId="102" applyNumberFormat="1" applyFont="1" applyBorder="1"/>
    <xf numFmtId="167" fontId="5" fillId="0" borderId="52" xfId="102" applyNumberFormat="1" applyFont="1" applyBorder="1"/>
    <xf numFmtId="167" fontId="5" fillId="0" borderId="46" xfId="102" applyNumberFormat="1" applyFont="1" applyBorder="1"/>
    <xf numFmtId="167" fontId="36" fillId="0" borderId="40" xfId="102" applyNumberFormat="1" applyFont="1" applyBorder="1"/>
    <xf numFmtId="167" fontId="5" fillId="0" borderId="28" xfId="102" applyNumberFormat="1" applyFont="1" applyBorder="1"/>
    <xf numFmtId="167" fontId="36" fillId="0" borderId="40" xfId="102" applyNumberFormat="1" applyFont="1" applyBorder="1" applyAlignment="1">
      <alignment wrapText="1"/>
    </xf>
    <xf numFmtId="0" fontId="34" fillId="0" borderId="40" xfId="103" applyFont="1" applyBorder="1" applyAlignment="1">
      <alignment horizontal="left" vertical="center"/>
    </xf>
    <xf numFmtId="167" fontId="3" fillId="0" borderId="40" xfId="102" applyNumberFormat="1" applyFont="1" applyBorder="1" applyAlignment="1">
      <alignment horizontal="center" vertical="center"/>
    </xf>
    <xf numFmtId="167" fontId="34" fillId="4" borderId="47" xfId="102" applyNumberFormat="1" applyFont="1" applyFill="1" applyBorder="1" applyAlignment="1">
      <alignment horizontal="center" vertical="center" wrapText="1"/>
    </xf>
    <xf numFmtId="0" fontId="36" fillId="0" borderId="86" xfId="103" applyFont="1" applyBorder="1"/>
    <xf numFmtId="0" fontId="5" fillId="0" borderId="0" xfId="103" applyFont="1" applyBorder="1"/>
    <xf numFmtId="0" fontId="36" fillId="0" borderId="26" xfId="103" applyFont="1" applyBorder="1"/>
    <xf numFmtId="0" fontId="37" fillId="0" borderId="40" xfId="103" applyFont="1" applyBorder="1"/>
    <xf numFmtId="167" fontId="37" fillId="0" borderId="47" xfId="102" applyNumberFormat="1" applyFont="1" applyBorder="1"/>
    <xf numFmtId="167" fontId="36" fillId="0" borderId="4" xfId="102" applyNumberFormat="1" applyFont="1" applyBorder="1"/>
    <xf numFmtId="167" fontId="34" fillId="0" borderId="40" xfId="102" applyNumberFormat="1" applyFont="1" applyBorder="1"/>
    <xf numFmtId="167" fontId="3" fillId="0" borderId="28" xfId="102" applyNumberFormat="1" applyFont="1" applyBorder="1" applyAlignment="1">
      <alignment horizontal="center"/>
    </xf>
    <xf numFmtId="167" fontId="3" fillId="0" borderId="40" xfId="102" applyNumberFormat="1" applyFont="1" applyBorder="1" applyAlignment="1">
      <alignment horizontal="center"/>
    </xf>
    <xf numFmtId="167" fontId="34" fillId="0" borderId="40" xfId="102" applyNumberFormat="1" applyFont="1" applyBorder="1" applyAlignment="1">
      <alignment horizontal="center"/>
    </xf>
    <xf numFmtId="167" fontId="36" fillId="4" borderId="40" xfId="102" applyNumberFormat="1" applyFont="1" applyFill="1" applyBorder="1"/>
    <xf numFmtId="167" fontId="5" fillId="4" borderId="28" xfId="102" applyNumberFormat="1" applyFont="1" applyFill="1" applyBorder="1"/>
    <xf numFmtId="167" fontId="5" fillId="4" borderId="40" xfId="102" applyNumberFormat="1" applyFont="1" applyFill="1" applyBorder="1"/>
    <xf numFmtId="0" fontId="37" fillId="0" borderId="49" xfId="103" applyFont="1" applyBorder="1"/>
    <xf numFmtId="167" fontId="5" fillId="0" borderId="49" xfId="102" applyNumberFormat="1" applyFont="1" applyBorder="1"/>
    <xf numFmtId="167" fontId="36" fillId="0" borderId="48" xfId="102" applyNumberFormat="1" applyFont="1" applyBorder="1"/>
    <xf numFmtId="0" fontId="36" fillId="4" borderId="33" xfId="103" applyFont="1" applyFill="1" applyBorder="1"/>
    <xf numFmtId="167" fontId="5" fillId="4" borderId="33" xfId="102" applyNumberFormat="1" applyFont="1" applyFill="1" applyBorder="1"/>
    <xf numFmtId="167" fontId="36" fillId="4" borderId="51" xfId="102" applyNumberFormat="1" applyFont="1" applyFill="1" applyBorder="1"/>
    <xf numFmtId="0" fontId="36" fillId="4" borderId="105" xfId="103" applyFont="1" applyFill="1" applyBorder="1"/>
    <xf numFmtId="0" fontId="34" fillId="0" borderId="34" xfId="103" applyFont="1" applyBorder="1" applyAlignment="1">
      <alignment vertical="center"/>
    </xf>
    <xf numFmtId="167" fontId="3" fillId="0" borderId="34" xfId="102" applyNumberFormat="1" applyFont="1" applyBorder="1" applyAlignment="1">
      <alignment horizontal="center" vertical="center"/>
    </xf>
    <xf numFmtId="167" fontId="34" fillId="0" borderId="27" xfId="102" applyNumberFormat="1" applyFont="1" applyBorder="1" applyAlignment="1">
      <alignment horizontal="center" vertical="center"/>
    </xf>
    <xf numFmtId="167" fontId="34" fillId="0" borderId="34" xfId="102" applyNumberFormat="1" applyFont="1" applyBorder="1" applyAlignment="1">
      <alignment vertical="center"/>
    </xf>
    <xf numFmtId="167" fontId="3" fillId="0" borderId="29" xfId="102" applyNumberFormat="1" applyFont="1" applyBorder="1" applyAlignment="1">
      <alignment horizontal="center" vertical="center"/>
    </xf>
    <xf numFmtId="167" fontId="34" fillId="0" borderId="34" xfId="102" applyNumberFormat="1" applyFont="1" applyBorder="1" applyAlignment="1">
      <alignment horizontal="center" vertical="center"/>
    </xf>
    <xf numFmtId="3" fontId="34" fillId="0" borderId="41" xfId="103" applyNumberFormat="1" applyFont="1" applyBorder="1"/>
    <xf numFmtId="3" fontId="3" fillId="0" borderId="41" xfId="103" applyNumberFormat="1" applyFont="1" applyBorder="1" applyAlignment="1">
      <alignment horizontal="center"/>
    </xf>
    <xf numFmtId="3" fontId="34" fillId="0" borderId="41" xfId="103" applyNumberFormat="1" applyFont="1" applyBorder="1" applyAlignment="1">
      <alignment horizontal="center"/>
    </xf>
    <xf numFmtId="0" fontId="36" fillId="0" borderId="41" xfId="103" applyFont="1" applyBorder="1"/>
    <xf numFmtId="0" fontId="5" fillId="0" borderId="41" xfId="103" applyFont="1" applyBorder="1"/>
    <xf numFmtId="0" fontId="33" fillId="0" borderId="37" xfId="103" applyFont="1" applyBorder="1"/>
    <xf numFmtId="0" fontId="79" fillId="0" borderId="37" xfId="103" applyFont="1" applyBorder="1"/>
    <xf numFmtId="0" fontId="36" fillId="0" borderId="37" xfId="103" applyFont="1" applyBorder="1"/>
    <xf numFmtId="0" fontId="34" fillId="0" borderId="27" xfId="103" applyFont="1" applyBorder="1" applyAlignment="1">
      <alignment horizontal="center" vertical="center"/>
    </xf>
    <xf numFmtId="0" fontId="34" fillId="0" borderId="44" xfId="103" applyFont="1" applyBorder="1" applyAlignment="1">
      <alignment horizontal="left" vertical="center"/>
    </xf>
    <xf numFmtId="167" fontId="3" fillId="0" borderId="46" xfId="102" applyNumberFormat="1" applyFont="1" applyBorder="1" applyAlignment="1">
      <alignment horizontal="center" vertical="center"/>
    </xf>
    <xf numFmtId="167" fontId="34" fillId="0" borderId="44" xfId="102" applyNumberFormat="1" applyFont="1" applyBorder="1" applyAlignment="1">
      <alignment horizontal="center" vertical="center"/>
    </xf>
    <xf numFmtId="167" fontId="34" fillId="0" borderId="46" xfId="102" applyNumberFormat="1" applyFont="1" applyBorder="1" applyAlignment="1">
      <alignment horizontal="left" vertical="center"/>
    </xf>
    <xf numFmtId="167" fontId="34" fillId="0" borderId="46" xfId="102" applyNumberFormat="1" applyFont="1" applyBorder="1" applyAlignment="1">
      <alignment horizontal="center" vertical="center"/>
    </xf>
    <xf numFmtId="0" fontId="36" fillId="0" borderId="47" xfId="103" applyFont="1" applyBorder="1"/>
    <xf numFmtId="0" fontId="34" fillId="0" borderId="47" xfId="103" applyFont="1" applyBorder="1" applyAlignment="1">
      <alignment horizontal="left" vertical="center"/>
    </xf>
    <xf numFmtId="167" fontId="34" fillId="0" borderId="40" xfId="102" applyNumberFormat="1" applyFont="1" applyBorder="1" applyAlignment="1">
      <alignment horizontal="center" vertical="center"/>
    </xf>
    <xf numFmtId="167" fontId="36" fillId="0" borderId="40" xfId="102" applyNumberFormat="1" applyFont="1" applyBorder="1" applyAlignment="1">
      <alignment horizontal="right"/>
    </xf>
    <xf numFmtId="0" fontId="34" fillId="0" borderId="47" xfId="103" applyFont="1" applyBorder="1" applyAlignment="1">
      <alignment vertical="center"/>
    </xf>
    <xf numFmtId="167" fontId="34" fillId="0" borderId="4" xfId="102" applyNumberFormat="1" applyFont="1" applyBorder="1" applyAlignment="1">
      <alignment horizontal="center" vertical="center"/>
    </xf>
    <xf numFmtId="167" fontId="34" fillId="0" borderId="40" xfId="102" applyNumberFormat="1" applyFont="1" applyBorder="1" applyAlignment="1">
      <alignment vertical="center"/>
    </xf>
    <xf numFmtId="3" fontId="34" fillId="4" borderId="51" xfId="103" applyNumberFormat="1" applyFont="1" applyFill="1" applyBorder="1" applyAlignment="1">
      <alignment horizontal="center" vertical="center"/>
    </xf>
    <xf numFmtId="167" fontId="3" fillId="4" borderId="33" xfId="102" applyNumberFormat="1" applyFont="1" applyFill="1" applyBorder="1" applyAlignment="1">
      <alignment horizontal="center" vertical="center"/>
    </xf>
    <xf numFmtId="167" fontId="34" fillId="4" borderId="106" xfId="102" applyNumberFormat="1" applyFont="1" applyFill="1" applyBorder="1" applyAlignment="1">
      <alignment vertical="center"/>
    </xf>
    <xf numFmtId="167" fontId="34" fillId="4" borderId="33" xfId="102" applyNumberFormat="1" applyFont="1" applyFill="1" applyBorder="1" applyAlignment="1">
      <alignment horizontal="center" vertical="center"/>
    </xf>
    <xf numFmtId="167" fontId="34" fillId="4" borderId="33" xfId="102" applyNumberFormat="1" applyFont="1" applyFill="1" applyBorder="1" applyAlignment="1">
      <alignment vertical="center"/>
    </xf>
  </cellXfs>
  <cellStyles count="105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Ezres 2 2" xfId="99"/>
    <cellStyle name="Ezres 3" xfId="102"/>
    <cellStyle name="Ezres 4" xfId="100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ál 6" xfId="101"/>
    <cellStyle name="Normál 7" xfId="103"/>
    <cellStyle name="Normál 8" xfId="104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ERVEZ&#201;S\TERV%202020\terv%20h&#225;tt&#233;r%20kalkul&#225;ci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ÉCS"/>
      <sheetName val="CSK 2020"/>
      <sheetName val="cégktg alap"/>
      <sheetName val="anyag"/>
      <sheetName val="UJK"/>
      <sheetName val="üzemanyag"/>
      <sheetName val="tisztítószer"/>
      <sheetName val="csop.bizt"/>
      <sheetName val="munkaruha+orvos"/>
      <sheetName val="Egészségház"/>
      <sheetName val="SZAMURÁJ"/>
      <sheetName val="FIRE"/>
      <sheetName val="NHKV"/>
      <sheetName val="Lindström"/>
      <sheetName val="craft"/>
      <sheetName val="berger"/>
      <sheetName val="BENTOX"/>
      <sheetName val="TRIOR"/>
      <sheetName val="centrál+KR"/>
      <sheetName val="temető egyéb"/>
      <sheetName val="temető sírhely"/>
      <sheetName val="muvk"/>
      <sheetName val="könyvtár"/>
      <sheetName val="cégktg LE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Bizonylat fajta</v>
          </cell>
          <cell r="B1" t="str">
            <v>Bizonylatszám</v>
          </cell>
          <cell r="C1" t="str">
            <v>Kelte</v>
          </cell>
          <cell r="D1" t="str">
            <v>Teljesítés</v>
          </cell>
          <cell r="E1" t="str">
            <v>Esedékesség</v>
          </cell>
          <cell r="F1" t="str">
            <v>Ügyfél kód</v>
          </cell>
          <cell r="G1" t="str">
            <v>Ügyfél</v>
          </cell>
          <cell r="H1" t="str">
            <v>Adószám</v>
          </cell>
          <cell r="I1" t="str">
            <v>Termék kód</v>
          </cell>
          <cell r="J1" t="str">
            <v>Termék név</v>
          </cell>
          <cell r="K1" t="str">
            <v>Cikkszám</v>
          </cell>
          <cell r="L1" t="str">
            <v>KN/TESZOR</v>
          </cell>
          <cell r="M1" t="str">
            <v>Termék KN kódja</v>
          </cell>
          <cell r="N1" t="str">
            <v>Kombinált Nómenklatúra (KN)</v>
          </cell>
          <cell r="O1" t="str">
            <v>Raktár</v>
          </cell>
          <cell r="P1" t="str">
            <v>Mennyiség</v>
          </cell>
          <cell r="Q1" t="str">
            <v>Mennyiségi egység</v>
          </cell>
          <cell r="R1" t="str">
            <v>Egységár</v>
          </cell>
          <cell r="S1" t="str">
            <v>Áfa kulcs</v>
          </cell>
          <cell r="T1" t="str">
            <v>Pénznem</v>
          </cell>
          <cell r="U1" t="str">
            <v>Árfolyam</v>
          </cell>
          <cell r="V1" t="str">
            <v>Nettó érték</v>
          </cell>
          <cell r="W1" t="str">
            <v>Áfa érték</v>
          </cell>
          <cell r="X1" t="str">
            <v>Bruttó érték</v>
          </cell>
          <cell r="Y1" t="str">
            <v>Munkaszám</v>
          </cell>
          <cell r="Z1" t="str">
            <v>Megjegyzés</v>
          </cell>
          <cell r="AA1" t="str">
            <v>Állapot</v>
          </cell>
        </row>
        <row r="2">
          <cell r="A2" t="str">
            <v>Számla</v>
          </cell>
          <cell r="B2" t="str">
            <v>SZA00005/2019</v>
          </cell>
          <cell r="C2" t="str">
            <v>2019.01.09.</v>
          </cell>
          <cell r="D2" t="str">
            <v>2019.01.09.</v>
          </cell>
          <cell r="E2" t="str">
            <v>2019.01.09.</v>
          </cell>
          <cell r="G2" t="str">
            <v>Vargáné Balogh Erika</v>
          </cell>
          <cell r="I2" t="str">
            <v>13</v>
          </cell>
          <cell r="J2" t="str">
            <v>Halott hűtés</v>
          </cell>
          <cell r="P2">
            <v>1</v>
          </cell>
          <cell r="Q2" t="str">
            <v>nap</v>
          </cell>
          <cell r="R2">
            <v>6142</v>
          </cell>
          <cell r="S2" t="str">
            <v>27%-os áfa</v>
          </cell>
          <cell r="T2" t="str">
            <v>HUF</v>
          </cell>
          <cell r="U2">
            <v>1</v>
          </cell>
          <cell r="V2">
            <v>6142</v>
          </cell>
          <cell r="W2">
            <v>1658</v>
          </cell>
          <cell r="X2">
            <v>7800</v>
          </cell>
          <cell r="Y2" t="str">
            <v>KT/5</v>
          </cell>
          <cell r="Z2" t="str">
            <v>Halott hűtő használati díj 3 x 2600.-</v>
          </cell>
          <cell r="AA2" t="str">
            <v>Normál</v>
          </cell>
        </row>
        <row r="3">
          <cell r="A3" t="str">
            <v>Számla</v>
          </cell>
          <cell r="B3" t="str">
            <v>SZA00010/2019</v>
          </cell>
          <cell r="C3" t="str">
            <v>2019.01.09.</v>
          </cell>
          <cell r="D3" t="str">
            <v>2019.01.09.</v>
          </cell>
          <cell r="E3" t="str">
            <v>2019.01.09.</v>
          </cell>
          <cell r="G3" t="str">
            <v>Urbán Béla</v>
          </cell>
          <cell r="I3" t="str">
            <v>13</v>
          </cell>
          <cell r="J3" t="str">
            <v>Halott hűtés</v>
          </cell>
          <cell r="P3">
            <v>1</v>
          </cell>
          <cell r="Q3" t="str">
            <v>nap</v>
          </cell>
          <cell r="R3">
            <v>6142</v>
          </cell>
          <cell r="S3" t="str">
            <v>27%-os áfa</v>
          </cell>
          <cell r="T3" t="str">
            <v>HUF</v>
          </cell>
          <cell r="U3">
            <v>1</v>
          </cell>
          <cell r="V3">
            <v>6142</v>
          </cell>
          <cell r="W3">
            <v>1658</v>
          </cell>
          <cell r="X3">
            <v>7800</v>
          </cell>
          <cell r="Y3" t="str">
            <v>KT/5</v>
          </cell>
          <cell r="Z3" t="str">
            <v>Halotthűtő használat_x000D_
2019.01.04-2019.01.07-ig 3 x 2600 Ft</v>
          </cell>
          <cell r="AA3" t="str">
            <v>Normál</v>
          </cell>
        </row>
        <row r="4">
          <cell r="A4" t="str">
            <v>Számla</v>
          </cell>
          <cell r="B4" t="str">
            <v>SZA00014/2019</v>
          </cell>
          <cell r="C4" t="str">
            <v>2019.01.14.</v>
          </cell>
          <cell r="D4" t="str">
            <v>2019.01.14.</v>
          </cell>
          <cell r="E4" t="str">
            <v>2019.01.14.</v>
          </cell>
          <cell r="G4" t="str">
            <v>Sárga Sándorné</v>
          </cell>
          <cell r="I4" t="str">
            <v>13</v>
          </cell>
          <cell r="J4" t="str">
            <v>Halott hűtés</v>
          </cell>
          <cell r="P4">
            <v>1</v>
          </cell>
          <cell r="Q4" t="str">
            <v>nap</v>
          </cell>
          <cell r="R4">
            <v>9291.34</v>
          </cell>
          <cell r="S4" t="str">
            <v>27%-os áfa</v>
          </cell>
          <cell r="T4" t="str">
            <v>HUF</v>
          </cell>
          <cell r="U4">
            <v>1</v>
          </cell>
          <cell r="V4">
            <v>9291</v>
          </cell>
          <cell r="W4">
            <v>2509</v>
          </cell>
          <cell r="X4">
            <v>11800</v>
          </cell>
          <cell r="Y4" t="str">
            <v>KT/5</v>
          </cell>
          <cell r="Z4" t="str">
            <v>Halott hűtő használati díj_x000D_
2019.01.07-2029.01.06-ig_x000D_
Január 4-8-ig 3 x 26   = 7800.-Ft_x000D_
                     1 x 4000 = 4000.-Ft</v>
          </cell>
          <cell r="AA4" t="str">
            <v>Normál</v>
          </cell>
        </row>
        <row r="5">
          <cell r="A5" t="str">
            <v>Számla</v>
          </cell>
          <cell r="B5" t="str">
            <v>SZA00019/2019</v>
          </cell>
          <cell r="C5" t="str">
            <v>2019.01.16.</v>
          </cell>
          <cell r="D5" t="str">
            <v>2019.01.16.</v>
          </cell>
          <cell r="E5" t="str">
            <v>2019.01.24.</v>
          </cell>
          <cell r="G5" t="str">
            <v>Kegyelet 2000 Kft</v>
          </cell>
          <cell r="I5" t="str">
            <v>130</v>
          </cell>
          <cell r="J5" t="str">
            <v>Ravatalozó használat</v>
          </cell>
          <cell r="P5">
            <v>1</v>
          </cell>
          <cell r="Q5" t="str">
            <v>db</v>
          </cell>
          <cell r="R5">
            <v>15984.25</v>
          </cell>
          <cell r="S5" t="str">
            <v>27%-os áfa</v>
          </cell>
          <cell r="T5" t="str">
            <v>HUF</v>
          </cell>
          <cell r="U5">
            <v>1</v>
          </cell>
          <cell r="V5">
            <v>15984</v>
          </cell>
          <cell r="W5">
            <v>4316</v>
          </cell>
          <cell r="X5">
            <v>20300</v>
          </cell>
          <cell r="Y5" t="str">
            <v>KT/5</v>
          </cell>
          <cell r="Z5" t="str">
            <v>Ravatalozó használat_x000D_
2019.01.11.</v>
          </cell>
          <cell r="AA5" t="str">
            <v>Normál</v>
          </cell>
        </row>
        <row r="6">
          <cell r="A6" t="str">
            <v>Számla</v>
          </cell>
          <cell r="B6" t="str">
            <v>SZA00038/2019</v>
          </cell>
          <cell r="C6" t="str">
            <v>2019.01.24.</v>
          </cell>
          <cell r="D6" t="str">
            <v>2019.01.24.</v>
          </cell>
          <cell r="E6" t="str">
            <v>2019.01.24.</v>
          </cell>
          <cell r="G6" t="str">
            <v>Hüll Krisztina</v>
          </cell>
          <cell r="I6" t="str">
            <v>13</v>
          </cell>
          <cell r="J6" t="str">
            <v>Halott hűtés</v>
          </cell>
          <cell r="P6">
            <v>1</v>
          </cell>
          <cell r="Q6" t="str">
            <v>nap</v>
          </cell>
          <cell r="R6">
            <v>6142</v>
          </cell>
          <cell r="S6" t="str">
            <v>27%-os áfa</v>
          </cell>
          <cell r="T6" t="str">
            <v>HUF</v>
          </cell>
          <cell r="U6">
            <v>1</v>
          </cell>
          <cell r="V6">
            <v>6142</v>
          </cell>
          <cell r="W6">
            <v>1658</v>
          </cell>
          <cell r="X6">
            <v>7800</v>
          </cell>
          <cell r="Y6" t="str">
            <v>KT/5</v>
          </cell>
          <cell r="Z6" t="str">
            <v>Halott hűtő használat_x000D_
2019.01.02-2019.01.04_x000D_
3x2.600.-=7.800.-Ft</v>
          </cell>
          <cell r="AA6" t="str">
            <v>Normál</v>
          </cell>
        </row>
        <row r="7">
          <cell r="A7" t="str">
            <v>Számla</v>
          </cell>
          <cell r="B7" t="str">
            <v>SZA00039/2019</v>
          </cell>
          <cell r="C7" t="str">
            <v>2019.01.24.</v>
          </cell>
          <cell r="D7" t="str">
            <v>2019.01.24.</v>
          </cell>
          <cell r="E7" t="str">
            <v>2019.01.24.</v>
          </cell>
          <cell r="G7" t="str">
            <v>Takács Lászlóné</v>
          </cell>
          <cell r="I7" t="str">
            <v>13</v>
          </cell>
          <cell r="J7" t="str">
            <v>Halott hűtés</v>
          </cell>
          <cell r="P7">
            <v>1</v>
          </cell>
          <cell r="Q7" t="str">
            <v>nap</v>
          </cell>
          <cell r="R7">
            <v>4094.49</v>
          </cell>
          <cell r="S7" t="str">
            <v>27%-os áfa</v>
          </cell>
          <cell r="T7" t="str">
            <v>HUF</v>
          </cell>
          <cell r="U7">
            <v>1</v>
          </cell>
          <cell r="V7">
            <v>4095</v>
          </cell>
          <cell r="W7">
            <v>1105</v>
          </cell>
          <cell r="X7">
            <v>5200</v>
          </cell>
          <cell r="Y7" t="str">
            <v>KT/5</v>
          </cell>
          <cell r="Z7" t="str">
            <v>Halott hűtő használat 2x2600=5200.-</v>
          </cell>
          <cell r="AA7" t="str">
            <v>Normál</v>
          </cell>
        </row>
        <row r="8">
          <cell r="A8" t="str">
            <v>Számla</v>
          </cell>
          <cell r="B8" t="str">
            <v>SZA00040/2019</v>
          </cell>
          <cell r="C8" t="str">
            <v>2019.01.28.</v>
          </cell>
          <cell r="D8" t="str">
            <v>2019.01.28.</v>
          </cell>
          <cell r="E8" t="str">
            <v>2019.01.28.</v>
          </cell>
          <cell r="G8" t="str">
            <v>Becsei Sándor</v>
          </cell>
          <cell r="I8" t="str">
            <v>13</v>
          </cell>
          <cell r="J8" t="str">
            <v>Halott hűtés</v>
          </cell>
          <cell r="P8">
            <v>1</v>
          </cell>
          <cell r="Q8" t="str">
            <v>nap</v>
          </cell>
          <cell r="R8">
            <v>6142</v>
          </cell>
          <cell r="S8" t="str">
            <v>27%-os áfa</v>
          </cell>
          <cell r="T8" t="str">
            <v>HUF</v>
          </cell>
          <cell r="U8">
            <v>1</v>
          </cell>
          <cell r="V8">
            <v>6142</v>
          </cell>
          <cell r="W8">
            <v>1658</v>
          </cell>
          <cell r="X8">
            <v>7800</v>
          </cell>
          <cell r="Y8" t="str">
            <v>KT/5</v>
          </cell>
          <cell r="Z8" t="str">
            <v>Halott hűtő használat _x000D_
3 x 2600= 7800.-</v>
          </cell>
          <cell r="AA8" t="str">
            <v>Normál</v>
          </cell>
        </row>
        <row r="9">
          <cell r="A9" t="str">
            <v>Számla</v>
          </cell>
          <cell r="B9" t="str">
            <v>SZA00079/2019</v>
          </cell>
          <cell r="C9" t="str">
            <v>2019.02.21.</v>
          </cell>
          <cell r="D9" t="str">
            <v>2019.02.21.</v>
          </cell>
          <cell r="E9" t="str">
            <v>2019.02.21.</v>
          </cell>
          <cell r="G9" t="str">
            <v>Krausz László</v>
          </cell>
          <cell r="I9" t="str">
            <v>13</v>
          </cell>
          <cell r="J9" t="str">
            <v>Halott hűtés</v>
          </cell>
          <cell r="P9">
            <v>1</v>
          </cell>
          <cell r="Q9" t="str">
            <v>nap</v>
          </cell>
          <cell r="R9">
            <v>4094.49</v>
          </cell>
          <cell r="S9" t="str">
            <v>27%-os áfa</v>
          </cell>
          <cell r="T9" t="str">
            <v>HUF</v>
          </cell>
          <cell r="U9">
            <v>1</v>
          </cell>
          <cell r="V9">
            <v>4095</v>
          </cell>
          <cell r="W9">
            <v>1105</v>
          </cell>
          <cell r="X9">
            <v>5200</v>
          </cell>
          <cell r="Y9" t="str">
            <v>KT/5</v>
          </cell>
          <cell r="Z9" t="str">
            <v>Halott hűtő használati díj_x000D_
2x2600=5200.-</v>
          </cell>
          <cell r="AA9" t="str">
            <v>Normál</v>
          </cell>
        </row>
        <row r="10">
          <cell r="A10" t="str">
            <v>Számla</v>
          </cell>
          <cell r="B10" t="str">
            <v>SZA00081/2019</v>
          </cell>
          <cell r="C10" t="str">
            <v>2019.02.22.</v>
          </cell>
          <cell r="D10" t="str">
            <v>2019.02.22.</v>
          </cell>
          <cell r="E10" t="str">
            <v>2019.02.22.</v>
          </cell>
          <cell r="G10" t="str">
            <v>Ember Krisztina</v>
          </cell>
          <cell r="I10" t="str">
            <v>130</v>
          </cell>
          <cell r="J10" t="str">
            <v>Ravatalozó használat</v>
          </cell>
          <cell r="P10">
            <v>1</v>
          </cell>
          <cell r="Q10" t="str">
            <v>db</v>
          </cell>
          <cell r="R10">
            <v>15984.25</v>
          </cell>
          <cell r="S10" t="str">
            <v>27%-os áfa</v>
          </cell>
          <cell r="T10" t="str">
            <v>HUF</v>
          </cell>
          <cell r="U10">
            <v>1</v>
          </cell>
          <cell r="V10">
            <v>15984</v>
          </cell>
          <cell r="W10">
            <v>4316</v>
          </cell>
          <cell r="X10">
            <v>20300</v>
          </cell>
          <cell r="Y10" t="str">
            <v>KT/5</v>
          </cell>
          <cell r="Z10" t="str">
            <v>Ravatalozó használat</v>
          </cell>
          <cell r="AA10" t="str">
            <v>Normál</v>
          </cell>
        </row>
        <row r="11">
          <cell r="A11" t="str">
            <v>Számla</v>
          </cell>
          <cell r="B11" t="str">
            <v>SZA00081/2019</v>
          </cell>
          <cell r="C11" t="str">
            <v>2019.02.22.</v>
          </cell>
          <cell r="D11" t="str">
            <v>2019.02.22.</v>
          </cell>
          <cell r="E11" t="str">
            <v>2019.02.22.</v>
          </cell>
          <cell r="G11" t="str">
            <v>Ember Krisztina</v>
          </cell>
          <cell r="I11" t="str">
            <v>13</v>
          </cell>
          <cell r="J11" t="str">
            <v>Halott hűtés</v>
          </cell>
          <cell r="P11">
            <v>1</v>
          </cell>
          <cell r="Q11" t="str">
            <v>nap</v>
          </cell>
          <cell r="R11">
            <v>2047.24</v>
          </cell>
          <cell r="S11" t="str">
            <v>27%-os áfa</v>
          </cell>
          <cell r="T11" t="str">
            <v>HUF</v>
          </cell>
          <cell r="U11">
            <v>1</v>
          </cell>
          <cell r="V11">
            <v>2047</v>
          </cell>
          <cell r="W11">
            <v>553</v>
          </cell>
          <cell r="X11">
            <v>2600</v>
          </cell>
          <cell r="Y11" t="str">
            <v>KT/5</v>
          </cell>
          <cell r="Z11" t="str">
            <v>Halott hűtő használat 1 nap 2600.-</v>
          </cell>
          <cell r="AA11" t="str">
            <v>Normál</v>
          </cell>
        </row>
        <row r="12">
          <cell r="A12" t="str">
            <v>Számla</v>
          </cell>
          <cell r="B12" t="str">
            <v>SZA00084/2019</v>
          </cell>
          <cell r="C12" t="str">
            <v>2019.03.01.</v>
          </cell>
          <cell r="D12" t="str">
            <v>2019.03.01.</v>
          </cell>
          <cell r="E12" t="str">
            <v>2019.03.09.</v>
          </cell>
          <cell r="G12" t="str">
            <v>Vékony Andor</v>
          </cell>
          <cell r="I12" t="str">
            <v>13</v>
          </cell>
          <cell r="J12" t="str">
            <v>Halott hűtés</v>
          </cell>
          <cell r="P12">
            <v>1</v>
          </cell>
          <cell r="Q12" t="str">
            <v>nap</v>
          </cell>
          <cell r="R12">
            <v>15591</v>
          </cell>
          <cell r="S12" t="str">
            <v>27%-os áfa</v>
          </cell>
          <cell r="T12" t="str">
            <v>HUF</v>
          </cell>
          <cell r="U12">
            <v>1</v>
          </cell>
          <cell r="V12">
            <v>15591</v>
          </cell>
          <cell r="W12">
            <v>4209</v>
          </cell>
          <cell r="X12">
            <v>19800</v>
          </cell>
          <cell r="Y12" t="str">
            <v>KT/5</v>
          </cell>
          <cell r="Z12" t="str">
            <v>Halotthűtő használati díj 2019.02.19-25-ig_x000D_
3x2600=7800.-_x000D_
3x4000=12000.-19800.-Ft</v>
          </cell>
          <cell r="AA12" t="str">
            <v>Normál</v>
          </cell>
        </row>
        <row r="13">
          <cell r="A13" t="str">
            <v>Számla</v>
          </cell>
          <cell r="B13" t="str">
            <v>SZA00086/2019</v>
          </cell>
          <cell r="C13" t="str">
            <v>2019.03.01.</v>
          </cell>
          <cell r="D13" t="str">
            <v>2019.03.01.</v>
          </cell>
          <cell r="E13" t="str">
            <v>2019.03.01.</v>
          </cell>
          <cell r="F13" t="str">
            <v>294</v>
          </cell>
          <cell r="G13" t="str">
            <v>Varga Ernő</v>
          </cell>
          <cell r="H13" t="str">
            <v>46274546127</v>
          </cell>
          <cell r="I13" t="str">
            <v>35</v>
          </cell>
          <cell r="J13" t="str">
            <v>Temető fenntartási hozzájárulási díj</v>
          </cell>
          <cell r="P13">
            <v>1</v>
          </cell>
          <cell r="Q13" t="str">
            <v>db</v>
          </cell>
          <cell r="R13">
            <v>3240.16</v>
          </cell>
          <cell r="S13" t="str">
            <v>27%-os áfa</v>
          </cell>
          <cell r="T13" t="str">
            <v>HUF</v>
          </cell>
          <cell r="U13">
            <v>1</v>
          </cell>
          <cell r="V13">
            <v>3240</v>
          </cell>
          <cell r="W13">
            <v>875</v>
          </cell>
          <cell r="X13">
            <v>4115</v>
          </cell>
          <cell r="Y13" t="str">
            <v>KT/5</v>
          </cell>
          <cell r="Z13" t="str">
            <v>Temető fenntartási hozzájárulási díj</v>
          </cell>
          <cell r="AA13" t="str">
            <v>Normál</v>
          </cell>
        </row>
        <row r="14">
          <cell r="A14" t="str">
            <v>Számla</v>
          </cell>
          <cell r="B14" t="str">
            <v>SZA00088/2019</v>
          </cell>
          <cell r="C14" t="str">
            <v>2019.03.06.</v>
          </cell>
          <cell r="D14" t="str">
            <v>2019.03.06.</v>
          </cell>
          <cell r="E14" t="str">
            <v>2019.03.06.</v>
          </cell>
          <cell r="G14" t="str">
            <v>Kratancsik Judit</v>
          </cell>
          <cell r="I14" t="str">
            <v>13</v>
          </cell>
          <cell r="J14" t="str">
            <v>Halott hűtés</v>
          </cell>
          <cell r="P14">
            <v>1</v>
          </cell>
          <cell r="Q14" t="str">
            <v>nap</v>
          </cell>
          <cell r="R14">
            <v>6142</v>
          </cell>
          <cell r="S14" t="str">
            <v>27%-os áfa</v>
          </cell>
          <cell r="T14" t="str">
            <v>HUF</v>
          </cell>
          <cell r="U14">
            <v>1</v>
          </cell>
          <cell r="V14">
            <v>6142</v>
          </cell>
          <cell r="W14">
            <v>1658</v>
          </cell>
          <cell r="X14">
            <v>7800</v>
          </cell>
          <cell r="Y14" t="str">
            <v>KT/5</v>
          </cell>
          <cell r="Z14" t="str">
            <v>Halott hűtő használat_x000D_
2019. 03.04-03.06ig 3x2600=7800.-Ft</v>
          </cell>
          <cell r="AA14" t="str">
            <v>Normál</v>
          </cell>
        </row>
        <row r="15">
          <cell r="A15" t="str">
            <v>Számla</v>
          </cell>
          <cell r="B15" t="str">
            <v>SZA00091/2019</v>
          </cell>
          <cell r="C15" t="str">
            <v>2019.03.06.</v>
          </cell>
          <cell r="D15" t="str">
            <v>2019.03.06.</v>
          </cell>
          <cell r="E15" t="str">
            <v>2019.03.06.</v>
          </cell>
          <cell r="G15" t="str">
            <v>Szilasi Sándor</v>
          </cell>
          <cell r="I15" t="str">
            <v>13</v>
          </cell>
          <cell r="J15" t="str">
            <v>Halott hűtés</v>
          </cell>
          <cell r="P15">
            <v>1</v>
          </cell>
          <cell r="Q15" t="str">
            <v>nap</v>
          </cell>
          <cell r="R15">
            <v>9291.34</v>
          </cell>
          <cell r="S15" t="str">
            <v>27%-os áfa</v>
          </cell>
          <cell r="T15" t="str">
            <v>HUF</v>
          </cell>
          <cell r="U15">
            <v>1</v>
          </cell>
          <cell r="V15">
            <v>9291</v>
          </cell>
          <cell r="W15">
            <v>2509</v>
          </cell>
          <cell r="X15">
            <v>11800</v>
          </cell>
          <cell r="Y15" t="str">
            <v>KT/5</v>
          </cell>
          <cell r="Z15" t="str">
            <v>Halott hűtő használat_x000D_
2019.02.19-02.22-ig_x000D_
3x2600+4000=11800.-Ft</v>
          </cell>
          <cell r="AA15" t="str">
            <v>Normál</v>
          </cell>
        </row>
        <row r="16">
          <cell r="A16" t="str">
            <v>Számla</v>
          </cell>
          <cell r="B16" t="str">
            <v>SZA00116/2019</v>
          </cell>
          <cell r="C16" t="str">
            <v>2019.03.14.</v>
          </cell>
          <cell r="D16" t="str">
            <v>2019.03.14.</v>
          </cell>
          <cell r="E16" t="str">
            <v>2019.03.14.</v>
          </cell>
          <cell r="G16" t="str">
            <v>Tóth László</v>
          </cell>
          <cell r="I16" t="str">
            <v>35</v>
          </cell>
          <cell r="J16" t="str">
            <v>Temető fenntartási hozzájárulási díj</v>
          </cell>
          <cell r="P16">
            <v>1</v>
          </cell>
          <cell r="Q16" t="str">
            <v>db</v>
          </cell>
          <cell r="R16">
            <v>3240.16</v>
          </cell>
          <cell r="S16" t="str">
            <v>27%-os áfa</v>
          </cell>
          <cell r="T16" t="str">
            <v>HUF</v>
          </cell>
          <cell r="U16">
            <v>1</v>
          </cell>
          <cell r="V16">
            <v>3240</v>
          </cell>
          <cell r="W16">
            <v>875</v>
          </cell>
          <cell r="X16">
            <v>4115</v>
          </cell>
          <cell r="Y16" t="str">
            <v>KT/5</v>
          </cell>
          <cell r="Z16" t="str">
            <v>Hozzájárulási díj</v>
          </cell>
          <cell r="AA16" t="str">
            <v>Normál</v>
          </cell>
        </row>
        <row r="17">
          <cell r="A17" t="str">
            <v>Számla</v>
          </cell>
          <cell r="B17" t="str">
            <v>SZA00131/2019</v>
          </cell>
          <cell r="C17" t="str">
            <v>2019.03.26.</v>
          </cell>
          <cell r="D17" t="str">
            <v>2019.03.26.</v>
          </cell>
          <cell r="E17" t="str">
            <v>2019.03.26.</v>
          </cell>
          <cell r="G17" t="str">
            <v>Okner Ferenc</v>
          </cell>
          <cell r="I17" t="str">
            <v>166</v>
          </cell>
          <cell r="J17" t="str">
            <v>Sitt elszállítás</v>
          </cell>
          <cell r="P17">
            <v>1</v>
          </cell>
          <cell r="Q17" t="str">
            <v>db</v>
          </cell>
          <cell r="R17">
            <v>37126</v>
          </cell>
          <cell r="S17" t="str">
            <v>27%-os áfa</v>
          </cell>
          <cell r="T17" t="str">
            <v>HUF</v>
          </cell>
          <cell r="U17">
            <v>1</v>
          </cell>
          <cell r="V17">
            <v>37126</v>
          </cell>
          <cell r="W17">
            <v>10024</v>
          </cell>
          <cell r="X17">
            <v>47150</v>
          </cell>
          <cell r="Y17" t="str">
            <v>KT/5</v>
          </cell>
          <cell r="Z17" t="str">
            <v>Sírhely megváltás 21214-21215 (2-es)_x000D_
2018.03.22-2043.03.21-ig</v>
          </cell>
          <cell r="AA17" t="str">
            <v>Normál</v>
          </cell>
        </row>
        <row r="18">
          <cell r="A18" t="str">
            <v>Számla</v>
          </cell>
          <cell r="B18" t="str">
            <v>SZA00133/2019</v>
          </cell>
          <cell r="C18" t="str">
            <v>2019.03.27.</v>
          </cell>
          <cell r="D18" t="str">
            <v>2019.03.27.</v>
          </cell>
          <cell r="E18" t="str">
            <v>2019.03.27.</v>
          </cell>
          <cell r="G18" t="str">
            <v>Illés Jánosné</v>
          </cell>
          <cell r="I18" t="str">
            <v>13</v>
          </cell>
          <cell r="J18" t="str">
            <v>Halott hűtés</v>
          </cell>
          <cell r="P18">
            <v>1</v>
          </cell>
          <cell r="Q18" t="str">
            <v>nap</v>
          </cell>
          <cell r="R18">
            <v>4094.49</v>
          </cell>
          <cell r="S18" t="str">
            <v>27%-os áfa</v>
          </cell>
          <cell r="T18" t="str">
            <v>HUF</v>
          </cell>
          <cell r="U18">
            <v>1</v>
          </cell>
          <cell r="V18">
            <v>4095</v>
          </cell>
          <cell r="W18">
            <v>1105</v>
          </cell>
          <cell r="X18">
            <v>5200</v>
          </cell>
          <cell r="Y18" t="str">
            <v>KT/5</v>
          </cell>
          <cell r="Z18" t="str">
            <v>Halott hűtés 2019.03.21-22-ig 2x2600=5200.-</v>
          </cell>
          <cell r="AA18" t="str">
            <v>Normál</v>
          </cell>
        </row>
        <row r="19">
          <cell r="A19" t="str">
            <v>Számla</v>
          </cell>
          <cell r="B19" t="str">
            <v>SZA00135/2019</v>
          </cell>
          <cell r="C19" t="str">
            <v>2019.03.28.</v>
          </cell>
          <cell r="D19" t="str">
            <v>2019.03.28.</v>
          </cell>
          <cell r="E19" t="str">
            <v>2019.03.28.</v>
          </cell>
          <cell r="F19" t="str">
            <v>294</v>
          </cell>
          <cell r="G19" t="str">
            <v>Varga Ernő</v>
          </cell>
          <cell r="H19" t="str">
            <v>46274546127</v>
          </cell>
          <cell r="I19" t="str">
            <v>35</v>
          </cell>
          <cell r="J19" t="str">
            <v>Temető fenntartási hozzájárulási díj</v>
          </cell>
          <cell r="P19">
            <v>1</v>
          </cell>
          <cell r="Q19" t="str">
            <v>db</v>
          </cell>
          <cell r="R19">
            <v>3240.16</v>
          </cell>
          <cell r="S19" t="str">
            <v>27%-os áfa</v>
          </cell>
          <cell r="T19" t="str">
            <v>HUF</v>
          </cell>
          <cell r="U19">
            <v>1</v>
          </cell>
          <cell r="V19">
            <v>3240</v>
          </cell>
          <cell r="W19">
            <v>875</v>
          </cell>
          <cell r="X19">
            <v>4115</v>
          </cell>
          <cell r="Y19" t="str">
            <v>KT/5</v>
          </cell>
          <cell r="Z19" t="str">
            <v>Hozzájárulási díj</v>
          </cell>
          <cell r="AA19" t="str">
            <v>Normál</v>
          </cell>
        </row>
        <row r="20">
          <cell r="A20" t="str">
            <v>Számla</v>
          </cell>
          <cell r="B20" t="str">
            <v>SZA00158/2019</v>
          </cell>
          <cell r="C20" t="str">
            <v>2019.04.10.</v>
          </cell>
          <cell r="D20" t="str">
            <v>2019.04.10.</v>
          </cell>
          <cell r="E20" t="str">
            <v>2019.04.10.</v>
          </cell>
          <cell r="G20" t="str">
            <v>Bencsik  Ferencné</v>
          </cell>
          <cell r="I20" t="str">
            <v>13</v>
          </cell>
          <cell r="J20" t="str">
            <v>Halott hűtés</v>
          </cell>
          <cell r="P20">
            <v>1</v>
          </cell>
          <cell r="Q20" t="str">
            <v>nap</v>
          </cell>
          <cell r="R20">
            <v>6142</v>
          </cell>
          <cell r="S20" t="str">
            <v>27%-os áfa</v>
          </cell>
          <cell r="T20" t="str">
            <v>HUF</v>
          </cell>
          <cell r="U20">
            <v>1</v>
          </cell>
          <cell r="V20">
            <v>6142</v>
          </cell>
          <cell r="W20">
            <v>1658</v>
          </cell>
          <cell r="X20">
            <v>7800</v>
          </cell>
          <cell r="Y20" t="str">
            <v>KT/5</v>
          </cell>
          <cell r="Z20" t="str">
            <v>Halott hűtés 2019.04.02-04.05-ig 3 nap x 2600=7800.-Ft</v>
          </cell>
          <cell r="AA20" t="str">
            <v>Normál</v>
          </cell>
        </row>
        <row r="21">
          <cell r="A21" t="str">
            <v>Számla</v>
          </cell>
          <cell r="B21" t="str">
            <v>SZA00159/2019</v>
          </cell>
          <cell r="C21" t="str">
            <v>2019.04.10.</v>
          </cell>
          <cell r="D21" t="str">
            <v>2019.04.10.</v>
          </cell>
          <cell r="E21" t="str">
            <v>2019.04.10.</v>
          </cell>
          <cell r="G21" t="str">
            <v>Gránit Kőmanufaktúra Kft</v>
          </cell>
          <cell r="I21" t="str">
            <v>35</v>
          </cell>
          <cell r="J21" t="str">
            <v>Temető fenntartási hozzájárulási díj</v>
          </cell>
          <cell r="P21">
            <v>1</v>
          </cell>
          <cell r="Q21" t="str">
            <v>db</v>
          </cell>
          <cell r="R21">
            <v>3240.16</v>
          </cell>
          <cell r="S21" t="str">
            <v>27%-os áfa</v>
          </cell>
          <cell r="T21" t="str">
            <v>HUF</v>
          </cell>
          <cell r="U21">
            <v>1</v>
          </cell>
          <cell r="V21">
            <v>3240</v>
          </cell>
          <cell r="W21">
            <v>875</v>
          </cell>
          <cell r="X21">
            <v>4115</v>
          </cell>
          <cell r="Y21" t="str">
            <v>KT/5</v>
          </cell>
          <cell r="Z21" t="str">
            <v>Temető fenntartás hozzájárulási dij 2019.04.10</v>
          </cell>
          <cell r="AA21" t="str">
            <v>Normál</v>
          </cell>
        </row>
        <row r="22">
          <cell r="A22" t="str">
            <v>Számla</v>
          </cell>
          <cell r="B22" t="str">
            <v>SZA00171/2019</v>
          </cell>
          <cell r="C22" t="str">
            <v>2019.04.16.</v>
          </cell>
          <cell r="D22" t="str">
            <v>2019.04.16.</v>
          </cell>
          <cell r="E22" t="str">
            <v>2019.04.16.</v>
          </cell>
          <cell r="G22" t="str">
            <v>Suplicz Jánosné Pató Magdolna</v>
          </cell>
          <cell r="I22" t="str">
            <v>35</v>
          </cell>
          <cell r="J22" t="str">
            <v>Temető fenntartási hozzájárulási díj</v>
          </cell>
          <cell r="P22">
            <v>1</v>
          </cell>
          <cell r="Q22" t="str">
            <v>db</v>
          </cell>
          <cell r="R22">
            <v>3240.16</v>
          </cell>
          <cell r="S22" t="str">
            <v>27%-os áfa</v>
          </cell>
          <cell r="T22" t="str">
            <v>HUF</v>
          </cell>
          <cell r="U22">
            <v>1</v>
          </cell>
          <cell r="V22">
            <v>3240</v>
          </cell>
          <cell r="W22">
            <v>875</v>
          </cell>
          <cell r="X22">
            <v>4115</v>
          </cell>
          <cell r="Y22" t="str">
            <v>KT/5</v>
          </cell>
          <cell r="Z22" t="str">
            <v>12225-12226</v>
          </cell>
          <cell r="AA22" t="str">
            <v>Normál</v>
          </cell>
        </row>
        <row r="23">
          <cell r="A23" t="str">
            <v>Számla</v>
          </cell>
          <cell r="B23" t="str">
            <v>SZA00176/2019</v>
          </cell>
          <cell r="C23" t="str">
            <v>2019.04.23.</v>
          </cell>
          <cell r="D23" t="str">
            <v>2019.04.23.</v>
          </cell>
          <cell r="E23" t="str">
            <v>2019.04.23.</v>
          </cell>
          <cell r="F23" t="str">
            <v>294</v>
          </cell>
          <cell r="G23" t="str">
            <v>Varga Ernő</v>
          </cell>
          <cell r="H23" t="str">
            <v>46274546127</v>
          </cell>
          <cell r="J23" t="str">
            <v>Síremlék telepítés</v>
          </cell>
          <cell r="P23">
            <v>1</v>
          </cell>
          <cell r="Q23" t="str">
            <v>db</v>
          </cell>
          <cell r="R23">
            <v>3240.16</v>
          </cell>
          <cell r="S23" t="str">
            <v>27%-os áfa</v>
          </cell>
          <cell r="T23" t="str">
            <v>HUF</v>
          </cell>
          <cell r="U23">
            <v>1</v>
          </cell>
          <cell r="V23">
            <v>3240</v>
          </cell>
          <cell r="W23">
            <v>875</v>
          </cell>
          <cell r="X23">
            <v>4115</v>
          </cell>
          <cell r="Y23" t="str">
            <v>KT/5</v>
          </cell>
          <cell r="Z23" t="str">
            <v>Síremlék telepítés 20336-20337</v>
          </cell>
          <cell r="AA23" t="str">
            <v>Normál</v>
          </cell>
        </row>
        <row r="24">
          <cell r="A24" t="str">
            <v>Számla</v>
          </cell>
          <cell r="B24" t="str">
            <v>SZA00188/2019</v>
          </cell>
          <cell r="C24" t="str">
            <v>2019.04.30.</v>
          </cell>
          <cell r="D24" t="str">
            <v>2019.04.30.</v>
          </cell>
          <cell r="E24" t="str">
            <v>2019.04.30.</v>
          </cell>
          <cell r="G24" t="str">
            <v>Varga Judit</v>
          </cell>
          <cell r="I24" t="str">
            <v>13</v>
          </cell>
          <cell r="J24" t="str">
            <v>Halott hűtés</v>
          </cell>
          <cell r="P24">
            <v>1</v>
          </cell>
          <cell r="Q24" t="str">
            <v>nap</v>
          </cell>
          <cell r="R24">
            <v>6142</v>
          </cell>
          <cell r="S24" t="str">
            <v>27%-os áfa</v>
          </cell>
          <cell r="T24" t="str">
            <v>HUF</v>
          </cell>
          <cell r="U24">
            <v>1</v>
          </cell>
          <cell r="V24">
            <v>6142</v>
          </cell>
          <cell r="W24">
            <v>1658</v>
          </cell>
          <cell r="X24">
            <v>7800</v>
          </cell>
          <cell r="Y24" t="str">
            <v>KT/5</v>
          </cell>
          <cell r="Z24" t="str">
            <v>Halott hűtő használat_x000D_
3x2600=7800</v>
          </cell>
          <cell r="AA24" t="str">
            <v>Normál</v>
          </cell>
        </row>
        <row r="25">
          <cell r="A25" t="str">
            <v>Számla</v>
          </cell>
          <cell r="B25" t="str">
            <v>SZA00188/2019</v>
          </cell>
          <cell r="C25" t="str">
            <v>2019.04.30.</v>
          </cell>
          <cell r="D25" t="str">
            <v>2019.04.30.</v>
          </cell>
          <cell r="E25" t="str">
            <v>2019.04.30.</v>
          </cell>
          <cell r="G25" t="str">
            <v>Varga Judit</v>
          </cell>
          <cell r="I25" t="str">
            <v>13</v>
          </cell>
          <cell r="J25" t="str">
            <v>Halott hűtés</v>
          </cell>
          <cell r="P25">
            <v>1</v>
          </cell>
          <cell r="Q25" t="str">
            <v>nap</v>
          </cell>
          <cell r="R25">
            <v>3150</v>
          </cell>
          <cell r="S25" t="str">
            <v>27%-os áfa</v>
          </cell>
          <cell r="T25" t="str">
            <v>HUF</v>
          </cell>
          <cell r="U25">
            <v>1</v>
          </cell>
          <cell r="V25">
            <v>3150</v>
          </cell>
          <cell r="W25">
            <v>850</v>
          </cell>
          <cell r="X25">
            <v>4000</v>
          </cell>
          <cell r="Y25" t="str">
            <v>KT/5</v>
          </cell>
          <cell r="Z25" t="str">
            <v>1x4000</v>
          </cell>
          <cell r="AA25" t="str">
            <v>Normál</v>
          </cell>
        </row>
        <row r="26">
          <cell r="A26" t="str">
            <v>Számla</v>
          </cell>
          <cell r="B26" t="str">
            <v>SZA00189/2019</v>
          </cell>
          <cell r="C26" t="str">
            <v>2019.04.30.</v>
          </cell>
          <cell r="D26" t="str">
            <v>2019.04.30.</v>
          </cell>
          <cell r="E26" t="str">
            <v>2019.04.30.</v>
          </cell>
          <cell r="G26" t="str">
            <v>Patkós Csaba</v>
          </cell>
          <cell r="I26" t="str">
            <v>130</v>
          </cell>
          <cell r="J26" t="str">
            <v>Ravatalozó használat</v>
          </cell>
          <cell r="P26">
            <v>1</v>
          </cell>
          <cell r="Q26" t="str">
            <v>db</v>
          </cell>
          <cell r="R26">
            <v>15984.25</v>
          </cell>
          <cell r="S26" t="str">
            <v>27%-os áfa</v>
          </cell>
          <cell r="T26" t="str">
            <v>HUF</v>
          </cell>
          <cell r="U26">
            <v>1</v>
          </cell>
          <cell r="V26">
            <v>15984</v>
          </cell>
          <cell r="W26">
            <v>4316</v>
          </cell>
          <cell r="X26">
            <v>20300</v>
          </cell>
          <cell r="Y26" t="str">
            <v>KT/5</v>
          </cell>
          <cell r="Z26" t="str">
            <v>Ravatalozó használat</v>
          </cell>
          <cell r="AA26" t="str">
            <v>Normál</v>
          </cell>
        </row>
        <row r="27">
          <cell r="A27" t="str">
            <v>Számla</v>
          </cell>
          <cell r="B27" t="str">
            <v>SZA00189/2019</v>
          </cell>
          <cell r="C27" t="str">
            <v>2019.04.30.</v>
          </cell>
          <cell r="D27" t="str">
            <v>2019.04.30.</v>
          </cell>
          <cell r="E27" t="str">
            <v>2019.04.30.</v>
          </cell>
          <cell r="G27" t="str">
            <v>Patkós Csaba</v>
          </cell>
          <cell r="I27" t="str">
            <v>13</v>
          </cell>
          <cell r="J27" t="str">
            <v>Halott hűtés</v>
          </cell>
          <cell r="P27">
            <v>1</v>
          </cell>
          <cell r="Q27" t="str">
            <v>nap</v>
          </cell>
          <cell r="R27">
            <v>4094.49</v>
          </cell>
          <cell r="S27" t="str">
            <v>27%-os áfa</v>
          </cell>
          <cell r="T27" t="str">
            <v>HUF</v>
          </cell>
          <cell r="U27">
            <v>1</v>
          </cell>
          <cell r="V27">
            <v>4095</v>
          </cell>
          <cell r="W27">
            <v>1105</v>
          </cell>
          <cell r="X27">
            <v>5200</v>
          </cell>
          <cell r="Y27" t="str">
            <v>KT/5</v>
          </cell>
          <cell r="Z27" t="str">
            <v>Halott hűtő használat 2x2600</v>
          </cell>
          <cell r="AA27" t="str">
            <v>Normál</v>
          </cell>
        </row>
        <row r="28">
          <cell r="A28" t="str">
            <v>Számla</v>
          </cell>
          <cell r="B28" t="str">
            <v>SZA00190/2019</v>
          </cell>
          <cell r="C28" t="str">
            <v>2019.05.02.</v>
          </cell>
          <cell r="D28" t="str">
            <v>2019.05.02.</v>
          </cell>
          <cell r="E28" t="str">
            <v>2019.05.02.</v>
          </cell>
          <cell r="F28" t="str">
            <v>294</v>
          </cell>
          <cell r="G28" t="str">
            <v>Varga Ernő</v>
          </cell>
          <cell r="H28" t="str">
            <v>46274546127</v>
          </cell>
          <cell r="I28" t="str">
            <v>35</v>
          </cell>
          <cell r="J28" t="str">
            <v>Temető fenntartási hozzájárulási díj</v>
          </cell>
          <cell r="P28">
            <v>1</v>
          </cell>
          <cell r="Q28" t="str">
            <v>db</v>
          </cell>
          <cell r="R28">
            <v>3240.16</v>
          </cell>
          <cell r="S28" t="str">
            <v>27%-os áfa</v>
          </cell>
          <cell r="T28" t="str">
            <v>HUF</v>
          </cell>
          <cell r="U28">
            <v>1</v>
          </cell>
          <cell r="V28">
            <v>3240</v>
          </cell>
          <cell r="W28">
            <v>875</v>
          </cell>
          <cell r="X28">
            <v>4115</v>
          </cell>
          <cell r="Y28" t="str">
            <v>KT/5</v>
          </cell>
          <cell r="Z28" t="str">
            <v>Temető fenntartás hozzájárulási díj</v>
          </cell>
          <cell r="AA28" t="str">
            <v>Normál</v>
          </cell>
        </row>
        <row r="29">
          <cell r="A29" t="str">
            <v>Számla</v>
          </cell>
          <cell r="B29" t="str">
            <v>SZA00212/2019</v>
          </cell>
          <cell r="C29" t="str">
            <v>2019.05.13.</v>
          </cell>
          <cell r="D29" t="str">
            <v>2019.05.13.</v>
          </cell>
          <cell r="E29" t="str">
            <v>2019.05.13.</v>
          </cell>
          <cell r="G29" t="str">
            <v>Klopfer Ferencné</v>
          </cell>
          <cell r="I29" t="str">
            <v>13</v>
          </cell>
          <cell r="J29" t="str">
            <v>Halott hűtés</v>
          </cell>
          <cell r="P29">
            <v>1</v>
          </cell>
          <cell r="Q29" t="str">
            <v>nap</v>
          </cell>
          <cell r="R29">
            <v>6142</v>
          </cell>
          <cell r="S29" t="str">
            <v>27%-os áfa</v>
          </cell>
          <cell r="T29" t="str">
            <v>HUF</v>
          </cell>
          <cell r="U29">
            <v>1</v>
          </cell>
          <cell r="V29">
            <v>6142</v>
          </cell>
          <cell r="W29">
            <v>1658</v>
          </cell>
          <cell r="X29">
            <v>7800</v>
          </cell>
          <cell r="Y29" t="str">
            <v>KT/5</v>
          </cell>
          <cell r="Z29" t="str">
            <v>Halott hűtő használat_x000D_
2019.05.13-2019.05.16-ig 3x2600 Ft</v>
          </cell>
          <cell r="AA29" t="str">
            <v>Normál</v>
          </cell>
        </row>
        <row r="30">
          <cell r="A30" t="str">
            <v>Számla</v>
          </cell>
          <cell r="B30" t="str">
            <v>SZA00225/2019</v>
          </cell>
          <cell r="C30" t="str">
            <v>2019.05.17.</v>
          </cell>
          <cell r="D30" t="str">
            <v>2019.05.17.</v>
          </cell>
          <cell r="E30" t="str">
            <v>2019.05.17.</v>
          </cell>
          <cell r="F30" t="str">
            <v>294</v>
          </cell>
          <cell r="G30" t="str">
            <v>Varga Ernő</v>
          </cell>
          <cell r="H30" t="str">
            <v>46274546127</v>
          </cell>
          <cell r="I30" t="str">
            <v>35</v>
          </cell>
          <cell r="J30" t="str">
            <v>Temető fenntartási hozzájárulási díj</v>
          </cell>
          <cell r="P30">
            <v>1</v>
          </cell>
          <cell r="Q30" t="str">
            <v>db</v>
          </cell>
          <cell r="R30">
            <v>3240.16</v>
          </cell>
          <cell r="S30" t="str">
            <v>27%-os áfa</v>
          </cell>
          <cell r="T30" t="str">
            <v>HUF</v>
          </cell>
          <cell r="U30">
            <v>1</v>
          </cell>
          <cell r="V30">
            <v>3240</v>
          </cell>
          <cell r="W30">
            <v>875</v>
          </cell>
          <cell r="X30">
            <v>4115</v>
          </cell>
          <cell r="Y30" t="str">
            <v>KT/5</v>
          </cell>
          <cell r="Z30" t="str">
            <v>20111-20112 sírhely_x000D_
Temető fenntartás hozzájárulási díj_x000D_
2019.05.17</v>
          </cell>
          <cell r="AA30" t="str">
            <v>Normál</v>
          </cell>
        </row>
        <row r="31">
          <cell r="A31" t="str">
            <v>Számla</v>
          </cell>
          <cell r="B31" t="str">
            <v>SZA00231/2019</v>
          </cell>
          <cell r="C31" t="str">
            <v>2019.05.23.</v>
          </cell>
          <cell r="D31" t="str">
            <v>2019.05.23.</v>
          </cell>
          <cell r="E31" t="str">
            <v>2019.05.23.</v>
          </cell>
          <cell r="F31" t="str">
            <v>294</v>
          </cell>
          <cell r="G31" t="str">
            <v>Varga Ernő</v>
          </cell>
          <cell r="H31" t="str">
            <v>46274546127</v>
          </cell>
          <cell r="I31" t="str">
            <v>35</v>
          </cell>
          <cell r="J31" t="str">
            <v>Temető fenntartási hozzájárulási díj</v>
          </cell>
          <cell r="P31">
            <v>1</v>
          </cell>
          <cell r="Q31" t="str">
            <v>db</v>
          </cell>
          <cell r="R31">
            <v>3240.16</v>
          </cell>
          <cell r="S31" t="str">
            <v>27%-os áfa</v>
          </cell>
          <cell r="T31" t="str">
            <v>HUF</v>
          </cell>
          <cell r="U31">
            <v>1</v>
          </cell>
          <cell r="V31">
            <v>3240</v>
          </cell>
          <cell r="W31">
            <v>875</v>
          </cell>
          <cell r="X31">
            <v>4115</v>
          </cell>
          <cell r="Y31" t="str">
            <v>KT/5</v>
          </cell>
          <cell r="Z31" t="str">
            <v>22807-es sírhely_x000D_
Sírkő felújítás 2019.05.23-án</v>
          </cell>
          <cell r="AA31" t="str">
            <v>Normál</v>
          </cell>
        </row>
        <row r="32">
          <cell r="A32" t="str">
            <v>Számla</v>
          </cell>
          <cell r="B32" t="str">
            <v>SZA00245/2019</v>
          </cell>
          <cell r="C32" t="str">
            <v>2019.05.31.</v>
          </cell>
          <cell r="D32" t="str">
            <v>2019.06.01.</v>
          </cell>
          <cell r="E32" t="str">
            <v>2019.05.31.</v>
          </cell>
          <cell r="G32" t="str">
            <v>Szpodnyi Tibor</v>
          </cell>
          <cell r="I32" t="str">
            <v>13</v>
          </cell>
          <cell r="J32" t="str">
            <v>Halott hűtés</v>
          </cell>
          <cell r="P32">
            <v>1</v>
          </cell>
          <cell r="Q32" t="str">
            <v>nap</v>
          </cell>
          <cell r="R32">
            <v>4094.49</v>
          </cell>
          <cell r="S32" t="str">
            <v>27%-os áfa</v>
          </cell>
          <cell r="T32" t="str">
            <v>HUF</v>
          </cell>
          <cell r="U32">
            <v>1</v>
          </cell>
          <cell r="V32">
            <v>4095</v>
          </cell>
          <cell r="W32">
            <v>1105</v>
          </cell>
          <cell r="X32">
            <v>5200</v>
          </cell>
          <cell r="Y32" t="str">
            <v>KT/5</v>
          </cell>
          <cell r="Z32" t="str">
            <v>Halott hűtő használat 2 nap</v>
          </cell>
          <cell r="AA32" t="str">
            <v>Normál</v>
          </cell>
        </row>
        <row r="33">
          <cell r="A33" t="str">
            <v>Számla</v>
          </cell>
          <cell r="B33" t="str">
            <v>SZA00258/2019</v>
          </cell>
          <cell r="C33" t="str">
            <v>2019.06.05.</v>
          </cell>
          <cell r="D33" t="str">
            <v>2019.06.05.</v>
          </cell>
          <cell r="E33" t="str">
            <v>2019.06.05.</v>
          </cell>
          <cell r="G33" t="str">
            <v>Sütő Ferenc</v>
          </cell>
          <cell r="I33" t="str">
            <v>13</v>
          </cell>
          <cell r="J33" t="str">
            <v>Halott hűtés</v>
          </cell>
          <cell r="P33">
            <v>1</v>
          </cell>
          <cell r="Q33" t="str">
            <v>nap</v>
          </cell>
          <cell r="R33">
            <v>6142</v>
          </cell>
          <cell r="S33" t="str">
            <v>27%-os áfa</v>
          </cell>
          <cell r="T33" t="str">
            <v>HUF</v>
          </cell>
          <cell r="U33">
            <v>1</v>
          </cell>
          <cell r="V33">
            <v>6142</v>
          </cell>
          <cell r="W33">
            <v>1658</v>
          </cell>
          <cell r="X33">
            <v>7800</v>
          </cell>
          <cell r="Y33" t="str">
            <v>KT/5</v>
          </cell>
          <cell r="Z33" t="str">
            <v>Halott hűtő használat 3 nap</v>
          </cell>
          <cell r="AA33" t="str">
            <v>Normál</v>
          </cell>
        </row>
        <row r="34">
          <cell r="A34" t="str">
            <v>Számla</v>
          </cell>
          <cell r="B34" t="str">
            <v>SZA00267/2019</v>
          </cell>
          <cell r="C34" t="str">
            <v>2019.06.14.</v>
          </cell>
          <cell r="D34" t="str">
            <v>2019.06.12.</v>
          </cell>
          <cell r="E34" t="str">
            <v>2019.06.14.</v>
          </cell>
          <cell r="G34" t="str">
            <v>Kovács László</v>
          </cell>
          <cell r="I34" t="str">
            <v>13</v>
          </cell>
          <cell r="J34" t="str">
            <v>Halott hűtés</v>
          </cell>
          <cell r="P34">
            <v>3</v>
          </cell>
          <cell r="Q34" t="str">
            <v>nap</v>
          </cell>
          <cell r="R34">
            <v>2047.24</v>
          </cell>
          <cell r="S34" t="str">
            <v>27%-os áfa</v>
          </cell>
          <cell r="T34" t="str">
            <v>HUF</v>
          </cell>
          <cell r="U34">
            <v>1</v>
          </cell>
          <cell r="V34">
            <v>6142</v>
          </cell>
          <cell r="W34">
            <v>1658</v>
          </cell>
          <cell r="X34">
            <v>7800</v>
          </cell>
          <cell r="Y34" t="str">
            <v>KT/5</v>
          </cell>
          <cell r="Z34" t="str">
            <v>Halott hűtő használat 3*2600=7800</v>
          </cell>
          <cell r="AA34" t="str">
            <v>Normál</v>
          </cell>
        </row>
        <row r="35">
          <cell r="A35" t="str">
            <v>Számla</v>
          </cell>
          <cell r="B35" t="str">
            <v>SZA00267/2019</v>
          </cell>
          <cell r="C35" t="str">
            <v>2019.06.14.</v>
          </cell>
          <cell r="D35" t="str">
            <v>2019.06.12.</v>
          </cell>
          <cell r="E35" t="str">
            <v>2019.06.14.</v>
          </cell>
          <cell r="G35" t="str">
            <v>Kovács László</v>
          </cell>
          <cell r="I35" t="str">
            <v>13</v>
          </cell>
          <cell r="J35" t="str">
            <v>Halott hűtés</v>
          </cell>
          <cell r="P35">
            <v>1</v>
          </cell>
          <cell r="Q35" t="str">
            <v>nap</v>
          </cell>
          <cell r="R35">
            <v>3150</v>
          </cell>
          <cell r="S35" t="str">
            <v>27%-os áfa</v>
          </cell>
          <cell r="T35" t="str">
            <v>HUF</v>
          </cell>
          <cell r="U35">
            <v>1</v>
          </cell>
          <cell r="V35">
            <v>3150</v>
          </cell>
          <cell r="W35">
            <v>850</v>
          </cell>
          <cell r="X35">
            <v>4000</v>
          </cell>
          <cell r="Y35" t="str">
            <v>KT/5</v>
          </cell>
          <cell r="Z35" t="str">
            <v>Halott hűtő használat 1*4000</v>
          </cell>
          <cell r="AA35" t="str">
            <v>Normál</v>
          </cell>
        </row>
        <row r="36">
          <cell r="A36" t="str">
            <v>Számla</v>
          </cell>
          <cell r="B36" t="str">
            <v>SZA00270/2019</v>
          </cell>
          <cell r="C36" t="str">
            <v>2019.06.19.</v>
          </cell>
          <cell r="D36" t="str">
            <v>2019.06.19.</v>
          </cell>
          <cell r="E36" t="str">
            <v>2019.06.19.</v>
          </cell>
          <cell r="G36" t="str">
            <v>Palánky Klára</v>
          </cell>
          <cell r="I36" t="str">
            <v>130</v>
          </cell>
          <cell r="J36" t="str">
            <v>Ravatalozó használat</v>
          </cell>
          <cell r="P36">
            <v>1</v>
          </cell>
          <cell r="Q36" t="str">
            <v>db</v>
          </cell>
          <cell r="R36">
            <v>15984.25</v>
          </cell>
          <cell r="S36" t="str">
            <v>27%-os áfa</v>
          </cell>
          <cell r="T36" t="str">
            <v>HUF</v>
          </cell>
          <cell r="U36">
            <v>1</v>
          </cell>
          <cell r="V36">
            <v>15984</v>
          </cell>
          <cell r="W36">
            <v>4316</v>
          </cell>
          <cell r="X36">
            <v>20300</v>
          </cell>
          <cell r="Y36" t="str">
            <v>KT/5</v>
          </cell>
          <cell r="Z36" t="str">
            <v>Ravatalozó használat</v>
          </cell>
          <cell r="AA36" t="str">
            <v>Normál</v>
          </cell>
        </row>
        <row r="37">
          <cell r="A37" t="str">
            <v>Számla</v>
          </cell>
          <cell r="B37" t="str">
            <v>SZA00270/2019</v>
          </cell>
          <cell r="C37" t="str">
            <v>2019.06.19.</v>
          </cell>
          <cell r="D37" t="str">
            <v>2019.06.19.</v>
          </cell>
          <cell r="E37" t="str">
            <v>2019.06.19.</v>
          </cell>
          <cell r="G37" t="str">
            <v>Palánky Klára</v>
          </cell>
          <cell r="I37" t="str">
            <v>13</v>
          </cell>
          <cell r="J37" t="str">
            <v>Halott hűtés</v>
          </cell>
          <cell r="P37">
            <v>3</v>
          </cell>
          <cell r="Q37" t="str">
            <v>nap</v>
          </cell>
          <cell r="R37">
            <v>2047.24</v>
          </cell>
          <cell r="S37" t="str">
            <v>27%-os áfa</v>
          </cell>
          <cell r="T37" t="str">
            <v>HUF</v>
          </cell>
          <cell r="U37">
            <v>1</v>
          </cell>
          <cell r="V37">
            <v>6142</v>
          </cell>
          <cell r="W37">
            <v>1658</v>
          </cell>
          <cell r="X37">
            <v>7800</v>
          </cell>
          <cell r="Y37" t="str">
            <v>KT/5</v>
          </cell>
          <cell r="Z37" t="str">
            <v>Halott hűtés 3*2600 2019.06.18-06.21</v>
          </cell>
          <cell r="AA37" t="str">
            <v>Normál</v>
          </cell>
        </row>
        <row r="38">
          <cell r="A38" t="str">
            <v>Számla</v>
          </cell>
          <cell r="B38" t="str">
            <v>SZA00275/2019</v>
          </cell>
          <cell r="C38" t="str">
            <v>2019.07.04.</v>
          </cell>
          <cell r="D38" t="str">
            <v>2019.07.04.</v>
          </cell>
          <cell r="E38" t="str">
            <v>2019.07.04.</v>
          </cell>
          <cell r="G38" t="str">
            <v>Gránit Kőmanufaktúra Kft</v>
          </cell>
          <cell r="I38" t="str">
            <v>35</v>
          </cell>
          <cell r="J38" t="str">
            <v>Temető fenntartási hozzájárulási díj</v>
          </cell>
          <cell r="P38">
            <v>1</v>
          </cell>
          <cell r="Q38" t="str">
            <v>db</v>
          </cell>
          <cell r="R38">
            <v>3240.16</v>
          </cell>
          <cell r="S38" t="str">
            <v>27%-os áfa</v>
          </cell>
          <cell r="T38" t="str">
            <v>HUF</v>
          </cell>
          <cell r="U38">
            <v>1</v>
          </cell>
          <cell r="V38">
            <v>3240</v>
          </cell>
          <cell r="W38">
            <v>875</v>
          </cell>
          <cell r="X38">
            <v>4115</v>
          </cell>
          <cell r="Y38" t="str">
            <v>KT/5</v>
          </cell>
          <cell r="Z38" t="str">
            <v>80307-es urna sírhely _x000D_
2019.07.04.</v>
          </cell>
          <cell r="AA38" t="str">
            <v>Normál</v>
          </cell>
        </row>
        <row r="39">
          <cell r="A39" t="str">
            <v>Számla</v>
          </cell>
          <cell r="B39" t="str">
            <v>SZA00306/2019</v>
          </cell>
          <cell r="C39" t="str">
            <v>2019.07.15.</v>
          </cell>
          <cell r="D39" t="str">
            <v>2019.07.15.</v>
          </cell>
          <cell r="E39" t="str">
            <v>2019.07.15.</v>
          </cell>
          <cell r="G39" t="str">
            <v>Kiss István</v>
          </cell>
          <cell r="I39" t="str">
            <v>13</v>
          </cell>
          <cell r="J39" t="str">
            <v>Halott hűtés</v>
          </cell>
          <cell r="P39">
            <v>1</v>
          </cell>
          <cell r="Q39" t="str">
            <v>nap</v>
          </cell>
          <cell r="R39">
            <v>4094.49</v>
          </cell>
          <cell r="S39" t="str">
            <v>27%-os áfa</v>
          </cell>
          <cell r="T39" t="str">
            <v>HUF</v>
          </cell>
          <cell r="U39">
            <v>1</v>
          </cell>
          <cell r="V39">
            <v>4095</v>
          </cell>
          <cell r="W39">
            <v>1105</v>
          </cell>
          <cell r="X39">
            <v>5200</v>
          </cell>
          <cell r="Y39" t="str">
            <v>KT/5</v>
          </cell>
          <cell r="Z39" t="str">
            <v>Halott hűtés 2019.07.13-14-ig 2 nap</v>
          </cell>
          <cell r="AA39" t="str">
            <v>Normál</v>
          </cell>
        </row>
        <row r="40">
          <cell r="A40" t="str">
            <v>Számla</v>
          </cell>
          <cell r="B40" t="str">
            <v>SZA00322/2019</v>
          </cell>
          <cell r="C40" t="str">
            <v>2019.07.19.</v>
          </cell>
          <cell r="D40" t="str">
            <v>2019.07.19.</v>
          </cell>
          <cell r="E40" t="str">
            <v>2019.07.19.</v>
          </cell>
          <cell r="G40" t="str">
            <v>Szöllősi Jánosné</v>
          </cell>
          <cell r="I40" t="str">
            <v>13</v>
          </cell>
          <cell r="J40" t="str">
            <v>Halott hűtés</v>
          </cell>
          <cell r="P40">
            <v>1</v>
          </cell>
          <cell r="Q40" t="str">
            <v>nap</v>
          </cell>
          <cell r="R40">
            <v>12441</v>
          </cell>
          <cell r="S40" t="str">
            <v>27%-os áfa</v>
          </cell>
          <cell r="T40" t="str">
            <v>HUF</v>
          </cell>
          <cell r="U40">
            <v>1</v>
          </cell>
          <cell r="V40">
            <v>12441</v>
          </cell>
          <cell r="W40">
            <v>3359</v>
          </cell>
          <cell r="X40">
            <v>15800</v>
          </cell>
          <cell r="Y40" t="str">
            <v>KT/5</v>
          </cell>
          <cell r="Z40" t="str">
            <v>Halott hűtés 5 nap_x000D_
3*2600=7800.-_x000D_
2*4000=8000.-</v>
          </cell>
          <cell r="AA40" t="str">
            <v>Normál</v>
          </cell>
        </row>
        <row r="41">
          <cell r="A41" t="str">
            <v>Számla</v>
          </cell>
          <cell r="B41" t="str">
            <v>SZA00327/2019</v>
          </cell>
          <cell r="C41" t="str">
            <v>2019.07.22.</v>
          </cell>
          <cell r="D41" t="str">
            <v>2019.07.22.</v>
          </cell>
          <cell r="E41" t="str">
            <v>2019.07.22.</v>
          </cell>
          <cell r="F41" t="str">
            <v>294</v>
          </cell>
          <cell r="G41" t="str">
            <v>Varga Ernő</v>
          </cell>
          <cell r="H41" t="str">
            <v>46274546127</v>
          </cell>
          <cell r="I41" t="str">
            <v>35</v>
          </cell>
          <cell r="J41" t="str">
            <v>Temető fenntartási hozzájárulási díj</v>
          </cell>
          <cell r="P41">
            <v>1</v>
          </cell>
          <cell r="Q41" t="str">
            <v>db</v>
          </cell>
          <cell r="R41">
            <v>3240.16</v>
          </cell>
          <cell r="S41" t="str">
            <v>27%-os áfa</v>
          </cell>
          <cell r="T41" t="str">
            <v>HUF</v>
          </cell>
          <cell r="U41">
            <v>1</v>
          </cell>
          <cell r="V41">
            <v>3240</v>
          </cell>
          <cell r="W41">
            <v>875</v>
          </cell>
          <cell r="X41">
            <v>4115</v>
          </cell>
          <cell r="Y41" t="str">
            <v>KT/5</v>
          </cell>
          <cell r="Z41" t="str">
            <v>40409-40410 sír</v>
          </cell>
          <cell r="AA41" t="str">
            <v>Normál</v>
          </cell>
        </row>
        <row r="42">
          <cell r="A42" t="str">
            <v>Számla</v>
          </cell>
          <cell r="B42" t="str">
            <v>SZA00340/2019</v>
          </cell>
          <cell r="C42" t="str">
            <v>2019.08.05.</v>
          </cell>
          <cell r="D42" t="str">
            <v>2019.08.05.</v>
          </cell>
          <cell r="E42" t="str">
            <v>2019.08.05.</v>
          </cell>
          <cell r="G42" t="str">
            <v>Szederkényi László</v>
          </cell>
          <cell r="J42" t="str">
            <v>Sírhely gondozás</v>
          </cell>
          <cell r="P42">
            <v>1</v>
          </cell>
          <cell r="Q42" t="str">
            <v>db</v>
          </cell>
          <cell r="R42">
            <v>11811.02</v>
          </cell>
          <cell r="S42" t="str">
            <v>27%-os áfa</v>
          </cell>
          <cell r="T42" t="str">
            <v>HUF</v>
          </cell>
          <cell r="U42">
            <v>1</v>
          </cell>
          <cell r="V42">
            <v>11811</v>
          </cell>
          <cell r="W42">
            <v>3189</v>
          </cell>
          <cell r="X42">
            <v>15000</v>
          </cell>
          <cell r="Y42" t="str">
            <v>KT/5</v>
          </cell>
          <cell r="Z42" t="str">
            <v>2019.08.05-2022.08.04-ig (3 év)</v>
          </cell>
          <cell r="AA42" t="str">
            <v>Normál</v>
          </cell>
        </row>
        <row r="43">
          <cell r="A43" t="str">
            <v>Számla</v>
          </cell>
          <cell r="B43" t="str">
            <v>SZA00341/2019</v>
          </cell>
          <cell r="C43" t="str">
            <v>2019.08.05.</v>
          </cell>
          <cell r="D43" t="str">
            <v>2019.08.05.</v>
          </cell>
          <cell r="E43" t="str">
            <v>2019.08.05.</v>
          </cell>
          <cell r="G43" t="str">
            <v>Szederkényi László</v>
          </cell>
          <cell r="J43" t="str">
            <v>Sírhely gondozás</v>
          </cell>
          <cell r="P43">
            <v>1</v>
          </cell>
          <cell r="Q43" t="str">
            <v>db</v>
          </cell>
          <cell r="R43">
            <v>23622.05</v>
          </cell>
          <cell r="S43" t="str">
            <v>27%-os áfa</v>
          </cell>
          <cell r="T43" t="str">
            <v>HUF</v>
          </cell>
          <cell r="U43">
            <v>1</v>
          </cell>
          <cell r="V43">
            <v>23622</v>
          </cell>
          <cell r="W43">
            <v>6378</v>
          </cell>
          <cell r="X43">
            <v>30000</v>
          </cell>
          <cell r="Y43" t="str">
            <v>KT/5</v>
          </cell>
          <cell r="Z43" t="str">
            <v>Sír gondozás_x000D_
2019.08.05-2022.08.04-ig (3 év) 15000Ft/év_x000D_
SZA00340/2019. sz számlán 15000.- kiszámlázva</v>
          </cell>
          <cell r="AA43" t="str">
            <v>Normál</v>
          </cell>
        </row>
        <row r="44">
          <cell r="A44" t="str">
            <v>Számla</v>
          </cell>
          <cell r="B44" t="str">
            <v>SZA00349/2019</v>
          </cell>
          <cell r="C44" t="str">
            <v>2019.08.06.</v>
          </cell>
          <cell r="D44" t="str">
            <v>2019.08.06.</v>
          </cell>
          <cell r="E44" t="str">
            <v>2019.08.06.</v>
          </cell>
          <cell r="F44" t="str">
            <v>294</v>
          </cell>
          <cell r="G44" t="str">
            <v>Varga Ernő</v>
          </cell>
          <cell r="H44" t="str">
            <v>46274546127</v>
          </cell>
          <cell r="I44" t="str">
            <v>35</v>
          </cell>
          <cell r="J44" t="str">
            <v>Temető fenntartási hozzájárulási díj</v>
          </cell>
          <cell r="P44">
            <v>1</v>
          </cell>
          <cell r="Q44" t="str">
            <v>db</v>
          </cell>
          <cell r="R44">
            <v>3240.16</v>
          </cell>
          <cell r="S44" t="str">
            <v>27%-os áfa</v>
          </cell>
          <cell r="T44" t="str">
            <v>HUF</v>
          </cell>
          <cell r="U44">
            <v>1</v>
          </cell>
          <cell r="V44">
            <v>3240</v>
          </cell>
          <cell r="W44">
            <v>875</v>
          </cell>
          <cell r="X44">
            <v>4115</v>
          </cell>
          <cell r="Y44" t="str">
            <v>KT/5</v>
          </cell>
          <cell r="Z44" t="str">
            <v>20413-as sírhely temető fenntartás hozzájárulási díj</v>
          </cell>
          <cell r="AA44" t="str">
            <v>Normál</v>
          </cell>
        </row>
        <row r="45">
          <cell r="A45" t="str">
            <v>Számla</v>
          </cell>
          <cell r="B45" t="str">
            <v>SZA00366/2019</v>
          </cell>
          <cell r="C45" t="str">
            <v>2019.08.09.</v>
          </cell>
          <cell r="D45" t="str">
            <v>2019.08.09.</v>
          </cell>
          <cell r="E45" t="str">
            <v>2019.08.09.</v>
          </cell>
          <cell r="G45" t="str">
            <v>Fisi Péter</v>
          </cell>
          <cell r="I45" t="str">
            <v>35</v>
          </cell>
          <cell r="J45" t="str">
            <v>Temető fenntartási hozzájárulási díj</v>
          </cell>
          <cell r="P45">
            <v>1</v>
          </cell>
          <cell r="Q45" t="str">
            <v>db</v>
          </cell>
          <cell r="R45">
            <v>3240.16</v>
          </cell>
          <cell r="S45" t="str">
            <v>27%-os áfa</v>
          </cell>
          <cell r="T45" t="str">
            <v>HUF</v>
          </cell>
          <cell r="U45">
            <v>1</v>
          </cell>
          <cell r="V45">
            <v>3240</v>
          </cell>
          <cell r="W45">
            <v>875</v>
          </cell>
          <cell r="X45">
            <v>4115</v>
          </cell>
          <cell r="Y45" t="str">
            <v>KT/5</v>
          </cell>
          <cell r="Z45" t="str">
            <v>1939-1998 sírhely_x000D_
Temető fenntartás hozzájárulási díj</v>
          </cell>
          <cell r="AA45" t="str">
            <v>Normál</v>
          </cell>
        </row>
        <row r="46">
          <cell r="A46" t="str">
            <v>Számla</v>
          </cell>
          <cell r="B46" t="str">
            <v>SZA00370/2019</v>
          </cell>
          <cell r="C46" t="str">
            <v>2019.08.14.</v>
          </cell>
          <cell r="D46" t="str">
            <v>2019.08.14.</v>
          </cell>
          <cell r="E46" t="str">
            <v>2019.08.14.</v>
          </cell>
          <cell r="G46" t="str">
            <v>Józsa Szilvia</v>
          </cell>
          <cell r="I46" t="str">
            <v>13</v>
          </cell>
          <cell r="J46" t="str">
            <v>Halott hűtés</v>
          </cell>
          <cell r="P46">
            <v>1</v>
          </cell>
          <cell r="Q46" t="str">
            <v>nap</v>
          </cell>
          <cell r="R46">
            <v>4094.49</v>
          </cell>
          <cell r="S46" t="str">
            <v>27%-os áfa</v>
          </cell>
          <cell r="T46" t="str">
            <v>HUF</v>
          </cell>
          <cell r="U46">
            <v>1</v>
          </cell>
          <cell r="V46">
            <v>4095</v>
          </cell>
          <cell r="W46">
            <v>1105</v>
          </cell>
          <cell r="X46">
            <v>5200</v>
          </cell>
          <cell r="Y46" t="str">
            <v>KT/5</v>
          </cell>
          <cell r="Z46" t="str">
            <v>Halott hűtés 2019.08.13-14-ig</v>
          </cell>
          <cell r="AA46" t="str">
            <v>Normál</v>
          </cell>
        </row>
        <row r="47">
          <cell r="A47" t="str">
            <v>Számla</v>
          </cell>
          <cell r="B47" t="str">
            <v>SZA00376/2019</v>
          </cell>
          <cell r="C47" t="str">
            <v>2019.08.26.</v>
          </cell>
          <cell r="D47" t="str">
            <v>2019.08.26.</v>
          </cell>
          <cell r="E47" t="str">
            <v>2019.08.26.</v>
          </cell>
          <cell r="F47" t="str">
            <v>294</v>
          </cell>
          <cell r="G47" t="str">
            <v>Varga Ernő</v>
          </cell>
          <cell r="H47" t="str">
            <v>46274546127</v>
          </cell>
          <cell r="I47" t="str">
            <v>35</v>
          </cell>
          <cell r="J47" t="str">
            <v>Temető fenntartási hozzájárulási díj</v>
          </cell>
          <cell r="P47">
            <v>1</v>
          </cell>
          <cell r="Q47" t="str">
            <v>db</v>
          </cell>
          <cell r="R47">
            <v>3240.16</v>
          </cell>
          <cell r="S47" t="str">
            <v>27%-os áfa</v>
          </cell>
          <cell r="T47" t="str">
            <v>HUF</v>
          </cell>
          <cell r="U47">
            <v>1</v>
          </cell>
          <cell r="V47">
            <v>3240</v>
          </cell>
          <cell r="W47">
            <v>875</v>
          </cell>
          <cell r="X47">
            <v>4115</v>
          </cell>
          <cell r="Y47" t="str">
            <v>KT/5</v>
          </cell>
          <cell r="Z47" t="str">
            <v>31924-31925 sírhely</v>
          </cell>
          <cell r="AA47" t="str">
            <v>Normál</v>
          </cell>
        </row>
        <row r="48">
          <cell r="A48" t="str">
            <v>Számla</v>
          </cell>
          <cell r="B48" t="str">
            <v>SZA00382/2019</v>
          </cell>
          <cell r="C48" t="str">
            <v>2019.08.28.</v>
          </cell>
          <cell r="D48" t="str">
            <v>2019.08.28.</v>
          </cell>
          <cell r="E48" t="str">
            <v>2019.08.28.</v>
          </cell>
          <cell r="F48" t="str">
            <v>294</v>
          </cell>
          <cell r="G48" t="str">
            <v>Varga Ernő</v>
          </cell>
          <cell r="H48" t="str">
            <v>46274546127</v>
          </cell>
          <cell r="I48" t="str">
            <v>35</v>
          </cell>
          <cell r="J48" t="str">
            <v>Temető fenntartási hozzájárulási díj</v>
          </cell>
          <cell r="P48">
            <v>1</v>
          </cell>
          <cell r="Q48" t="str">
            <v>db</v>
          </cell>
          <cell r="R48">
            <v>3240.16</v>
          </cell>
          <cell r="S48" t="str">
            <v>27%-os áfa</v>
          </cell>
          <cell r="T48" t="str">
            <v>HUF</v>
          </cell>
          <cell r="U48">
            <v>1</v>
          </cell>
          <cell r="V48">
            <v>3240</v>
          </cell>
          <cell r="W48">
            <v>875</v>
          </cell>
          <cell r="X48">
            <v>4115</v>
          </cell>
          <cell r="Y48" t="str">
            <v>KT/5</v>
          </cell>
          <cell r="Z48" t="str">
            <v>40510-40511 temető fenntartás hozzájárulási díj</v>
          </cell>
          <cell r="AA48" t="str">
            <v>Normál</v>
          </cell>
        </row>
        <row r="49">
          <cell r="A49" t="str">
            <v>Számla</v>
          </cell>
          <cell r="B49" t="str">
            <v>SZA00384/2019</v>
          </cell>
          <cell r="C49" t="str">
            <v>2019.08.29.</v>
          </cell>
          <cell r="D49" t="str">
            <v>2019.08.29.</v>
          </cell>
          <cell r="E49" t="str">
            <v>2019.08.29.</v>
          </cell>
          <cell r="G49" t="str">
            <v>Richter Zoltán</v>
          </cell>
          <cell r="I49" t="str">
            <v>35</v>
          </cell>
          <cell r="J49" t="str">
            <v>Temető fenntartási hozzájárulási díj</v>
          </cell>
          <cell r="P49">
            <v>1</v>
          </cell>
          <cell r="Q49" t="str">
            <v>db</v>
          </cell>
          <cell r="R49">
            <v>3240.16</v>
          </cell>
          <cell r="S49" t="str">
            <v>27%-os áfa</v>
          </cell>
          <cell r="T49" t="str">
            <v>HUF</v>
          </cell>
          <cell r="U49">
            <v>1</v>
          </cell>
          <cell r="V49">
            <v>3240</v>
          </cell>
          <cell r="W49">
            <v>875</v>
          </cell>
          <cell r="X49">
            <v>4115</v>
          </cell>
          <cell r="Y49" t="str">
            <v>KT/5</v>
          </cell>
          <cell r="Z49" t="str">
            <v>80330 temető fenntartás hozzájárulási díj</v>
          </cell>
          <cell r="AA49" t="str">
            <v>Normál</v>
          </cell>
        </row>
        <row r="50">
          <cell r="A50" t="str">
            <v>Számla</v>
          </cell>
          <cell r="B50" t="str">
            <v>SZA00391/2019</v>
          </cell>
          <cell r="C50" t="str">
            <v>2019.09.04.</v>
          </cell>
          <cell r="D50" t="str">
            <v>2019.09.04.</v>
          </cell>
          <cell r="E50" t="str">
            <v>2019.09.04.</v>
          </cell>
          <cell r="F50" t="str">
            <v>294</v>
          </cell>
          <cell r="G50" t="str">
            <v>Varga Ernő</v>
          </cell>
          <cell r="H50" t="str">
            <v>46274546127</v>
          </cell>
          <cell r="I50" t="str">
            <v>35</v>
          </cell>
          <cell r="J50" t="str">
            <v>Temető fenntartási hozzájárulási díj</v>
          </cell>
          <cell r="P50">
            <v>1</v>
          </cell>
          <cell r="Q50" t="str">
            <v>db</v>
          </cell>
          <cell r="R50">
            <v>3240.16</v>
          </cell>
          <cell r="S50" t="str">
            <v>27%-os áfa</v>
          </cell>
          <cell r="T50" t="str">
            <v>HUF</v>
          </cell>
          <cell r="U50">
            <v>1</v>
          </cell>
          <cell r="V50">
            <v>3240</v>
          </cell>
          <cell r="W50">
            <v>875</v>
          </cell>
          <cell r="X50">
            <v>4115</v>
          </cell>
          <cell r="Y50" t="str">
            <v>KT/5</v>
          </cell>
          <cell r="Z50" t="str">
            <v>3715-3716 temető fenntartás hozzájárulása</v>
          </cell>
          <cell r="AA50" t="str">
            <v>Normál</v>
          </cell>
        </row>
        <row r="51">
          <cell r="A51" t="str">
            <v>Számla</v>
          </cell>
          <cell r="B51" t="str">
            <v>SZA00399/2019</v>
          </cell>
          <cell r="C51" t="str">
            <v>2019.09.05.</v>
          </cell>
          <cell r="D51" t="str">
            <v>2019.09.05.</v>
          </cell>
          <cell r="E51" t="str">
            <v>2019.09.05.</v>
          </cell>
          <cell r="G51" t="str">
            <v>Dr. Pintér István</v>
          </cell>
          <cell r="I51" t="str">
            <v>13</v>
          </cell>
          <cell r="J51" t="str">
            <v>Halott hűtés</v>
          </cell>
          <cell r="P51">
            <v>1</v>
          </cell>
          <cell r="Q51" t="str">
            <v>nap</v>
          </cell>
          <cell r="R51">
            <v>6142</v>
          </cell>
          <cell r="S51" t="str">
            <v>27%-os áfa</v>
          </cell>
          <cell r="T51" t="str">
            <v>HUF</v>
          </cell>
          <cell r="U51">
            <v>1</v>
          </cell>
          <cell r="V51">
            <v>6142</v>
          </cell>
          <cell r="W51">
            <v>1658</v>
          </cell>
          <cell r="X51">
            <v>7800</v>
          </cell>
          <cell r="Y51" t="str">
            <v>KT/5</v>
          </cell>
          <cell r="Z51" t="str">
            <v>Halott hűtés 2019.09.03-2019.09.06-ig 3 nap</v>
          </cell>
          <cell r="AA51" t="str">
            <v>Normál</v>
          </cell>
        </row>
        <row r="52">
          <cell r="A52" t="str">
            <v>Számla</v>
          </cell>
          <cell r="B52" t="str">
            <v>SZA00400/2019</v>
          </cell>
          <cell r="C52" t="str">
            <v>2019.09.05.</v>
          </cell>
          <cell r="D52" t="str">
            <v>2019.09.05.</v>
          </cell>
          <cell r="E52" t="str">
            <v>2019.09.05.</v>
          </cell>
          <cell r="F52" t="str">
            <v>294</v>
          </cell>
          <cell r="G52" t="str">
            <v>Varga Ernő</v>
          </cell>
          <cell r="H52" t="str">
            <v>46274546127</v>
          </cell>
          <cell r="I52" t="str">
            <v>35</v>
          </cell>
          <cell r="J52" t="str">
            <v>Temető fenntartási hozzájárulási díj</v>
          </cell>
          <cell r="P52">
            <v>1</v>
          </cell>
          <cell r="Q52" t="str">
            <v>db</v>
          </cell>
          <cell r="R52">
            <v>3240.16</v>
          </cell>
          <cell r="S52" t="str">
            <v>27%-os áfa</v>
          </cell>
          <cell r="T52" t="str">
            <v>HUF</v>
          </cell>
          <cell r="U52">
            <v>1</v>
          </cell>
          <cell r="V52">
            <v>3240</v>
          </cell>
          <cell r="W52">
            <v>875</v>
          </cell>
          <cell r="X52">
            <v>4115</v>
          </cell>
          <cell r="Y52" t="str">
            <v>KT/5</v>
          </cell>
          <cell r="Z52" t="str">
            <v>21013-21014 _x000D_
Temető fenntartás hozzájárulási díj</v>
          </cell>
          <cell r="AA52" t="str">
            <v>Normál</v>
          </cell>
        </row>
        <row r="53">
          <cell r="A53" t="str">
            <v>Számla</v>
          </cell>
          <cell r="B53" t="str">
            <v>SZA00415/2019</v>
          </cell>
          <cell r="C53" t="str">
            <v>2019.09.11.</v>
          </cell>
          <cell r="D53" t="str">
            <v>2019.09.11.</v>
          </cell>
          <cell r="E53" t="str">
            <v>2019.09.11.</v>
          </cell>
          <cell r="G53" t="str">
            <v>Gránit Kőmanufaktúra Kft</v>
          </cell>
          <cell r="I53" t="str">
            <v>35</v>
          </cell>
          <cell r="J53" t="str">
            <v>Temető fenntartási hozzájárulási díj</v>
          </cell>
          <cell r="P53">
            <v>1</v>
          </cell>
          <cell r="Q53" t="str">
            <v>db</v>
          </cell>
          <cell r="R53">
            <v>3240.16</v>
          </cell>
          <cell r="S53" t="str">
            <v>27%-os áfa</v>
          </cell>
          <cell r="T53" t="str">
            <v>HUF</v>
          </cell>
          <cell r="U53">
            <v>1</v>
          </cell>
          <cell r="V53">
            <v>3240</v>
          </cell>
          <cell r="W53">
            <v>875</v>
          </cell>
          <cell r="X53">
            <v>4115</v>
          </cell>
          <cell r="Y53" t="str">
            <v>KT/5</v>
          </cell>
          <cell r="Z53" t="str">
            <v>80403 temető fenntartás hozzájárulási díj</v>
          </cell>
          <cell r="AA53" t="str">
            <v>Normál</v>
          </cell>
        </row>
        <row r="54">
          <cell r="A54" t="str">
            <v>Számla</v>
          </cell>
          <cell r="B54" t="str">
            <v>SZA00416/2019</v>
          </cell>
          <cell r="C54" t="str">
            <v>2019.09.13.</v>
          </cell>
          <cell r="D54" t="str">
            <v>2019.09.13.</v>
          </cell>
          <cell r="E54" t="str">
            <v>2019.09.13.</v>
          </cell>
          <cell r="G54" t="str">
            <v>Balogh István ev.</v>
          </cell>
          <cell r="I54" t="str">
            <v>35</v>
          </cell>
          <cell r="J54" t="str">
            <v>Temető fenntartási hozzájárulási díj</v>
          </cell>
          <cell r="P54">
            <v>1</v>
          </cell>
          <cell r="Q54" t="str">
            <v>db</v>
          </cell>
          <cell r="R54">
            <v>3240.16</v>
          </cell>
          <cell r="S54" t="str">
            <v>27%-os áfa</v>
          </cell>
          <cell r="T54" t="str">
            <v>HUF</v>
          </cell>
          <cell r="U54">
            <v>1</v>
          </cell>
          <cell r="V54">
            <v>3240</v>
          </cell>
          <cell r="W54">
            <v>875</v>
          </cell>
          <cell r="X54">
            <v>4115</v>
          </cell>
          <cell r="Y54" t="str">
            <v>KT/5</v>
          </cell>
          <cell r="Z54" t="str">
            <v>20432-es sírhely temető fenntartás hozzájárulási díj</v>
          </cell>
          <cell r="AA54" t="str">
            <v>Normál</v>
          </cell>
        </row>
        <row r="55">
          <cell r="A55" t="str">
            <v>Számla</v>
          </cell>
          <cell r="B55" t="str">
            <v>SZA00432/2019</v>
          </cell>
          <cell r="C55" t="str">
            <v>2019.09.23.</v>
          </cell>
          <cell r="D55" t="str">
            <v>2019.09.23.</v>
          </cell>
          <cell r="E55" t="str">
            <v>2019.09.23.</v>
          </cell>
          <cell r="G55" t="str">
            <v>Csepke Tibor</v>
          </cell>
          <cell r="I55" t="str">
            <v>13</v>
          </cell>
          <cell r="J55" t="str">
            <v>Halott hűtés</v>
          </cell>
          <cell r="P55">
            <v>1</v>
          </cell>
          <cell r="Q55" t="str">
            <v>nap</v>
          </cell>
          <cell r="R55">
            <v>15591</v>
          </cell>
          <cell r="S55" t="str">
            <v>27%-os áfa</v>
          </cell>
          <cell r="T55" t="str">
            <v>HUF</v>
          </cell>
          <cell r="U55">
            <v>1</v>
          </cell>
          <cell r="V55">
            <v>15591</v>
          </cell>
          <cell r="W55">
            <v>4209</v>
          </cell>
          <cell r="X55">
            <v>19800</v>
          </cell>
          <cell r="Y55" t="str">
            <v>KT/5</v>
          </cell>
          <cell r="Z55" t="str">
            <v>2019.09.19-2019.09.24-ig_x000D_
Halott hűtés 3x2600=7800.-_x000D_
3x4000=12000.-</v>
          </cell>
          <cell r="AA55" t="str">
            <v>Normál</v>
          </cell>
        </row>
        <row r="56">
          <cell r="A56" t="str">
            <v>Számla</v>
          </cell>
          <cell r="B56" t="str">
            <v>SZA00433/2019</v>
          </cell>
          <cell r="C56" t="str">
            <v>2019.09.23.</v>
          </cell>
          <cell r="D56" t="str">
            <v>2019.09.23.</v>
          </cell>
          <cell r="E56" t="str">
            <v>2019.09.23.</v>
          </cell>
          <cell r="G56" t="str">
            <v>Ribi Tamás</v>
          </cell>
          <cell r="I56" t="str">
            <v>13</v>
          </cell>
          <cell r="J56" t="str">
            <v>Halott hűtés</v>
          </cell>
          <cell r="P56">
            <v>1</v>
          </cell>
          <cell r="Q56" t="str">
            <v>nap</v>
          </cell>
          <cell r="R56">
            <v>15591</v>
          </cell>
          <cell r="S56" t="str">
            <v>27%-os áfa</v>
          </cell>
          <cell r="T56" t="str">
            <v>HUF</v>
          </cell>
          <cell r="U56">
            <v>1</v>
          </cell>
          <cell r="V56">
            <v>15591</v>
          </cell>
          <cell r="W56">
            <v>4209</v>
          </cell>
          <cell r="X56">
            <v>19800</v>
          </cell>
          <cell r="Y56" t="str">
            <v>KT/5</v>
          </cell>
          <cell r="Z56" t="str">
            <v>Halott hűtés _x000D_
3x2600=7800_x000D_
3x4000=12000</v>
          </cell>
          <cell r="AA56" t="str">
            <v>Normál</v>
          </cell>
        </row>
        <row r="57">
          <cell r="A57" t="str">
            <v>Számla</v>
          </cell>
          <cell r="B57" t="str">
            <v>SZA00434/2019</v>
          </cell>
          <cell r="C57" t="str">
            <v>2019.09.27.</v>
          </cell>
          <cell r="D57" t="str">
            <v>2019.09.27.</v>
          </cell>
          <cell r="E57" t="str">
            <v>2019.09.27.</v>
          </cell>
          <cell r="F57" t="str">
            <v>294</v>
          </cell>
          <cell r="G57" t="str">
            <v>Varga Ernő</v>
          </cell>
          <cell r="H57" t="str">
            <v>46274546127</v>
          </cell>
          <cell r="I57" t="str">
            <v>35</v>
          </cell>
          <cell r="J57" t="str">
            <v>Temető fenntartási hozzájárulási díj</v>
          </cell>
          <cell r="P57">
            <v>1</v>
          </cell>
          <cell r="Q57" t="str">
            <v>db</v>
          </cell>
          <cell r="R57">
            <v>3240.16</v>
          </cell>
          <cell r="S57" t="str">
            <v>27%-os áfa</v>
          </cell>
          <cell r="T57" t="str">
            <v>HUF</v>
          </cell>
          <cell r="U57">
            <v>1</v>
          </cell>
          <cell r="V57">
            <v>3240</v>
          </cell>
          <cell r="W57">
            <v>875</v>
          </cell>
          <cell r="X57">
            <v>4115</v>
          </cell>
          <cell r="Y57" t="str">
            <v>KT/5</v>
          </cell>
          <cell r="Z57" t="str">
            <v>20319-20320 temető fenntartás hozzájárulási díj</v>
          </cell>
          <cell r="AA57" t="str">
            <v>Normál</v>
          </cell>
        </row>
        <row r="58">
          <cell r="A58" t="str">
            <v>Számla</v>
          </cell>
          <cell r="B58" t="str">
            <v>SZA00438/2019</v>
          </cell>
          <cell r="C58" t="str">
            <v>2019.10.07.</v>
          </cell>
          <cell r="D58" t="str">
            <v>2019.10.07.</v>
          </cell>
          <cell r="E58" t="str">
            <v>2019.10.07.</v>
          </cell>
          <cell r="G58" t="str">
            <v>Krateli Ibolya</v>
          </cell>
          <cell r="I58" t="str">
            <v>13</v>
          </cell>
          <cell r="J58" t="str">
            <v>Halott hűtés</v>
          </cell>
          <cell r="P58">
            <v>1</v>
          </cell>
          <cell r="Q58" t="str">
            <v>nap</v>
          </cell>
          <cell r="R58">
            <v>4094.49</v>
          </cell>
          <cell r="S58" t="str">
            <v>27%-os áfa</v>
          </cell>
          <cell r="T58" t="str">
            <v>HUF</v>
          </cell>
          <cell r="U58">
            <v>1</v>
          </cell>
          <cell r="V58">
            <v>4095</v>
          </cell>
          <cell r="W58">
            <v>1105</v>
          </cell>
          <cell r="X58">
            <v>5200</v>
          </cell>
          <cell r="Y58" t="str">
            <v>KT</v>
          </cell>
          <cell r="Z58" t="str">
            <v>Halott hűtés 2 nap</v>
          </cell>
          <cell r="AA58" t="str">
            <v>Normál</v>
          </cell>
        </row>
        <row r="59">
          <cell r="A59" t="str">
            <v>Számla</v>
          </cell>
          <cell r="B59" t="str">
            <v>SZA00440/2019</v>
          </cell>
          <cell r="C59" t="str">
            <v>2019.10.11.</v>
          </cell>
          <cell r="D59" t="str">
            <v>2019.10.11.</v>
          </cell>
          <cell r="E59" t="str">
            <v>2019.10.11.</v>
          </cell>
          <cell r="F59" t="str">
            <v>294</v>
          </cell>
          <cell r="G59" t="str">
            <v>Varga Ernő</v>
          </cell>
          <cell r="H59" t="str">
            <v>46274546127</v>
          </cell>
          <cell r="I59" t="str">
            <v>35</v>
          </cell>
          <cell r="J59" t="str">
            <v>Temető fenntartási hozzájárulási díj</v>
          </cell>
          <cell r="P59">
            <v>1</v>
          </cell>
          <cell r="Q59" t="str">
            <v>db</v>
          </cell>
          <cell r="R59">
            <v>3240.16</v>
          </cell>
          <cell r="S59" t="str">
            <v>27%-os áfa</v>
          </cell>
          <cell r="T59" t="str">
            <v>HUF</v>
          </cell>
          <cell r="U59">
            <v>1</v>
          </cell>
          <cell r="V59">
            <v>3240</v>
          </cell>
          <cell r="W59">
            <v>875</v>
          </cell>
          <cell r="X59">
            <v>4115</v>
          </cell>
          <cell r="Y59" t="str">
            <v>KT/5</v>
          </cell>
          <cell r="Z59" t="str">
            <v>Temető fenntartási hj díj, sírkő telepítés 2019.10.09 _x000D_
21118-21119-es sírhely</v>
          </cell>
          <cell r="AA59" t="str">
            <v>Normál</v>
          </cell>
        </row>
        <row r="60">
          <cell r="A60" t="str">
            <v>Számla</v>
          </cell>
          <cell r="B60" t="str">
            <v>SZA00443/2019</v>
          </cell>
          <cell r="C60" t="str">
            <v>2019.10.11.</v>
          </cell>
          <cell r="D60" t="str">
            <v>2019.10.11.</v>
          </cell>
          <cell r="E60" t="str">
            <v>2019.10.11.</v>
          </cell>
          <cell r="G60" t="str">
            <v>Lukács Györgyné</v>
          </cell>
          <cell r="I60" t="str">
            <v>35</v>
          </cell>
          <cell r="J60" t="str">
            <v>Temető fenntartási hozzájárulási díj</v>
          </cell>
          <cell r="P60">
            <v>1</v>
          </cell>
          <cell r="Q60" t="str">
            <v>db</v>
          </cell>
          <cell r="R60">
            <v>3240.16</v>
          </cell>
          <cell r="S60" t="str">
            <v>27%-os áfa</v>
          </cell>
          <cell r="T60" t="str">
            <v>HUF</v>
          </cell>
          <cell r="U60">
            <v>1</v>
          </cell>
          <cell r="V60">
            <v>3240</v>
          </cell>
          <cell r="W60">
            <v>875</v>
          </cell>
          <cell r="X60">
            <v>4115</v>
          </cell>
          <cell r="Y60" t="str">
            <v>KT/5</v>
          </cell>
          <cell r="Z60" t="str">
            <v>Temető fenntartási hj díj, síremlék telepítés 2019.10.08_x000D_
12017-12018-as sírhely</v>
          </cell>
          <cell r="AA60" t="str">
            <v>Normál</v>
          </cell>
        </row>
        <row r="61">
          <cell r="A61" t="str">
            <v>Számla</v>
          </cell>
          <cell r="B61" t="str">
            <v>SZA00444/2019</v>
          </cell>
          <cell r="C61" t="str">
            <v>2019.10.11.</v>
          </cell>
          <cell r="D61" t="str">
            <v>2019.10.11.</v>
          </cell>
          <cell r="E61" t="str">
            <v>2019.10.19.</v>
          </cell>
          <cell r="G61" t="str">
            <v>Stern Gábor e.v.</v>
          </cell>
          <cell r="H61" t="str">
            <v>66654225133</v>
          </cell>
          <cell r="I61" t="str">
            <v>35</v>
          </cell>
          <cell r="J61" t="str">
            <v>Temető fenntartási hozzájárulási díj</v>
          </cell>
          <cell r="P61">
            <v>1</v>
          </cell>
          <cell r="Q61" t="str">
            <v>db</v>
          </cell>
          <cell r="R61">
            <v>3240.16</v>
          </cell>
          <cell r="S61" t="str">
            <v>27%-os áfa</v>
          </cell>
          <cell r="T61" t="str">
            <v>HUF</v>
          </cell>
          <cell r="U61">
            <v>1</v>
          </cell>
          <cell r="V61">
            <v>3240</v>
          </cell>
          <cell r="W61">
            <v>875</v>
          </cell>
          <cell r="X61">
            <v>4115</v>
          </cell>
          <cell r="Y61" t="str">
            <v>KT/5</v>
          </cell>
          <cell r="Z61" t="str">
            <v>Temető fenntartási hj díj, sírmosás 2019.10.07_x000D_
22409-22410-es sírhely</v>
          </cell>
          <cell r="AA61" t="str">
            <v>Normál</v>
          </cell>
        </row>
        <row r="62">
          <cell r="A62" t="str">
            <v>Számla</v>
          </cell>
          <cell r="B62" t="str">
            <v>SZA00445/2019</v>
          </cell>
          <cell r="C62" t="str">
            <v>2019.10.11.</v>
          </cell>
          <cell r="D62" t="str">
            <v>2019.10.11.</v>
          </cell>
          <cell r="E62" t="str">
            <v>2019.10.19.</v>
          </cell>
          <cell r="G62" t="str">
            <v>Stern Gábor e.v.</v>
          </cell>
          <cell r="H62" t="str">
            <v>66654225133</v>
          </cell>
          <cell r="I62" t="str">
            <v>35</v>
          </cell>
          <cell r="J62" t="str">
            <v>Temető fenntartási hozzájárulási díj</v>
          </cell>
          <cell r="P62">
            <v>1</v>
          </cell>
          <cell r="Q62" t="str">
            <v>db</v>
          </cell>
          <cell r="R62">
            <v>3240.16</v>
          </cell>
          <cell r="S62" t="str">
            <v>27%-os áfa</v>
          </cell>
          <cell r="T62" t="str">
            <v>HUF</v>
          </cell>
          <cell r="U62">
            <v>1</v>
          </cell>
          <cell r="V62">
            <v>3240</v>
          </cell>
          <cell r="W62">
            <v>875</v>
          </cell>
          <cell r="X62">
            <v>4115</v>
          </cell>
          <cell r="Y62" t="str">
            <v>KT/5</v>
          </cell>
          <cell r="Z62" t="str">
            <v>Temető fenntartási hj díj, sírmosás 2019.10.11_x000D_
12226-12227-es sírhely</v>
          </cell>
          <cell r="AA62" t="str">
            <v>Normál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B35" sqref="B35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157" t="s">
        <v>816</v>
      </c>
      <c r="B1" s="1157"/>
    </row>
    <row r="2" spans="1:2" ht="15.75" x14ac:dyDescent="0.25">
      <c r="A2" s="1158" t="s">
        <v>692</v>
      </c>
      <c r="B2" s="1158"/>
    </row>
    <row r="3" spans="1:2" x14ac:dyDescent="0.25">
      <c r="A3" s="303"/>
      <c r="B3" s="470"/>
    </row>
    <row r="4" spans="1:2" x14ac:dyDescent="0.25">
      <c r="A4" s="471" t="s">
        <v>569</v>
      </c>
      <c r="B4" s="472" t="s">
        <v>817</v>
      </c>
    </row>
    <row r="5" spans="1:2" x14ac:dyDescent="0.25">
      <c r="A5" s="471" t="s">
        <v>570</v>
      </c>
      <c r="B5" s="472" t="s">
        <v>818</v>
      </c>
    </row>
    <row r="6" spans="1:2" x14ac:dyDescent="0.25">
      <c r="A6" s="471" t="s">
        <v>571</v>
      </c>
      <c r="B6" s="472" t="s">
        <v>819</v>
      </c>
    </row>
    <row r="7" spans="1:2" x14ac:dyDescent="0.25">
      <c r="A7" s="471" t="s">
        <v>581</v>
      </c>
      <c r="B7" s="472" t="s">
        <v>820</v>
      </c>
    </row>
    <row r="8" spans="1:2" x14ac:dyDescent="0.25">
      <c r="A8" s="471" t="s">
        <v>582</v>
      </c>
      <c r="B8" s="472" t="s">
        <v>821</v>
      </c>
    </row>
    <row r="9" spans="1:2" x14ac:dyDescent="0.25">
      <c r="A9" s="471" t="s">
        <v>583</v>
      </c>
      <c r="B9" s="472" t="s">
        <v>822</v>
      </c>
    </row>
    <row r="10" spans="1:2" x14ac:dyDescent="0.25">
      <c r="A10" s="471" t="s">
        <v>572</v>
      </c>
      <c r="B10" s="472" t="s">
        <v>823</v>
      </c>
    </row>
    <row r="11" spans="1:2" x14ac:dyDescent="0.25">
      <c r="A11" s="471" t="s">
        <v>573</v>
      </c>
      <c r="B11" s="472" t="s">
        <v>824</v>
      </c>
    </row>
    <row r="12" spans="1:2" ht="25.5" x14ac:dyDescent="0.25">
      <c r="A12" s="471" t="s">
        <v>623</v>
      </c>
      <c r="B12" s="472" t="s">
        <v>825</v>
      </c>
    </row>
    <row r="13" spans="1:2" ht="25.5" x14ac:dyDescent="0.25">
      <c r="A13" s="471" t="s">
        <v>624</v>
      </c>
      <c r="B13" s="472" t="s">
        <v>826</v>
      </c>
    </row>
    <row r="14" spans="1:2" ht="25.5" x14ac:dyDescent="0.25">
      <c r="A14" s="471" t="s">
        <v>625</v>
      </c>
      <c r="B14" s="472" t="s">
        <v>827</v>
      </c>
    </row>
    <row r="15" spans="1:2" x14ac:dyDescent="0.25">
      <c r="A15" s="471" t="s">
        <v>626</v>
      </c>
      <c r="B15" s="472" t="s">
        <v>828</v>
      </c>
    </row>
    <row r="16" spans="1:2" x14ac:dyDescent="0.25">
      <c r="A16" s="471" t="s">
        <v>627</v>
      </c>
      <c r="B16" s="472" t="s">
        <v>829</v>
      </c>
    </row>
    <row r="17" spans="1:5" x14ac:dyDescent="0.25">
      <c r="A17" s="471" t="s">
        <v>628</v>
      </c>
      <c r="B17" s="472" t="s">
        <v>830</v>
      </c>
    </row>
    <row r="18" spans="1:5" x14ac:dyDescent="0.25">
      <c r="A18" s="471" t="s">
        <v>629</v>
      </c>
      <c r="B18" s="472" t="s">
        <v>831</v>
      </c>
    </row>
    <row r="19" spans="1:5" x14ac:dyDescent="0.25">
      <c r="A19" s="471" t="s">
        <v>574</v>
      </c>
      <c r="B19" s="472" t="s">
        <v>575</v>
      </c>
    </row>
    <row r="20" spans="1:5" x14ac:dyDescent="0.25">
      <c r="A20" s="471" t="s">
        <v>630</v>
      </c>
      <c r="B20" s="472" t="s">
        <v>832</v>
      </c>
    </row>
    <row r="21" spans="1:5" x14ac:dyDescent="0.25">
      <c r="A21" s="471" t="s">
        <v>631</v>
      </c>
      <c r="B21" s="472" t="s">
        <v>833</v>
      </c>
    </row>
    <row r="22" spans="1:5" x14ac:dyDescent="0.25">
      <c r="A22" s="471" t="s">
        <v>659</v>
      </c>
      <c r="B22" s="472" t="s">
        <v>834</v>
      </c>
    </row>
    <row r="23" spans="1:5" ht="17.25" customHeight="1" x14ac:dyDescent="0.25">
      <c r="A23" s="471" t="s">
        <v>576</v>
      </c>
      <c r="B23" s="472" t="s">
        <v>577</v>
      </c>
    </row>
    <row r="24" spans="1:5" x14ac:dyDescent="0.25">
      <c r="A24" s="471" t="s">
        <v>578</v>
      </c>
      <c r="B24" s="472" t="s">
        <v>579</v>
      </c>
    </row>
    <row r="25" spans="1:5" x14ac:dyDescent="0.25">
      <c r="A25" s="471" t="s">
        <v>580</v>
      </c>
      <c r="B25" s="472" t="s">
        <v>835</v>
      </c>
    </row>
    <row r="26" spans="1:5" x14ac:dyDescent="0.25">
      <c r="A26" s="471" t="s">
        <v>661</v>
      </c>
      <c r="B26" s="472" t="s">
        <v>462</v>
      </c>
      <c r="C26" s="472"/>
      <c r="D26" s="472"/>
      <c r="E26" s="472"/>
    </row>
    <row r="27" spans="1:5" x14ac:dyDescent="0.25">
      <c r="A27" s="471" t="s">
        <v>662</v>
      </c>
      <c r="B27" s="472" t="s">
        <v>584</v>
      </c>
    </row>
    <row r="28" spans="1:5" x14ac:dyDescent="0.25">
      <c r="A28" s="61" t="s">
        <v>745</v>
      </c>
      <c r="B28" s="61" t="s">
        <v>746</v>
      </c>
    </row>
    <row r="29" spans="1:5" x14ac:dyDescent="0.25">
      <c r="A29" s="61" t="s">
        <v>747</v>
      </c>
      <c r="B29" s="61" t="s">
        <v>748</v>
      </c>
    </row>
    <row r="30" spans="1:5" x14ac:dyDescent="0.25">
      <c r="A30" s="61" t="s">
        <v>749</v>
      </c>
      <c r="B30" s="61" t="s">
        <v>750</v>
      </c>
    </row>
    <row r="31" spans="1:5" x14ac:dyDescent="0.25">
      <c r="A31" s="61" t="s">
        <v>751</v>
      </c>
      <c r="B31" s="61" t="s">
        <v>752</v>
      </c>
    </row>
    <row r="32" spans="1:5" x14ac:dyDescent="0.25">
      <c r="A32" s="61" t="s">
        <v>753</v>
      </c>
      <c r="B32" s="61" t="s">
        <v>754</v>
      </c>
    </row>
    <row r="33" spans="1:2" x14ac:dyDescent="0.25">
      <c r="A33" s="61" t="s">
        <v>928</v>
      </c>
      <c r="B33" s="61" t="s">
        <v>929</v>
      </c>
    </row>
    <row r="34" spans="1:2" x14ac:dyDescent="0.25">
      <c r="A34" s="61" t="s">
        <v>1028</v>
      </c>
      <c r="B34" s="61" t="s">
        <v>1029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E19" sqref="E19"/>
    </sheetView>
  </sheetViews>
  <sheetFormatPr defaultColWidth="9.140625" defaultRowHeight="15" x14ac:dyDescent="0.25"/>
  <cols>
    <col min="1" max="1" width="6.28515625" style="304" customWidth="1"/>
    <col min="2" max="2" width="7.140625" style="115" customWidth="1"/>
    <col min="3" max="3" width="22" style="115" customWidth="1"/>
    <col min="4" max="4" width="9.5703125" style="56" customWidth="1"/>
    <col min="5" max="5" width="7.85546875" style="56" customWidth="1"/>
    <col min="6" max="6" width="8.85546875" style="56" bestFit="1" customWidth="1"/>
    <col min="7" max="7" width="8.5703125" style="56" customWidth="1"/>
    <col min="8" max="8" width="7.140625" style="56" customWidth="1"/>
    <col min="9" max="9" width="6.5703125" style="56" customWidth="1"/>
    <col min="10" max="17" width="9.5703125" style="56" customWidth="1"/>
    <col min="18" max="18" width="7.7109375" style="56" customWidth="1"/>
    <col min="19" max="19" width="10.28515625" style="56" bestFit="1" customWidth="1"/>
    <col min="20" max="24" width="7.7109375" style="56" customWidth="1"/>
    <col min="25" max="25" width="9.42578125" style="56" customWidth="1"/>
    <col min="26" max="27" width="7.7109375" style="56" customWidth="1"/>
    <col min="28" max="29" width="9.140625" style="306"/>
    <col min="30" max="30" width="9.140625" style="1"/>
    <col min="31" max="16384" width="9.140625" style="17"/>
  </cols>
  <sheetData>
    <row r="1" spans="1:29" s="31" customFormat="1" ht="12.75" customHeight="1" x14ac:dyDescent="0.25">
      <c r="A1" s="1185" t="s">
        <v>0</v>
      </c>
      <c r="B1" s="1187" t="s">
        <v>181</v>
      </c>
      <c r="C1" s="1188"/>
      <c r="D1" s="1191" t="s">
        <v>179</v>
      </c>
      <c r="E1" s="1192"/>
      <c r="F1" s="1192"/>
      <c r="G1" s="1191" t="s">
        <v>262</v>
      </c>
      <c r="H1" s="1192"/>
      <c r="I1" s="1193"/>
      <c r="J1" s="1191" t="s">
        <v>491</v>
      </c>
      <c r="K1" s="1192"/>
      <c r="L1" s="1193"/>
      <c r="M1" s="1191" t="s">
        <v>492</v>
      </c>
      <c r="N1" s="1192"/>
      <c r="O1" s="1193"/>
      <c r="P1" s="1194" t="s">
        <v>493</v>
      </c>
      <c r="Q1" s="1192"/>
      <c r="R1" s="1195"/>
      <c r="S1" s="1191" t="s">
        <v>263</v>
      </c>
      <c r="T1" s="1192"/>
      <c r="U1" s="1193"/>
      <c r="V1" s="1191" t="s">
        <v>494</v>
      </c>
      <c r="W1" s="1192"/>
      <c r="X1" s="1193"/>
      <c r="Y1" s="1191" t="s">
        <v>264</v>
      </c>
      <c r="Z1" s="1192"/>
      <c r="AA1" s="1193"/>
      <c r="AB1" s="298"/>
      <c r="AC1" s="298"/>
    </row>
    <row r="2" spans="1:29" s="16" customFormat="1" ht="26.25" thickBot="1" x14ac:dyDescent="0.3">
      <c r="A2" s="1186"/>
      <c r="B2" s="1189"/>
      <c r="C2" s="1190"/>
      <c r="D2" s="330" t="s">
        <v>947</v>
      </c>
      <c r="E2" s="307" t="s">
        <v>694</v>
      </c>
      <c r="F2" s="307" t="s">
        <v>948</v>
      </c>
      <c r="G2" s="330" t="s">
        <v>947</v>
      </c>
      <c r="H2" s="307" t="s">
        <v>694</v>
      </c>
      <c r="I2" s="307" t="s">
        <v>948</v>
      </c>
      <c r="J2" s="330" t="s">
        <v>947</v>
      </c>
      <c r="K2" s="307" t="s">
        <v>694</v>
      </c>
      <c r="L2" s="307" t="s">
        <v>948</v>
      </c>
      <c r="M2" s="330" t="s">
        <v>947</v>
      </c>
      <c r="N2" s="307" t="s">
        <v>694</v>
      </c>
      <c r="O2" s="307" t="s">
        <v>948</v>
      </c>
      <c r="P2" s="330" t="s">
        <v>947</v>
      </c>
      <c r="Q2" s="307" t="s">
        <v>694</v>
      </c>
      <c r="R2" s="307" t="s">
        <v>948</v>
      </c>
      <c r="S2" s="330" t="s">
        <v>947</v>
      </c>
      <c r="T2" s="307" t="s">
        <v>694</v>
      </c>
      <c r="U2" s="307" t="s">
        <v>948</v>
      </c>
      <c r="V2" s="330" t="s">
        <v>947</v>
      </c>
      <c r="W2" s="307" t="s">
        <v>694</v>
      </c>
      <c r="X2" s="307" t="s">
        <v>948</v>
      </c>
      <c r="Y2" s="330" t="s">
        <v>947</v>
      </c>
      <c r="Z2" s="307" t="s">
        <v>694</v>
      </c>
      <c r="AA2" s="307" t="s">
        <v>948</v>
      </c>
      <c r="AB2" s="305"/>
      <c r="AC2" s="305"/>
    </row>
    <row r="3" spans="1:29" s="42" customFormat="1" ht="12.75" x14ac:dyDescent="0.2">
      <c r="A3" s="417" t="s">
        <v>27</v>
      </c>
      <c r="B3" s="1207" t="s">
        <v>173</v>
      </c>
      <c r="C3" s="1208"/>
      <c r="D3" s="424">
        <f>+G3+J3+M3+P3+S3+V3+Y3</f>
        <v>16865</v>
      </c>
      <c r="E3" s="425">
        <f>+H3+K3+N3+Q3+T3+W3+Z3</f>
        <v>5567</v>
      </c>
      <c r="F3" s="425">
        <f>+I3+L3+O3+R3+U3+X3+AA3</f>
        <v>22432</v>
      </c>
      <c r="G3" s="424">
        <f>+'5.a. mell. Jogalkotás'!D5</f>
        <v>0</v>
      </c>
      <c r="H3" s="425">
        <f>+'5.a. mell. Jogalkotás'!E5</f>
        <v>0</v>
      </c>
      <c r="I3" s="426">
        <f>+'5.a. mell. Jogalkotás'!F5</f>
        <v>0</v>
      </c>
      <c r="J3" s="424">
        <f>+'5.b. mell. VF saját forrásból'!D5</f>
        <v>0</v>
      </c>
      <c r="K3" s="424">
        <f>+'5.b. mell. VF saját forrásból'!E5</f>
        <v>0</v>
      </c>
      <c r="L3" s="424">
        <f>+'5.b. mell. VF saját forrásból'!F5</f>
        <v>0</v>
      </c>
      <c r="M3" s="424">
        <f>+'5.c. mell. VF Eu forrásból'!D5</f>
        <v>0</v>
      </c>
      <c r="N3" s="425">
        <f>+'5.c. mell. VF Eu forrásból'!E5</f>
        <v>4046</v>
      </c>
      <c r="O3" s="426">
        <f>+'5.c. mell. VF Eu forrásból'!F5</f>
        <v>4046</v>
      </c>
      <c r="P3" s="427">
        <f>+'5.d. mell. Védőnő, EÜ'!D5</f>
        <v>16631</v>
      </c>
      <c r="Q3" s="425">
        <f>+'5.d. mell. Védőnő, EÜ'!E5</f>
        <v>1500</v>
      </c>
      <c r="R3" s="428">
        <f>+'5.d. mell. Védőnő, EÜ'!F5</f>
        <v>18131</v>
      </c>
      <c r="S3" s="424"/>
      <c r="T3" s="425"/>
      <c r="U3" s="426"/>
      <c r="V3" s="424"/>
      <c r="W3" s="425"/>
      <c r="X3" s="426"/>
      <c r="Y3" s="424">
        <f>+'5.g. mell. Egyéb tev.'!D5</f>
        <v>234</v>
      </c>
      <c r="Z3" s="425">
        <f>+'5.g. mell. Egyéb tev.'!E5</f>
        <v>21</v>
      </c>
      <c r="AA3" s="426">
        <f>+'5.g. mell. Egyéb tev.'!F5</f>
        <v>255</v>
      </c>
      <c r="AB3" s="199"/>
      <c r="AC3" s="199"/>
    </row>
    <row r="4" spans="1:29" s="42" customFormat="1" ht="12.75" customHeight="1" x14ac:dyDescent="0.2">
      <c r="A4" s="418" t="s">
        <v>33</v>
      </c>
      <c r="B4" s="1209" t="s">
        <v>172</v>
      </c>
      <c r="C4" s="1210"/>
      <c r="D4" s="424">
        <f>+G4+J4+M4+P4+S4+V4+Y4</f>
        <v>31792</v>
      </c>
      <c r="E4" s="429">
        <f t="shared" ref="E4:E29" si="0">+H4+K4+N4+Q4+T4+W4+Z4</f>
        <v>-810</v>
      </c>
      <c r="F4" s="429">
        <f>+I4+L4+O4+R4+U4+X4+AA4</f>
        <v>30982</v>
      </c>
      <c r="G4" s="430">
        <f>+'5.a. mell. Jogalkotás'!D6</f>
        <v>28064</v>
      </c>
      <c r="H4" s="429">
        <f>+'5.a. mell. Jogalkotás'!E6</f>
        <v>0</v>
      </c>
      <c r="I4" s="431">
        <f>+'5.a. mell. Jogalkotás'!F6</f>
        <v>28064</v>
      </c>
      <c r="J4" s="430">
        <f>+'5.b. mell. VF saját forrásból'!D6</f>
        <v>0</v>
      </c>
      <c r="K4" s="430">
        <f>+'5.b. mell. VF saját forrásból'!E6</f>
        <v>0</v>
      </c>
      <c r="L4" s="430">
        <f>+'5.b. mell. VF saját forrásból'!F6</f>
        <v>0</v>
      </c>
      <c r="M4" s="430">
        <f>+'5.c. mell. VF Eu forrásból'!D6</f>
        <v>2280</v>
      </c>
      <c r="N4" s="429">
        <f>+'5.c. mell. VF Eu forrásból'!E6</f>
        <v>0</v>
      </c>
      <c r="O4" s="431">
        <f>+'5.c. mell. VF Eu forrásból'!F6</f>
        <v>2280</v>
      </c>
      <c r="P4" s="432">
        <f>+'5.d. mell. Védőnő, EÜ'!D6</f>
        <v>1080</v>
      </c>
      <c r="Q4" s="429">
        <f>+'5.d. mell. Védőnő, EÜ'!E6</f>
        <v>-810</v>
      </c>
      <c r="R4" s="433">
        <f>+'5.d. mell. Védőnő, EÜ'!F6</f>
        <v>270</v>
      </c>
      <c r="S4" s="430"/>
      <c r="T4" s="429"/>
      <c r="U4" s="431"/>
      <c r="V4" s="430"/>
      <c r="W4" s="429"/>
      <c r="X4" s="431"/>
      <c r="Y4" s="430">
        <f>+'5.g. mell. Egyéb tev.'!D6</f>
        <v>368</v>
      </c>
      <c r="Z4" s="429">
        <f>+'5.g. mell. Egyéb tev.'!E6</f>
        <v>0</v>
      </c>
      <c r="AA4" s="431">
        <f>+'5.g. mell. Egyéb tev.'!F6</f>
        <v>368</v>
      </c>
      <c r="AB4" s="199"/>
      <c r="AC4" s="199"/>
    </row>
    <row r="5" spans="1:29" s="42" customFormat="1" ht="12.75" customHeight="1" x14ac:dyDescent="0.2">
      <c r="A5" s="419" t="s">
        <v>34</v>
      </c>
      <c r="B5" s="1199" t="s">
        <v>171</v>
      </c>
      <c r="C5" s="1200"/>
      <c r="D5" s="424">
        <f t="shared" ref="D5" si="1">+G5+J5+M5+P5+S5+V5+Y5</f>
        <v>48657</v>
      </c>
      <c r="E5" s="429">
        <f t="shared" si="0"/>
        <v>4757</v>
      </c>
      <c r="F5" s="429">
        <f>+I5+L5+O5+R5+U5+X5+AA5</f>
        <v>53414</v>
      </c>
      <c r="G5" s="430">
        <f>+G3+G4</f>
        <v>28064</v>
      </c>
      <c r="H5" s="429">
        <f t="shared" ref="H5:I5" si="2">+H3+H4</f>
        <v>0</v>
      </c>
      <c r="I5" s="431">
        <f t="shared" si="2"/>
        <v>28064</v>
      </c>
      <c r="J5" s="673">
        <f>+'5.b. mell. VF saját forrásból'!D7</f>
        <v>0</v>
      </c>
      <c r="K5" s="673">
        <f>+'5.b. mell. VF saját forrásból'!E7</f>
        <v>0</v>
      </c>
      <c r="L5" s="673">
        <f>+'5.b. mell. VF saját forrásból'!F7</f>
        <v>0</v>
      </c>
      <c r="M5" s="673">
        <f>+M3+M4</f>
        <v>2280</v>
      </c>
      <c r="N5" s="674">
        <f t="shared" ref="N5:O5" si="3">+N3+N4</f>
        <v>4046</v>
      </c>
      <c r="O5" s="675">
        <f t="shared" si="3"/>
        <v>6326</v>
      </c>
      <c r="P5" s="676">
        <f>+P3+P4</f>
        <v>17711</v>
      </c>
      <c r="Q5" s="674">
        <f t="shared" ref="Q5:R5" si="4">+Q3+Q4</f>
        <v>690</v>
      </c>
      <c r="R5" s="433">
        <f t="shared" si="4"/>
        <v>18401</v>
      </c>
      <c r="S5" s="430"/>
      <c r="T5" s="429"/>
      <c r="U5" s="431"/>
      <c r="V5" s="430"/>
      <c r="W5" s="429"/>
      <c r="X5" s="431"/>
      <c r="Y5" s="430">
        <f>+'5.g. mell. Egyéb tev.'!D7</f>
        <v>602</v>
      </c>
      <c r="Z5" s="429">
        <f>+'5.g. mell. Egyéb tev.'!E7</f>
        <v>21</v>
      </c>
      <c r="AA5" s="431">
        <f>+'5.g. mell. Egyéb tev.'!F7</f>
        <v>623</v>
      </c>
      <c r="AB5" s="199"/>
      <c r="AC5" s="199"/>
    </row>
    <row r="6" spans="1:29" x14ac:dyDescent="0.25">
      <c r="A6" s="96"/>
      <c r="B6" s="422"/>
      <c r="C6" s="308"/>
      <c r="D6" s="434"/>
      <c r="E6" s="435"/>
      <c r="F6" s="435"/>
      <c r="G6" s="436"/>
      <c r="H6" s="435"/>
      <c r="I6" s="437"/>
      <c r="J6" s="677"/>
      <c r="K6" s="678"/>
      <c r="L6" s="679"/>
      <c r="M6" s="677"/>
      <c r="N6" s="678"/>
      <c r="O6" s="679"/>
      <c r="P6" s="678"/>
      <c r="Q6" s="678"/>
      <c r="R6" s="435"/>
      <c r="S6" s="436"/>
      <c r="T6" s="435"/>
      <c r="U6" s="437"/>
      <c r="V6" s="436"/>
      <c r="W6" s="435"/>
      <c r="X6" s="437"/>
      <c r="Y6" s="436"/>
      <c r="Z6" s="435"/>
      <c r="AA6" s="437"/>
    </row>
    <row r="7" spans="1:29" s="42" customFormat="1" ht="12.75" customHeight="1" x14ac:dyDescent="0.2">
      <c r="A7" s="419" t="s">
        <v>35</v>
      </c>
      <c r="B7" s="1199" t="s">
        <v>170</v>
      </c>
      <c r="C7" s="1200"/>
      <c r="D7" s="430">
        <f>+G7+J7+M7+P7+S7+V7+Y7</f>
        <v>8829</v>
      </c>
      <c r="E7" s="429">
        <f t="shared" si="0"/>
        <v>750</v>
      </c>
      <c r="F7" s="429">
        <f t="shared" ref="F7:F29" si="5">+I7+L7+O7+R7+U7+X7+AA7</f>
        <v>9579</v>
      </c>
      <c r="G7" s="430">
        <f>+'5.a. mell. Jogalkotás'!D9</f>
        <v>5200</v>
      </c>
      <c r="H7" s="429">
        <f>+'5.a. mell. Jogalkotás'!E9</f>
        <v>0</v>
      </c>
      <c r="I7" s="431">
        <f>+'5.a. mell. Jogalkotás'!F9</f>
        <v>5200</v>
      </c>
      <c r="J7" s="673">
        <f>+'5.b. mell. VF saját forrásból'!D9</f>
        <v>0</v>
      </c>
      <c r="K7" s="673">
        <f>+'5.b. mell. VF saját forrásból'!E9</f>
        <v>0</v>
      </c>
      <c r="L7" s="673">
        <f>+'5.b. mell. VF saját forrásból'!F9</f>
        <v>0</v>
      </c>
      <c r="M7" s="673">
        <f>+'5.c. mell. VF Eu forrásból'!D9</f>
        <v>411</v>
      </c>
      <c r="N7" s="674">
        <f>+'5.c. mell. VF Eu forrásból'!E9</f>
        <v>627</v>
      </c>
      <c r="O7" s="675">
        <f>+'5.c. mell. VF Eu forrásból'!F9</f>
        <v>1038</v>
      </c>
      <c r="P7" s="676">
        <f>+'5.d. mell. Védőnő, EÜ'!D9</f>
        <v>3135</v>
      </c>
      <c r="Q7" s="674">
        <f>+'5.d. mell. Védőnő, EÜ'!E9</f>
        <v>121</v>
      </c>
      <c r="R7" s="433">
        <f>+'5.d. mell. Védőnő, EÜ'!F9</f>
        <v>3256</v>
      </c>
      <c r="S7" s="430"/>
      <c r="T7" s="429"/>
      <c r="U7" s="431"/>
      <c r="V7" s="430"/>
      <c r="W7" s="429"/>
      <c r="X7" s="431"/>
      <c r="Y7" s="430">
        <f>+'5.g. mell. Egyéb tev.'!D9</f>
        <v>83</v>
      </c>
      <c r="Z7" s="429">
        <f>+'5.g. mell. Egyéb tev.'!E9</f>
        <v>2</v>
      </c>
      <c r="AA7" s="431">
        <f>+'5.g. mell. Egyéb tev.'!F9</f>
        <v>85</v>
      </c>
      <c r="AB7" s="199"/>
      <c r="AC7" s="199"/>
    </row>
    <row r="8" spans="1:29" x14ac:dyDescent="0.25">
      <c r="A8" s="96"/>
      <c r="B8" s="423"/>
      <c r="C8" s="309"/>
      <c r="D8" s="434"/>
      <c r="E8" s="435"/>
      <c r="F8" s="435"/>
      <c r="G8" s="436"/>
      <c r="H8" s="435"/>
      <c r="I8" s="437"/>
      <c r="J8" s="677"/>
      <c r="K8" s="678"/>
      <c r="L8" s="679"/>
      <c r="M8" s="677"/>
      <c r="N8" s="678"/>
      <c r="O8" s="679"/>
      <c r="P8" s="678"/>
      <c r="Q8" s="678"/>
      <c r="R8" s="435"/>
      <c r="S8" s="436"/>
      <c r="T8" s="435"/>
      <c r="U8" s="437"/>
      <c r="V8" s="436"/>
      <c r="W8" s="435"/>
      <c r="X8" s="437"/>
      <c r="Y8" s="436"/>
      <c r="Z8" s="435"/>
      <c r="AA8" s="437"/>
    </row>
    <row r="9" spans="1:29" s="42" customFormat="1" ht="12.75" customHeight="1" x14ac:dyDescent="0.2">
      <c r="A9" s="418" t="s">
        <v>47</v>
      </c>
      <c r="B9" s="1209" t="s">
        <v>169</v>
      </c>
      <c r="C9" s="1210"/>
      <c r="D9" s="430">
        <f>+G9+J9+M9+P9+S9+V9+Y9</f>
        <v>4892</v>
      </c>
      <c r="E9" s="438">
        <f t="shared" si="0"/>
        <v>798</v>
      </c>
      <c r="F9" s="438">
        <f t="shared" si="5"/>
        <v>5690</v>
      </c>
      <c r="G9" s="439">
        <f>+'5.a. mell. Jogalkotás'!D14</f>
        <v>1190</v>
      </c>
      <c r="H9" s="438">
        <f>+'5.a. mell. Jogalkotás'!E14</f>
        <v>0</v>
      </c>
      <c r="I9" s="440">
        <f>+'5.a. mell. Jogalkotás'!F14</f>
        <v>1190</v>
      </c>
      <c r="J9" s="680">
        <f>+'5.b. mell. VF saját forrásból'!D14</f>
        <v>0</v>
      </c>
      <c r="K9" s="681">
        <f>+'5.b. mell. VF saját forrásból'!E14</f>
        <v>0</v>
      </c>
      <c r="L9" s="682">
        <f>+'5.b. mell. VF saját forrásból'!F14</f>
        <v>0</v>
      </c>
      <c r="M9" s="680">
        <f>+'5.c. mell. VF Eu forrásból'!D14</f>
        <v>1555</v>
      </c>
      <c r="N9" s="681">
        <f>+'5.c. mell. VF Eu forrásból'!E14</f>
        <v>0</v>
      </c>
      <c r="O9" s="682">
        <f>+'5.c. mell. VF Eu forrásból'!F14</f>
        <v>1555</v>
      </c>
      <c r="P9" s="683">
        <f>+'5.d. mell. Védőnő, EÜ'!D14</f>
        <v>400</v>
      </c>
      <c r="Q9" s="681">
        <f>+'5.d. mell. Védőnő, EÜ'!E14</f>
        <v>0</v>
      </c>
      <c r="R9" s="441">
        <f>+'5.d. mell. Védőnő, EÜ'!F14</f>
        <v>400</v>
      </c>
      <c r="S9" s="680">
        <f>+'5.e. mell. Szociális ellátások'!F7</f>
        <v>1140</v>
      </c>
      <c r="T9" s="681">
        <f>+'5.e. mell. Szociális ellátások'!G7</f>
        <v>0</v>
      </c>
      <c r="U9" s="682">
        <f>+'5.e. mell. Szociális ellátások'!H7</f>
        <v>1140</v>
      </c>
      <c r="V9" s="439"/>
      <c r="W9" s="438"/>
      <c r="X9" s="440"/>
      <c r="Y9" s="439">
        <f>+'5.g. mell. Egyéb tev.'!D14</f>
        <v>607</v>
      </c>
      <c r="Z9" s="438">
        <f>+'5.g. mell. Egyéb tev.'!E14</f>
        <v>798</v>
      </c>
      <c r="AA9" s="440">
        <f>+'5.g. mell. Egyéb tev.'!F14</f>
        <v>1405</v>
      </c>
      <c r="AB9" s="199"/>
      <c r="AC9" s="199"/>
    </row>
    <row r="10" spans="1:29" s="42" customFormat="1" ht="12.75" customHeight="1" x14ac:dyDescent="0.2">
      <c r="A10" s="418" t="s">
        <v>52</v>
      </c>
      <c r="B10" s="1209" t="s">
        <v>168</v>
      </c>
      <c r="C10" s="1210"/>
      <c r="D10" s="430">
        <f t="shared" ref="D10:D12" si="6">+G10+J10+M10+P10+S10+V10+Y10</f>
        <v>3541</v>
      </c>
      <c r="E10" s="438">
        <f t="shared" si="0"/>
        <v>169</v>
      </c>
      <c r="F10" s="438">
        <f t="shared" si="5"/>
        <v>3710</v>
      </c>
      <c r="G10" s="439">
        <f>+'5.a. mell. Jogalkotás'!D17</f>
        <v>300</v>
      </c>
      <c r="H10" s="438">
        <f>+'5.a. mell. Jogalkotás'!E17</f>
        <v>0</v>
      </c>
      <c r="I10" s="440">
        <f>+'5.a. mell. Jogalkotás'!F17</f>
        <v>300</v>
      </c>
      <c r="J10" s="680">
        <f>+'5.b. mell. VF saját forrásból'!D17</f>
        <v>0</v>
      </c>
      <c r="K10" s="681">
        <f>+'5.b. mell. VF saját forrásból'!E17</f>
        <v>0</v>
      </c>
      <c r="L10" s="681">
        <f>+'5.b. mell. VF saját forrásból'!F17</f>
        <v>0</v>
      </c>
      <c r="M10" s="680">
        <f>+'5.c. mell. VF Eu forrásból'!D17</f>
        <v>0</v>
      </c>
      <c r="N10" s="681">
        <f>+'5.c. mell. VF Eu forrásból'!E17</f>
        <v>0</v>
      </c>
      <c r="O10" s="682">
        <f>+'5.c. mell. VF Eu forrásból'!F17</f>
        <v>0</v>
      </c>
      <c r="P10" s="683">
        <f>+'5.d. mell. Védőnő, EÜ'!D17</f>
        <v>240</v>
      </c>
      <c r="Q10" s="681">
        <f>+'5.d. mell. Védőnő, EÜ'!E17</f>
        <v>90</v>
      </c>
      <c r="R10" s="441">
        <f>+'5.d. mell. Védőnő, EÜ'!F17</f>
        <v>330</v>
      </c>
      <c r="S10" s="680"/>
      <c r="T10" s="681"/>
      <c r="U10" s="682"/>
      <c r="V10" s="439"/>
      <c r="W10" s="438"/>
      <c r="X10" s="440"/>
      <c r="Y10" s="439">
        <f>+'5.g. mell. Egyéb tev.'!D17</f>
        <v>3001</v>
      </c>
      <c r="Z10" s="438">
        <f>+'5.g. mell. Egyéb tev.'!E17</f>
        <v>79</v>
      </c>
      <c r="AA10" s="440">
        <f>+'5.g. mell. Egyéb tev.'!F17</f>
        <v>3080</v>
      </c>
      <c r="AB10" s="199"/>
      <c r="AC10" s="199"/>
    </row>
    <row r="11" spans="1:29" s="42" customFormat="1" ht="12.75" customHeight="1" x14ac:dyDescent="0.2">
      <c r="A11" s="418" t="s">
        <v>66</v>
      </c>
      <c r="B11" s="1209" t="s">
        <v>155</v>
      </c>
      <c r="C11" s="1210"/>
      <c r="D11" s="430">
        <f t="shared" si="6"/>
        <v>97605</v>
      </c>
      <c r="E11" s="438">
        <f t="shared" si="0"/>
        <v>-1346</v>
      </c>
      <c r="F11" s="438">
        <f t="shared" si="5"/>
        <v>96259</v>
      </c>
      <c r="G11" s="439">
        <f>+'5.a. mell. Jogalkotás'!D25</f>
        <v>7728</v>
      </c>
      <c r="H11" s="438">
        <f>+'5.a. mell. Jogalkotás'!E25</f>
        <v>-2</v>
      </c>
      <c r="I11" s="440">
        <f>+'5.a. mell. Jogalkotás'!F25</f>
        <v>7726</v>
      </c>
      <c r="J11" s="680">
        <f>+'5.b. mell. VF saját forrásból'!D25</f>
        <v>1575</v>
      </c>
      <c r="K11" s="681">
        <f>+'5.b. mell. VF saját forrásból'!E25</f>
        <v>0</v>
      </c>
      <c r="L11" s="681">
        <f>+'5.b. mell. VF saját forrásból'!F25</f>
        <v>1575</v>
      </c>
      <c r="M11" s="680">
        <f>+'5.c. mell. VF Eu forrásból'!D25</f>
        <v>9036</v>
      </c>
      <c r="N11" s="681">
        <f>+'5.c. mell. VF Eu forrásból'!E25</f>
        <v>3373</v>
      </c>
      <c r="O11" s="682">
        <f>+'5.c. mell. VF Eu forrásból'!F25</f>
        <v>12409</v>
      </c>
      <c r="P11" s="683">
        <f>+'5.d. mell. Védőnő, EÜ'!D25</f>
        <v>1199</v>
      </c>
      <c r="Q11" s="681">
        <f>+'5.d. mell. Védőnő, EÜ'!E25</f>
        <v>952</v>
      </c>
      <c r="R11" s="441">
        <f>+'5.d. mell. Védőnő, EÜ'!F25</f>
        <v>2151</v>
      </c>
      <c r="S11" s="680">
        <f>+'5.e. mell. Szociális ellátások'!I7</f>
        <v>0</v>
      </c>
      <c r="T11" s="681">
        <f>+'5.e. mell. Szociális ellátások'!J7</f>
        <v>206</v>
      </c>
      <c r="U11" s="682">
        <f>+'5.e. mell. Szociális ellátások'!K7</f>
        <v>206</v>
      </c>
      <c r="V11" s="439"/>
      <c r="W11" s="438"/>
      <c r="X11" s="440"/>
      <c r="Y11" s="439">
        <f>+'5.g. mell. Egyéb tev.'!D25</f>
        <v>78067</v>
      </c>
      <c r="Z11" s="438">
        <f>+'5.g. mell. Egyéb tev.'!E25</f>
        <v>-5875</v>
      </c>
      <c r="AA11" s="440">
        <f>+'5.g. mell. Egyéb tev.'!F25</f>
        <v>72192</v>
      </c>
      <c r="AB11" s="199"/>
      <c r="AC11" s="199"/>
    </row>
    <row r="12" spans="1:29" s="42" customFormat="1" ht="12.75" customHeight="1" x14ac:dyDescent="0.2">
      <c r="A12" s="418" t="s">
        <v>71</v>
      </c>
      <c r="B12" s="1209" t="s">
        <v>154</v>
      </c>
      <c r="C12" s="1210"/>
      <c r="D12" s="430">
        <f t="shared" si="6"/>
        <v>5847</v>
      </c>
      <c r="E12" s="438">
        <f t="shared" si="0"/>
        <v>-196</v>
      </c>
      <c r="F12" s="438">
        <f t="shared" si="5"/>
        <v>5651</v>
      </c>
      <c r="G12" s="439">
        <f>+'5.a. mell. Jogalkotás'!D28</f>
        <v>0</v>
      </c>
      <c r="H12" s="438">
        <f>+'5.a. mell. Jogalkotás'!E28</f>
        <v>0</v>
      </c>
      <c r="I12" s="440">
        <f>+'5.a. mell. Jogalkotás'!F28</f>
        <v>0</v>
      </c>
      <c r="J12" s="680">
        <f>+'5.b. mell. VF saját forrásból'!D28</f>
        <v>1000</v>
      </c>
      <c r="K12" s="681">
        <f>+'5.b. mell. VF saját forrásból'!E28</f>
        <v>-750</v>
      </c>
      <c r="L12" s="682">
        <f>+'5.b. mell. VF saját forrásból'!F28</f>
        <v>250</v>
      </c>
      <c r="M12" s="680">
        <f>+'5.c. mell. VF Eu forrásból'!D28</f>
        <v>4489</v>
      </c>
      <c r="N12" s="681">
        <f>+'5.c. mell. VF Eu forrásból'!E28</f>
        <v>554</v>
      </c>
      <c r="O12" s="682">
        <f>+'5.c. mell. VF Eu forrásból'!F28</f>
        <v>5043</v>
      </c>
      <c r="P12" s="683">
        <f>+'5.d. mell. Védőnő, EÜ'!D28</f>
        <v>280</v>
      </c>
      <c r="Q12" s="681">
        <f>+'5.d. mell. Védőnő, EÜ'!E28</f>
        <v>0</v>
      </c>
      <c r="R12" s="441">
        <f>+'5.d. mell. Védőnő, EÜ'!F28</f>
        <v>280</v>
      </c>
      <c r="S12" s="680"/>
      <c r="T12" s="681"/>
      <c r="U12" s="682"/>
      <c r="V12" s="439"/>
      <c r="W12" s="438"/>
      <c r="X12" s="440"/>
      <c r="Y12" s="439">
        <f>+'5.g. mell. Egyéb tev.'!D28</f>
        <v>78</v>
      </c>
      <c r="Z12" s="438">
        <f>+'5.g. mell. Egyéb tev.'!E28</f>
        <v>0</v>
      </c>
      <c r="AA12" s="440">
        <f>+'5.g. mell. Egyéb tev.'!F28</f>
        <v>78</v>
      </c>
      <c r="AB12" s="199"/>
      <c r="AC12" s="199"/>
    </row>
    <row r="13" spans="1:29" s="42" customFormat="1" ht="28.5" customHeight="1" x14ac:dyDescent="0.2">
      <c r="A13" s="418" t="s">
        <v>80</v>
      </c>
      <c r="B13" s="1209" t="s">
        <v>151</v>
      </c>
      <c r="C13" s="1210"/>
      <c r="D13" s="430">
        <f>+G13+J13+M13+P13+S13+V13+Y13</f>
        <v>219328</v>
      </c>
      <c r="E13" s="438">
        <f t="shared" si="0"/>
        <v>-1437</v>
      </c>
      <c r="F13" s="438">
        <f t="shared" si="5"/>
        <v>217891</v>
      </c>
      <c r="G13" s="439">
        <f>+'5.a. mell. Jogalkotás'!D34</f>
        <v>849</v>
      </c>
      <c r="H13" s="438">
        <f>+'5.a. mell. Jogalkotás'!E34</f>
        <v>0</v>
      </c>
      <c r="I13" s="440">
        <f>+'5.a. mell. Jogalkotás'!F34</f>
        <v>849</v>
      </c>
      <c r="J13" s="680">
        <f>+'5.b. mell. VF saját forrásból'!D34</f>
        <v>76525</v>
      </c>
      <c r="K13" s="681">
        <f>+'5.b. mell. VF saját forrásból'!E34</f>
        <v>-84</v>
      </c>
      <c r="L13" s="682">
        <f>+'5.b. mell. VF saját forrásból'!F34</f>
        <v>76441</v>
      </c>
      <c r="M13" s="680">
        <f>+'5.c. mell. VF Eu forrásból'!D34</f>
        <v>110091</v>
      </c>
      <c r="N13" s="681">
        <f>+'5.c. mell. VF Eu forrásból'!E34</f>
        <v>158</v>
      </c>
      <c r="O13" s="682">
        <f>+'5.c. mell. VF Eu forrásból'!F34</f>
        <v>110249</v>
      </c>
      <c r="P13" s="683">
        <f>+'5.d. mell. Védőnő, EÜ'!D34</f>
        <v>320</v>
      </c>
      <c r="Q13" s="681">
        <f>+'5.d. mell. Védőnő, EÜ'!E34</f>
        <v>4</v>
      </c>
      <c r="R13" s="441">
        <f>+'5.d. mell. Védőnő, EÜ'!F34</f>
        <v>324</v>
      </c>
      <c r="S13" s="680">
        <f>+'5.e. mell. Szociális ellátások'!L7</f>
        <v>287</v>
      </c>
      <c r="T13" s="681">
        <f>+'5.e. mell. Szociális ellátások'!M7</f>
        <v>56</v>
      </c>
      <c r="U13" s="682">
        <f>+'5.e. mell. Szociális ellátások'!N7</f>
        <v>343</v>
      </c>
      <c r="V13" s="439"/>
      <c r="W13" s="438"/>
      <c r="X13" s="440"/>
      <c r="Y13" s="439">
        <f>+'5.g. mell. Egyéb tev.'!D34</f>
        <v>31256</v>
      </c>
      <c r="Z13" s="438">
        <f>+'5.g. mell. Egyéb tev.'!E34</f>
        <v>-1571</v>
      </c>
      <c r="AA13" s="440">
        <f>+'5.g. mell. Egyéb tev.'!F34</f>
        <v>29685</v>
      </c>
      <c r="AB13" s="199"/>
      <c r="AC13" s="199"/>
    </row>
    <row r="14" spans="1:29" s="42" customFormat="1" ht="12.75" customHeight="1" x14ac:dyDescent="0.2">
      <c r="A14" s="419" t="s">
        <v>81</v>
      </c>
      <c r="B14" s="1199" t="s">
        <v>150</v>
      </c>
      <c r="C14" s="1200"/>
      <c r="D14" s="430">
        <f>+G14+J14+M14+P14+S14+V14+Y14</f>
        <v>331213</v>
      </c>
      <c r="E14" s="429">
        <f t="shared" si="0"/>
        <v>-2012</v>
      </c>
      <c r="F14" s="429">
        <f t="shared" si="5"/>
        <v>329201</v>
      </c>
      <c r="G14" s="430">
        <f>SUM(G9:G13)</f>
        <v>10067</v>
      </c>
      <c r="H14" s="429">
        <f t="shared" ref="H14:I14" si="7">SUM(H9:H13)</f>
        <v>-2</v>
      </c>
      <c r="I14" s="431">
        <f t="shared" si="7"/>
        <v>10065</v>
      </c>
      <c r="J14" s="430">
        <f>+'5.b. mell. VF saját forrásból'!D35</f>
        <v>79100</v>
      </c>
      <c r="K14" s="429">
        <f>+'5.b. mell. VF saját forrásból'!E35</f>
        <v>-834</v>
      </c>
      <c r="L14" s="431">
        <f>+'5.b. mell. VF saját forrásból'!F35</f>
        <v>78266</v>
      </c>
      <c r="M14" s="430">
        <f>SUM(M9:M13)</f>
        <v>125171</v>
      </c>
      <c r="N14" s="429">
        <f t="shared" ref="N14:O14" si="8">SUM(N9:N13)</f>
        <v>4085</v>
      </c>
      <c r="O14" s="431">
        <f t="shared" si="8"/>
        <v>129256</v>
      </c>
      <c r="P14" s="432">
        <f>SUM(P9:P13)</f>
        <v>2439</v>
      </c>
      <c r="Q14" s="429">
        <f t="shared" ref="Q14:R14" si="9">SUM(Q9:Q13)</f>
        <v>1046</v>
      </c>
      <c r="R14" s="433">
        <f t="shared" si="9"/>
        <v>3485</v>
      </c>
      <c r="S14" s="673">
        <f>SUM(S9:S13)</f>
        <v>1427</v>
      </c>
      <c r="T14" s="674">
        <f t="shared" ref="T14:U14" si="10">SUM(T9:T13)</f>
        <v>262</v>
      </c>
      <c r="U14" s="675">
        <f t="shared" si="10"/>
        <v>1689</v>
      </c>
      <c r="V14" s="430"/>
      <c r="W14" s="429"/>
      <c r="X14" s="431"/>
      <c r="Y14" s="430">
        <f>SUM(Y9:Y13)</f>
        <v>113009</v>
      </c>
      <c r="Z14" s="429">
        <f t="shared" ref="Z14:AA14" si="11">SUM(Z9:Z13)</f>
        <v>-6569</v>
      </c>
      <c r="AA14" s="431">
        <f t="shared" si="11"/>
        <v>106440</v>
      </c>
      <c r="AB14" s="199"/>
      <c r="AC14" s="199"/>
    </row>
    <row r="15" spans="1:29" x14ac:dyDescent="0.25">
      <c r="A15" s="96"/>
      <c r="B15" s="422"/>
      <c r="C15" s="308"/>
      <c r="D15" s="434"/>
      <c r="E15" s="435"/>
      <c r="F15" s="435"/>
      <c r="G15" s="436"/>
      <c r="H15" s="435"/>
      <c r="I15" s="437"/>
      <c r="J15" s="436"/>
      <c r="K15" s="435"/>
      <c r="L15" s="437"/>
      <c r="M15" s="436"/>
      <c r="N15" s="435"/>
      <c r="O15" s="437"/>
      <c r="P15" s="435"/>
      <c r="Q15" s="435"/>
      <c r="R15" s="435"/>
      <c r="S15" s="436"/>
      <c r="T15" s="435"/>
      <c r="U15" s="437"/>
      <c r="V15" s="436"/>
      <c r="W15" s="435"/>
      <c r="X15" s="437"/>
      <c r="Y15" s="436"/>
      <c r="Z15" s="435"/>
      <c r="AA15" s="437"/>
    </row>
    <row r="16" spans="1:29" s="42" customFormat="1" ht="12.75" customHeight="1" x14ac:dyDescent="0.2">
      <c r="A16" s="419" t="s">
        <v>94</v>
      </c>
      <c r="B16" s="1201" t="s">
        <v>149</v>
      </c>
      <c r="C16" s="1202"/>
      <c r="D16" s="430">
        <f>+G16+J16+M16+P16+S16+V16+Y16</f>
        <v>5334</v>
      </c>
      <c r="E16" s="429">
        <f t="shared" si="0"/>
        <v>-262</v>
      </c>
      <c r="F16" s="429">
        <f t="shared" si="5"/>
        <v>5072</v>
      </c>
      <c r="G16" s="430"/>
      <c r="H16" s="429"/>
      <c r="I16" s="431"/>
      <c r="J16" s="430"/>
      <c r="K16" s="429"/>
      <c r="L16" s="431"/>
      <c r="M16" s="430"/>
      <c r="N16" s="429"/>
      <c r="O16" s="431"/>
      <c r="P16" s="432"/>
      <c r="Q16" s="429"/>
      <c r="R16" s="433"/>
      <c r="S16" s="430">
        <f>+'5.e. mell. Szociális ellátások'!C7</f>
        <v>5334</v>
      </c>
      <c r="T16" s="429">
        <f>+'5.e. mell. Szociális ellátások'!D7</f>
        <v>-262</v>
      </c>
      <c r="U16" s="431">
        <f>+'5.e. mell. Szociális ellátások'!E7</f>
        <v>5072</v>
      </c>
      <c r="V16" s="430"/>
      <c r="W16" s="429"/>
      <c r="X16" s="431"/>
      <c r="Y16" s="430"/>
      <c r="Z16" s="429"/>
      <c r="AA16" s="431"/>
      <c r="AB16" s="199"/>
      <c r="AC16" s="199"/>
    </row>
    <row r="17" spans="1:29" x14ac:dyDescent="0.25">
      <c r="A17" s="96"/>
      <c r="B17" s="1203"/>
      <c r="C17" s="1204"/>
      <c r="D17" s="434"/>
      <c r="E17" s="435"/>
      <c r="F17" s="435"/>
      <c r="G17" s="436"/>
      <c r="H17" s="435"/>
      <c r="I17" s="437"/>
      <c r="J17" s="436"/>
      <c r="K17" s="435"/>
      <c r="L17" s="437"/>
      <c r="M17" s="436"/>
      <c r="N17" s="435"/>
      <c r="O17" s="437"/>
      <c r="P17" s="435"/>
      <c r="Q17" s="435"/>
      <c r="R17" s="435"/>
      <c r="S17" s="436"/>
      <c r="T17" s="435"/>
      <c r="U17" s="437"/>
      <c r="V17" s="436"/>
      <c r="W17" s="435"/>
      <c r="X17" s="437"/>
      <c r="Y17" s="436"/>
      <c r="Z17" s="435"/>
      <c r="AA17" s="437"/>
    </row>
    <row r="18" spans="1:29" s="42" customFormat="1" ht="12.75" customHeight="1" x14ac:dyDescent="0.2">
      <c r="A18" s="419" t="s">
        <v>107</v>
      </c>
      <c r="B18" s="1199" t="s">
        <v>162</v>
      </c>
      <c r="C18" s="1200"/>
      <c r="D18" s="430">
        <f>+G18+J18+M18+P18+S18+V18+Y18</f>
        <v>494506</v>
      </c>
      <c r="E18" s="429">
        <f t="shared" si="0"/>
        <v>46214</v>
      </c>
      <c r="F18" s="429">
        <f t="shared" si="5"/>
        <v>540720</v>
      </c>
      <c r="G18" s="430"/>
      <c r="H18" s="429"/>
      <c r="I18" s="431"/>
      <c r="J18" s="430"/>
      <c r="K18" s="429"/>
      <c r="L18" s="431"/>
      <c r="M18" s="430"/>
      <c r="N18" s="429"/>
      <c r="O18" s="431"/>
      <c r="P18" s="432"/>
      <c r="Q18" s="429"/>
      <c r="R18" s="433"/>
      <c r="S18" s="430"/>
      <c r="T18" s="429"/>
      <c r="U18" s="431"/>
      <c r="V18" s="430">
        <f>+'5.f. mell. Átadott pénzeszk.'!L47</f>
        <v>245381</v>
      </c>
      <c r="W18" s="429">
        <f>+'5.f. mell. Átadott pénzeszk.'!M47</f>
        <v>28807</v>
      </c>
      <c r="X18" s="431">
        <f>+'5.f. mell. Átadott pénzeszk.'!N47</f>
        <v>274188</v>
      </c>
      <c r="Y18" s="430">
        <f>+'5.g. mell. Egyéb tev.'!D71</f>
        <v>249125</v>
      </c>
      <c r="Z18" s="429">
        <f>+'5.g. mell. Egyéb tev.'!E71</f>
        <v>17407</v>
      </c>
      <c r="AA18" s="431">
        <f>+'5.g. mell. Egyéb tev.'!F71</f>
        <v>266532</v>
      </c>
      <c r="AB18" s="199"/>
      <c r="AC18" s="199"/>
    </row>
    <row r="19" spans="1:29" s="42" customFormat="1" ht="12.75" customHeight="1" x14ac:dyDescent="0.2">
      <c r="A19" s="419"/>
      <c r="B19" s="1209" t="s">
        <v>544</v>
      </c>
      <c r="C19" s="1210"/>
      <c r="D19" s="430">
        <f>+G19+J19+M19+P19+S19+V19+Y19</f>
        <v>247990</v>
      </c>
      <c r="E19" s="429">
        <f t="shared" si="0"/>
        <v>17405</v>
      </c>
      <c r="F19" s="429">
        <f t="shared" si="5"/>
        <v>265395</v>
      </c>
      <c r="G19" s="430"/>
      <c r="H19" s="429"/>
      <c r="I19" s="431"/>
      <c r="J19" s="430"/>
      <c r="K19" s="429"/>
      <c r="L19" s="431"/>
      <c r="M19" s="430"/>
      <c r="N19" s="429"/>
      <c r="O19" s="431"/>
      <c r="P19" s="432"/>
      <c r="Q19" s="429"/>
      <c r="R19" s="433"/>
      <c r="S19" s="430"/>
      <c r="T19" s="429"/>
      <c r="U19" s="431"/>
      <c r="V19" s="430"/>
      <c r="W19" s="429"/>
      <c r="X19" s="431"/>
      <c r="Y19" s="430">
        <f>+'5.g. mell. Egyéb tev.'!D62</f>
        <v>247990</v>
      </c>
      <c r="Z19" s="429">
        <f>+'5.g. mell. Egyéb tev.'!E62</f>
        <v>17405</v>
      </c>
      <c r="AA19" s="431">
        <f>+'5.g. mell. Egyéb tev.'!F62</f>
        <v>265395</v>
      </c>
      <c r="AB19" s="199"/>
      <c r="AC19" s="199"/>
    </row>
    <row r="20" spans="1:29" x14ac:dyDescent="0.25">
      <c r="A20" s="96"/>
      <c r="B20" s="422"/>
      <c r="C20" s="308"/>
      <c r="D20" s="434"/>
      <c r="E20" s="435"/>
      <c r="F20" s="435"/>
      <c r="G20" s="436"/>
      <c r="H20" s="435"/>
      <c r="I20" s="437"/>
      <c r="J20" s="436"/>
      <c r="K20" s="435"/>
      <c r="L20" s="437"/>
      <c r="M20" s="436"/>
      <c r="N20" s="435"/>
      <c r="O20" s="437"/>
      <c r="P20" s="435"/>
      <c r="Q20" s="435"/>
      <c r="R20" s="435"/>
      <c r="S20" s="436"/>
      <c r="T20" s="435"/>
      <c r="U20" s="437"/>
      <c r="V20" s="436"/>
      <c r="W20" s="435"/>
      <c r="X20" s="437"/>
      <c r="Y20" s="436"/>
      <c r="Z20" s="435"/>
      <c r="AA20" s="437"/>
    </row>
    <row r="21" spans="1:29" s="42" customFormat="1" ht="12.75" customHeight="1" x14ac:dyDescent="0.2">
      <c r="A21" s="419" t="s">
        <v>122</v>
      </c>
      <c r="B21" s="1199" t="s">
        <v>160</v>
      </c>
      <c r="C21" s="1200"/>
      <c r="D21" s="430">
        <f>+G21+J21+M21+P21+S21+V21+Y21</f>
        <v>913980</v>
      </c>
      <c r="E21" s="429">
        <f>+H21+K21+N21+Q21+T21+W21+Z21</f>
        <v>3081</v>
      </c>
      <c r="F21" s="429">
        <f t="shared" si="5"/>
        <v>917061</v>
      </c>
      <c r="G21" s="430"/>
      <c r="H21" s="429"/>
      <c r="I21" s="431"/>
      <c r="J21" s="430">
        <f>+'5.b. mell. VF saját forrásból'!D53</f>
        <v>350206</v>
      </c>
      <c r="K21" s="429">
        <f>+'5.b. mell. VF saját forrásból'!E53</f>
        <v>3081</v>
      </c>
      <c r="L21" s="431">
        <f>+'5.b. mell. VF saját forrásból'!F53</f>
        <v>353287</v>
      </c>
      <c r="M21" s="430">
        <f>+'5.c. mell. VF Eu forrásból'!D52</f>
        <v>563254</v>
      </c>
      <c r="N21" s="429">
        <f>+'5.c. mell. VF Eu forrásból'!E52</f>
        <v>0</v>
      </c>
      <c r="O21" s="431">
        <f>+'5.c. mell. VF Eu forrásból'!F52</f>
        <v>563254</v>
      </c>
      <c r="P21" s="432">
        <f>+'5.d. mell. Védőnő, EÜ'!D45</f>
        <v>460</v>
      </c>
      <c r="Q21" s="429">
        <f>+'5.d. mell. Védőnő, EÜ'!E45</f>
        <v>0</v>
      </c>
      <c r="R21" s="433">
        <f>+'5.d. mell. Védőnő, EÜ'!F45</f>
        <v>460</v>
      </c>
      <c r="S21" s="430"/>
      <c r="T21" s="429"/>
      <c r="U21" s="431"/>
      <c r="V21" s="430"/>
      <c r="W21" s="429"/>
      <c r="X21" s="431"/>
      <c r="Y21" s="430">
        <f>'5.g. mell. Egyéb tev.'!D81</f>
        <v>60</v>
      </c>
      <c r="Z21" s="429">
        <f>'5.g. mell. Egyéb tev.'!E81</f>
        <v>0</v>
      </c>
      <c r="AA21" s="431">
        <f>'5.g. mell. Egyéb tev.'!F81</f>
        <v>60</v>
      </c>
      <c r="AB21" s="199"/>
      <c r="AC21" s="199"/>
    </row>
    <row r="22" spans="1:29" x14ac:dyDescent="0.25">
      <c r="A22" s="96"/>
      <c r="B22" s="422"/>
      <c r="C22" s="308"/>
      <c r="D22" s="434"/>
      <c r="E22" s="435"/>
      <c r="F22" s="435"/>
      <c r="G22" s="436"/>
      <c r="H22" s="435"/>
      <c r="I22" s="437"/>
      <c r="J22" s="436"/>
      <c r="K22" s="435"/>
      <c r="L22" s="437"/>
      <c r="M22" s="436"/>
      <c r="N22" s="435"/>
      <c r="O22" s="437"/>
      <c r="P22" s="435"/>
      <c r="Q22" s="435"/>
      <c r="R22" s="435"/>
      <c r="S22" s="436"/>
      <c r="T22" s="435"/>
      <c r="U22" s="437"/>
      <c r="V22" s="436"/>
      <c r="W22" s="435"/>
      <c r="X22" s="437"/>
      <c r="Y22" s="436"/>
      <c r="Z22" s="435"/>
      <c r="AA22" s="437"/>
    </row>
    <row r="23" spans="1:29" s="42" customFormat="1" ht="12.75" customHeight="1" x14ac:dyDescent="0.2">
      <c r="A23" s="419" t="s">
        <v>131</v>
      </c>
      <c r="B23" s="1199" t="s">
        <v>159</v>
      </c>
      <c r="C23" s="1200"/>
      <c r="D23" s="430">
        <f>+G23+J23+M23+P23+S23+V23+Y23</f>
        <v>127487</v>
      </c>
      <c r="E23" s="429">
        <f t="shared" si="0"/>
        <v>0</v>
      </c>
      <c r="F23" s="429">
        <f t="shared" si="5"/>
        <v>127487</v>
      </c>
      <c r="G23" s="430"/>
      <c r="H23" s="429"/>
      <c r="I23" s="431"/>
      <c r="J23" s="430">
        <f>+'5.b. mell. VF saját forrásból'!D59</f>
        <v>123534</v>
      </c>
      <c r="K23" s="429">
        <f>+'5.b. mell. VF saját forrásból'!E59</f>
        <v>0</v>
      </c>
      <c r="L23" s="431">
        <f>+'5.b. mell. VF saját forrásból'!F59</f>
        <v>123534</v>
      </c>
      <c r="M23" s="430">
        <f>+'5.c. mell. VF Eu forrásból'!D58</f>
        <v>3953</v>
      </c>
      <c r="N23" s="429">
        <f>+'5.c. mell. VF Eu forrásból'!E58</f>
        <v>0</v>
      </c>
      <c r="O23" s="431">
        <f>+'5.c. mell. VF Eu forrásból'!F58</f>
        <v>3953</v>
      </c>
      <c r="P23" s="432"/>
      <c r="Q23" s="429"/>
      <c r="R23" s="433"/>
      <c r="S23" s="430"/>
      <c r="T23" s="429"/>
      <c r="U23" s="431"/>
      <c r="V23" s="430"/>
      <c r="W23" s="429"/>
      <c r="X23" s="431"/>
      <c r="Y23" s="430"/>
      <c r="Z23" s="429"/>
      <c r="AA23" s="431"/>
      <c r="AB23" s="199"/>
      <c r="AC23" s="199"/>
    </row>
    <row r="24" spans="1:29" x14ac:dyDescent="0.25">
      <c r="A24" s="96"/>
      <c r="B24" s="422"/>
      <c r="C24" s="308"/>
      <c r="D24" s="434"/>
      <c r="E24" s="435"/>
      <c r="F24" s="435"/>
      <c r="G24" s="436"/>
      <c r="H24" s="435"/>
      <c r="I24" s="437"/>
      <c r="J24" s="436"/>
      <c r="K24" s="435"/>
      <c r="L24" s="437"/>
      <c r="M24" s="436"/>
      <c r="N24" s="435"/>
      <c r="O24" s="437"/>
      <c r="P24" s="435"/>
      <c r="Q24" s="435"/>
      <c r="R24" s="435"/>
      <c r="S24" s="436"/>
      <c r="T24" s="435"/>
      <c r="U24" s="437"/>
      <c r="V24" s="436"/>
      <c r="W24" s="435"/>
      <c r="X24" s="437"/>
      <c r="Y24" s="436"/>
      <c r="Z24" s="435"/>
      <c r="AA24" s="437"/>
    </row>
    <row r="25" spans="1:29" s="42" customFormat="1" ht="12.75" customHeight="1" x14ac:dyDescent="0.2">
      <c r="A25" s="419" t="s">
        <v>133</v>
      </c>
      <c r="B25" s="1199" t="s">
        <v>157</v>
      </c>
      <c r="C25" s="1200"/>
      <c r="D25" s="430">
        <f>+G25+J25+M25+P25+S25+V25+Y25</f>
        <v>0</v>
      </c>
      <c r="E25" s="429">
        <f t="shared" si="0"/>
        <v>0</v>
      </c>
      <c r="F25" s="429">
        <f t="shared" si="5"/>
        <v>0</v>
      </c>
      <c r="G25" s="430"/>
      <c r="H25" s="429"/>
      <c r="I25" s="431"/>
      <c r="J25" s="430"/>
      <c r="K25" s="429"/>
      <c r="L25" s="431"/>
      <c r="M25" s="430"/>
      <c r="N25" s="429"/>
      <c r="O25" s="431"/>
      <c r="P25" s="432"/>
      <c r="Q25" s="429"/>
      <c r="R25" s="433"/>
      <c r="S25" s="430"/>
      <c r="T25" s="429"/>
      <c r="U25" s="431"/>
      <c r="V25" s="430"/>
      <c r="W25" s="429"/>
      <c r="X25" s="431"/>
      <c r="Y25" s="430"/>
      <c r="Z25" s="429"/>
      <c r="AA25" s="431"/>
      <c r="AB25" s="199"/>
      <c r="AC25" s="199"/>
    </row>
    <row r="26" spans="1:29" x14ac:dyDescent="0.25">
      <c r="A26" s="96"/>
      <c r="B26" s="422"/>
      <c r="C26" s="308"/>
      <c r="D26" s="434"/>
      <c r="E26" s="435"/>
      <c r="F26" s="435"/>
      <c r="G26" s="436"/>
      <c r="H26" s="435"/>
      <c r="I26" s="437"/>
      <c r="J26" s="436"/>
      <c r="K26" s="435"/>
      <c r="L26" s="437"/>
      <c r="M26" s="436"/>
      <c r="N26" s="435"/>
      <c r="O26" s="437"/>
      <c r="P26" s="435"/>
      <c r="Q26" s="435"/>
      <c r="R26" s="435"/>
      <c r="S26" s="436"/>
      <c r="T26" s="435"/>
      <c r="U26" s="437"/>
      <c r="V26" s="436"/>
      <c r="W26" s="435"/>
      <c r="X26" s="437"/>
      <c r="Y26" s="436"/>
      <c r="Z26" s="435"/>
      <c r="AA26" s="437"/>
    </row>
    <row r="27" spans="1:29" s="42" customFormat="1" ht="12.75" customHeight="1" x14ac:dyDescent="0.2">
      <c r="A27" s="420" t="s">
        <v>134</v>
      </c>
      <c r="B27" s="1199" t="s">
        <v>156</v>
      </c>
      <c r="C27" s="1200"/>
      <c r="D27" s="430">
        <f>+G27+J27+M27+P27+S27+V27+Y27</f>
        <v>1930006</v>
      </c>
      <c r="E27" s="429">
        <f t="shared" si="0"/>
        <v>52528</v>
      </c>
      <c r="F27" s="429">
        <f t="shared" si="5"/>
        <v>1982534</v>
      </c>
      <c r="G27" s="430">
        <f>+G25+G23+G21+G18+G16+G14+G7+G5</f>
        <v>43331</v>
      </c>
      <c r="H27" s="429">
        <f t="shared" ref="H27:AA27" si="12">+H25+H23+H21+H18+H16+H14+H7+H5</f>
        <v>-2</v>
      </c>
      <c r="I27" s="431">
        <f t="shared" si="12"/>
        <v>43329</v>
      </c>
      <c r="J27" s="430">
        <f t="shared" si="12"/>
        <v>552840</v>
      </c>
      <c r="K27" s="429">
        <f t="shared" si="12"/>
        <v>2247</v>
      </c>
      <c r="L27" s="431">
        <f t="shared" si="12"/>
        <v>555087</v>
      </c>
      <c r="M27" s="430">
        <f t="shared" si="12"/>
        <v>695069</v>
      </c>
      <c r="N27" s="429">
        <f t="shared" si="12"/>
        <v>8758</v>
      </c>
      <c r="O27" s="431">
        <f t="shared" si="12"/>
        <v>703827</v>
      </c>
      <c r="P27" s="432">
        <f t="shared" si="12"/>
        <v>23745</v>
      </c>
      <c r="Q27" s="429">
        <f t="shared" si="12"/>
        <v>1857</v>
      </c>
      <c r="R27" s="433">
        <f t="shared" si="12"/>
        <v>25602</v>
      </c>
      <c r="S27" s="430">
        <f t="shared" si="12"/>
        <v>6761</v>
      </c>
      <c r="T27" s="429">
        <f t="shared" si="12"/>
        <v>0</v>
      </c>
      <c r="U27" s="431">
        <f t="shared" si="12"/>
        <v>6761</v>
      </c>
      <c r="V27" s="430">
        <f t="shared" si="12"/>
        <v>245381</v>
      </c>
      <c r="W27" s="429">
        <f t="shared" si="12"/>
        <v>28807</v>
      </c>
      <c r="X27" s="431">
        <f t="shared" si="12"/>
        <v>274188</v>
      </c>
      <c r="Y27" s="430">
        <f t="shared" si="12"/>
        <v>362879</v>
      </c>
      <c r="Z27" s="429">
        <f t="shared" si="12"/>
        <v>10861</v>
      </c>
      <c r="AA27" s="431">
        <f t="shared" si="12"/>
        <v>373740</v>
      </c>
      <c r="AB27" s="199"/>
      <c r="AC27" s="199"/>
    </row>
    <row r="28" spans="1:29" ht="9.75" customHeight="1" x14ac:dyDescent="0.25">
      <c r="A28" s="97"/>
      <c r="B28" s="423"/>
      <c r="C28" s="310"/>
      <c r="D28" s="434"/>
      <c r="E28" s="435"/>
      <c r="F28" s="435"/>
      <c r="G28" s="436"/>
      <c r="H28" s="435"/>
      <c r="I28" s="437"/>
      <c r="J28" s="436"/>
      <c r="K28" s="435"/>
      <c r="L28" s="437"/>
      <c r="M28" s="436"/>
      <c r="N28" s="435"/>
      <c r="O28" s="437"/>
      <c r="P28" s="435"/>
      <c r="Q28" s="435"/>
      <c r="R28" s="435"/>
      <c r="S28" s="436"/>
      <c r="T28" s="435"/>
      <c r="U28" s="437"/>
      <c r="V28" s="436"/>
      <c r="W28" s="435"/>
      <c r="X28" s="437"/>
      <c r="Y28" s="436"/>
      <c r="Z28" s="435"/>
      <c r="AA28" s="437"/>
    </row>
    <row r="29" spans="1:29" s="42" customFormat="1" ht="13.5" thickBot="1" x14ac:dyDescent="0.25">
      <c r="A29" s="421" t="s">
        <v>267</v>
      </c>
      <c r="B29" s="1205" t="s">
        <v>273</v>
      </c>
      <c r="C29" s="1206"/>
      <c r="D29" s="442">
        <f>+G29+J29+M29+P29+S29+V29+Y29</f>
        <v>442828</v>
      </c>
      <c r="E29" s="443">
        <f t="shared" si="0"/>
        <v>-23553</v>
      </c>
      <c r="F29" s="443">
        <f t="shared" si="5"/>
        <v>419275</v>
      </c>
      <c r="G29" s="444"/>
      <c r="H29" s="445"/>
      <c r="I29" s="446"/>
      <c r="J29" s="442">
        <f>+'5.b. mell. VF saját forrásból'!D68</f>
        <v>0</v>
      </c>
      <c r="K29" s="442">
        <f>+'5.b. mell. VF saját forrásból'!E68</f>
        <v>0</v>
      </c>
      <c r="L29" s="442">
        <f>+'5.b. mell. VF saját forrásból'!F68</f>
        <v>0</v>
      </c>
      <c r="M29" s="442"/>
      <c r="N29" s="443"/>
      <c r="O29" s="446"/>
      <c r="P29" s="447"/>
      <c r="Q29" s="443"/>
      <c r="R29" s="448"/>
      <c r="S29" s="442"/>
      <c r="T29" s="443"/>
      <c r="U29" s="446"/>
      <c r="V29" s="442"/>
      <c r="W29" s="443"/>
      <c r="X29" s="446"/>
      <c r="Y29" s="442">
        <f>+'5.g. mell. Egyéb tev.'!AH100</f>
        <v>442828</v>
      </c>
      <c r="Z29" s="443">
        <f>+'5.g. mell. Egyéb tev.'!AI100</f>
        <v>-23553</v>
      </c>
      <c r="AA29" s="446">
        <f>+'5.g. mell. Egyéb tev.'!AJ100</f>
        <v>419275</v>
      </c>
      <c r="AB29" s="199"/>
      <c r="AC29" s="199"/>
    </row>
    <row r="30" spans="1:29" s="42" customFormat="1" ht="18.75" customHeight="1" thickBot="1" x14ac:dyDescent="0.25">
      <c r="A30" s="1196" t="s">
        <v>568</v>
      </c>
      <c r="B30" s="1197"/>
      <c r="C30" s="1198"/>
      <c r="D30" s="449">
        <f t="shared" ref="D30:AA30" si="13">+D29+D27</f>
        <v>2372834</v>
      </c>
      <c r="E30" s="449">
        <f>+E29+E27</f>
        <v>28975</v>
      </c>
      <c r="F30" s="449">
        <f t="shared" si="13"/>
        <v>2401809</v>
      </c>
      <c r="G30" s="449">
        <f t="shared" si="13"/>
        <v>43331</v>
      </c>
      <c r="H30" s="449">
        <f t="shared" si="13"/>
        <v>-2</v>
      </c>
      <c r="I30" s="449">
        <f t="shared" si="13"/>
        <v>43329</v>
      </c>
      <c r="J30" s="449">
        <f t="shared" si="13"/>
        <v>552840</v>
      </c>
      <c r="K30" s="449">
        <f t="shared" si="13"/>
        <v>2247</v>
      </c>
      <c r="L30" s="449">
        <f t="shared" si="13"/>
        <v>555087</v>
      </c>
      <c r="M30" s="449">
        <f t="shared" si="13"/>
        <v>695069</v>
      </c>
      <c r="N30" s="449">
        <f t="shared" si="13"/>
        <v>8758</v>
      </c>
      <c r="O30" s="449">
        <f t="shared" si="13"/>
        <v>703827</v>
      </c>
      <c r="P30" s="449">
        <f t="shared" si="13"/>
        <v>23745</v>
      </c>
      <c r="Q30" s="449">
        <f t="shared" si="13"/>
        <v>1857</v>
      </c>
      <c r="R30" s="449">
        <f t="shared" si="13"/>
        <v>25602</v>
      </c>
      <c r="S30" s="449">
        <f t="shared" si="13"/>
        <v>6761</v>
      </c>
      <c r="T30" s="449">
        <f t="shared" si="13"/>
        <v>0</v>
      </c>
      <c r="U30" s="449">
        <f t="shared" si="13"/>
        <v>6761</v>
      </c>
      <c r="V30" s="449">
        <f t="shared" si="13"/>
        <v>245381</v>
      </c>
      <c r="W30" s="449">
        <f t="shared" si="13"/>
        <v>28807</v>
      </c>
      <c r="X30" s="449">
        <f t="shared" si="13"/>
        <v>274188</v>
      </c>
      <c r="Y30" s="449">
        <f t="shared" si="13"/>
        <v>805707</v>
      </c>
      <c r="Z30" s="449">
        <f t="shared" si="13"/>
        <v>-12692</v>
      </c>
      <c r="AA30" s="449">
        <f t="shared" si="13"/>
        <v>793015</v>
      </c>
      <c r="AB30" s="199"/>
      <c r="AC30" s="199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9" orientation="landscape" r:id="rId1"/>
  <headerFooter>
    <oddHeader>&amp;C&amp;"Times New Roman,Félkövér"&amp;12Martonvásár Város Önkormányzatának kiadásai 2020.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workbookViewId="0">
      <selection activeCell="E25" sqref="E25"/>
    </sheetView>
  </sheetViews>
  <sheetFormatPr defaultColWidth="9.140625" defaultRowHeight="15" x14ac:dyDescent="0.25"/>
  <cols>
    <col min="1" max="1" width="13" style="24" customWidth="1"/>
    <col min="2" max="3" width="13" style="25" customWidth="1"/>
    <col min="4" max="4" width="11" style="17" customWidth="1"/>
    <col min="5" max="5" width="11" style="961" customWidth="1"/>
    <col min="6" max="6" width="11" style="17" customWidth="1"/>
    <col min="7" max="16384" width="9.140625" style="1"/>
  </cols>
  <sheetData>
    <row r="1" spans="1:9" ht="15.75" customHeight="1" x14ac:dyDescent="0.25">
      <c r="D1" s="1212" t="s">
        <v>383</v>
      </c>
      <c r="E1" s="1212"/>
      <c r="F1" s="1212"/>
    </row>
    <row r="2" spans="1:9" ht="24.75" customHeight="1" x14ac:dyDescent="0.25">
      <c r="A2" s="1221" t="s">
        <v>0</v>
      </c>
      <c r="B2" s="1221" t="s">
        <v>181</v>
      </c>
      <c r="C2" s="1221"/>
      <c r="D2" s="1216" t="s">
        <v>175</v>
      </c>
      <c r="E2" s="1217"/>
      <c r="F2" s="1218"/>
    </row>
    <row r="3" spans="1:9" s="2" customFormat="1" x14ac:dyDescent="0.25">
      <c r="A3" s="1221"/>
      <c r="B3" s="1221"/>
      <c r="C3" s="1221"/>
      <c r="D3" s="1067" t="s">
        <v>891</v>
      </c>
      <c r="E3" s="953" t="s">
        <v>694</v>
      </c>
      <c r="F3" s="3" t="s">
        <v>948</v>
      </c>
    </row>
    <row r="4" spans="1:9" s="2" customFormat="1" x14ac:dyDescent="0.25">
      <c r="A4" s="1221"/>
      <c r="B4" s="1221"/>
      <c r="C4" s="1221"/>
      <c r="D4" s="1219" t="s">
        <v>188</v>
      </c>
      <c r="E4" s="1219"/>
      <c r="F4" s="1219"/>
    </row>
    <row r="5" spans="1:9" ht="12" customHeight="1" x14ac:dyDescent="0.25">
      <c r="A5" s="5" t="s">
        <v>27</v>
      </c>
      <c r="B5" s="1215" t="s">
        <v>173</v>
      </c>
      <c r="C5" s="1215"/>
      <c r="D5" s="317"/>
      <c r="E5" s="957"/>
      <c r="F5" s="761">
        <f>+E5+D5</f>
        <v>0</v>
      </c>
    </row>
    <row r="6" spans="1:9" ht="12" customHeight="1" x14ac:dyDescent="0.25">
      <c r="A6" s="5" t="s">
        <v>33</v>
      </c>
      <c r="B6" s="1215" t="s">
        <v>172</v>
      </c>
      <c r="C6" s="1215"/>
      <c r="D6" s="455">
        <v>28064</v>
      </c>
      <c r="E6" s="455"/>
      <c r="F6" s="762">
        <f>D6+E6</f>
        <v>28064</v>
      </c>
    </row>
    <row r="7" spans="1:9" ht="12" customHeight="1" x14ac:dyDescent="0.25">
      <c r="A7" s="6" t="s">
        <v>34</v>
      </c>
      <c r="B7" s="1214" t="s">
        <v>171</v>
      </c>
      <c r="C7" s="1214"/>
      <c r="D7" s="318">
        <f>SUM(D5:D6)</f>
        <v>28064</v>
      </c>
      <c r="E7" s="318">
        <f t="shared" ref="E7:F7" si="0">SUM(E5:E6)</f>
        <v>0</v>
      </c>
      <c r="F7" s="318">
        <f t="shared" si="0"/>
        <v>28064</v>
      </c>
    </row>
    <row r="8" spans="1:9" ht="12" customHeight="1" x14ac:dyDescent="0.25">
      <c r="A8" s="7"/>
      <c r="B8" s="8"/>
      <c r="C8" s="8"/>
      <c r="D8" s="19"/>
      <c r="E8" s="958"/>
      <c r="F8" s="20"/>
    </row>
    <row r="9" spans="1:9" ht="12" customHeight="1" x14ac:dyDescent="0.25">
      <c r="A9" s="5" t="s">
        <v>35</v>
      </c>
      <c r="B9" s="1215" t="s">
        <v>170</v>
      </c>
      <c r="C9" s="1215"/>
      <c r="D9" s="315">
        <v>5200</v>
      </c>
      <c r="E9" s="315"/>
      <c r="F9" s="762">
        <f>D9+E9</f>
        <v>5200</v>
      </c>
      <c r="I9" s="961"/>
    </row>
    <row r="10" spans="1:9" ht="12" customHeight="1" x14ac:dyDescent="0.25">
      <c r="A10" s="99"/>
      <c r="B10" s="23"/>
      <c r="C10" s="11"/>
      <c r="D10" s="319"/>
      <c r="E10" s="959"/>
      <c r="F10" s="311"/>
    </row>
    <row r="11" spans="1:9" ht="12" customHeight="1" x14ac:dyDescent="0.25">
      <c r="A11" s="12" t="s">
        <v>42</v>
      </c>
      <c r="B11" s="1213" t="s">
        <v>41</v>
      </c>
      <c r="C11" s="1213"/>
      <c r="D11" s="320">
        <v>60</v>
      </c>
      <c r="E11" s="321"/>
      <c r="F11" s="763">
        <f>D11+E11</f>
        <v>60</v>
      </c>
    </row>
    <row r="12" spans="1:9" ht="12" customHeight="1" x14ac:dyDescent="0.25">
      <c r="A12" s="4" t="s">
        <v>44</v>
      </c>
      <c r="B12" s="1211" t="s">
        <v>43</v>
      </c>
      <c r="C12" s="1211"/>
      <c r="D12" s="321">
        <f>400+150+400+180</f>
        <v>1130</v>
      </c>
      <c r="E12" s="321"/>
      <c r="F12" s="763">
        <f t="shared" ref="F12:F16" si="1">D12+E12</f>
        <v>1130</v>
      </c>
    </row>
    <row r="13" spans="1:9" ht="12" customHeight="1" x14ac:dyDescent="0.25">
      <c r="A13" s="4" t="s">
        <v>46</v>
      </c>
      <c r="B13" s="1211" t="s">
        <v>45</v>
      </c>
      <c r="C13" s="1211"/>
      <c r="D13" s="321"/>
      <c r="E13" s="315"/>
      <c r="F13" s="763">
        <f t="shared" si="1"/>
        <v>0</v>
      </c>
    </row>
    <row r="14" spans="1:9" s="44" customFormat="1" ht="12" customHeight="1" x14ac:dyDescent="0.25">
      <c r="A14" s="5" t="s">
        <v>47</v>
      </c>
      <c r="B14" s="1215" t="s">
        <v>169</v>
      </c>
      <c r="C14" s="1215"/>
      <c r="D14" s="315">
        <f>SUM(D11:D13)</f>
        <v>1190</v>
      </c>
      <c r="E14" s="315">
        <f t="shared" ref="E14:F14" si="2">SUM(E11:E13)</f>
        <v>0</v>
      </c>
      <c r="F14" s="315">
        <f t="shared" si="2"/>
        <v>1190</v>
      </c>
    </row>
    <row r="15" spans="1:9" ht="12" customHeight="1" x14ac:dyDescent="0.25">
      <c r="A15" s="4" t="s">
        <v>49</v>
      </c>
      <c r="B15" s="1211" t="s">
        <v>48</v>
      </c>
      <c r="C15" s="1211"/>
      <c r="D15" s="321">
        <v>100</v>
      </c>
      <c r="E15" s="321"/>
      <c r="F15" s="763">
        <f t="shared" si="1"/>
        <v>100</v>
      </c>
    </row>
    <row r="16" spans="1:9" ht="12" customHeight="1" x14ac:dyDescent="0.25">
      <c r="A16" s="4" t="s">
        <v>51</v>
      </c>
      <c r="B16" s="1211" t="s">
        <v>50</v>
      </c>
      <c r="C16" s="1211"/>
      <c r="D16" s="321">
        <v>200</v>
      </c>
      <c r="E16" s="321"/>
      <c r="F16" s="763">
        <f t="shared" si="1"/>
        <v>200</v>
      </c>
    </row>
    <row r="17" spans="1:6" s="44" customFormat="1" ht="12" customHeight="1" x14ac:dyDescent="0.25">
      <c r="A17" s="5" t="s">
        <v>52</v>
      </c>
      <c r="B17" s="1215" t="s">
        <v>168</v>
      </c>
      <c r="C17" s="1215"/>
      <c r="D17" s="315">
        <f>SUM(D15:D16)</f>
        <v>300</v>
      </c>
      <c r="E17" s="315">
        <f t="shared" ref="E17:F17" si="3">SUM(E15:E16)</f>
        <v>0</v>
      </c>
      <c r="F17" s="315">
        <f t="shared" si="3"/>
        <v>300</v>
      </c>
    </row>
    <row r="18" spans="1:6" ht="12" customHeight="1" x14ac:dyDescent="0.25">
      <c r="A18" s="4" t="s">
        <v>54</v>
      </c>
      <c r="B18" s="1211" t="s">
        <v>53</v>
      </c>
      <c r="C18" s="1211"/>
      <c r="D18" s="321"/>
      <c r="E18" s="321"/>
      <c r="F18" s="763">
        <f>D18+E18</f>
        <v>0</v>
      </c>
    </row>
    <row r="19" spans="1:6" ht="12" customHeight="1" x14ac:dyDescent="0.25">
      <c r="A19" s="4" t="s">
        <v>56</v>
      </c>
      <c r="B19" s="1211" t="s">
        <v>55</v>
      </c>
      <c r="C19" s="1211"/>
      <c r="D19" s="321"/>
      <c r="E19" s="321"/>
      <c r="F19" s="763">
        <f t="shared" ref="F19:F24" si="4">D19+E19</f>
        <v>0</v>
      </c>
    </row>
    <row r="20" spans="1:6" ht="12" customHeight="1" x14ac:dyDescent="0.25">
      <c r="A20" s="4" t="s">
        <v>57</v>
      </c>
      <c r="B20" s="1211" t="s">
        <v>166</v>
      </c>
      <c r="C20" s="1211"/>
      <c r="D20" s="321"/>
      <c r="E20" s="321"/>
      <c r="F20" s="763">
        <f t="shared" si="4"/>
        <v>0</v>
      </c>
    </row>
    <row r="21" spans="1:6" ht="12" customHeight="1" x14ac:dyDescent="0.25">
      <c r="A21" s="4" t="s">
        <v>59</v>
      </c>
      <c r="B21" s="1211" t="s">
        <v>58</v>
      </c>
      <c r="C21" s="1211"/>
      <c r="D21" s="321"/>
      <c r="E21" s="321"/>
      <c r="F21" s="763">
        <f t="shared" si="4"/>
        <v>0</v>
      </c>
    </row>
    <row r="22" spans="1:6" ht="12" customHeight="1" x14ac:dyDescent="0.25">
      <c r="A22" s="4" t="s">
        <v>60</v>
      </c>
      <c r="B22" s="1211" t="s">
        <v>165</v>
      </c>
      <c r="C22" s="1211"/>
      <c r="D22" s="321"/>
      <c r="E22" s="321"/>
      <c r="F22" s="763">
        <f t="shared" si="4"/>
        <v>0</v>
      </c>
    </row>
    <row r="23" spans="1:6" ht="12" customHeight="1" x14ac:dyDescent="0.25">
      <c r="A23" s="4" t="s">
        <v>63</v>
      </c>
      <c r="B23" s="1211" t="s">
        <v>62</v>
      </c>
      <c r="C23" s="1211"/>
      <c r="D23" s="320">
        <f>2500-1500</f>
        <v>1000</v>
      </c>
      <c r="E23" s="321"/>
      <c r="F23" s="763">
        <f t="shared" si="4"/>
        <v>1000</v>
      </c>
    </row>
    <row r="24" spans="1:6" ht="12" customHeight="1" x14ac:dyDescent="0.25">
      <c r="A24" s="4" t="s">
        <v>65</v>
      </c>
      <c r="B24" s="1211" t="s">
        <v>64</v>
      </c>
      <c r="C24" s="1211"/>
      <c r="D24" s="321">
        <f>78+200+510+4800+2640-1500</f>
        <v>6728</v>
      </c>
      <c r="E24" s="321">
        <v>-2</v>
      </c>
      <c r="F24" s="763">
        <f t="shared" si="4"/>
        <v>6726</v>
      </c>
    </row>
    <row r="25" spans="1:6" s="44" customFormat="1" ht="12" customHeight="1" x14ac:dyDescent="0.25">
      <c r="A25" s="5" t="s">
        <v>66</v>
      </c>
      <c r="B25" s="1215" t="s">
        <v>155</v>
      </c>
      <c r="C25" s="1215"/>
      <c r="D25" s="315">
        <f>+D24+D23+D22+D21+D20+D19+D18</f>
        <v>7728</v>
      </c>
      <c r="E25" s="315">
        <f>SUM(E18:E24)</f>
        <v>-2</v>
      </c>
      <c r="F25" s="315">
        <f>SUM(F18:F24)</f>
        <v>7726</v>
      </c>
    </row>
    <row r="26" spans="1:6" ht="12" customHeight="1" x14ac:dyDescent="0.25">
      <c r="A26" s="4" t="s">
        <v>68</v>
      </c>
      <c r="B26" s="1211" t="s">
        <v>67</v>
      </c>
      <c r="C26" s="1211"/>
      <c r="D26" s="321"/>
      <c r="E26" s="321"/>
      <c r="F26" s="763">
        <f>D26+E26</f>
        <v>0</v>
      </c>
    </row>
    <row r="27" spans="1:6" ht="12" customHeight="1" x14ac:dyDescent="0.25">
      <c r="A27" s="4" t="s">
        <v>70</v>
      </c>
      <c r="B27" s="1211" t="s">
        <v>69</v>
      </c>
      <c r="C27" s="1211"/>
      <c r="D27" s="321"/>
      <c r="E27" s="321"/>
      <c r="F27" s="763">
        <f>D27+E27</f>
        <v>0</v>
      </c>
    </row>
    <row r="28" spans="1:6" ht="12" customHeight="1" x14ac:dyDescent="0.25">
      <c r="A28" s="5" t="s">
        <v>71</v>
      </c>
      <c r="B28" s="1215" t="s">
        <v>154</v>
      </c>
      <c r="C28" s="1215"/>
      <c r="D28" s="315">
        <f>SUM(D26:D27)</f>
        <v>0</v>
      </c>
      <c r="E28" s="315">
        <f t="shared" ref="E28:F28" si="5">SUM(E26:E27)</f>
        <v>0</v>
      </c>
      <c r="F28" s="315">
        <f t="shared" si="5"/>
        <v>0</v>
      </c>
    </row>
    <row r="29" spans="1:6" ht="12" customHeight="1" x14ac:dyDescent="0.25">
      <c r="A29" s="4" t="s">
        <v>73</v>
      </c>
      <c r="B29" s="1211" t="s">
        <v>72</v>
      </c>
      <c r="C29" s="1211"/>
      <c r="D29" s="321">
        <f>100+22+50+100+50+16+27+54+140+675-405</f>
        <v>829</v>
      </c>
      <c r="E29" s="321"/>
      <c r="F29" s="763">
        <f>D29+E29</f>
        <v>829</v>
      </c>
    </row>
    <row r="30" spans="1:6" ht="12" customHeight="1" x14ac:dyDescent="0.25">
      <c r="A30" s="4" t="s">
        <v>75</v>
      </c>
      <c r="B30" s="1211" t="s">
        <v>74</v>
      </c>
      <c r="C30" s="1211"/>
      <c r="D30" s="321"/>
      <c r="E30" s="321"/>
      <c r="F30" s="763">
        <f t="shared" ref="F30:F33" si="6">D30+E30</f>
        <v>0</v>
      </c>
    </row>
    <row r="31" spans="1:6" ht="12" customHeight="1" x14ac:dyDescent="0.25">
      <c r="A31" s="4" t="s">
        <v>76</v>
      </c>
      <c r="B31" s="1211" t="s">
        <v>153</v>
      </c>
      <c r="C31" s="1211"/>
      <c r="D31" s="321"/>
      <c r="E31" s="321"/>
      <c r="F31" s="763">
        <f t="shared" si="6"/>
        <v>0</v>
      </c>
    </row>
    <row r="32" spans="1:6" ht="12" customHeight="1" x14ac:dyDescent="0.25">
      <c r="A32" s="4" t="s">
        <v>77</v>
      </c>
      <c r="B32" s="1211" t="s">
        <v>152</v>
      </c>
      <c r="C32" s="1211"/>
      <c r="D32" s="321"/>
      <c r="E32" s="321"/>
      <c r="F32" s="763">
        <f t="shared" si="6"/>
        <v>0</v>
      </c>
    </row>
    <row r="33" spans="1:6" ht="12" customHeight="1" x14ac:dyDescent="0.25">
      <c r="A33" s="4" t="s">
        <v>79</v>
      </c>
      <c r="B33" s="1211" t="s">
        <v>78</v>
      </c>
      <c r="C33" s="1211"/>
      <c r="D33" s="321">
        <v>20</v>
      </c>
      <c r="E33" s="321"/>
      <c r="F33" s="763">
        <f t="shared" si="6"/>
        <v>20</v>
      </c>
    </row>
    <row r="34" spans="1:6" ht="12" customHeight="1" x14ac:dyDescent="0.25">
      <c r="A34" s="5" t="s">
        <v>80</v>
      </c>
      <c r="B34" s="1215" t="s">
        <v>151</v>
      </c>
      <c r="C34" s="1215"/>
      <c r="D34" s="315">
        <f>SUM(D29:D33)</f>
        <v>849</v>
      </c>
      <c r="E34" s="315">
        <f t="shared" ref="E34:F34" si="7">SUM(E29:E33)</f>
        <v>0</v>
      </c>
      <c r="F34" s="315">
        <f t="shared" si="7"/>
        <v>849</v>
      </c>
    </row>
    <row r="35" spans="1:6" ht="12" customHeight="1" x14ac:dyDescent="0.25">
      <c r="A35" s="6" t="s">
        <v>81</v>
      </c>
      <c r="B35" s="1214" t="s">
        <v>150</v>
      </c>
      <c r="C35" s="1214"/>
      <c r="D35" s="316">
        <f>+D34+D28+D25+D17+D14</f>
        <v>10067</v>
      </c>
      <c r="E35" s="315">
        <f t="shared" ref="E35:F35" si="8">E14+E17+E25+E34</f>
        <v>-2</v>
      </c>
      <c r="F35" s="316">
        <f t="shared" si="8"/>
        <v>10065</v>
      </c>
    </row>
    <row r="36" spans="1:6" ht="12" customHeight="1" x14ac:dyDescent="0.25">
      <c r="A36" s="7"/>
      <c r="B36" s="8"/>
      <c r="C36" s="8"/>
      <c r="D36" s="322"/>
      <c r="E36" s="315"/>
      <c r="F36" s="20"/>
    </row>
    <row r="37" spans="1:6" ht="12" hidden="1" customHeight="1" x14ac:dyDescent="0.25">
      <c r="A37" s="4" t="s">
        <v>96</v>
      </c>
      <c r="B37" s="1220" t="s">
        <v>95</v>
      </c>
      <c r="C37" s="1220"/>
      <c r="D37" s="321"/>
      <c r="E37" s="315"/>
      <c r="F37" s="18"/>
    </row>
    <row r="38" spans="1:6" ht="12" hidden="1" customHeight="1" x14ac:dyDescent="0.25">
      <c r="A38" s="4" t="s">
        <v>98</v>
      </c>
      <c r="B38" s="1220" t="s">
        <v>183</v>
      </c>
      <c r="C38" s="1220"/>
      <c r="D38" s="321"/>
      <c r="E38" s="315"/>
      <c r="F38" s="18"/>
    </row>
    <row r="39" spans="1:6" ht="12" hidden="1" customHeight="1" x14ac:dyDescent="0.25">
      <c r="A39" s="4" t="s">
        <v>101</v>
      </c>
      <c r="B39" s="1220" t="s">
        <v>164</v>
      </c>
      <c r="C39" s="1220"/>
      <c r="D39" s="321"/>
      <c r="E39" s="315"/>
      <c r="F39" s="18"/>
    </row>
    <row r="40" spans="1:6" ht="12" hidden="1" customHeight="1" x14ac:dyDescent="0.25">
      <c r="A40" s="4" t="s">
        <v>103</v>
      </c>
      <c r="B40" s="1220" t="s">
        <v>182</v>
      </c>
      <c r="C40" s="1220"/>
      <c r="D40" s="321"/>
      <c r="E40" s="315"/>
      <c r="F40" s="18"/>
    </row>
    <row r="41" spans="1:6" ht="12" hidden="1" customHeight="1" x14ac:dyDescent="0.25">
      <c r="A41" s="4" t="s">
        <v>106</v>
      </c>
      <c r="B41" s="1220" t="s">
        <v>163</v>
      </c>
      <c r="C41" s="1220"/>
      <c r="D41" s="321"/>
      <c r="E41" s="315"/>
      <c r="F41" s="18"/>
    </row>
    <row r="42" spans="1:6" ht="12" hidden="1" customHeight="1" x14ac:dyDescent="0.25">
      <c r="A42" s="4" t="s">
        <v>606</v>
      </c>
      <c r="B42" s="1211" t="s">
        <v>105</v>
      </c>
      <c r="C42" s="1211"/>
      <c r="D42" s="321"/>
      <c r="E42" s="315"/>
      <c r="F42" s="18"/>
    </row>
    <row r="43" spans="1:6" ht="12" customHeight="1" x14ac:dyDescent="0.25">
      <c r="A43" s="6" t="s">
        <v>107</v>
      </c>
      <c r="B43" s="1214" t="s">
        <v>162</v>
      </c>
      <c r="C43" s="1214"/>
      <c r="D43" s="316">
        <f>+D42+D41+D40+D39+D38+D37</f>
        <v>0</v>
      </c>
      <c r="E43" s="315"/>
      <c r="F43" s="41"/>
    </row>
    <row r="44" spans="1:6" ht="12" customHeight="1" x14ac:dyDescent="0.25">
      <c r="A44" s="7"/>
      <c r="B44" s="8"/>
      <c r="C44" s="8"/>
      <c r="D44" s="322"/>
      <c r="E44" s="315"/>
      <c r="F44" s="20"/>
    </row>
    <row r="45" spans="1:6" ht="12" hidden="1" customHeight="1" x14ac:dyDescent="0.25">
      <c r="A45" s="12" t="s">
        <v>109</v>
      </c>
      <c r="B45" s="1213" t="s">
        <v>108</v>
      </c>
      <c r="C45" s="1213"/>
      <c r="D45" s="320"/>
      <c r="E45" s="315"/>
      <c r="F45" s="21"/>
    </row>
    <row r="46" spans="1:6" ht="12" hidden="1" customHeight="1" x14ac:dyDescent="0.25">
      <c r="A46" s="4" t="s">
        <v>110</v>
      </c>
      <c r="B46" s="1211" t="s">
        <v>161</v>
      </c>
      <c r="C46" s="1211"/>
      <c r="D46" s="321"/>
      <c r="E46" s="315"/>
      <c r="F46" s="18"/>
    </row>
    <row r="47" spans="1:6" ht="12" hidden="1" customHeight="1" x14ac:dyDescent="0.25">
      <c r="A47" s="4" t="s">
        <v>113</v>
      </c>
      <c r="B47" s="1211" t="s">
        <v>112</v>
      </c>
      <c r="C47" s="1211"/>
      <c r="D47" s="321"/>
      <c r="E47" s="315"/>
      <c r="F47" s="18"/>
    </row>
    <row r="48" spans="1:6" ht="12" hidden="1" customHeight="1" x14ac:dyDescent="0.25">
      <c r="A48" s="4" t="s">
        <v>115</v>
      </c>
      <c r="B48" s="1211" t="s">
        <v>114</v>
      </c>
      <c r="C48" s="1211"/>
      <c r="D48" s="321"/>
      <c r="E48" s="315"/>
      <c r="F48" s="18"/>
    </row>
    <row r="49" spans="1:6" ht="12" hidden="1" customHeight="1" x14ac:dyDescent="0.25">
      <c r="A49" s="4" t="s">
        <v>117</v>
      </c>
      <c r="B49" s="1211" t="s">
        <v>116</v>
      </c>
      <c r="C49" s="1211"/>
      <c r="D49" s="321"/>
      <c r="E49" s="315"/>
      <c r="F49" s="18"/>
    </row>
    <row r="50" spans="1:6" ht="12" hidden="1" customHeight="1" x14ac:dyDescent="0.25">
      <c r="A50" s="4" t="s">
        <v>119</v>
      </c>
      <c r="B50" s="1211" t="s">
        <v>118</v>
      </c>
      <c r="C50" s="1211"/>
      <c r="D50" s="321"/>
      <c r="E50" s="315"/>
      <c r="F50" s="18"/>
    </row>
    <row r="51" spans="1:6" ht="12" hidden="1" customHeight="1" x14ac:dyDescent="0.25">
      <c r="A51" s="4" t="s">
        <v>121</v>
      </c>
      <c r="B51" s="1211" t="s">
        <v>120</v>
      </c>
      <c r="C51" s="1211"/>
      <c r="D51" s="321"/>
      <c r="E51" s="315"/>
      <c r="F51" s="18"/>
    </row>
    <row r="52" spans="1:6" ht="12" customHeight="1" x14ac:dyDescent="0.25">
      <c r="A52" s="6" t="s">
        <v>122</v>
      </c>
      <c r="B52" s="1214" t="s">
        <v>160</v>
      </c>
      <c r="C52" s="1214"/>
      <c r="D52" s="993">
        <f>+D51+D50+D49+D48+D47+D46+D45</f>
        <v>0</v>
      </c>
      <c r="E52" s="315"/>
      <c r="F52" s="41"/>
    </row>
    <row r="53" spans="1:6" ht="12" customHeight="1" x14ac:dyDescent="0.25">
      <c r="A53" s="7"/>
      <c r="B53" s="8"/>
      <c r="C53" s="8"/>
      <c r="D53" s="322"/>
      <c r="E53" s="315"/>
      <c r="F53" s="20"/>
    </row>
    <row r="54" spans="1:6" ht="12" hidden="1" customHeight="1" x14ac:dyDescent="0.25">
      <c r="A54" s="12" t="s">
        <v>124</v>
      </c>
      <c r="B54" s="1213" t="s">
        <v>123</v>
      </c>
      <c r="C54" s="1213"/>
      <c r="D54" s="320"/>
      <c r="E54" s="315"/>
      <c r="F54" s="21"/>
    </row>
    <row r="55" spans="1:6" ht="12" hidden="1" customHeight="1" x14ac:dyDescent="0.25">
      <c r="A55" s="4" t="s">
        <v>126</v>
      </c>
      <c r="B55" s="1211" t="s">
        <v>125</v>
      </c>
      <c r="C55" s="1211"/>
      <c r="D55" s="321"/>
      <c r="E55" s="315"/>
      <c r="F55" s="18"/>
    </row>
    <row r="56" spans="1:6" ht="12" hidden="1" customHeight="1" x14ac:dyDescent="0.25">
      <c r="A56" s="4" t="s">
        <v>128</v>
      </c>
      <c r="B56" s="1211" t="s">
        <v>127</v>
      </c>
      <c r="C56" s="1211"/>
      <c r="D56" s="321"/>
      <c r="E56" s="315"/>
      <c r="F56" s="18"/>
    </row>
    <row r="57" spans="1:6" ht="12" hidden="1" customHeight="1" x14ac:dyDescent="0.25">
      <c r="A57" s="4" t="s">
        <v>130</v>
      </c>
      <c r="B57" s="1211" t="s">
        <v>129</v>
      </c>
      <c r="C57" s="1211"/>
      <c r="D57" s="321"/>
      <c r="E57" s="315"/>
      <c r="F57" s="18"/>
    </row>
    <row r="58" spans="1:6" ht="12" customHeight="1" x14ac:dyDescent="0.25">
      <c r="A58" s="5" t="s">
        <v>131</v>
      </c>
      <c r="B58" s="1215" t="s">
        <v>159</v>
      </c>
      <c r="C58" s="1215"/>
      <c r="D58" s="315"/>
      <c r="E58" s="315"/>
      <c r="F58" s="18"/>
    </row>
    <row r="59" spans="1:6" ht="12" customHeight="1" x14ac:dyDescent="0.25">
      <c r="A59" s="7"/>
      <c r="B59" s="15"/>
      <c r="C59" s="15"/>
      <c r="D59" s="322"/>
      <c r="E59" s="315"/>
      <c r="F59" s="20"/>
    </row>
    <row r="60" spans="1:6" ht="12" hidden="1" customHeight="1" x14ac:dyDescent="0.25">
      <c r="A60" s="99" t="s">
        <v>371</v>
      </c>
      <c r="B60" s="1213" t="s">
        <v>372</v>
      </c>
      <c r="C60" s="1213"/>
      <c r="D60" s="321"/>
      <c r="E60" s="315"/>
      <c r="F60" s="18"/>
    </row>
    <row r="61" spans="1:6" ht="12" hidden="1" customHeight="1" x14ac:dyDescent="0.25">
      <c r="A61" s="99" t="s">
        <v>384</v>
      </c>
      <c r="B61" s="1224" t="s">
        <v>385</v>
      </c>
      <c r="C61" s="1225"/>
      <c r="D61" s="320"/>
      <c r="E61" s="315"/>
      <c r="F61" s="21"/>
    </row>
    <row r="62" spans="1:6" ht="12" hidden="1" customHeight="1" x14ac:dyDescent="0.25">
      <c r="A62" s="12" t="s">
        <v>607</v>
      </c>
      <c r="B62" s="1213" t="s">
        <v>158</v>
      </c>
      <c r="C62" s="1213"/>
      <c r="D62" s="320"/>
      <c r="E62" s="315"/>
      <c r="F62" s="21"/>
    </row>
    <row r="63" spans="1:6" ht="12" customHeight="1" x14ac:dyDescent="0.25">
      <c r="A63" s="14" t="s">
        <v>133</v>
      </c>
      <c r="B63" s="1222" t="s">
        <v>157</v>
      </c>
      <c r="C63" s="1222"/>
      <c r="D63" s="321">
        <f>+D62+D60</f>
        <v>0</v>
      </c>
      <c r="E63" s="315"/>
      <c r="F63" s="43"/>
    </row>
    <row r="64" spans="1:6" ht="12" customHeight="1" thickBot="1" x14ac:dyDescent="0.3">
      <c r="A64" s="45"/>
      <c r="B64" s="46"/>
      <c r="C64" s="46"/>
      <c r="D64" s="323"/>
      <c r="E64" s="315"/>
      <c r="F64" s="22"/>
    </row>
    <row r="65" spans="1:6" ht="12" customHeight="1" thickBot="1" x14ac:dyDescent="0.3">
      <c r="A65" s="47" t="s">
        <v>134</v>
      </c>
      <c r="B65" s="1223" t="s">
        <v>156</v>
      </c>
      <c r="C65" s="1223"/>
      <c r="D65" s="324">
        <f>+D63+D58+D52+D43+D35+D9+D7</f>
        <v>43331</v>
      </c>
      <c r="E65" s="960">
        <f t="shared" ref="E65:F65" si="9">+E63+E58+E52+E43+E35+E9+E7</f>
        <v>-2</v>
      </c>
      <c r="F65" s="57">
        <f t="shared" si="9"/>
        <v>43329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2020.
Önkormányzati jogalkotás kormányzati funkció&amp;R&amp;"Times New Roman,Félkövér"&amp;12 5/a.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Z52" sqref="Z52"/>
    </sheetView>
  </sheetViews>
  <sheetFormatPr defaultColWidth="9.140625" defaultRowHeight="12.75" x14ac:dyDescent="0.2"/>
  <cols>
    <col min="1" max="1" width="8.140625" style="756" customWidth="1"/>
    <col min="2" max="2" width="7.140625" style="25" customWidth="1"/>
    <col min="3" max="3" width="31" style="25" customWidth="1"/>
    <col min="4" max="4" width="8.140625" style="42" customWidth="1"/>
    <col min="5" max="5" width="8.42578125" style="42" customWidth="1"/>
    <col min="6" max="6" width="8.140625" style="42" customWidth="1"/>
    <col min="7" max="7" width="7.570312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12" width="7.85546875" style="17" customWidth="1"/>
    <col min="13" max="13" width="8.7109375" style="17" customWidth="1"/>
    <col min="14" max="14" width="8" style="17" customWidth="1"/>
    <col min="15" max="15" width="8.140625" style="17" bestFit="1" customWidth="1"/>
    <col min="16" max="16" width="8" style="17" customWidth="1"/>
    <col min="17" max="17" width="7.85546875" style="17" customWidth="1"/>
    <col min="18" max="27" width="7.28515625" style="17" customWidth="1"/>
    <col min="28" max="28" width="8" style="17" customWidth="1"/>
    <col min="29" max="29" width="7.85546875" style="17" customWidth="1"/>
    <col min="30" max="30" width="8.140625" style="17" bestFit="1" customWidth="1"/>
    <col min="31" max="16384" width="9.140625" style="17"/>
  </cols>
  <sheetData>
    <row r="1" spans="1:33" s="1" customFormat="1" ht="17.25" customHeight="1" thickBot="1" x14ac:dyDescent="0.3">
      <c r="A1" s="756"/>
      <c r="B1" s="25"/>
      <c r="C1" s="25"/>
      <c r="D1" s="44"/>
      <c r="E1" s="44"/>
      <c r="F1" s="44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C1" s="61"/>
      <c r="AD1" s="61"/>
      <c r="AF1" s="61" t="s">
        <v>383</v>
      </c>
    </row>
    <row r="2" spans="1:33" s="31" customFormat="1" ht="90.75" customHeight="1" x14ac:dyDescent="0.25">
      <c r="A2" s="1236" t="s">
        <v>0</v>
      </c>
      <c r="B2" s="1238" t="s">
        <v>181</v>
      </c>
      <c r="C2" s="1239"/>
      <c r="D2" s="1241" t="s">
        <v>179</v>
      </c>
      <c r="E2" s="1242"/>
      <c r="F2" s="1243"/>
      <c r="G2" s="1229" t="s">
        <v>555</v>
      </c>
      <c r="H2" s="1229"/>
      <c r="I2" s="1229"/>
      <c r="J2" s="1229" t="s">
        <v>846</v>
      </c>
      <c r="K2" s="1229"/>
      <c r="L2" s="1229"/>
      <c r="M2" s="1229" t="s">
        <v>847</v>
      </c>
      <c r="N2" s="1229"/>
      <c r="O2" s="1229"/>
      <c r="P2" s="1229" t="s">
        <v>635</v>
      </c>
      <c r="Q2" s="1229"/>
      <c r="R2" s="1229"/>
      <c r="S2" s="1229" t="s">
        <v>877</v>
      </c>
      <c r="T2" s="1229"/>
      <c r="U2" s="1230"/>
      <c r="V2" s="1226" t="s">
        <v>808</v>
      </c>
      <c r="W2" s="1226"/>
      <c r="X2" s="1226"/>
      <c r="Y2" s="1229" t="s">
        <v>892</v>
      </c>
      <c r="Z2" s="1229"/>
      <c r="AA2" s="1230"/>
      <c r="AB2" s="1226" t="s">
        <v>848</v>
      </c>
      <c r="AC2" s="1226"/>
      <c r="AD2" s="1226"/>
      <c r="AE2" s="1229" t="s">
        <v>879</v>
      </c>
      <c r="AF2" s="1229"/>
      <c r="AG2" s="1230"/>
    </row>
    <row r="3" spans="1:33" s="31" customFormat="1" ht="12.75" customHeight="1" x14ac:dyDescent="0.25">
      <c r="A3" s="1237"/>
      <c r="B3" s="1221"/>
      <c r="C3" s="1240"/>
      <c r="D3" s="1244"/>
      <c r="E3" s="1245"/>
      <c r="F3" s="1246"/>
      <c r="G3" s="1247" t="s">
        <v>188</v>
      </c>
      <c r="H3" s="1227"/>
      <c r="I3" s="1227"/>
      <c r="J3" s="1227" t="s">
        <v>188</v>
      </c>
      <c r="K3" s="1227"/>
      <c r="L3" s="1227"/>
      <c r="M3" s="1227" t="s">
        <v>188</v>
      </c>
      <c r="N3" s="1227"/>
      <c r="O3" s="1227"/>
      <c r="P3" s="1227" t="s">
        <v>188</v>
      </c>
      <c r="Q3" s="1227"/>
      <c r="R3" s="1227"/>
      <c r="S3" s="1227" t="s">
        <v>188</v>
      </c>
      <c r="T3" s="1227"/>
      <c r="U3" s="1227"/>
      <c r="V3" s="1227" t="s">
        <v>188</v>
      </c>
      <c r="W3" s="1227"/>
      <c r="X3" s="1227"/>
      <c r="Y3" s="1227" t="s">
        <v>188</v>
      </c>
      <c r="Z3" s="1227"/>
      <c r="AA3" s="1227"/>
      <c r="AB3" s="1227" t="s">
        <v>188</v>
      </c>
      <c r="AC3" s="1227"/>
      <c r="AD3" s="1228"/>
      <c r="AE3" s="1227" t="s">
        <v>188</v>
      </c>
      <c r="AF3" s="1227"/>
      <c r="AG3" s="1231"/>
    </row>
    <row r="4" spans="1:33" s="16" customFormat="1" ht="25.5" x14ac:dyDescent="0.25">
      <c r="A4" s="1237"/>
      <c r="B4" s="1221"/>
      <c r="C4" s="1240"/>
      <c r="D4" s="779" t="s">
        <v>949</v>
      </c>
      <c r="E4" s="750" t="s">
        <v>694</v>
      </c>
      <c r="F4" s="766" t="s">
        <v>948</v>
      </c>
      <c r="G4" s="1067" t="s">
        <v>891</v>
      </c>
      <c r="H4" s="750" t="s">
        <v>694</v>
      </c>
      <c r="I4" s="750" t="s">
        <v>948</v>
      </c>
      <c r="J4" s="1067" t="s">
        <v>891</v>
      </c>
      <c r="K4" s="750" t="s">
        <v>694</v>
      </c>
      <c r="L4" s="1067" t="s">
        <v>948</v>
      </c>
      <c r="M4" s="1109" t="s">
        <v>891</v>
      </c>
      <c r="N4" s="1109" t="s">
        <v>694</v>
      </c>
      <c r="O4" s="1109" t="s">
        <v>948</v>
      </c>
      <c r="P4" s="1109" t="s">
        <v>891</v>
      </c>
      <c r="Q4" s="1109" t="s">
        <v>694</v>
      </c>
      <c r="R4" s="1109" t="s">
        <v>948</v>
      </c>
      <c r="S4" s="1109" t="s">
        <v>891</v>
      </c>
      <c r="T4" s="1109" t="s">
        <v>694</v>
      </c>
      <c r="U4" s="1109" t="s">
        <v>948</v>
      </c>
      <c r="V4" s="1109" t="s">
        <v>891</v>
      </c>
      <c r="W4" s="1109" t="s">
        <v>694</v>
      </c>
      <c r="X4" s="1109" t="s">
        <v>948</v>
      </c>
      <c r="Y4" s="1109" t="s">
        <v>891</v>
      </c>
      <c r="Z4" s="1109" t="s">
        <v>694</v>
      </c>
      <c r="AA4" s="1109" t="s">
        <v>948</v>
      </c>
      <c r="AB4" s="1109" t="s">
        <v>891</v>
      </c>
      <c r="AC4" s="1109" t="s">
        <v>694</v>
      </c>
      <c r="AD4" s="1109" t="s">
        <v>948</v>
      </c>
      <c r="AE4" s="1109" t="s">
        <v>891</v>
      </c>
      <c r="AF4" s="1109" t="s">
        <v>694</v>
      </c>
      <c r="AG4" s="1109" t="s">
        <v>948</v>
      </c>
    </row>
    <row r="5" spans="1:33" s="42" customFormat="1" ht="12.75" customHeight="1" x14ac:dyDescent="0.2">
      <c r="A5" s="513" t="s">
        <v>27</v>
      </c>
      <c r="B5" s="1215" t="s">
        <v>173</v>
      </c>
      <c r="C5" s="1200"/>
      <c r="D5" s="576">
        <f>+G5+J5+M5+P5+AB5+V5+AE5+S5+Y5</f>
        <v>0</v>
      </c>
      <c r="E5" s="85">
        <f>+H5+K5+N5+Q5+AC5+W5+AF5+T5+Z5</f>
        <v>0</v>
      </c>
      <c r="F5" s="578">
        <f>+I5+L5+O5+R5+AD5+X5+AG5+U5+AA5</f>
        <v>0</v>
      </c>
      <c r="G5" s="579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994">
        <f>+AB5+AC5</f>
        <v>0</v>
      </c>
      <c r="AE5" s="53"/>
      <c r="AF5" s="53"/>
      <c r="AG5" s="514">
        <f>+AE5+AF5</f>
        <v>0</v>
      </c>
    </row>
    <row r="6" spans="1:33" s="42" customFormat="1" ht="12.75" customHeight="1" x14ac:dyDescent="0.2">
      <c r="A6" s="513" t="s">
        <v>33</v>
      </c>
      <c r="B6" s="1215" t="s">
        <v>172</v>
      </c>
      <c r="C6" s="1200"/>
      <c r="D6" s="576">
        <f t="shared" ref="D6:D7" si="0">+G6+J6+M6+P6+AB6+V6+AE6+S6+Y6</f>
        <v>0</v>
      </c>
      <c r="E6" s="85">
        <f t="shared" ref="E6:E7" si="1">+H6+K6+N6+Q6+AC6+W6+AF6+T6+Z6</f>
        <v>0</v>
      </c>
      <c r="F6" s="578">
        <f t="shared" ref="F6:F7" si="2">+I6+L6+O6+R6+AD6+X6+AG6+U6+AA6</f>
        <v>0</v>
      </c>
      <c r="G6" s="579"/>
      <c r="H6" s="53"/>
      <c r="I6" s="53">
        <f t="shared" ref="I6:I68" si="3">+H6+G6</f>
        <v>0</v>
      </c>
      <c r="J6" s="53"/>
      <c r="K6" s="53"/>
      <c r="L6" s="53">
        <f t="shared" ref="L6:L68" si="4">+K6+J6</f>
        <v>0</v>
      </c>
      <c r="M6" s="53"/>
      <c r="N6" s="53"/>
      <c r="O6" s="53">
        <f t="shared" ref="O6:O66" si="5">+N6+M6</f>
        <v>0</v>
      </c>
      <c r="P6" s="765"/>
      <c r="Q6" s="53"/>
      <c r="R6" s="53"/>
      <c r="S6" s="53"/>
      <c r="T6" s="53"/>
      <c r="U6" s="53">
        <f t="shared" ref="U6" si="6">+T6+S6</f>
        <v>0</v>
      </c>
      <c r="V6" s="53"/>
      <c r="W6" s="53"/>
      <c r="X6" s="53">
        <f t="shared" ref="X6:X68" si="7">+W6+V6</f>
        <v>0</v>
      </c>
      <c r="Y6" s="53"/>
      <c r="Z6" s="53"/>
      <c r="AA6" s="53">
        <f t="shared" ref="AA6" si="8">+Z6+Y6</f>
        <v>0</v>
      </c>
      <c r="AB6" s="53"/>
      <c r="AC6" s="53"/>
      <c r="AD6" s="994">
        <f t="shared" ref="AD6:AD68" si="9">+AB6+AC6</f>
        <v>0</v>
      </c>
      <c r="AE6" s="53"/>
      <c r="AF6" s="53"/>
      <c r="AG6" s="514">
        <f t="shared" ref="AG6:AG7" si="10">+AE6+AF6</f>
        <v>0</v>
      </c>
    </row>
    <row r="7" spans="1:33" s="42" customFormat="1" ht="12.75" customHeight="1" x14ac:dyDescent="0.2">
      <c r="A7" s="513" t="s">
        <v>34</v>
      </c>
      <c r="B7" s="1215" t="s">
        <v>171</v>
      </c>
      <c r="C7" s="1200"/>
      <c r="D7" s="576">
        <f t="shared" si="0"/>
        <v>0</v>
      </c>
      <c r="E7" s="85">
        <f t="shared" si="1"/>
        <v>0</v>
      </c>
      <c r="F7" s="578">
        <f t="shared" si="2"/>
        <v>0</v>
      </c>
      <c r="G7" s="579">
        <f>SUM(G5:G6)</f>
        <v>0</v>
      </c>
      <c r="H7" s="53">
        <f t="shared" ref="H7:Q7" si="11">SUM(H5:H6)</f>
        <v>0</v>
      </c>
      <c r="I7" s="53">
        <f t="shared" si="3"/>
        <v>0</v>
      </c>
      <c r="J7" s="53">
        <f t="shared" ref="J7" si="12">SUM(J5:J6)</f>
        <v>0</v>
      </c>
      <c r="K7" s="53">
        <f t="shared" si="11"/>
        <v>0</v>
      </c>
      <c r="L7" s="53">
        <f t="shared" si="4"/>
        <v>0</v>
      </c>
      <c r="M7" s="53">
        <f t="shared" ref="M7" si="13">SUM(M5:M6)</f>
        <v>0</v>
      </c>
      <c r="N7" s="53">
        <f t="shared" si="11"/>
        <v>0</v>
      </c>
      <c r="O7" s="53">
        <f t="shared" si="5"/>
        <v>0</v>
      </c>
      <c r="P7" s="53">
        <f t="shared" ref="P7" si="14">SUM(P5:P6)</f>
        <v>0</v>
      </c>
      <c r="Q7" s="53">
        <f t="shared" si="11"/>
        <v>0</v>
      </c>
      <c r="R7" s="53">
        <f t="shared" ref="R7" si="15">+Q7+P7</f>
        <v>0</v>
      </c>
      <c r="S7" s="53">
        <f t="shared" ref="S7:U7" si="16">SUM(S5:S6)</f>
        <v>0</v>
      </c>
      <c r="T7" s="53">
        <f t="shared" si="16"/>
        <v>0</v>
      </c>
      <c r="U7" s="53">
        <f t="shared" si="16"/>
        <v>0</v>
      </c>
      <c r="V7" s="53">
        <f t="shared" ref="V7" si="17">SUM(V5:V6)</f>
        <v>0</v>
      </c>
      <c r="W7" s="53">
        <f t="shared" ref="W7:AA7" si="18">SUM(W5:W6)</f>
        <v>0</v>
      </c>
      <c r="X7" s="53">
        <f t="shared" si="18"/>
        <v>0</v>
      </c>
      <c r="Y7" s="53">
        <f t="shared" si="18"/>
        <v>0</v>
      </c>
      <c r="Z7" s="53">
        <f t="shared" si="18"/>
        <v>0</v>
      </c>
      <c r="AA7" s="53">
        <f t="shared" si="18"/>
        <v>0</v>
      </c>
      <c r="AB7" s="53">
        <f t="shared" ref="AB7" si="19">SUM(AB5:AB6)</f>
        <v>0</v>
      </c>
      <c r="AC7" s="53">
        <f t="shared" ref="AC7" si="20">SUM(AC5:AC6)</f>
        <v>0</v>
      </c>
      <c r="AD7" s="994">
        <f t="shared" si="9"/>
        <v>0</v>
      </c>
      <c r="AE7" s="53">
        <f t="shared" ref="AE7" si="21">SUM(AE5:AE6)</f>
        <v>0</v>
      </c>
      <c r="AF7" s="53">
        <f t="shared" ref="AF7" si="22">SUM(AF5:AF6)</f>
        <v>0</v>
      </c>
      <c r="AG7" s="514">
        <f t="shared" si="10"/>
        <v>0</v>
      </c>
    </row>
    <row r="8" spans="1:33" ht="12" customHeight="1" x14ac:dyDescent="0.2">
      <c r="A8" s="515"/>
      <c r="B8" s="751"/>
      <c r="C8" s="308"/>
      <c r="D8" s="780"/>
      <c r="E8" s="758"/>
      <c r="F8" s="781"/>
      <c r="G8" s="998"/>
      <c r="H8" s="56"/>
      <c r="I8" s="199"/>
      <c r="J8" s="56"/>
      <c r="K8" s="56"/>
      <c r="L8" s="199"/>
      <c r="M8" s="56"/>
      <c r="N8" s="56"/>
      <c r="O8" s="199"/>
      <c r="P8" s="617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996"/>
      <c r="AF8" s="56"/>
      <c r="AG8" s="577"/>
    </row>
    <row r="9" spans="1:33" s="42" customFormat="1" ht="12.75" customHeight="1" x14ac:dyDescent="0.2">
      <c r="A9" s="513" t="s">
        <v>35</v>
      </c>
      <c r="B9" s="1215" t="s">
        <v>170</v>
      </c>
      <c r="C9" s="1200"/>
      <c r="D9" s="576">
        <f>+G9+J9+M9+P9+AB9+V9+AE9+S9+Y9</f>
        <v>0</v>
      </c>
      <c r="E9" s="85">
        <f>+H9+K9+N9+Q9+AC9+W9+AF9+T9+Z9</f>
        <v>0</v>
      </c>
      <c r="F9" s="578">
        <f>+I9+L9+O9+R9+AD9+X9+AG9+U9+AA9</f>
        <v>0</v>
      </c>
      <c r="G9" s="579"/>
      <c r="H9" s="53"/>
      <c r="I9" s="53">
        <f t="shared" si="3"/>
        <v>0</v>
      </c>
      <c r="J9" s="53"/>
      <c r="K9" s="53"/>
      <c r="L9" s="53">
        <f t="shared" si="4"/>
        <v>0</v>
      </c>
      <c r="M9" s="53"/>
      <c r="N9" s="53"/>
      <c r="O9" s="53">
        <f t="shared" si="5"/>
        <v>0</v>
      </c>
      <c r="P9" s="765"/>
      <c r="Q9" s="53"/>
      <c r="R9" s="53">
        <f t="shared" ref="R9:R68" si="23">+Q9+P9</f>
        <v>0</v>
      </c>
      <c r="S9" s="53"/>
      <c r="T9" s="53"/>
      <c r="U9" s="53">
        <f t="shared" ref="U9" si="24">+T9+S9</f>
        <v>0</v>
      </c>
      <c r="V9" s="53"/>
      <c r="W9" s="53"/>
      <c r="X9" s="53">
        <f t="shared" si="7"/>
        <v>0</v>
      </c>
      <c r="Y9" s="53"/>
      <c r="Z9" s="53"/>
      <c r="AA9" s="53">
        <f t="shared" ref="AA9" si="25">+Z9+Y9</f>
        <v>0</v>
      </c>
      <c r="AB9" s="53"/>
      <c r="AC9" s="53"/>
      <c r="AD9" s="994">
        <f t="shared" si="9"/>
        <v>0</v>
      </c>
      <c r="AE9" s="53"/>
      <c r="AF9" s="53"/>
      <c r="AG9" s="514">
        <f t="shared" ref="AG9" si="26">+AE9+AF9</f>
        <v>0</v>
      </c>
    </row>
    <row r="10" spans="1:33" ht="11.25" customHeight="1" x14ac:dyDescent="0.2">
      <c r="A10" s="96"/>
      <c r="C10" s="309"/>
      <c r="D10" s="780"/>
      <c r="E10" s="758"/>
      <c r="F10" s="781"/>
      <c r="G10" s="998"/>
      <c r="H10" s="56"/>
      <c r="I10" s="199"/>
      <c r="J10" s="56"/>
      <c r="K10" s="56"/>
      <c r="L10" s="199"/>
      <c r="M10" s="56"/>
      <c r="N10" s="56"/>
      <c r="O10" s="199"/>
      <c r="P10" s="617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996"/>
      <c r="AF10" s="56"/>
      <c r="AG10" s="577"/>
    </row>
    <row r="11" spans="1:33" ht="12.75" hidden="1" customHeight="1" x14ac:dyDescent="0.2">
      <c r="A11" s="96" t="s">
        <v>42</v>
      </c>
      <c r="B11" s="1234" t="s">
        <v>41</v>
      </c>
      <c r="C11" s="1235"/>
      <c r="D11" s="780">
        <f t="shared" ref="D11:D63" si="27">+G11+J11+M11+P11+AB11+V11</f>
        <v>0</v>
      </c>
      <c r="E11" s="758">
        <f t="shared" ref="E11:E63" si="28">+H11+K11+N11+Q11+AC11+W11</f>
        <v>0</v>
      </c>
      <c r="F11" s="781">
        <f t="shared" ref="F11:F63" si="29">+I11+L11+O11+R11+AD11+X11</f>
        <v>0</v>
      </c>
      <c r="G11" s="580"/>
      <c r="H11" s="56"/>
      <c r="I11" s="199">
        <f t="shared" si="3"/>
        <v>0</v>
      </c>
      <c r="J11" s="56"/>
      <c r="K11" s="56"/>
      <c r="L11" s="199">
        <f t="shared" si="4"/>
        <v>0</v>
      </c>
      <c r="M11" s="56"/>
      <c r="N11" s="56"/>
      <c r="O11" s="199">
        <f t="shared" si="5"/>
        <v>0</v>
      </c>
      <c r="P11" s="56"/>
      <c r="Q11" s="56"/>
      <c r="R11" s="199">
        <f t="shared" si="23"/>
        <v>0</v>
      </c>
      <c r="S11" s="56"/>
      <c r="T11" s="56"/>
      <c r="U11" s="199">
        <f t="shared" ref="U11:U13" si="30">+T11+S11</f>
        <v>0</v>
      </c>
      <c r="V11" s="56"/>
      <c r="W11" s="56"/>
      <c r="X11" s="199">
        <f t="shared" si="7"/>
        <v>0</v>
      </c>
      <c r="Y11" s="56"/>
      <c r="Z11" s="56"/>
      <c r="AA11" s="199">
        <f t="shared" ref="AA11:AA13" si="31">+Z11+Y11</f>
        <v>0</v>
      </c>
      <c r="AB11" s="56"/>
      <c r="AC11" s="56"/>
      <c r="AD11" s="199">
        <f t="shared" si="9"/>
        <v>0</v>
      </c>
      <c r="AE11" s="996"/>
      <c r="AF11" s="56"/>
      <c r="AG11" s="577">
        <f t="shared" ref="AG11:AG35" si="32">+AE11+AF11</f>
        <v>0</v>
      </c>
    </row>
    <row r="12" spans="1:33" ht="12.75" hidden="1" customHeight="1" x14ac:dyDescent="0.2">
      <c r="A12" s="96" t="s">
        <v>44</v>
      </c>
      <c r="B12" s="1234" t="s">
        <v>43</v>
      </c>
      <c r="C12" s="1235"/>
      <c r="D12" s="780">
        <f t="shared" si="27"/>
        <v>0</v>
      </c>
      <c r="E12" s="758">
        <f t="shared" si="28"/>
        <v>0</v>
      </c>
      <c r="F12" s="781">
        <f t="shared" si="29"/>
        <v>0</v>
      </c>
      <c r="G12" s="580"/>
      <c r="H12" s="56"/>
      <c r="I12" s="199">
        <f t="shared" si="3"/>
        <v>0</v>
      </c>
      <c r="J12" s="56"/>
      <c r="K12" s="56"/>
      <c r="L12" s="199">
        <f t="shared" si="4"/>
        <v>0</v>
      </c>
      <c r="M12" s="56"/>
      <c r="N12" s="56"/>
      <c r="O12" s="199">
        <f t="shared" si="5"/>
        <v>0</v>
      </c>
      <c r="P12" s="56"/>
      <c r="Q12" s="56"/>
      <c r="R12" s="199">
        <f t="shared" si="23"/>
        <v>0</v>
      </c>
      <c r="S12" s="56"/>
      <c r="T12" s="56"/>
      <c r="U12" s="199">
        <f t="shared" si="30"/>
        <v>0</v>
      </c>
      <c r="V12" s="56"/>
      <c r="W12" s="56"/>
      <c r="X12" s="199">
        <f t="shared" si="7"/>
        <v>0</v>
      </c>
      <c r="Y12" s="56"/>
      <c r="Z12" s="56"/>
      <c r="AA12" s="199">
        <f t="shared" si="31"/>
        <v>0</v>
      </c>
      <c r="AB12" s="56"/>
      <c r="AC12" s="56"/>
      <c r="AD12" s="199">
        <f t="shared" si="9"/>
        <v>0</v>
      </c>
      <c r="AE12" s="996"/>
      <c r="AF12" s="56"/>
      <c r="AG12" s="577">
        <f t="shared" si="32"/>
        <v>0</v>
      </c>
    </row>
    <row r="13" spans="1:33" ht="12.75" hidden="1" customHeight="1" x14ac:dyDescent="0.2">
      <c r="A13" s="96" t="s">
        <v>46</v>
      </c>
      <c r="B13" s="1234" t="s">
        <v>45</v>
      </c>
      <c r="C13" s="1235"/>
      <c r="D13" s="780">
        <f t="shared" si="27"/>
        <v>0</v>
      </c>
      <c r="E13" s="758">
        <f t="shared" si="28"/>
        <v>0</v>
      </c>
      <c r="F13" s="781">
        <f t="shared" si="29"/>
        <v>0</v>
      </c>
      <c r="G13" s="580"/>
      <c r="H13" s="56"/>
      <c r="I13" s="199">
        <f t="shared" si="3"/>
        <v>0</v>
      </c>
      <c r="J13" s="56"/>
      <c r="K13" s="56"/>
      <c r="L13" s="199">
        <f t="shared" si="4"/>
        <v>0</v>
      </c>
      <c r="M13" s="56"/>
      <c r="N13" s="56"/>
      <c r="O13" s="199">
        <f t="shared" si="5"/>
        <v>0</v>
      </c>
      <c r="P13" s="56"/>
      <c r="Q13" s="56"/>
      <c r="R13" s="199">
        <f t="shared" si="23"/>
        <v>0</v>
      </c>
      <c r="S13" s="56"/>
      <c r="T13" s="56"/>
      <c r="U13" s="199">
        <f t="shared" si="30"/>
        <v>0</v>
      </c>
      <c r="V13" s="56"/>
      <c r="W13" s="56"/>
      <c r="X13" s="199">
        <f t="shared" si="7"/>
        <v>0</v>
      </c>
      <c r="Y13" s="56"/>
      <c r="Z13" s="56"/>
      <c r="AA13" s="199">
        <f t="shared" si="31"/>
        <v>0</v>
      </c>
      <c r="AB13" s="56"/>
      <c r="AC13" s="56"/>
      <c r="AD13" s="199">
        <f t="shared" si="9"/>
        <v>0</v>
      </c>
      <c r="AE13" s="996"/>
      <c r="AF13" s="56"/>
      <c r="AG13" s="577">
        <f t="shared" si="32"/>
        <v>0</v>
      </c>
    </row>
    <row r="14" spans="1:33" s="42" customFormat="1" ht="12.75" customHeight="1" x14ac:dyDescent="0.2">
      <c r="A14" s="513" t="s">
        <v>47</v>
      </c>
      <c r="B14" s="1215" t="s">
        <v>169</v>
      </c>
      <c r="C14" s="1200"/>
      <c r="D14" s="576">
        <f t="shared" ref="D14:D35" si="33">+G14+J14+M14+P14+AB14+V14+AE14+S14+Y14</f>
        <v>0</v>
      </c>
      <c r="E14" s="85">
        <f t="shared" ref="E14:E35" si="34">+H14+K14+N14+Q14+AC14+W14+AF14+T14+Z14</f>
        <v>0</v>
      </c>
      <c r="F14" s="578">
        <f t="shared" ref="F14:F35" si="35">+I14+L14+O14+R14+AD14+X14+AG14+U14+AA14</f>
        <v>0</v>
      </c>
      <c r="G14" s="579">
        <f>SUM(G11:G13)</f>
        <v>0</v>
      </c>
      <c r="H14" s="53"/>
      <c r="I14" s="53">
        <f t="shared" si="3"/>
        <v>0</v>
      </c>
      <c r="J14" s="53">
        <f t="shared" ref="J14" si="36">SUM(J11:J13)</f>
        <v>0</v>
      </c>
      <c r="K14" s="53"/>
      <c r="L14" s="53">
        <f t="shared" si="4"/>
        <v>0</v>
      </c>
      <c r="M14" s="53">
        <f t="shared" ref="M14" si="37">SUM(M11:M13)</f>
        <v>0</v>
      </c>
      <c r="N14" s="53"/>
      <c r="O14" s="53">
        <f t="shared" si="5"/>
        <v>0</v>
      </c>
      <c r="P14" s="53">
        <f t="shared" ref="P14" si="38">SUM(P11:P13)</f>
        <v>0</v>
      </c>
      <c r="Q14" s="53"/>
      <c r="R14" s="53">
        <f t="shared" si="23"/>
        <v>0</v>
      </c>
      <c r="S14" s="53">
        <f t="shared" ref="S14" si="39">SUM(S11:S13)</f>
        <v>0</v>
      </c>
      <c r="T14" s="53"/>
      <c r="U14" s="53">
        <f t="shared" ref="U14" si="40">SUM(U11:U13)</f>
        <v>0</v>
      </c>
      <c r="V14" s="53">
        <f t="shared" ref="V14" si="41">SUM(V11:V13)</f>
        <v>0</v>
      </c>
      <c r="W14" s="53"/>
      <c r="X14" s="53">
        <f t="shared" ref="X14:AB14" si="42">SUM(X11:X13)</f>
        <v>0</v>
      </c>
      <c r="Y14" s="53">
        <f t="shared" si="42"/>
        <v>0</v>
      </c>
      <c r="Z14" s="53"/>
      <c r="AA14" s="53">
        <f t="shared" ref="AA14" si="43">SUM(AA11:AA13)</f>
        <v>0</v>
      </c>
      <c r="AB14" s="53">
        <f t="shared" si="42"/>
        <v>0</v>
      </c>
      <c r="AC14" s="53">
        <f t="shared" ref="AC14" si="44">SUM(AC11:AC13)</f>
        <v>0</v>
      </c>
      <c r="AD14" s="994">
        <f t="shared" si="9"/>
        <v>0</v>
      </c>
      <c r="AE14" s="53">
        <f t="shared" ref="AE14" si="45">SUM(AE11:AE13)</f>
        <v>0</v>
      </c>
      <c r="AF14" s="53">
        <f t="shared" ref="AF14" si="46">SUM(AF11:AF13)</f>
        <v>0</v>
      </c>
      <c r="AG14" s="514">
        <f t="shared" si="32"/>
        <v>0</v>
      </c>
    </row>
    <row r="15" spans="1:33" ht="12.75" hidden="1" customHeight="1" x14ac:dyDescent="0.2">
      <c r="A15" s="516" t="s">
        <v>49</v>
      </c>
      <c r="B15" s="1211" t="s">
        <v>48</v>
      </c>
      <c r="C15" s="1210"/>
      <c r="D15" s="576">
        <f t="shared" si="33"/>
        <v>0</v>
      </c>
      <c r="E15" s="85">
        <f t="shared" si="34"/>
        <v>0</v>
      </c>
      <c r="F15" s="578">
        <f t="shared" si="35"/>
        <v>0</v>
      </c>
      <c r="G15" s="580"/>
      <c r="H15" s="27"/>
      <c r="I15" s="53">
        <f t="shared" si="3"/>
        <v>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53">
        <f t="shared" si="23"/>
        <v>0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994">
        <f t="shared" si="9"/>
        <v>0</v>
      </c>
      <c r="AE15" s="27"/>
      <c r="AF15" s="27"/>
      <c r="AG15" s="514">
        <f t="shared" si="32"/>
        <v>0</v>
      </c>
    </row>
    <row r="16" spans="1:33" ht="12.75" hidden="1" customHeight="1" x14ac:dyDescent="0.2">
      <c r="A16" s="516" t="s">
        <v>51</v>
      </c>
      <c r="B16" s="1211" t="s">
        <v>50</v>
      </c>
      <c r="C16" s="1210"/>
      <c r="D16" s="576">
        <f t="shared" si="33"/>
        <v>0</v>
      </c>
      <c r="E16" s="85">
        <f t="shared" si="34"/>
        <v>0</v>
      </c>
      <c r="F16" s="578">
        <f t="shared" si="35"/>
        <v>0</v>
      </c>
      <c r="G16" s="580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53">
        <f t="shared" si="23"/>
        <v>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94">
        <f t="shared" si="9"/>
        <v>0</v>
      </c>
      <c r="AE16" s="27"/>
      <c r="AF16" s="27"/>
      <c r="AG16" s="514">
        <f t="shared" si="32"/>
        <v>0</v>
      </c>
    </row>
    <row r="17" spans="1:33" s="42" customFormat="1" ht="12.75" customHeight="1" x14ac:dyDescent="0.2">
      <c r="A17" s="513" t="s">
        <v>52</v>
      </c>
      <c r="B17" s="1215" t="s">
        <v>168</v>
      </c>
      <c r="C17" s="1200"/>
      <c r="D17" s="576">
        <f t="shared" si="33"/>
        <v>0</v>
      </c>
      <c r="E17" s="85">
        <f t="shared" si="34"/>
        <v>0</v>
      </c>
      <c r="F17" s="578">
        <f t="shared" si="35"/>
        <v>0</v>
      </c>
      <c r="G17" s="579">
        <f>+G15+G16</f>
        <v>0</v>
      </c>
      <c r="H17" s="53"/>
      <c r="I17" s="53">
        <f t="shared" si="3"/>
        <v>0</v>
      </c>
      <c r="J17" s="53">
        <f t="shared" ref="J17" si="47">+J15+J16</f>
        <v>0</v>
      </c>
      <c r="K17" s="53"/>
      <c r="L17" s="53">
        <f t="shared" si="4"/>
        <v>0</v>
      </c>
      <c r="M17" s="53">
        <f t="shared" ref="M17" si="48">+M15+M16</f>
        <v>0</v>
      </c>
      <c r="N17" s="53"/>
      <c r="O17" s="53">
        <f t="shared" si="5"/>
        <v>0</v>
      </c>
      <c r="P17" s="53">
        <f t="shared" ref="P17" si="49">+P15+P16</f>
        <v>0</v>
      </c>
      <c r="Q17" s="53"/>
      <c r="R17" s="53">
        <f t="shared" si="23"/>
        <v>0</v>
      </c>
      <c r="S17" s="53">
        <f t="shared" ref="S17" si="50">+S15+S16</f>
        <v>0</v>
      </c>
      <c r="T17" s="53"/>
      <c r="U17" s="53">
        <f t="shared" ref="U17" si="51">+U15+U16</f>
        <v>0</v>
      </c>
      <c r="V17" s="53">
        <f t="shared" ref="V17" si="52">+V15+V16</f>
        <v>0</v>
      </c>
      <c r="W17" s="53"/>
      <c r="X17" s="53">
        <f t="shared" ref="X17:AB17" si="53">+X15+X16</f>
        <v>0</v>
      </c>
      <c r="Y17" s="53">
        <f t="shared" si="53"/>
        <v>0</v>
      </c>
      <c r="Z17" s="53"/>
      <c r="AA17" s="53">
        <f t="shared" ref="AA17" si="54">+AA15+AA16</f>
        <v>0</v>
      </c>
      <c r="AB17" s="53">
        <f t="shared" si="53"/>
        <v>0</v>
      </c>
      <c r="AC17" s="53">
        <f t="shared" ref="AC17" si="55">+AC15+AC16</f>
        <v>0</v>
      </c>
      <c r="AD17" s="994">
        <f t="shared" si="9"/>
        <v>0</v>
      </c>
      <c r="AE17" s="53">
        <f t="shared" ref="AE17" si="56">+AE15+AE16</f>
        <v>0</v>
      </c>
      <c r="AF17" s="53">
        <f t="shared" ref="AF17" si="57">+AF15+AF16</f>
        <v>0</v>
      </c>
      <c r="AG17" s="514">
        <f t="shared" si="32"/>
        <v>0</v>
      </c>
    </row>
    <row r="18" spans="1:33" ht="12.75" customHeight="1" x14ac:dyDescent="0.2">
      <c r="A18" s="516" t="s">
        <v>54</v>
      </c>
      <c r="B18" s="1211" t="s">
        <v>53</v>
      </c>
      <c r="C18" s="1210"/>
      <c r="D18" s="576">
        <f t="shared" si="33"/>
        <v>0</v>
      </c>
      <c r="E18" s="85">
        <f t="shared" si="34"/>
        <v>0</v>
      </c>
      <c r="F18" s="578">
        <f t="shared" si="35"/>
        <v>0</v>
      </c>
      <c r="G18" s="580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53">
        <f t="shared" si="23"/>
        <v>0</v>
      </c>
      <c r="S18" s="27"/>
      <c r="T18" s="27"/>
      <c r="U18" s="53">
        <f t="shared" ref="U18:U24" si="58">+T18+S18</f>
        <v>0</v>
      </c>
      <c r="V18" s="27"/>
      <c r="W18" s="27"/>
      <c r="X18" s="53">
        <f t="shared" si="7"/>
        <v>0</v>
      </c>
      <c r="Y18" s="27"/>
      <c r="Z18" s="27"/>
      <c r="AA18" s="53">
        <f t="shared" ref="AA18:AA24" si="59">+Z18+Y18</f>
        <v>0</v>
      </c>
      <c r="AB18" s="27"/>
      <c r="AC18" s="27"/>
      <c r="AD18" s="994">
        <f t="shared" si="9"/>
        <v>0</v>
      </c>
      <c r="AE18" s="27"/>
      <c r="AF18" s="27"/>
      <c r="AG18" s="514">
        <f t="shared" si="32"/>
        <v>0</v>
      </c>
    </row>
    <row r="19" spans="1:33" ht="12.75" customHeight="1" x14ac:dyDescent="0.2">
      <c r="A19" s="516" t="s">
        <v>56</v>
      </c>
      <c r="B19" s="1211" t="s">
        <v>55</v>
      </c>
      <c r="C19" s="1210"/>
      <c r="D19" s="576">
        <f t="shared" si="33"/>
        <v>0</v>
      </c>
      <c r="E19" s="85">
        <f t="shared" si="34"/>
        <v>0</v>
      </c>
      <c r="F19" s="578">
        <f t="shared" si="35"/>
        <v>0</v>
      </c>
      <c r="G19" s="580"/>
      <c r="H19" s="27"/>
      <c r="I19" s="53">
        <f t="shared" si="3"/>
        <v>0</v>
      </c>
      <c r="J19" s="27"/>
      <c r="K19" s="27"/>
      <c r="L19" s="53">
        <f t="shared" si="4"/>
        <v>0</v>
      </c>
      <c r="M19" s="27"/>
      <c r="N19" s="27"/>
      <c r="O19" s="53">
        <f t="shared" si="5"/>
        <v>0</v>
      </c>
      <c r="P19" s="27"/>
      <c r="Q19" s="27"/>
      <c r="R19" s="53">
        <f t="shared" si="23"/>
        <v>0</v>
      </c>
      <c r="S19" s="27"/>
      <c r="T19" s="27"/>
      <c r="U19" s="53">
        <f t="shared" si="58"/>
        <v>0</v>
      </c>
      <c r="V19" s="27"/>
      <c r="W19" s="27"/>
      <c r="X19" s="53">
        <f t="shared" si="7"/>
        <v>0</v>
      </c>
      <c r="Y19" s="27"/>
      <c r="Z19" s="27"/>
      <c r="AA19" s="53">
        <f t="shared" si="59"/>
        <v>0</v>
      </c>
      <c r="AB19" s="27"/>
      <c r="AC19" s="27"/>
      <c r="AD19" s="994">
        <f t="shared" si="9"/>
        <v>0</v>
      </c>
      <c r="AE19" s="27"/>
      <c r="AF19" s="27"/>
      <c r="AG19" s="514">
        <f t="shared" si="32"/>
        <v>0</v>
      </c>
    </row>
    <row r="20" spans="1:33" ht="12.75" customHeight="1" x14ac:dyDescent="0.2">
      <c r="A20" s="516" t="s">
        <v>57</v>
      </c>
      <c r="B20" s="1211" t="s">
        <v>166</v>
      </c>
      <c r="C20" s="1210"/>
      <c r="D20" s="576">
        <f t="shared" si="33"/>
        <v>0</v>
      </c>
      <c r="E20" s="85">
        <f t="shared" si="34"/>
        <v>0</v>
      </c>
      <c r="F20" s="578">
        <f t="shared" si="35"/>
        <v>0</v>
      </c>
      <c r="G20" s="580"/>
      <c r="H20" s="27"/>
      <c r="I20" s="53">
        <f t="shared" si="3"/>
        <v>0</v>
      </c>
      <c r="J20" s="27"/>
      <c r="K20" s="27"/>
      <c r="L20" s="53">
        <f t="shared" si="4"/>
        <v>0</v>
      </c>
      <c r="M20" s="27"/>
      <c r="N20" s="27"/>
      <c r="O20" s="53">
        <f t="shared" si="5"/>
        <v>0</v>
      </c>
      <c r="P20" s="27"/>
      <c r="Q20" s="27"/>
      <c r="R20" s="53">
        <f t="shared" si="23"/>
        <v>0</v>
      </c>
      <c r="S20" s="27"/>
      <c r="T20" s="27"/>
      <c r="U20" s="53">
        <f t="shared" si="58"/>
        <v>0</v>
      </c>
      <c r="V20" s="27"/>
      <c r="W20" s="27"/>
      <c r="X20" s="53">
        <f t="shared" si="7"/>
        <v>0</v>
      </c>
      <c r="Y20" s="27"/>
      <c r="Z20" s="27"/>
      <c r="AA20" s="53">
        <f t="shared" si="59"/>
        <v>0</v>
      </c>
      <c r="AB20" s="27"/>
      <c r="AC20" s="27"/>
      <c r="AD20" s="994">
        <f t="shared" si="9"/>
        <v>0</v>
      </c>
      <c r="AE20" s="27"/>
      <c r="AF20" s="27"/>
      <c r="AG20" s="514">
        <f t="shared" si="32"/>
        <v>0</v>
      </c>
    </row>
    <row r="21" spans="1:33" ht="12.75" customHeight="1" x14ac:dyDescent="0.2">
      <c r="A21" s="516" t="s">
        <v>59</v>
      </c>
      <c r="B21" s="1211" t="s">
        <v>58</v>
      </c>
      <c r="C21" s="1210"/>
      <c r="D21" s="576">
        <f t="shared" si="33"/>
        <v>0</v>
      </c>
      <c r="E21" s="85">
        <f t="shared" si="34"/>
        <v>0</v>
      </c>
      <c r="F21" s="578">
        <f t="shared" si="35"/>
        <v>0</v>
      </c>
      <c r="G21" s="580"/>
      <c r="H21" s="27"/>
      <c r="I21" s="53">
        <f t="shared" si="3"/>
        <v>0</v>
      </c>
      <c r="J21" s="27"/>
      <c r="K21" s="27"/>
      <c r="L21" s="53">
        <f t="shared" si="4"/>
        <v>0</v>
      </c>
      <c r="M21" s="27"/>
      <c r="N21" s="27"/>
      <c r="O21" s="53">
        <f t="shared" si="5"/>
        <v>0</v>
      </c>
      <c r="P21" s="27"/>
      <c r="Q21" s="27"/>
      <c r="R21" s="53">
        <f t="shared" si="23"/>
        <v>0</v>
      </c>
      <c r="S21" s="27"/>
      <c r="T21" s="27"/>
      <c r="U21" s="53">
        <f t="shared" si="58"/>
        <v>0</v>
      </c>
      <c r="V21" s="27"/>
      <c r="W21" s="27"/>
      <c r="X21" s="53">
        <f t="shared" si="7"/>
        <v>0</v>
      </c>
      <c r="Y21" s="27"/>
      <c r="Z21" s="27"/>
      <c r="AA21" s="53">
        <f t="shared" si="59"/>
        <v>0</v>
      </c>
      <c r="AB21" s="27"/>
      <c r="AC21" s="27"/>
      <c r="AD21" s="994">
        <f t="shared" si="9"/>
        <v>0</v>
      </c>
      <c r="AE21" s="27"/>
      <c r="AF21" s="27"/>
      <c r="AG21" s="514">
        <f t="shared" si="32"/>
        <v>0</v>
      </c>
    </row>
    <row r="22" spans="1:33" ht="12.75" customHeight="1" x14ac:dyDescent="0.2">
      <c r="A22" s="516" t="s">
        <v>60</v>
      </c>
      <c r="B22" s="1211" t="s">
        <v>165</v>
      </c>
      <c r="C22" s="1210"/>
      <c r="D22" s="576">
        <f t="shared" si="33"/>
        <v>0</v>
      </c>
      <c r="E22" s="85">
        <f t="shared" si="34"/>
        <v>0</v>
      </c>
      <c r="F22" s="578">
        <f t="shared" si="35"/>
        <v>0</v>
      </c>
      <c r="G22" s="580"/>
      <c r="H22" s="27"/>
      <c r="I22" s="53">
        <f t="shared" si="3"/>
        <v>0</v>
      </c>
      <c r="J22" s="27"/>
      <c r="K22" s="27"/>
      <c r="L22" s="53">
        <f t="shared" si="4"/>
        <v>0</v>
      </c>
      <c r="M22" s="27"/>
      <c r="N22" s="27"/>
      <c r="O22" s="53">
        <f t="shared" si="5"/>
        <v>0</v>
      </c>
      <c r="P22" s="27"/>
      <c r="Q22" s="27"/>
      <c r="R22" s="53">
        <f t="shared" si="23"/>
        <v>0</v>
      </c>
      <c r="S22" s="27"/>
      <c r="T22" s="27"/>
      <c r="U22" s="53">
        <f t="shared" si="58"/>
        <v>0</v>
      </c>
      <c r="V22" s="27"/>
      <c r="W22" s="27"/>
      <c r="X22" s="53">
        <f t="shared" si="7"/>
        <v>0</v>
      </c>
      <c r="Y22" s="27"/>
      <c r="Z22" s="27"/>
      <c r="AA22" s="53">
        <f t="shared" si="59"/>
        <v>0</v>
      </c>
      <c r="AB22" s="27"/>
      <c r="AC22" s="27"/>
      <c r="AD22" s="994">
        <f t="shared" si="9"/>
        <v>0</v>
      </c>
      <c r="AE22" s="27"/>
      <c r="AF22" s="27"/>
      <c r="AG22" s="514">
        <f t="shared" si="32"/>
        <v>0</v>
      </c>
    </row>
    <row r="23" spans="1:33" ht="12.75" customHeight="1" x14ac:dyDescent="0.2">
      <c r="A23" s="516" t="s">
        <v>63</v>
      </c>
      <c r="B23" s="1211" t="s">
        <v>62</v>
      </c>
      <c r="C23" s="1210"/>
      <c r="D23" s="576">
        <f t="shared" si="33"/>
        <v>1575</v>
      </c>
      <c r="E23" s="85">
        <f t="shared" si="34"/>
        <v>0</v>
      </c>
      <c r="F23" s="578">
        <f t="shared" si="35"/>
        <v>1575</v>
      </c>
      <c r="G23" s="580"/>
      <c r="H23" s="27"/>
      <c r="I23" s="53">
        <f t="shared" si="3"/>
        <v>0</v>
      </c>
      <c r="J23" s="27"/>
      <c r="K23" s="27"/>
      <c r="L23" s="53">
        <f t="shared" si="4"/>
        <v>0</v>
      </c>
      <c r="M23" s="27"/>
      <c r="N23" s="27"/>
      <c r="O23" s="53">
        <f t="shared" si="5"/>
        <v>0</v>
      </c>
      <c r="P23" s="27"/>
      <c r="Q23" s="27"/>
      <c r="R23" s="53">
        <f t="shared" si="23"/>
        <v>0</v>
      </c>
      <c r="S23" s="27"/>
      <c r="T23" s="27"/>
      <c r="U23" s="53">
        <f t="shared" si="58"/>
        <v>0</v>
      </c>
      <c r="V23" s="27"/>
      <c r="W23" s="27"/>
      <c r="X23" s="53">
        <f t="shared" si="7"/>
        <v>0</v>
      </c>
      <c r="Y23" s="27"/>
      <c r="Z23" s="27"/>
      <c r="AA23" s="53">
        <f t="shared" si="59"/>
        <v>0</v>
      </c>
      <c r="AB23" s="27">
        <v>1575</v>
      </c>
      <c r="AC23" s="27"/>
      <c r="AD23" s="994">
        <f t="shared" si="9"/>
        <v>1575</v>
      </c>
      <c r="AE23" s="27"/>
      <c r="AF23" s="27"/>
      <c r="AG23" s="514">
        <f t="shared" si="32"/>
        <v>0</v>
      </c>
    </row>
    <row r="24" spans="1:33" ht="12.75" customHeight="1" x14ac:dyDescent="0.2">
      <c r="A24" s="516" t="s">
        <v>65</v>
      </c>
      <c r="B24" s="1211" t="s">
        <v>64</v>
      </c>
      <c r="C24" s="1210"/>
      <c r="D24" s="576">
        <f t="shared" si="33"/>
        <v>0</v>
      </c>
      <c r="E24" s="85">
        <f t="shared" si="34"/>
        <v>0</v>
      </c>
      <c r="F24" s="578">
        <f t="shared" si="35"/>
        <v>0</v>
      </c>
      <c r="G24" s="580"/>
      <c r="H24" s="27"/>
      <c r="I24" s="53">
        <f t="shared" si="3"/>
        <v>0</v>
      </c>
      <c r="J24" s="27"/>
      <c r="K24" s="27"/>
      <c r="L24" s="53">
        <f t="shared" si="4"/>
        <v>0</v>
      </c>
      <c r="M24" s="27"/>
      <c r="N24" s="27"/>
      <c r="O24" s="53">
        <f t="shared" si="5"/>
        <v>0</v>
      </c>
      <c r="P24" s="27"/>
      <c r="Q24" s="27"/>
      <c r="R24" s="53">
        <f t="shared" si="23"/>
        <v>0</v>
      </c>
      <c r="S24" s="27"/>
      <c r="T24" s="27"/>
      <c r="U24" s="53">
        <f t="shared" si="58"/>
        <v>0</v>
      </c>
      <c r="V24" s="27"/>
      <c r="W24" s="27"/>
      <c r="X24" s="53">
        <f t="shared" si="7"/>
        <v>0</v>
      </c>
      <c r="Y24" s="27"/>
      <c r="Z24" s="27"/>
      <c r="AA24" s="53">
        <f t="shared" si="59"/>
        <v>0</v>
      </c>
      <c r="AB24" s="27"/>
      <c r="AC24" s="27"/>
      <c r="AD24" s="994">
        <f t="shared" si="9"/>
        <v>0</v>
      </c>
      <c r="AE24" s="27"/>
      <c r="AF24" s="27"/>
      <c r="AG24" s="514">
        <f t="shared" si="32"/>
        <v>0</v>
      </c>
    </row>
    <row r="25" spans="1:33" s="42" customFormat="1" ht="12.75" customHeight="1" x14ac:dyDescent="0.2">
      <c r="A25" s="513" t="s">
        <v>66</v>
      </c>
      <c r="B25" s="1215" t="s">
        <v>155</v>
      </c>
      <c r="C25" s="1200"/>
      <c r="D25" s="576">
        <f t="shared" si="33"/>
        <v>1575</v>
      </c>
      <c r="E25" s="85">
        <f t="shared" si="34"/>
        <v>0</v>
      </c>
      <c r="F25" s="578">
        <f t="shared" si="35"/>
        <v>1575</v>
      </c>
      <c r="G25" s="999">
        <f t="shared" ref="G25" si="60">+G24+G23+G22+G21+G20+G19+G18</f>
        <v>0</v>
      </c>
      <c r="H25" s="53">
        <f t="shared" ref="H25:Q25" si="61">+H24+H23+H22+H21+H20+H19+H18</f>
        <v>0</v>
      </c>
      <c r="I25" s="53">
        <f t="shared" si="3"/>
        <v>0</v>
      </c>
      <c r="J25" s="53">
        <f t="shared" ref="J25" si="62">+J24+J23+J22+J21+J20+J19+J18</f>
        <v>0</v>
      </c>
      <c r="K25" s="53">
        <f t="shared" si="61"/>
        <v>0</v>
      </c>
      <c r="L25" s="53">
        <f t="shared" si="4"/>
        <v>0</v>
      </c>
      <c r="M25" s="53">
        <f t="shared" ref="M25" si="63">+M24+M23+M22+M21+M20+M19+M18</f>
        <v>0</v>
      </c>
      <c r="N25" s="53">
        <f t="shared" si="61"/>
        <v>0</v>
      </c>
      <c r="O25" s="53">
        <f t="shared" si="5"/>
        <v>0</v>
      </c>
      <c r="P25" s="53">
        <f t="shared" ref="P25" si="64">+P24+P23+P22+P21+P20+P19+P18</f>
        <v>0</v>
      </c>
      <c r="Q25" s="53">
        <f t="shared" si="61"/>
        <v>0</v>
      </c>
      <c r="R25" s="53">
        <f t="shared" si="23"/>
        <v>0</v>
      </c>
      <c r="S25" s="53">
        <f t="shared" ref="S25:U25" si="65">+S24+S23+S22+S21+S20+S19+S18</f>
        <v>0</v>
      </c>
      <c r="T25" s="53">
        <f t="shared" si="65"/>
        <v>0</v>
      </c>
      <c r="U25" s="53">
        <f t="shared" si="65"/>
        <v>0</v>
      </c>
      <c r="V25" s="53">
        <f t="shared" ref="V25" si="66">+V24+V23+V22+V21+V20+V19+V18</f>
        <v>0</v>
      </c>
      <c r="W25" s="53">
        <f t="shared" ref="W25:AB25" si="67">+W24+W23+W22+W21+W20+W19+W18</f>
        <v>0</v>
      </c>
      <c r="X25" s="53">
        <f t="shared" si="67"/>
        <v>0</v>
      </c>
      <c r="Y25" s="53">
        <f t="shared" si="67"/>
        <v>0</v>
      </c>
      <c r="Z25" s="53">
        <f t="shared" si="67"/>
        <v>0</v>
      </c>
      <c r="AA25" s="53">
        <f t="shared" si="67"/>
        <v>0</v>
      </c>
      <c r="AB25" s="53">
        <f t="shared" si="67"/>
        <v>1575</v>
      </c>
      <c r="AC25" s="53">
        <f t="shared" ref="AC25" si="68">+AC24+AC23+AC22+AC21+AC20+AC19+AC18</f>
        <v>0</v>
      </c>
      <c r="AD25" s="994">
        <f t="shared" si="9"/>
        <v>1575</v>
      </c>
      <c r="AE25" s="53">
        <f t="shared" ref="AE25" si="69">+AE24+AE23+AE22+AE21+AE20+AE19+AE18</f>
        <v>0</v>
      </c>
      <c r="AF25" s="53">
        <f t="shared" ref="AF25" si="70">+AF24+AF23+AF22+AF21+AF20+AF19+AF18</f>
        <v>0</v>
      </c>
      <c r="AG25" s="514">
        <f t="shared" si="32"/>
        <v>0</v>
      </c>
    </row>
    <row r="26" spans="1:33" ht="12.75" customHeight="1" x14ac:dyDescent="0.2">
      <c r="A26" s="516" t="s">
        <v>68</v>
      </c>
      <c r="B26" s="1211" t="s">
        <v>67</v>
      </c>
      <c r="C26" s="1210"/>
      <c r="D26" s="576">
        <f t="shared" si="33"/>
        <v>0</v>
      </c>
      <c r="E26" s="85">
        <f t="shared" si="34"/>
        <v>0</v>
      </c>
      <c r="F26" s="578">
        <f t="shared" si="35"/>
        <v>0</v>
      </c>
      <c r="G26" s="580"/>
      <c r="H26" s="27"/>
      <c r="I26" s="53">
        <f t="shared" si="3"/>
        <v>0</v>
      </c>
      <c r="J26" s="27"/>
      <c r="K26" s="27"/>
      <c r="L26" s="53">
        <f t="shared" si="4"/>
        <v>0</v>
      </c>
      <c r="M26" s="27"/>
      <c r="N26" s="27"/>
      <c r="O26" s="53">
        <f t="shared" si="5"/>
        <v>0</v>
      </c>
      <c r="P26" s="27"/>
      <c r="Q26" s="27"/>
      <c r="R26" s="53">
        <f t="shared" si="23"/>
        <v>0</v>
      </c>
      <c r="S26" s="27"/>
      <c r="T26" s="27"/>
      <c r="U26" s="53">
        <f t="shared" ref="U26:U27" si="71">+T26+S26</f>
        <v>0</v>
      </c>
      <c r="V26" s="27"/>
      <c r="W26" s="27"/>
      <c r="X26" s="53">
        <f t="shared" si="7"/>
        <v>0</v>
      </c>
      <c r="Y26" s="27"/>
      <c r="Z26" s="27"/>
      <c r="AA26" s="53">
        <f t="shared" ref="AA26:AA27" si="72">+Z26+Y26</f>
        <v>0</v>
      </c>
      <c r="AB26" s="27"/>
      <c r="AC26" s="27"/>
      <c r="AD26" s="994">
        <f t="shared" si="9"/>
        <v>0</v>
      </c>
      <c r="AE26" s="27"/>
      <c r="AF26" s="27"/>
      <c r="AG26" s="514">
        <f t="shared" si="32"/>
        <v>0</v>
      </c>
    </row>
    <row r="27" spans="1:33" ht="12.75" customHeight="1" x14ac:dyDescent="0.2">
      <c r="A27" s="516" t="s">
        <v>70</v>
      </c>
      <c r="B27" s="1211" t="s">
        <v>69</v>
      </c>
      <c r="C27" s="1210"/>
      <c r="D27" s="576">
        <f t="shared" si="33"/>
        <v>1000</v>
      </c>
      <c r="E27" s="85">
        <f t="shared" si="34"/>
        <v>-750</v>
      </c>
      <c r="F27" s="578">
        <f t="shared" si="35"/>
        <v>250</v>
      </c>
      <c r="G27" s="580">
        <v>250</v>
      </c>
      <c r="H27" s="27">
        <v>-250</v>
      </c>
      <c r="I27" s="53">
        <f t="shared" si="3"/>
        <v>0</v>
      </c>
      <c r="J27" s="27">
        <v>250</v>
      </c>
      <c r="K27" s="27">
        <v>-250</v>
      </c>
      <c r="L27" s="53">
        <f t="shared" si="4"/>
        <v>0</v>
      </c>
      <c r="M27" s="27">
        <v>250</v>
      </c>
      <c r="N27" s="27"/>
      <c r="O27" s="53">
        <f t="shared" si="5"/>
        <v>250</v>
      </c>
      <c r="P27" s="27">
        <v>250</v>
      </c>
      <c r="Q27" s="27">
        <v>-250</v>
      </c>
      <c r="R27" s="53">
        <f t="shared" si="23"/>
        <v>0</v>
      </c>
      <c r="S27" s="27"/>
      <c r="T27" s="27"/>
      <c r="U27" s="53">
        <f t="shared" si="71"/>
        <v>0</v>
      </c>
      <c r="V27" s="27"/>
      <c r="W27" s="27"/>
      <c r="X27" s="53">
        <f t="shared" si="7"/>
        <v>0</v>
      </c>
      <c r="Y27" s="27"/>
      <c r="Z27" s="27"/>
      <c r="AA27" s="53">
        <f t="shared" si="72"/>
        <v>0</v>
      </c>
      <c r="AB27" s="27"/>
      <c r="AC27" s="27"/>
      <c r="AD27" s="994">
        <f t="shared" si="9"/>
        <v>0</v>
      </c>
      <c r="AE27" s="27"/>
      <c r="AF27" s="27"/>
      <c r="AG27" s="514">
        <f t="shared" si="32"/>
        <v>0</v>
      </c>
    </row>
    <row r="28" spans="1:33" s="42" customFormat="1" ht="12.75" customHeight="1" x14ac:dyDescent="0.2">
      <c r="A28" s="513" t="s">
        <v>71</v>
      </c>
      <c r="B28" s="1215" t="s">
        <v>154</v>
      </c>
      <c r="C28" s="1200"/>
      <c r="D28" s="576">
        <f t="shared" si="33"/>
        <v>1000</v>
      </c>
      <c r="E28" s="85">
        <f t="shared" si="34"/>
        <v>-750</v>
      </c>
      <c r="F28" s="578">
        <f t="shared" si="35"/>
        <v>250</v>
      </c>
      <c r="G28" s="999">
        <f>SUM(G26:G27)</f>
        <v>250</v>
      </c>
      <c r="H28" s="53">
        <f t="shared" ref="H28:N28" si="73">SUM(H26:H27)</f>
        <v>-250</v>
      </c>
      <c r="I28" s="53">
        <f t="shared" si="3"/>
        <v>0</v>
      </c>
      <c r="J28" s="53">
        <f t="shared" ref="J28" si="74">SUM(J26:J27)</f>
        <v>250</v>
      </c>
      <c r="K28" s="53">
        <f t="shared" si="73"/>
        <v>-250</v>
      </c>
      <c r="L28" s="53">
        <f t="shared" si="4"/>
        <v>0</v>
      </c>
      <c r="M28" s="53">
        <f t="shared" ref="M28" si="75">SUM(M26:M27)</f>
        <v>250</v>
      </c>
      <c r="N28" s="53">
        <f t="shared" si="73"/>
        <v>0</v>
      </c>
      <c r="O28" s="53">
        <f t="shared" si="5"/>
        <v>250</v>
      </c>
      <c r="P28" s="53">
        <f t="shared" ref="P28" si="76">SUM(P26:P27)</f>
        <v>250</v>
      </c>
      <c r="Q28" s="53">
        <f t="shared" ref="Q28:AC28" si="77">SUM(Q26:Q27)</f>
        <v>-250</v>
      </c>
      <c r="R28" s="53">
        <f t="shared" si="23"/>
        <v>0</v>
      </c>
      <c r="S28" s="53">
        <f t="shared" ref="S28:U28" si="78">SUM(S26:S27)</f>
        <v>0</v>
      </c>
      <c r="T28" s="53">
        <f t="shared" si="78"/>
        <v>0</v>
      </c>
      <c r="U28" s="53">
        <f t="shared" si="78"/>
        <v>0</v>
      </c>
      <c r="V28" s="53">
        <f t="shared" ref="V28" si="79">SUM(V26:V27)</f>
        <v>0</v>
      </c>
      <c r="W28" s="53">
        <f t="shared" si="77"/>
        <v>0</v>
      </c>
      <c r="X28" s="53">
        <f t="shared" si="77"/>
        <v>0</v>
      </c>
      <c r="Y28" s="53">
        <f t="shared" si="77"/>
        <v>0</v>
      </c>
      <c r="Z28" s="53">
        <f t="shared" si="77"/>
        <v>0</v>
      </c>
      <c r="AA28" s="53">
        <f t="shared" si="77"/>
        <v>0</v>
      </c>
      <c r="AB28" s="53">
        <f t="shared" si="77"/>
        <v>0</v>
      </c>
      <c r="AC28" s="53">
        <f t="shared" si="77"/>
        <v>0</v>
      </c>
      <c r="AD28" s="994">
        <f t="shared" si="9"/>
        <v>0</v>
      </c>
      <c r="AE28" s="53">
        <f t="shared" ref="AE28" si="80">SUM(AE26:AE27)</f>
        <v>0</v>
      </c>
      <c r="AF28" s="53">
        <f t="shared" ref="AF28" si="81">SUM(AF26:AF27)</f>
        <v>0</v>
      </c>
      <c r="AG28" s="514">
        <f t="shared" si="32"/>
        <v>0</v>
      </c>
    </row>
    <row r="29" spans="1:33" ht="12.75" customHeight="1" x14ac:dyDescent="0.2">
      <c r="A29" s="516" t="s">
        <v>73</v>
      </c>
      <c r="B29" s="1211" t="s">
        <v>72</v>
      </c>
      <c r="C29" s="1210"/>
      <c r="D29" s="576">
        <f t="shared" si="33"/>
        <v>1063</v>
      </c>
      <c r="E29" s="85">
        <f t="shared" si="34"/>
        <v>270</v>
      </c>
      <c r="F29" s="578">
        <f t="shared" si="35"/>
        <v>1333</v>
      </c>
      <c r="G29" s="580"/>
      <c r="H29" s="27"/>
      <c r="I29" s="53">
        <f t="shared" si="3"/>
        <v>0</v>
      </c>
      <c r="J29" s="27"/>
      <c r="K29" s="27"/>
      <c r="L29" s="53">
        <f t="shared" si="4"/>
        <v>0</v>
      </c>
      <c r="M29" s="27"/>
      <c r="N29" s="27">
        <v>270</v>
      </c>
      <c r="O29" s="53">
        <f t="shared" si="5"/>
        <v>270</v>
      </c>
      <c r="P29" s="27"/>
      <c r="Q29" s="27"/>
      <c r="R29" s="53">
        <f t="shared" si="23"/>
        <v>0</v>
      </c>
      <c r="S29" s="27"/>
      <c r="T29" s="27"/>
      <c r="U29" s="53">
        <f t="shared" ref="U29:U33" si="82">+T29+S29</f>
        <v>0</v>
      </c>
      <c r="V29" s="27"/>
      <c r="W29" s="27"/>
      <c r="X29" s="53">
        <f t="shared" si="7"/>
        <v>0</v>
      </c>
      <c r="Y29" s="27"/>
      <c r="Z29" s="27"/>
      <c r="AA29" s="53">
        <f t="shared" ref="AA29:AA33" si="83">+Z29+Y29</f>
        <v>0</v>
      </c>
      <c r="AB29" s="27">
        <f>425+425+106+107</f>
        <v>1063</v>
      </c>
      <c r="AC29" s="27"/>
      <c r="AD29" s="994">
        <f t="shared" si="9"/>
        <v>1063</v>
      </c>
      <c r="AE29" s="27"/>
      <c r="AF29" s="27"/>
      <c r="AG29" s="514">
        <f t="shared" si="32"/>
        <v>0</v>
      </c>
    </row>
    <row r="30" spans="1:33" ht="12.75" customHeight="1" x14ac:dyDescent="0.2">
      <c r="A30" s="516" t="s">
        <v>75</v>
      </c>
      <c r="B30" s="1211" t="s">
        <v>74</v>
      </c>
      <c r="C30" s="1210"/>
      <c r="D30" s="576">
        <f t="shared" si="33"/>
        <v>67965</v>
      </c>
      <c r="E30" s="85">
        <f t="shared" si="34"/>
        <v>85</v>
      </c>
      <c r="F30" s="578">
        <f t="shared" si="35"/>
        <v>68050</v>
      </c>
      <c r="G30" s="580"/>
      <c r="H30" s="27"/>
      <c r="I30" s="53">
        <f t="shared" si="3"/>
        <v>0</v>
      </c>
      <c r="J30" s="27">
        <v>951</v>
      </c>
      <c r="K30" s="27">
        <v>-951</v>
      </c>
      <c r="L30" s="53">
        <f t="shared" si="4"/>
        <v>0</v>
      </c>
      <c r="M30" s="27">
        <v>25937</v>
      </c>
      <c r="N30" s="27">
        <v>1036</v>
      </c>
      <c r="O30" s="53">
        <f t="shared" si="5"/>
        <v>26973</v>
      </c>
      <c r="P30" s="27"/>
      <c r="Q30" s="27"/>
      <c r="R30" s="53">
        <f t="shared" si="23"/>
        <v>0</v>
      </c>
      <c r="S30" s="27"/>
      <c r="T30" s="27"/>
      <c r="U30" s="53">
        <f t="shared" si="82"/>
        <v>0</v>
      </c>
      <c r="V30" s="27"/>
      <c r="W30" s="27"/>
      <c r="X30" s="53">
        <f t="shared" si="7"/>
        <v>0</v>
      </c>
      <c r="Y30" s="27"/>
      <c r="Z30" s="27"/>
      <c r="AA30" s="53">
        <f t="shared" si="83"/>
        <v>0</v>
      </c>
      <c r="AB30" s="27">
        <v>41077</v>
      </c>
      <c r="AC30" s="27"/>
      <c r="AD30" s="994">
        <f t="shared" si="9"/>
        <v>41077</v>
      </c>
      <c r="AE30" s="27"/>
      <c r="AF30" s="27"/>
      <c r="AG30" s="514">
        <f t="shared" si="32"/>
        <v>0</v>
      </c>
    </row>
    <row r="31" spans="1:33" ht="12.75" customHeight="1" x14ac:dyDescent="0.2">
      <c r="A31" s="516" t="s">
        <v>76</v>
      </c>
      <c r="B31" s="1211" t="s">
        <v>153</v>
      </c>
      <c r="C31" s="1210"/>
      <c r="D31" s="576">
        <f t="shared" si="33"/>
        <v>0</v>
      </c>
      <c r="E31" s="85">
        <f t="shared" si="34"/>
        <v>0</v>
      </c>
      <c r="F31" s="578">
        <f t="shared" si="35"/>
        <v>0</v>
      </c>
      <c r="G31" s="580"/>
      <c r="H31" s="27"/>
      <c r="I31" s="53">
        <f t="shared" si="3"/>
        <v>0</v>
      </c>
      <c r="J31" s="27"/>
      <c r="K31" s="27"/>
      <c r="L31" s="53">
        <f t="shared" si="4"/>
        <v>0</v>
      </c>
      <c r="M31" s="27"/>
      <c r="N31" s="27"/>
      <c r="O31" s="53">
        <f t="shared" si="5"/>
        <v>0</v>
      </c>
      <c r="P31" s="27"/>
      <c r="Q31" s="27"/>
      <c r="R31" s="53">
        <f t="shared" si="23"/>
        <v>0</v>
      </c>
      <c r="S31" s="27"/>
      <c r="T31" s="27"/>
      <c r="U31" s="53">
        <f t="shared" si="82"/>
        <v>0</v>
      </c>
      <c r="V31" s="27"/>
      <c r="W31" s="27"/>
      <c r="X31" s="53">
        <f t="shared" si="7"/>
        <v>0</v>
      </c>
      <c r="Y31" s="27"/>
      <c r="Z31" s="27"/>
      <c r="AA31" s="53">
        <f t="shared" si="83"/>
        <v>0</v>
      </c>
      <c r="AB31" s="27"/>
      <c r="AC31" s="27"/>
      <c r="AD31" s="994">
        <f t="shared" si="9"/>
        <v>0</v>
      </c>
      <c r="AE31" s="27"/>
      <c r="AF31" s="27"/>
      <c r="AG31" s="514">
        <f t="shared" si="32"/>
        <v>0</v>
      </c>
    </row>
    <row r="32" spans="1:33" ht="12.75" customHeight="1" x14ac:dyDescent="0.2">
      <c r="A32" s="516" t="s">
        <v>77</v>
      </c>
      <c r="B32" s="1211" t="s">
        <v>152</v>
      </c>
      <c r="C32" s="1210"/>
      <c r="D32" s="576">
        <f t="shared" si="33"/>
        <v>0</v>
      </c>
      <c r="E32" s="85">
        <f t="shared" si="34"/>
        <v>0</v>
      </c>
      <c r="F32" s="578">
        <f t="shared" si="35"/>
        <v>0</v>
      </c>
      <c r="G32" s="580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53">
        <f t="shared" si="23"/>
        <v>0</v>
      </c>
      <c r="S32" s="27"/>
      <c r="T32" s="27"/>
      <c r="U32" s="53">
        <f t="shared" si="82"/>
        <v>0</v>
      </c>
      <c r="V32" s="27"/>
      <c r="W32" s="27"/>
      <c r="X32" s="53">
        <f t="shared" si="7"/>
        <v>0</v>
      </c>
      <c r="Y32" s="27"/>
      <c r="Z32" s="27"/>
      <c r="AA32" s="53">
        <f t="shared" si="83"/>
        <v>0</v>
      </c>
      <c r="AB32" s="27"/>
      <c r="AC32" s="27"/>
      <c r="AD32" s="994">
        <f t="shared" si="9"/>
        <v>0</v>
      </c>
      <c r="AE32" s="27"/>
      <c r="AF32" s="27"/>
      <c r="AG32" s="514">
        <f t="shared" si="32"/>
        <v>0</v>
      </c>
    </row>
    <row r="33" spans="1:33" ht="12.75" customHeight="1" x14ac:dyDescent="0.2">
      <c r="A33" s="516" t="s">
        <v>79</v>
      </c>
      <c r="B33" s="1211" t="s">
        <v>78</v>
      </c>
      <c r="C33" s="1210"/>
      <c r="D33" s="576">
        <f t="shared" si="33"/>
        <v>7497</v>
      </c>
      <c r="E33" s="85">
        <f t="shared" si="34"/>
        <v>-439</v>
      </c>
      <c r="F33" s="578">
        <f t="shared" si="35"/>
        <v>7058</v>
      </c>
      <c r="G33" s="580"/>
      <c r="H33" s="27"/>
      <c r="I33" s="53">
        <f t="shared" si="3"/>
        <v>0</v>
      </c>
      <c r="J33" s="27">
        <v>8</v>
      </c>
      <c r="K33" s="27">
        <v>96</v>
      </c>
      <c r="L33" s="53">
        <f t="shared" si="4"/>
        <v>104</v>
      </c>
      <c r="M33" s="27">
        <v>1535</v>
      </c>
      <c r="N33" s="27">
        <v>-535</v>
      </c>
      <c r="O33" s="53">
        <f t="shared" si="5"/>
        <v>1000</v>
      </c>
      <c r="P33" s="27"/>
      <c r="Q33" s="27"/>
      <c r="R33" s="53">
        <f t="shared" si="23"/>
        <v>0</v>
      </c>
      <c r="S33" s="27"/>
      <c r="T33" s="27"/>
      <c r="U33" s="53">
        <f t="shared" si="82"/>
        <v>0</v>
      </c>
      <c r="V33" s="27"/>
      <c r="W33" s="27"/>
      <c r="X33" s="53">
        <f t="shared" si="7"/>
        <v>0</v>
      </c>
      <c r="Y33" s="27"/>
      <c r="Z33" s="27"/>
      <c r="AA33" s="53">
        <f t="shared" si="83"/>
        <v>0</v>
      </c>
      <c r="AB33" s="27">
        <f>1575+588+3000+394+397</f>
        <v>5954</v>
      </c>
      <c r="AC33" s="27"/>
      <c r="AD33" s="994">
        <f t="shared" si="9"/>
        <v>5954</v>
      </c>
      <c r="AE33" s="27"/>
      <c r="AF33" s="27"/>
      <c r="AG33" s="514">
        <f t="shared" si="32"/>
        <v>0</v>
      </c>
    </row>
    <row r="34" spans="1:33" s="42" customFormat="1" ht="12.75" customHeight="1" x14ac:dyDescent="0.2">
      <c r="A34" s="513" t="s">
        <v>80</v>
      </c>
      <c r="B34" s="1215" t="s">
        <v>151</v>
      </c>
      <c r="C34" s="1200"/>
      <c r="D34" s="576">
        <f t="shared" si="33"/>
        <v>76525</v>
      </c>
      <c r="E34" s="85">
        <f t="shared" si="34"/>
        <v>-84</v>
      </c>
      <c r="F34" s="578">
        <f t="shared" si="35"/>
        <v>76441</v>
      </c>
      <c r="G34" s="999">
        <f>SUM(G29:G33)</f>
        <v>0</v>
      </c>
      <c r="H34" s="53">
        <f t="shared" ref="H34:N34" si="84">SUM(H29:H33)</f>
        <v>0</v>
      </c>
      <c r="I34" s="53">
        <f t="shared" si="3"/>
        <v>0</v>
      </c>
      <c r="J34" s="53">
        <f t="shared" ref="J34" si="85">SUM(J29:J33)</f>
        <v>959</v>
      </c>
      <c r="K34" s="53">
        <f t="shared" si="84"/>
        <v>-855</v>
      </c>
      <c r="L34" s="53">
        <f t="shared" si="4"/>
        <v>104</v>
      </c>
      <c r="M34" s="53">
        <f t="shared" ref="M34" si="86">SUM(M29:M33)</f>
        <v>27472</v>
      </c>
      <c r="N34" s="53">
        <f t="shared" si="84"/>
        <v>771</v>
      </c>
      <c r="O34" s="53">
        <f t="shared" si="5"/>
        <v>28243</v>
      </c>
      <c r="P34" s="53">
        <f t="shared" ref="P34" si="87">SUM(P29:P33)</f>
        <v>0</v>
      </c>
      <c r="Q34" s="53">
        <f t="shared" ref="Q34:AC34" si="88">SUM(Q29:Q33)</f>
        <v>0</v>
      </c>
      <c r="R34" s="53">
        <f t="shared" si="23"/>
        <v>0</v>
      </c>
      <c r="S34" s="53">
        <f t="shared" ref="S34:U34" si="89">SUM(S29:S33)</f>
        <v>0</v>
      </c>
      <c r="T34" s="53">
        <f t="shared" si="89"/>
        <v>0</v>
      </c>
      <c r="U34" s="53">
        <f t="shared" si="89"/>
        <v>0</v>
      </c>
      <c r="V34" s="53">
        <f t="shared" ref="V34" si="90">SUM(V29:V33)</f>
        <v>0</v>
      </c>
      <c r="W34" s="53">
        <f t="shared" si="88"/>
        <v>0</v>
      </c>
      <c r="X34" s="53">
        <f t="shared" si="88"/>
        <v>0</v>
      </c>
      <c r="Y34" s="53">
        <f t="shared" si="88"/>
        <v>0</v>
      </c>
      <c r="Z34" s="53">
        <f t="shared" si="88"/>
        <v>0</v>
      </c>
      <c r="AA34" s="53">
        <f t="shared" si="88"/>
        <v>0</v>
      </c>
      <c r="AB34" s="53">
        <f t="shared" ref="AB34" si="91">SUM(AB29:AB33)</f>
        <v>48094</v>
      </c>
      <c r="AC34" s="53">
        <f t="shared" si="88"/>
        <v>0</v>
      </c>
      <c r="AD34" s="994">
        <f t="shared" si="9"/>
        <v>48094</v>
      </c>
      <c r="AE34" s="53">
        <f t="shared" ref="AE34" si="92">SUM(AE29:AE33)</f>
        <v>0</v>
      </c>
      <c r="AF34" s="53">
        <f t="shared" ref="AF34" si="93">SUM(AF29:AF33)</f>
        <v>0</v>
      </c>
      <c r="AG34" s="514">
        <f t="shared" si="32"/>
        <v>0</v>
      </c>
    </row>
    <row r="35" spans="1:33" s="42" customFormat="1" ht="12.75" customHeight="1" x14ac:dyDescent="0.2">
      <c r="A35" s="513" t="s">
        <v>81</v>
      </c>
      <c r="B35" s="1215" t="s">
        <v>150</v>
      </c>
      <c r="C35" s="1200"/>
      <c r="D35" s="576">
        <f t="shared" si="33"/>
        <v>79100</v>
      </c>
      <c r="E35" s="85">
        <f t="shared" si="34"/>
        <v>-834</v>
      </c>
      <c r="F35" s="578">
        <f t="shared" si="35"/>
        <v>78266</v>
      </c>
      <c r="G35" s="999">
        <f t="shared" ref="G35" si="94">+G34+G28+G25+G17+G14</f>
        <v>250</v>
      </c>
      <c r="H35" s="53">
        <f t="shared" ref="H35:Q35" si="95">+H34+H28+H25+H17+H14</f>
        <v>-250</v>
      </c>
      <c r="I35" s="53">
        <f t="shared" si="3"/>
        <v>0</v>
      </c>
      <c r="J35" s="53">
        <f t="shared" ref="J35" si="96">+J34+J28+J25+J17+J14</f>
        <v>1209</v>
      </c>
      <c r="K35" s="53">
        <f t="shared" si="95"/>
        <v>-1105</v>
      </c>
      <c r="L35" s="53">
        <f t="shared" si="4"/>
        <v>104</v>
      </c>
      <c r="M35" s="53">
        <f t="shared" ref="M35" si="97">+M34+M28+M25+M17+M14</f>
        <v>27722</v>
      </c>
      <c r="N35" s="53">
        <f t="shared" si="95"/>
        <v>771</v>
      </c>
      <c r="O35" s="53">
        <f t="shared" si="5"/>
        <v>28493</v>
      </c>
      <c r="P35" s="53">
        <f t="shared" ref="P35" si="98">+P34+P28+P25+P17+P14</f>
        <v>250</v>
      </c>
      <c r="Q35" s="53">
        <f t="shared" si="95"/>
        <v>-250</v>
      </c>
      <c r="R35" s="53">
        <f t="shared" si="23"/>
        <v>0</v>
      </c>
      <c r="S35" s="53">
        <f t="shared" ref="S35:U35" si="99">+S34+S28+S25+S17+S14</f>
        <v>0</v>
      </c>
      <c r="T35" s="53">
        <f t="shared" si="99"/>
        <v>0</v>
      </c>
      <c r="U35" s="53">
        <f t="shared" si="99"/>
        <v>0</v>
      </c>
      <c r="V35" s="53">
        <f t="shared" ref="V35" si="100">+V34+V28+V25+V17+V14</f>
        <v>0</v>
      </c>
      <c r="W35" s="53">
        <f t="shared" ref="W35:AB35" si="101">+W34+W28+W25+W17+W14</f>
        <v>0</v>
      </c>
      <c r="X35" s="53">
        <f t="shared" si="101"/>
        <v>0</v>
      </c>
      <c r="Y35" s="53">
        <f t="shared" si="101"/>
        <v>0</v>
      </c>
      <c r="Z35" s="53">
        <f t="shared" si="101"/>
        <v>0</v>
      </c>
      <c r="AA35" s="53">
        <f t="shared" si="101"/>
        <v>0</v>
      </c>
      <c r="AB35" s="53">
        <f t="shared" si="101"/>
        <v>49669</v>
      </c>
      <c r="AC35" s="53">
        <f t="shared" ref="AC35" si="102">+AC34+AC28+AC25+AC17+AC14</f>
        <v>0</v>
      </c>
      <c r="AD35" s="994">
        <f t="shared" si="9"/>
        <v>49669</v>
      </c>
      <c r="AE35" s="53">
        <f t="shared" ref="AE35" si="103">+AE34+AE28+AE25+AE17+AE14</f>
        <v>0</v>
      </c>
      <c r="AF35" s="53">
        <f t="shared" ref="AF35" si="104">+AF34+AF28+AF25+AF17+AF14</f>
        <v>0</v>
      </c>
      <c r="AG35" s="514">
        <f t="shared" si="32"/>
        <v>0</v>
      </c>
    </row>
    <row r="36" spans="1:33" ht="11.25" customHeight="1" x14ac:dyDescent="0.2">
      <c r="A36" s="515"/>
      <c r="B36" s="751"/>
      <c r="C36" s="308"/>
      <c r="D36" s="780"/>
      <c r="E36" s="758"/>
      <c r="F36" s="781"/>
      <c r="G36" s="998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56"/>
      <c r="W36" s="56"/>
      <c r="X36" s="199"/>
      <c r="Y36" s="56"/>
      <c r="Z36" s="56"/>
      <c r="AA36" s="199"/>
      <c r="AB36" s="56"/>
      <c r="AC36" s="56"/>
      <c r="AD36" s="199"/>
      <c r="AE36" s="996"/>
      <c r="AF36" s="56"/>
      <c r="AG36" s="577"/>
    </row>
    <row r="37" spans="1:33" ht="12" customHeight="1" x14ac:dyDescent="0.2">
      <c r="A37" s="515"/>
      <c r="B37" s="1248"/>
      <c r="C37" s="1249"/>
      <c r="D37" s="780"/>
      <c r="E37" s="758"/>
      <c r="F37" s="781"/>
      <c r="G37" s="998"/>
      <c r="H37" s="56"/>
      <c r="I37" s="199"/>
      <c r="J37" s="56"/>
      <c r="K37" s="56"/>
      <c r="L37" s="199"/>
      <c r="M37" s="56"/>
      <c r="N37" s="56"/>
      <c r="O37" s="199"/>
      <c r="P37" s="56"/>
      <c r="Q37" s="56"/>
      <c r="R37" s="199"/>
      <c r="S37" s="56"/>
      <c r="T37" s="56"/>
      <c r="U37" s="199"/>
      <c r="V37" s="56"/>
      <c r="W37" s="56"/>
      <c r="X37" s="199"/>
      <c r="Y37" s="56"/>
      <c r="Z37" s="56"/>
      <c r="AA37" s="199"/>
      <c r="AB37" s="56"/>
      <c r="AC37" s="56"/>
      <c r="AD37" s="199"/>
      <c r="AE37" s="996"/>
      <c r="AF37" s="56"/>
      <c r="AG37" s="577"/>
    </row>
    <row r="38" spans="1:33" ht="12.75" hidden="1" customHeight="1" x14ac:dyDescent="0.2">
      <c r="A38" s="96" t="s">
        <v>96</v>
      </c>
      <c r="B38" s="1250" t="s">
        <v>95</v>
      </c>
      <c r="C38" s="1204"/>
      <c r="D38" s="780">
        <f t="shared" si="27"/>
        <v>0</v>
      </c>
      <c r="E38" s="758">
        <f t="shared" si="28"/>
        <v>0</v>
      </c>
      <c r="F38" s="781">
        <f t="shared" si="29"/>
        <v>0</v>
      </c>
      <c r="G38" s="998"/>
      <c r="H38" s="56"/>
      <c r="I38" s="199">
        <f t="shared" si="3"/>
        <v>0</v>
      </c>
      <c r="J38" s="56"/>
      <c r="K38" s="56"/>
      <c r="L38" s="199">
        <f t="shared" si="4"/>
        <v>0</v>
      </c>
      <c r="M38" s="56"/>
      <c r="N38" s="56"/>
      <c r="O38" s="199">
        <f t="shared" si="5"/>
        <v>0</v>
      </c>
      <c r="P38" s="56"/>
      <c r="Q38" s="56"/>
      <c r="R38" s="199">
        <f t="shared" si="23"/>
        <v>0</v>
      </c>
      <c r="S38" s="56"/>
      <c r="T38" s="56"/>
      <c r="U38" s="199">
        <f t="shared" ref="U38:U44" si="105">+T38+S38</f>
        <v>0</v>
      </c>
      <c r="V38" s="56"/>
      <c r="W38" s="56"/>
      <c r="X38" s="199">
        <f t="shared" si="7"/>
        <v>0</v>
      </c>
      <c r="Y38" s="56"/>
      <c r="Z38" s="56"/>
      <c r="AA38" s="199">
        <f t="shared" ref="AA38:AA44" si="106">+Z38+Y38</f>
        <v>0</v>
      </c>
      <c r="AB38" s="56"/>
      <c r="AC38" s="56"/>
      <c r="AD38" s="199">
        <f t="shared" si="9"/>
        <v>0</v>
      </c>
      <c r="AE38" s="996"/>
      <c r="AF38" s="56"/>
      <c r="AG38" s="577">
        <f t="shared" ref="AG38:AG44" si="107">+AE38+AF38</f>
        <v>0</v>
      </c>
    </row>
    <row r="39" spans="1:33" ht="12.75" hidden="1" customHeight="1" x14ac:dyDescent="0.2">
      <c r="A39" s="96" t="s">
        <v>98</v>
      </c>
      <c r="B39" s="1250" t="s">
        <v>97</v>
      </c>
      <c r="C39" s="1204"/>
      <c r="D39" s="780">
        <f t="shared" si="27"/>
        <v>0</v>
      </c>
      <c r="E39" s="758">
        <f t="shared" si="28"/>
        <v>0</v>
      </c>
      <c r="F39" s="781">
        <f t="shared" si="29"/>
        <v>0</v>
      </c>
      <c r="G39" s="998"/>
      <c r="H39" s="56"/>
      <c r="I39" s="199">
        <f t="shared" si="3"/>
        <v>0</v>
      </c>
      <c r="J39" s="56"/>
      <c r="K39" s="56"/>
      <c r="L39" s="199">
        <f t="shared" si="4"/>
        <v>0</v>
      </c>
      <c r="M39" s="56"/>
      <c r="N39" s="56"/>
      <c r="O39" s="199">
        <f t="shared" si="5"/>
        <v>0</v>
      </c>
      <c r="P39" s="56"/>
      <c r="Q39" s="56"/>
      <c r="R39" s="199">
        <f t="shared" si="23"/>
        <v>0</v>
      </c>
      <c r="S39" s="56"/>
      <c r="T39" s="56"/>
      <c r="U39" s="199">
        <f t="shared" si="105"/>
        <v>0</v>
      </c>
      <c r="V39" s="56"/>
      <c r="W39" s="56"/>
      <c r="X39" s="199">
        <f t="shared" si="7"/>
        <v>0</v>
      </c>
      <c r="Y39" s="56"/>
      <c r="Z39" s="56"/>
      <c r="AA39" s="199">
        <f t="shared" si="106"/>
        <v>0</v>
      </c>
      <c r="AB39" s="56"/>
      <c r="AC39" s="56"/>
      <c r="AD39" s="199">
        <f t="shared" si="9"/>
        <v>0</v>
      </c>
      <c r="AE39" s="996"/>
      <c r="AF39" s="56"/>
      <c r="AG39" s="577">
        <f t="shared" si="107"/>
        <v>0</v>
      </c>
    </row>
    <row r="40" spans="1:33" ht="23.25" hidden="1" customHeight="1" x14ac:dyDescent="0.2">
      <c r="A40" s="96" t="s">
        <v>101</v>
      </c>
      <c r="B40" s="1250" t="s">
        <v>164</v>
      </c>
      <c r="C40" s="1204"/>
      <c r="D40" s="780">
        <f t="shared" si="27"/>
        <v>0</v>
      </c>
      <c r="E40" s="758">
        <f t="shared" si="28"/>
        <v>0</v>
      </c>
      <c r="F40" s="781">
        <f t="shared" si="29"/>
        <v>0</v>
      </c>
      <c r="G40" s="998"/>
      <c r="H40" s="56"/>
      <c r="I40" s="199">
        <f t="shared" si="3"/>
        <v>0</v>
      </c>
      <c r="J40" s="56"/>
      <c r="K40" s="56"/>
      <c r="L40" s="199">
        <f t="shared" si="4"/>
        <v>0</v>
      </c>
      <c r="M40" s="56"/>
      <c r="N40" s="56"/>
      <c r="O40" s="199">
        <f t="shared" si="5"/>
        <v>0</v>
      </c>
      <c r="P40" s="56"/>
      <c r="Q40" s="56"/>
      <c r="R40" s="199">
        <f t="shared" si="23"/>
        <v>0</v>
      </c>
      <c r="S40" s="56"/>
      <c r="T40" s="56"/>
      <c r="U40" s="199">
        <f t="shared" si="105"/>
        <v>0</v>
      </c>
      <c r="V40" s="56"/>
      <c r="W40" s="56"/>
      <c r="X40" s="199">
        <f t="shared" si="7"/>
        <v>0</v>
      </c>
      <c r="Y40" s="56"/>
      <c r="Z40" s="56"/>
      <c r="AA40" s="199">
        <f t="shared" si="106"/>
        <v>0</v>
      </c>
      <c r="AB40" s="56"/>
      <c r="AC40" s="56"/>
      <c r="AD40" s="199">
        <f t="shared" si="9"/>
        <v>0</v>
      </c>
      <c r="AE40" s="996"/>
      <c r="AF40" s="56"/>
      <c r="AG40" s="577">
        <f t="shared" si="107"/>
        <v>0</v>
      </c>
    </row>
    <row r="41" spans="1:33" ht="25.5" hidden="1" customHeight="1" x14ac:dyDescent="0.2">
      <c r="A41" s="96" t="s">
        <v>103</v>
      </c>
      <c r="B41" s="1250" t="s">
        <v>102</v>
      </c>
      <c r="C41" s="1204"/>
      <c r="D41" s="780">
        <f t="shared" si="27"/>
        <v>0</v>
      </c>
      <c r="E41" s="758">
        <f t="shared" si="28"/>
        <v>0</v>
      </c>
      <c r="F41" s="781">
        <f t="shared" si="29"/>
        <v>0</v>
      </c>
      <c r="G41" s="998"/>
      <c r="H41" s="56"/>
      <c r="I41" s="199">
        <f t="shared" si="3"/>
        <v>0</v>
      </c>
      <c r="J41" s="56"/>
      <c r="K41" s="56"/>
      <c r="L41" s="199">
        <f t="shared" si="4"/>
        <v>0</v>
      </c>
      <c r="M41" s="56"/>
      <c r="N41" s="56"/>
      <c r="O41" s="199">
        <f t="shared" si="5"/>
        <v>0</v>
      </c>
      <c r="P41" s="56"/>
      <c r="Q41" s="56"/>
      <c r="R41" s="199">
        <f t="shared" si="23"/>
        <v>0</v>
      </c>
      <c r="S41" s="56"/>
      <c r="T41" s="56"/>
      <c r="U41" s="199">
        <f t="shared" si="105"/>
        <v>0</v>
      </c>
      <c r="V41" s="56"/>
      <c r="W41" s="56"/>
      <c r="X41" s="199">
        <f t="shared" si="7"/>
        <v>0</v>
      </c>
      <c r="Y41" s="56"/>
      <c r="Z41" s="56"/>
      <c r="AA41" s="199">
        <f t="shared" si="106"/>
        <v>0</v>
      </c>
      <c r="AB41" s="56"/>
      <c r="AC41" s="56"/>
      <c r="AD41" s="199">
        <f t="shared" si="9"/>
        <v>0</v>
      </c>
      <c r="AE41" s="996"/>
      <c r="AF41" s="56"/>
      <c r="AG41" s="577">
        <f t="shared" si="107"/>
        <v>0</v>
      </c>
    </row>
    <row r="42" spans="1:33" ht="27" hidden="1" customHeight="1" x14ac:dyDescent="0.2">
      <c r="A42" s="96" t="s">
        <v>106</v>
      </c>
      <c r="B42" s="1250" t="s">
        <v>163</v>
      </c>
      <c r="C42" s="1204"/>
      <c r="D42" s="780">
        <f t="shared" si="27"/>
        <v>0</v>
      </c>
      <c r="E42" s="758">
        <f t="shared" si="28"/>
        <v>0</v>
      </c>
      <c r="F42" s="781">
        <f t="shared" si="29"/>
        <v>0</v>
      </c>
      <c r="G42" s="998"/>
      <c r="H42" s="56"/>
      <c r="I42" s="199">
        <f t="shared" si="3"/>
        <v>0</v>
      </c>
      <c r="J42" s="56"/>
      <c r="K42" s="56"/>
      <c r="L42" s="199">
        <f t="shared" si="4"/>
        <v>0</v>
      </c>
      <c r="M42" s="56"/>
      <c r="N42" s="56"/>
      <c r="O42" s="199">
        <f t="shared" si="5"/>
        <v>0</v>
      </c>
      <c r="P42" s="56"/>
      <c r="Q42" s="56"/>
      <c r="R42" s="199">
        <f t="shared" si="23"/>
        <v>0</v>
      </c>
      <c r="S42" s="56"/>
      <c r="T42" s="56"/>
      <c r="U42" s="199">
        <f t="shared" si="105"/>
        <v>0</v>
      </c>
      <c r="V42" s="56"/>
      <c r="W42" s="56"/>
      <c r="X42" s="199">
        <f t="shared" si="7"/>
        <v>0</v>
      </c>
      <c r="Y42" s="56"/>
      <c r="Z42" s="56"/>
      <c r="AA42" s="199">
        <f t="shared" si="106"/>
        <v>0</v>
      </c>
      <c r="AB42" s="56"/>
      <c r="AC42" s="56"/>
      <c r="AD42" s="199">
        <f t="shared" si="9"/>
        <v>0</v>
      </c>
      <c r="AE42" s="996"/>
      <c r="AF42" s="56"/>
      <c r="AG42" s="577">
        <f t="shared" si="107"/>
        <v>0</v>
      </c>
    </row>
    <row r="43" spans="1:33" ht="12.75" hidden="1" customHeight="1" x14ac:dyDescent="0.2">
      <c r="A43" s="96" t="s">
        <v>606</v>
      </c>
      <c r="B43" s="1234" t="s">
        <v>105</v>
      </c>
      <c r="C43" s="1235"/>
      <c r="D43" s="780">
        <f t="shared" si="27"/>
        <v>0</v>
      </c>
      <c r="E43" s="758">
        <f t="shared" si="28"/>
        <v>0</v>
      </c>
      <c r="F43" s="781">
        <f t="shared" si="29"/>
        <v>0</v>
      </c>
      <c r="G43" s="998"/>
      <c r="H43" s="56"/>
      <c r="I43" s="199">
        <f t="shared" si="3"/>
        <v>0</v>
      </c>
      <c r="J43" s="56"/>
      <c r="K43" s="56"/>
      <c r="L43" s="199">
        <f t="shared" si="4"/>
        <v>0</v>
      </c>
      <c r="M43" s="56"/>
      <c r="N43" s="56"/>
      <c r="O43" s="199">
        <f t="shared" si="5"/>
        <v>0</v>
      </c>
      <c r="P43" s="56"/>
      <c r="Q43" s="56"/>
      <c r="R43" s="199">
        <f t="shared" si="23"/>
        <v>0</v>
      </c>
      <c r="S43" s="56"/>
      <c r="T43" s="56"/>
      <c r="U43" s="199">
        <f t="shared" si="105"/>
        <v>0</v>
      </c>
      <c r="V43" s="56"/>
      <c r="W43" s="56"/>
      <c r="X43" s="199">
        <f t="shared" si="7"/>
        <v>0</v>
      </c>
      <c r="Y43" s="56"/>
      <c r="Z43" s="56"/>
      <c r="AA43" s="199">
        <f t="shared" si="106"/>
        <v>0</v>
      </c>
      <c r="AB43" s="56"/>
      <c r="AC43" s="56"/>
      <c r="AD43" s="199">
        <f t="shared" si="9"/>
        <v>0</v>
      </c>
      <c r="AE43" s="996"/>
      <c r="AF43" s="56"/>
      <c r="AG43" s="577">
        <f t="shared" si="107"/>
        <v>0</v>
      </c>
    </row>
    <row r="44" spans="1:33" s="42" customFormat="1" ht="12.75" customHeight="1" x14ac:dyDescent="0.2">
      <c r="A44" s="513" t="s">
        <v>107</v>
      </c>
      <c r="B44" s="1215" t="s">
        <v>162</v>
      </c>
      <c r="C44" s="1200"/>
      <c r="D44" s="576">
        <f>+G44+J44+M44+P44+AB44+V44+AE44+S44+Y44</f>
        <v>0</v>
      </c>
      <c r="E44" s="85">
        <f>+H44+K44+N44+Q44+AC44+W44+AF44+T44+Z44</f>
        <v>0</v>
      </c>
      <c r="F44" s="578">
        <f>+I44+L44+O44+R44+AD44+X44+AG44+U44+AA44</f>
        <v>0</v>
      </c>
      <c r="G44" s="579"/>
      <c r="H44" s="53"/>
      <c r="I44" s="53">
        <f t="shared" si="3"/>
        <v>0</v>
      </c>
      <c r="J44" s="53"/>
      <c r="K44" s="53"/>
      <c r="L44" s="53">
        <f t="shared" si="4"/>
        <v>0</v>
      </c>
      <c r="M44" s="53"/>
      <c r="N44" s="53"/>
      <c r="O44" s="53">
        <f t="shared" si="5"/>
        <v>0</v>
      </c>
      <c r="P44" s="53"/>
      <c r="Q44" s="53"/>
      <c r="R44" s="53">
        <f t="shared" si="23"/>
        <v>0</v>
      </c>
      <c r="S44" s="53"/>
      <c r="T44" s="53"/>
      <c r="U44" s="53">
        <f t="shared" si="105"/>
        <v>0</v>
      </c>
      <c r="V44" s="53"/>
      <c r="W44" s="53"/>
      <c r="X44" s="53">
        <f t="shared" si="7"/>
        <v>0</v>
      </c>
      <c r="Y44" s="53"/>
      <c r="Z44" s="53"/>
      <c r="AA44" s="53">
        <f t="shared" si="106"/>
        <v>0</v>
      </c>
      <c r="AB44" s="53"/>
      <c r="AC44" s="53"/>
      <c r="AD44" s="994">
        <f t="shared" si="9"/>
        <v>0</v>
      </c>
      <c r="AE44" s="53"/>
      <c r="AF44" s="53"/>
      <c r="AG44" s="514">
        <f t="shared" si="107"/>
        <v>0</v>
      </c>
    </row>
    <row r="45" spans="1:33" ht="12" customHeight="1" x14ac:dyDescent="0.2">
      <c r="A45" s="515"/>
      <c r="B45" s="751"/>
      <c r="C45" s="308"/>
      <c r="D45" s="780"/>
      <c r="E45" s="758"/>
      <c r="F45" s="781"/>
      <c r="G45" s="998"/>
      <c r="H45" s="56"/>
      <c r="I45" s="199"/>
      <c r="J45" s="56"/>
      <c r="K45" s="56"/>
      <c r="L45" s="199"/>
      <c r="M45" s="56"/>
      <c r="N45" s="56"/>
      <c r="O45" s="199"/>
      <c r="P45" s="56"/>
      <c r="Q45" s="56"/>
      <c r="R45" s="199"/>
      <c r="S45" s="56"/>
      <c r="T45" s="56"/>
      <c r="U45" s="199"/>
      <c r="V45" s="56"/>
      <c r="W45" s="56"/>
      <c r="X45" s="199"/>
      <c r="Y45" s="56"/>
      <c r="Z45" s="56"/>
      <c r="AA45" s="199"/>
      <c r="AB45" s="56"/>
      <c r="AC45" s="56"/>
      <c r="AD45" s="199"/>
      <c r="AE45" s="996"/>
      <c r="AF45" s="56"/>
      <c r="AG45" s="577"/>
    </row>
    <row r="46" spans="1:33" ht="12.75" customHeight="1" x14ac:dyDescent="0.2">
      <c r="A46" s="516" t="s">
        <v>109</v>
      </c>
      <c r="B46" s="1211" t="s">
        <v>108</v>
      </c>
      <c r="C46" s="1210"/>
      <c r="D46" s="576">
        <f t="shared" ref="D46:D53" si="108">+G46+J46+M46+P46+AB46+V46+AE46+S46+Y46</f>
        <v>3000</v>
      </c>
      <c r="E46" s="85">
        <f t="shared" ref="E46:E53" si="109">+H46+K46+N46+Q46+AC46+W46+AF46+T46+Z46</f>
        <v>1100</v>
      </c>
      <c r="F46" s="578">
        <f t="shared" ref="F46:F53" si="110">+I46+L46+O46+R46+AD46+X46+AG46+U46+AA46</f>
        <v>4100</v>
      </c>
      <c r="G46" s="580"/>
      <c r="H46" s="27"/>
      <c r="I46" s="53">
        <f t="shared" si="3"/>
        <v>0</v>
      </c>
      <c r="J46" s="27"/>
      <c r="K46" s="27"/>
      <c r="L46" s="53">
        <f t="shared" si="4"/>
        <v>0</v>
      </c>
      <c r="M46" s="27"/>
      <c r="N46" s="27"/>
      <c r="O46" s="53">
        <f t="shared" si="5"/>
        <v>0</v>
      </c>
      <c r="P46" s="27"/>
      <c r="Q46" s="27"/>
      <c r="R46" s="53">
        <f t="shared" si="23"/>
        <v>0</v>
      </c>
      <c r="S46" s="27"/>
      <c r="T46" s="27"/>
      <c r="U46" s="53">
        <f t="shared" ref="U46:U52" si="111">+T46+S46</f>
        <v>0</v>
      </c>
      <c r="V46" s="27"/>
      <c r="W46" s="27"/>
      <c r="X46" s="53">
        <f t="shared" si="7"/>
        <v>0</v>
      </c>
      <c r="Y46" s="27">
        <v>3000</v>
      </c>
      <c r="Z46" s="27">
        <v>1100</v>
      </c>
      <c r="AA46" s="53">
        <f t="shared" ref="AA46:AA52" si="112">+Z46+Y46</f>
        <v>4100</v>
      </c>
      <c r="AB46" s="27"/>
      <c r="AC46" s="27"/>
      <c r="AD46" s="994">
        <f t="shared" si="9"/>
        <v>0</v>
      </c>
      <c r="AE46" s="27"/>
      <c r="AF46" s="27"/>
      <c r="AG46" s="514">
        <f t="shared" ref="AG46:AG53" si="113">+AE46+AF46</f>
        <v>0</v>
      </c>
    </row>
    <row r="47" spans="1:33" ht="12.75" customHeight="1" x14ac:dyDescent="0.2">
      <c r="A47" s="516" t="s">
        <v>110</v>
      </c>
      <c r="B47" s="1211" t="s">
        <v>161</v>
      </c>
      <c r="C47" s="1210"/>
      <c r="D47" s="576">
        <f t="shared" si="108"/>
        <v>328084</v>
      </c>
      <c r="E47" s="85">
        <f t="shared" si="109"/>
        <v>616</v>
      </c>
      <c r="F47" s="578">
        <f t="shared" si="110"/>
        <v>328700</v>
      </c>
      <c r="G47" s="580"/>
      <c r="H47" s="27"/>
      <c r="I47" s="53">
        <f t="shared" si="3"/>
        <v>0</v>
      </c>
      <c r="J47" s="27">
        <v>973</v>
      </c>
      <c r="K47" s="27">
        <f>-96-877</f>
        <v>-973</v>
      </c>
      <c r="L47" s="53">
        <f t="shared" si="4"/>
        <v>0</v>
      </c>
      <c r="M47" s="27">
        <v>97434</v>
      </c>
      <c r="N47" s="27">
        <f>2466+941+535-218</f>
        <v>3724</v>
      </c>
      <c r="O47" s="53">
        <f t="shared" si="5"/>
        <v>101158</v>
      </c>
      <c r="P47" s="27">
        <v>2135</v>
      </c>
      <c r="Q47" s="27">
        <v>-2135</v>
      </c>
      <c r="R47" s="53">
        <f t="shared" si="23"/>
        <v>0</v>
      </c>
      <c r="S47" s="27">
        <v>1270</v>
      </c>
      <c r="T47" s="27"/>
      <c r="U47" s="53">
        <f t="shared" si="111"/>
        <v>1270</v>
      </c>
      <c r="V47" s="27"/>
      <c r="W47" s="27"/>
      <c r="X47" s="53">
        <f t="shared" si="7"/>
        <v>0</v>
      </c>
      <c r="Y47" s="27"/>
      <c r="Z47" s="27"/>
      <c r="AA47" s="53">
        <f t="shared" si="112"/>
        <v>0</v>
      </c>
      <c r="AB47" s="27">
        <f>160135+1575+3937+36614</f>
        <v>202261</v>
      </c>
      <c r="AC47" s="27"/>
      <c r="AD47" s="994">
        <f t="shared" si="9"/>
        <v>202261</v>
      </c>
      <c r="AE47" s="27">
        <v>24011</v>
      </c>
      <c r="AF47" s="27"/>
      <c r="AG47" s="514">
        <f t="shared" si="113"/>
        <v>24011</v>
      </c>
    </row>
    <row r="48" spans="1:33" ht="12.75" customHeight="1" x14ac:dyDescent="0.2">
      <c r="A48" s="516" t="s">
        <v>113</v>
      </c>
      <c r="B48" s="1211" t="s">
        <v>112</v>
      </c>
      <c r="C48" s="1210"/>
      <c r="D48" s="576">
        <f t="shared" si="108"/>
        <v>0</v>
      </c>
      <c r="E48" s="85">
        <f t="shared" si="109"/>
        <v>0</v>
      </c>
      <c r="F48" s="578">
        <f t="shared" si="110"/>
        <v>0</v>
      </c>
      <c r="G48" s="580"/>
      <c r="H48" s="27"/>
      <c r="I48" s="53">
        <f t="shared" si="3"/>
        <v>0</v>
      </c>
      <c r="J48" s="27"/>
      <c r="K48" s="27"/>
      <c r="L48" s="53">
        <f t="shared" si="4"/>
        <v>0</v>
      </c>
      <c r="M48" s="27"/>
      <c r="N48" s="27"/>
      <c r="O48" s="53">
        <f t="shared" si="5"/>
        <v>0</v>
      </c>
      <c r="P48" s="27"/>
      <c r="Q48" s="27"/>
      <c r="R48" s="53">
        <f t="shared" si="23"/>
        <v>0</v>
      </c>
      <c r="S48" s="27"/>
      <c r="T48" s="27"/>
      <c r="U48" s="53">
        <f t="shared" si="111"/>
        <v>0</v>
      </c>
      <c r="V48" s="27"/>
      <c r="W48" s="27"/>
      <c r="X48" s="53">
        <f t="shared" si="7"/>
        <v>0</v>
      </c>
      <c r="Y48" s="27"/>
      <c r="Z48" s="27"/>
      <c r="AA48" s="53">
        <f t="shared" si="112"/>
        <v>0</v>
      </c>
      <c r="AB48" s="27"/>
      <c r="AC48" s="27"/>
      <c r="AD48" s="994">
        <f t="shared" si="9"/>
        <v>0</v>
      </c>
      <c r="AE48" s="27"/>
      <c r="AF48" s="27"/>
      <c r="AG48" s="514">
        <f t="shared" si="113"/>
        <v>0</v>
      </c>
    </row>
    <row r="49" spans="1:33" ht="12.75" customHeight="1" x14ac:dyDescent="0.2">
      <c r="A49" s="516" t="s">
        <v>115</v>
      </c>
      <c r="B49" s="1211" t="s">
        <v>114</v>
      </c>
      <c r="C49" s="1210"/>
      <c r="D49" s="576">
        <f t="shared" si="108"/>
        <v>3636</v>
      </c>
      <c r="E49" s="85">
        <f t="shared" si="109"/>
        <v>669</v>
      </c>
      <c r="F49" s="578">
        <f t="shared" si="110"/>
        <v>4305</v>
      </c>
      <c r="G49" s="580"/>
      <c r="H49" s="27"/>
      <c r="I49" s="53">
        <f t="shared" si="3"/>
        <v>0</v>
      </c>
      <c r="J49" s="27"/>
      <c r="K49" s="27"/>
      <c r="L49" s="53">
        <f t="shared" si="4"/>
        <v>0</v>
      </c>
      <c r="M49" s="27"/>
      <c r="N49" s="27"/>
      <c r="O49" s="53">
        <f t="shared" si="5"/>
        <v>0</v>
      </c>
      <c r="P49" s="27"/>
      <c r="Q49" s="27"/>
      <c r="R49" s="53">
        <f t="shared" si="23"/>
        <v>0</v>
      </c>
      <c r="S49" s="27"/>
      <c r="T49" s="27"/>
      <c r="U49" s="53">
        <f t="shared" si="111"/>
        <v>0</v>
      </c>
      <c r="V49" s="27"/>
      <c r="W49" s="27"/>
      <c r="X49" s="53">
        <f t="shared" si="7"/>
        <v>0</v>
      </c>
      <c r="Y49" s="27">
        <v>3636</v>
      </c>
      <c r="Z49" s="27">
        <v>669</v>
      </c>
      <c r="AA49" s="53">
        <f t="shared" si="112"/>
        <v>4305</v>
      </c>
      <c r="AB49" s="27"/>
      <c r="AC49" s="27"/>
      <c r="AD49" s="994">
        <f t="shared" si="9"/>
        <v>0</v>
      </c>
      <c r="AE49" s="27"/>
      <c r="AF49" s="27"/>
      <c r="AG49" s="514">
        <f t="shared" si="113"/>
        <v>0</v>
      </c>
    </row>
    <row r="50" spans="1:33" ht="12.75" customHeight="1" x14ac:dyDescent="0.2">
      <c r="A50" s="516" t="s">
        <v>117</v>
      </c>
      <c r="B50" s="1211" t="s">
        <v>116</v>
      </c>
      <c r="C50" s="1210"/>
      <c r="D50" s="576">
        <f t="shared" si="108"/>
        <v>0</v>
      </c>
      <c r="E50" s="85">
        <f t="shared" si="109"/>
        <v>0</v>
      </c>
      <c r="F50" s="578">
        <f t="shared" si="110"/>
        <v>0</v>
      </c>
      <c r="G50" s="580"/>
      <c r="H50" s="27"/>
      <c r="I50" s="53">
        <f t="shared" si="3"/>
        <v>0</v>
      </c>
      <c r="J50" s="27"/>
      <c r="K50" s="27"/>
      <c r="L50" s="53">
        <f t="shared" si="4"/>
        <v>0</v>
      </c>
      <c r="M50" s="27"/>
      <c r="N50" s="27"/>
      <c r="O50" s="53">
        <f t="shared" si="5"/>
        <v>0</v>
      </c>
      <c r="P50" s="27"/>
      <c r="Q50" s="27"/>
      <c r="R50" s="53">
        <f t="shared" si="23"/>
        <v>0</v>
      </c>
      <c r="S50" s="27"/>
      <c r="T50" s="27"/>
      <c r="U50" s="53">
        <f t="shared" si="111"/>
        <v>0</v>
      </c>
      <c r="V50" s="27"/>
      <c r="W50" s="27"/>
      <c r="X50" s="53">
        <f t="shared" si="7"/>
        <v>0</v>
      </c>
      <c r="Y50" s="27"/>
      <c r="Z50" s="27"/>
      <c r="AA50" s="53">
        <f t="shared" si="112"/>
        <v>0</v>
      </c>
      <c r="AB50" s="27"/>
      <c r="AC50" s="27"/>
      <c r="AD50" s="994">
        <f t="shared" si="9"/>
        <v>0</v>
      </c>
      <c r="AE50" s="27"/>
      <c r="AF50" s="27"/>
      <c r="AG50" s="514">
        <f t="shared" si="113"/>
        <v>0</v>
      </c>
    </row>
    <row r="51" spans="1:33" ht="12.75" customHeight="1" x14ac:dyDescent="0.2">
      <c r="A51" s="516" t="s">
        <v>119</v>
      </c>
      <c r="B51" s="1211" t="s">
        <v>118</v>
      </c>
      <c r="C51" s="1210"/>
      <c r="D51" s="576">
        <f t="shared" si="108"/>
        <v>0</v>
      </c>
      <c r="E51" s="85">
        <f t="shared" si="109"/>
        <v>0</v>
      </c>
      <c r="F51" s="578">
        <f t="shared" si="110"/>
        <v>0</v>
      </c>
      <c r="G51" s="580"/>
      <c r="H51" s="27"/>
      <c r="I51" s="53">
        <f t="shared" si="3"/>
        <v>0</v>
      </c>
      <c r="J51" s="27"/>
      <c r="K51" s="27"/>
      <c r="L51" s="53">
        <f t="shared" si="4"/>
        <v>0</v>
      </c>
      <c r="M51" s="27"/>
      <c r="N51" s="27"/>
      <c r="O51" s="53">
        <f t="shared" si="5"/>
        <v>0</v>
      </c>
      <c r="P51" s="27"/>
      <c r="Q51" s="27"/>
      <c r="R51" s="53">
        <f t="shared" si="23"/>
        <v>0</v>
      </c>
      <c r="S51" s="27"/>
      <c r="T51" s="27"/>
      <c r="U51" s="53">
        <f t="shared" si="111"/>
        <v>0</v>
      </c>
      <c r="V51" s="27"/>
      <c r="W51" s="27"/>
      <c r="X51" s="53">
        <f t="shared" si="7"/>
        <v>0</v>
      </c>
      <c r="Y51" s="27"/>
      <c r="Z51" s="27"/>
      <c r="AA51" s="53">
        <f t="shared" si="112"/>
        <v>0</v>
      </c>
      <c r="AB51" s="27"/>
      <c r="AC51" s="27"/>
      <c r="AD51" s="994">
        <f t="shared" si="9"/>
        <v>0</v>
      </c>
      <c r="AE51" s="27"/>
      <c r="AF51" s="27"/>
      <c r="AG51" s="514">
        <f t="shared" si="113"/>
        <v>0</v>
      </c>
    </row>
    <row r="52" spans="1:33" ht="12.75" customHeight="1" x14ac:dyDescent="0.2">
      <c r="A52" s="516" t="s">
        <v>121</v>
      </c>
      <c r="B52" s="1211" t="s">
        <v>120</v>
      </c>
      <c r="C52" s="1210"/>
      <c r="D52" s="576">
        <f t="shared" si="108"/>
        <v>15486</v>
      </c>
      <c r="E52" s="85">
        <f t="shared" si="109"/>
        <v>696</v>
      </c>
      <c r="F52" s="578">
        <f t="shared" si="110"/>
        <v>16182</v>
      </c>
      <c r="G52" s="580"/>
      <c r="H52" s="27"/>
      <c r="I52" s="53">
        <f t="shared" si="3"/>
        <v>0</v>
      </c>
      <c r="J52" s="27"/>
      <c r="K52" s="27"/>
      <c r="L52" s="53">
        <f t="shared" si="4"/>
        <v>0</v>
      </c>
      <c r="M52" s="27">
        <v>675</v>
      </c>
      <c r="N52" s="27">
        <v>218</v>
      </c>
      <c r="O52" s="53">
        <f t="shared" si="5"/>
        <v>893</v>
      </c>
      <c r="P52" s="27"/>
      <c r="Q52" s="27"/>
      <c r="R52" s="53">
        <f t="shared" si="23"/>
        <v>0</v>
      </c>
      <c r="S52" s="27"/>
      <c r="T52" s="27"/>
      <c r="U52" s="53">
        <f t="shared" si="111"/>
        <v>0</v>
      </c>
      <c r="V52" s="27"/>
      <c r="W52" s="27"/>
      <c r="X52" s="53">
        <f t="shared" si="7"/>
        <v>0</v>
      </c>
      <c r="Y52" s="27">
        <v>1277</v>
      </c>
      <c r="Z52" s="27">
        <f>181+297</f>
        <v>478</v>
      </c>
      <c r="AA52" s="53">
        <f t="shared" si="112"/>
        <v>1755</v>
      </c>
      <c r="AB52" s="27">
        <f>2160+425+1063+9886</f>
        <v>13534</v>
      </c>
      <c r="AC52" s="27"/>
      <c r="AD52" s="994">
        <f t="shared" si="9"/>
        <v>13534</v>
      </c>
      <c r="AE52" s="27"/>
      <c r="AF52" s="27"/>
      <c r="AG52" s="514">
        <f t="shared" si="113"/>
        <v>0</v>
      </c>
    </row>
    <row r="53" spans="1:33" s="42" customFormat="1" ht="12.75" customHeight="1" x14ac:dyDescent="0.2">
      <c r="A53" s="513" t="s">
        <v>122</v>
      </c>
      <c r="B53" s="1215" t="s">
        <v>160</v>
      </c>
      <c r="C53" s="1200"/>
      <c r="D53" s="576">
        <f t="shared" si="108"/>
        <v>350206</v>
      </c>
      <c r="E53" s="85">
        <f t="shared" si="109"/>
        <v>3081</v>
      </c>
      <c r="F53" s="578">
        <f t="shared" si="110"/>
        <v>353287</v>
      </c>
      <c r="G53" s="579">
        <f t="shared" ref="G53" si="114">+G52+G51+G50+G49+G48+G47+G46</f>
        <v>0</v>
      </c>
      <c r="H53" s="53">
        <f t="shared" ref="H53:Q53" si="115">+H52+H51+H50+H49+H48+H47+H46</f>
        <v>0</v>
      </c>
      <c r="I53" s="53">
        <f t="shared" si="3"/>
        <v>0</v>
      </c>
      <c r="J53" s="53">
        <f t="shared" ref="J53" si="116">+J52+J51+J50+J49+J48+J47+J46</f>
        <v>973</v>
      </c>
      <c r="K53" s="53">
        <f t="shared" si="115"/>
        <v>-973</v>
      </c>
      <c r="L53" s="53">
        <f t="shared" si="4"/>
        <v>0</v>
      </c>
      <c r="M53" s="53">
        <f t="shared" ref="M53" si="117">+M52+M51+M50+M49+M48+M47+M46</f>
        <v>98109</v>
      </c>
      <c r="N53" s="53">
        <f t="shared" si="115"/>
        <v>3942</v>
      </c>
      <c r="O53" s="53">
        <f t="shared" si="5"/>
        <v>102051</v>
      </c>
      <c r="P53" s="53">
        <f t="shared" ref="P53" si="118">+P52+P51+P50+P49+P48+P47+P46</f>
        <v>2135</v>
      </c>
      <c r="Q53" s="53">
        <f t="shared" si="115"/>
        <v>-2135</v>
      </c>
      <c r="R53" s="53">
        <f t="shared" si="23"/>
        <v>0</v>
      </c>
      <c r="S53" s="53">
        <f t="shared" ref="S53" si="119">+S52+S51+S50+S49+S48+S47+S46</f>
        <v>1270</v>
      </c>
      <c r="T53" s="53">
        <f>+T52+T51+T50+T49+T48+T47+T46</f>
        <v>0</v>
      </c>
      <c r="U53" s="53">
        <f t="shared" ref="U53" si="120">+U52+U51+U50+U49+U48+U47+U46</f>
        <v>1270</v>
      </c>
      <c r="V53" s="53">
        <f t="shared" ref="V53" si="121">+V52+V51+V50+V49+V48+V47+V46</f>
        <v>0</v>
      </c>
      <c r="W53" s="53">
        <f>+W52+W51+W50+W49+W48+W47+W46</f>
        <v>0</v>
      </c>
      <c r="X53" s="53">
        <f t="shared" ref="X53:AB53" si="122">+X52+X51+X50+X49+X48+X47+X46</f>
        <v>0</v>
      </c>
      <c r="Y53" s="53">
        <f t="shared" si="122"/>
        <v>7913</v>
      </c>
      <c r="Z53" s="53">
        <f>+Z52+Z51+Z50+Z49+Z48+Z47+Z46</f>
        <v>2247</v>
      </c>
      <c r="AA53" s="53">
        <f t="shared" ref="AA53" si="123">+AA52+AA51+AA50+AA49+AA48+AA47+AA46</f>
        <v>10160</v>
      </c>
      <c r="AB53" s="53">
        <f t="shared" si="122"/>
        <v>215795</v>
      </c>
      <c r="AC53" s="53">
        <f t="shared" ref="AC53" si="124">+AC52+AC51+AC50+AC49+AC48+AC47+AC46</f>
        <v>0</v>
      </c>
      <c r="AD53" s="994">
        <f t="shared" si="9"/>
        <v>215795</v>
      </c>
      <c r="AE53" s="53">
        <f t="shared" ref="AE53" si="125">+AE52+AE51+AE50+AE49+AE48+AE47+AE46</f>
        <v>24011</v>
      </c>
      <c r="AF53" s="53">
        <f t="shared" ref="AF53" si="126">+AF52+AF51+AF50+AF49+AF48+AF47+AF46</f>
        <v>0</v>
      </c>
      <c r="AG53" s="514">
        <f t="shared" si="113"/>
        <v>24011</v>
      </c>
    </row>
    <row r="54" spans="1:33" x14ac:dyDescent="0.2">
      <c r="A54" s="515"/>
      <c r="B54" s="751"/>
      <c r="C54" s="308"/>
      <c r="D54" s="780"/>
      <c r="E54" s="758"/>
      <c r="F54" s="781"/>
      <c r="G54" s="998"/>
      <c r="H54" s="56"/>
      <c r="I54" s="199"/>
      <c r="J54" s="56"/>
      <c r="K54" s="56"/>
      <c r="L54" s="199"/>
      <c r="M54" s="56"/>
      <c r="N54" s="56"/>
      <c r="O54" s="199"/>
      <c r="P54" s="56"/>
      <c r="Q54" s="56"/>
      <c r="R54" s="199"/>
      <c r="S54" s="56"/>
      <c r="T54" s="56"/>
      <c r="U54" s="199"/>
      <c r="V54" s="56"/>
      <c r="W54" s="56"/>
      <c r="X54" s="199"/>
      <c r="Y54" s="56"/>
      <c r="Z54" s="56"/>
      <c r="AA54" s="199"/>
      <c r="AB54" s="56"/>
      <c r="AC54" s="56"/>
      <c r="AD54" s="199"/>
      <c r="AE54" s="996"/>
      <c r="AF54" s="56"/>
      <c r="AG54" s="577"/>
    </row>
    <row r="55" spans="1:33" ht="12.75" customHeight="1" x14ac:dyDescent="0.2">
      <c r="A55" s="516" t="s">
        <v>124</v>
      </c>
      <c r="B55" s="1211" t="s">
        <v>123</v>
      </c>
      <c r="C55" s="1210"/>
      <c r="D55" s="576">
        <f t="shared" ref="D55:D59" si="127">+G55+J55+M55+P55+AB55+V55+AE55+S55+Y55</f>
        <v>97271</v>
      </c>
      <c r="E55" s="85">
        <f t="shared" ref="E55:E59" si="128">+H55+K55+N55+Q55+AC55+W55+AF55+T55+Z55</f>
        <v>0</v>
      </c>
      <c r="F55" s="578">
        <f t="shared" ref="F55:F59" si="129">+I55+L55+O55+R55+AD55+X55+AG55+U55+AA55</f>
        <v>97271</v>
      </c>
      <c r="G55" s="580"/>
      <c r="H55" s="27"/>
      <c r="I55" s="53">
        <f t="shared" si="3"/>
        <v>0</v>
      </c>
      <c r="J55" s="27"/>
      <c r="K55" s="27"/>
      <c r="L55" s="53">
        <f t="shared" si="4"/>
        <v>0</v>
      </c>
      <c r="M55" s="27"/>
      <c r="N55" s="27"/>
      <c r="O55" s="53">
        <f t="shared" si="5"/>
        <v>0</v>
      </c>
      <c r="P55" s="27"/>
      <c r="Q55" s="27"/>
      <c r="R55" s="53">
        <f t="shared" si="23"/>
        <v>0</v>
      </c>
      <c r="S55" s="27">
        <v>249</v>
      </c>
      <c r="T55" s="27"/>
      <c r="U55" s="53">
        <f t="shared" ref="U55:U59" si="130">+T55+S55</f>
        <v>249</v>
      </c>
      <c r="V55" s="27"/>
      <c r="W55" s="27"/>
      <c r="X55" s="53">
        <f t="shared" si="7"/>
        <v>0</v>
      </c>
      <c r="Y55" s="27"/>
      <c r="Z55" s="27"/>
      <c r="AA55" s="53">
        <f t="shared" ref="AA55:AA59" si="131">+Z55+Y55</f>
        <v>0</v>
      </c>
      <c r="AB55" s="27">
        <v>97022</v>
      </c>
      <c r="AC55" s="27"/>
      <c r="AD55" s="994">
        <f t="shared" si="9"/>
        <v>97022</v>
      </c>
      <c r="AE55" s="27"/>
      <c r="AF55" s="27"/>
      <c r="AG55" s="514">
        <f t="shared" ref="AG55:AG59" si="132">+AE55+AF55</f>
        <v>0</v>
      </c>
    </row>
    <row r="56" spans="1:33" ht="12.75" customHeight="1" x14ac:dyDescent="0.2">
      <c r="A56" s="516" t="s">
        <v>126</v>
      </c>
      <c r="B56" s="1211" t="s">
        <v>125</v>
      </c>
      <c r="C56" s="1210"/>
      <c r="D56" s="576">
        <f t="shared" si="127"/>
        <v>0</v>
      </c>
      <c r="E56" s="85">
        <f t="shared" si="128"/>
        <v>0</v>
      </c>
      <c r="F56" s="578">
        <f t="shared" si="129"/>
        <v>0</v>
      </c>
      <c r="G56" s="580"/>
      <c r="H56" s="27"/>
      <c r="I56" s="53">
        <f t="shared" si="3"/>
        <v>0</v>
      </c>
      <c r="J56" s="27"/>
      <c r="K56" s="27"/>
      <c r="L56" s="53">
        <f t="shared" si="4"/>
        <v>0</v>
      </c>
      <c r="M56" s="27"/>
      <c r="N56" s="27"/>
      <c r="O56" s="53">
        <f t="shared" si="5"/>
        <v>0</v>
      </c>
      <c r="P56" s="27"/>
      <c r="Q56" s="27"/>
      <c r="R56" s="53">
        <f t="shared" si="23"/>
        <v>0</v>
      </c>
      <c r="S56" s="27"/>
      <c r="T56" s="27"/>
      <c r="U56" s="53">
        <f t="shared" si="130"/>
        <v>0</v>
      </c>
      <c r="V56" s="27"/>
      <c r="W56" s="27"/>
      <c r="X56" s="53">
        <f t="shared" si="7"/>
        <v>0</v>
      </c>
      <c r="Y56" s="27"/>
      <c r="Z56" s="27"/>
      <c r="AA56" s="53">
        <f t="shared" si="131"/>
        <v>0</v>
      </c>
      <c r="AB56" s="27"/>
      <c r="AC56" s="27"/>
      <c r="AD56" s="994">
        <f t="shared" si="9"/>
        <v>0</v>
      </c>
      <c r="AE56" s="27"/>
      <c r="AF56" s="27"/>
      <c r="AG56" s="514">
        <f t="shared" si="132"/>
        <v>0</v>
      </c>
    </row>
    <row r="57" spans="1:33" ht="12.75" customHeight="1" x14ac:dyDescent="0.2">
      <c r="A57" s="516" t="s">
        <v>128</v>
      </c>
      <c r="B57" s="1211" t="s">
        <v>127</v>
      </c>
      <c r="C57" s="1210"/>
      <c r="D57" s="576">
        <f t="shared" si="127"/>
        <v>0</v>
      </c>
      <c r="E57" s="85">
        <f t="shared" si="128"/>
        <v>0</v>
      </c>
      <c r="F57" s="578">
        <f t="shared" si="129"/>
        <v>0</v>
      </c>
      <c r="G57" s="580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53">
        <f t="shared" si="23"/>
        <v>0</v>
      </c>
      <c r="S57" s="27"/>
      <c r="T57" s="27"/>
      <c r="U57" s="53">
        <f t="shared" si="130"/>
        <v>0</v>
      </c>
      <c r="V57" s="27"/>
      <c r="W57" s="27"/>
      <c r="X57" s="53">
        <f t="shared" si="7"/>
        <v>0</v>
      </c>
      <c r="Y57" s="27"/>
      <c r="Z57" s="27"/>
      <c r="AA57" s="53">
        <f t="shared" si="131"/>
        <v>0</v>
      </c>
      <c r="AB57" s="27"/>
      <c r="AC57" s="27"/>
      <c r="AD57" s="994">
        <f t="shared" si="9"/>
        <v>0</v>
      </c>
      <c r="AE57" s="27"/>
      <c r="AF57" s="27"/>
      <c r="AG57" s="514">
        <f t="shared" si="132"/>
        <v>0</v>
      </c>
    </row>
    <row r="58" spans="1:33" ht="12.75" customHeight="1" x14ac:dyDescent="0.2">
      <c r="A58" s="516" t="s">
        <v>130</v>
      </c>
      <c r="B58" s="1211" t="s">
        <v>129</v>
      </c>
      <c r="C58" s="1210"/>
      <c r="D58" s="576">
        <f t="shared" si="127"/>
        <v>26263</v>
      </c>
      <c r="E58" s="85">
        <f t="shared" si="128"/>
        <v>0</v>
      </c>
      <c r="F58" s="578">
        <f t="shared" si="129"/>
        <v>26263</v>
      </c>
      <c r="G58" s="580"/>
      <c r="H58" s="27"/>
      <c r="I58" s="53">
        <f t="shared" si="3"/>
        <v>0</v>
      </c>
      <c r="J58" s="27"/>
      <c r="K58" s="27"/>
      <c r="L58" s="53">
        <f t="shared" si="4"/>
        <v>0</v>
      </c>
      <c r="M58" s="27"/>
      <c r="N58" s="27"/>
      <c r="O58" s="53">
        <f t="shared" si="5"/>
        <v>0</v>
      </c>
      <c r="P58" s="27"/>
      <c r="Q58" s="27"/>
      <c r="R58" s="53">
        <f t="shared" si="23"/>
        <v>0</v>
      </c>
      <c r="S58" s="27">
        <v>67</v>
      </c>
      <c r="T58" s="27"/>
      <c r="U58" s="53">
        <f t="shared" si="130"/>
        <v>67</v>
      </c>
      <c r="V58" s="27"/>
      <c r="W58" s="27"/>
      <c r="X58" s="53">
        <f t="shared" si="7"/>
        <v>0</v>
      </c>
      <c r="Y58" s="27"/>
      <c r="Z58" s="27"/>
      <c r="AA58" s="53">
        <f t="shared" si="131"/>
        <v>0</v>
      </c>
      <c r="AB58" s="27">
        <v>26196</v>
      </c>
      <c r="AC58" s="27"/>
      <c r="AD58" s="994">
        <f t="shared" si="9"/>
        <v>26196</v>
      </c>
      <c r="AE58" s="27"/>
      <c r="AF58" s="27"/>
      <c r="AG58" s="514">
        <f t="shared" si="132"/>
        <v>0</v>
      </c>
    </row>
    <row r="59" spans="1:33" s="42" customFormat="1" ht="12.75" customHeight="1" x14ac:dyDescent="0.2">
      <c r="A59" s="513" t="s">
        <v>131</v>
      </c>
      <c r="B59" s="1215" t="s">
        <v>159</v>
      </c>
      <c r="C59" s="1200"/>
      <c r="D59" s="576">
        <f t="shared" si="127"/>
        <v>123534</v>
      </c>
      <c r="E59" s="85">
        <f t="shared" si="128"/>
        <v>0</v>
      </c>
      <c r="F59" s="578">
        <f t="shared" si="129"/>
        <v>123534</v>
      </c>
      <c r="G59" s="999">
        <f>SUM(G55:G58)</f>
        <v>0</v>
      </c>
      <c r="H59" s="575">
        <f>SUM(H55:H58)</f>
        <v>0</v>
      </c>
      <c r="I59" s="53">
        <f t="shared" si="3"/>
        <v>0</v>
      </c>
      <c r="J59" s="53">
        <f t="shared" ref="J59" si="133">SUM(J55:J58)</f>
        <v>0</v>
      </c>
      <c r="K59" s="53">
        <f>SUM(K55:K58)</f>
        <v>0</v>
      </c>
      <c r="L59" s="53">
        <f t="shared" si="4"/>
        <v>0</v>
      </c>
      <c r="M59" s="53">
        <f t="shared" ref="M59" si="134">SUM(M55:M58)</f>
        <v>0</v>
      </c>
      <c r="N59" s="53">
        <f>SUM(N55:N58)</f>
        <v>0</v>
      </c>
      <c r="O59" s="53">
        <f t="shared" si="5"/>
        <v>0</v>
      </c>
      <c r="P59" s="53">
        <f t="shared" ref="P59" si="135">SUM(P55:P58)</f>
        <v>0</v>
      </c>
      <c r="Q59" s="53">
        <f>SUM(Q55:Q58)</f>
        <v>0</v>
      </c>
      <c r="R59" s="53">
        <f t="shared" si="23"/>
        <v>0</v>
      </c>
      <c r="S59" s="53">
        <f t="shared" ref="S59" si="136">SUM(S55:S58)</f>
        <v>316</v>
      </c>
      <c r="T59" s="53">
        <f>SUM(T55:T58)</f>
        <v>0</v>
      </c>
      <c r="U59" s="53">
        <f t="shared" si="130"/>
        <v>316</v>
      </c>
      <c r="V59" s="53">
        <f t="shared" ref="V59" si="137">SUM(V55:V58)</f>
        <v>0</v>
      </c>
      <c r="W59" s="53">
        <f>SUM(W55:W58)</f>
        <v>0</v>
      </c>
      <c r="X59" s="53">
        <f t="shared" si="7"/>
        <v>0</v>
      </c>
      <c r="Y59" s="53">
        <f t="shared" ref="Y59" si="138">SUM(Y55:Y58)</f>
        <v>0</v>
      </c>
      <c r="Z59" s="53">
        <f>SUM(Z55:Z58)</f>
        <v>0</v>
      </c>
      <c r="AA59" s="53">
        <f t="shared" si="131"/>
        <v>0</v>
      </c>
      <c r="AB59" s="53">
        <f t="shared" ref="AB59" si="139">SUM(AB55:AB58)</f>
        <v>123218</v>
      </c>
      <c r="AC59" s="53">
        <f>SUM(AC55:AC58)</f>
        <v>0</v>
      </c>
      <c r="AD59" s="994">
        <f t="shared" si="9"/>
        <v>123218</v>
      </c>
      <c r="AE59" s="53"/>
      <c r="AF59" s="53">
        <f>SUM(AF55:AF58)</f>
        <v>0</v>
      </c>
      <c r="AG59" s="514">
        <f t="shared" si="132"/>
        <v>0</v>
      </c>
    </row>
    <row r="60" spans="1:33" x14ac:dyDescent="0.2">
      <c r="A60" s="515"/>
      <c r="B60" s="751"/>
      <c r="C60" s="308"/>
      <c r="D60" s="780"/>
      <c r="E60" s="758"/>
      <c r="F60" s="781"/>
      <c r="G60" s="998"/>
      <c r="H60" s="56"/>
      <c r="I60" s="199"/>
      <c r="J60" s="56"/>
      <c r="K60" s="56"/>
      <c r="L60" s="199"/>
      <c r="M60" s="56"/>
      <c r="N60" s="56"/>
      <c r="O60" s="199"/>
      <c r="P60" s="56"/>
      <c r="Q60" s="56"/>
      <c r="R60" s="199"/>
      <c r="S60" s="56"/>
      <c r="T60" s="56"/>
      <c r="U60" s="199"/>
      <c r="V60" s="56"/>
      <c r="W60" s="56"/>
      <c r="X60" s="199"/>
      <c r="Y60" s="56"/>
      <c r="Z60" s="56"/>
      <c r="AA60" s="199"/>
      <c r="AB60" s="56"/>
      <c r="AC60" s="56"/>
      <c r="AD60" s="199"/>
      <c r="AE60" s="996"/>
      <c r="AF60" s="56"/>
      <c r="AG60" s="577"/>
    </row>
    <row r="61" spans="1:33" hidden="1" x14ac:dyDescent="0.2">
      <c r="A61" s="96" t="s">
        <v>371</v>
      </c>
      <c r="B61" s="1234" t="s">
        <v>372</v>
      </c>
      <c r="C61" s="1235"/>
      <c r="D61" s="780">
        <f t="shared" si="27"/>
        <v>0</v>
      </c>
      <c r="E61" s="758">
        <f t="shared" si="28"/>
        <v>0</v>
      </c>
      <c r="F61" s="781">
        <f t="shared" si="29"/>
        <v>0</v>
      </c>
      <c r="G61" s="998"/>
      <c r="H61" s="56"/>
      <c r="I61" s="199">
        <f t="shared" si="3"/>
        <v>0</v>
      </c>
      <c r="J61" s="56"/>
      <c r="K61" s="56"/>
      <c r="L61" s="199">
        <f t="shared" si="4"/>
        <v>0</v>
      </c>
      <c r="M61" s="56"/>
      <c r="N61" s="56"/>
      <c r="O61" s="199">
        <f t="shared" si="5"/>
        <v>0</v>
      </c>
      <c r="P61" s="56"/>
      <c r="Q61" s="56"/>
      <c r="R61" s="199">
        <f t="shared" si="23"/>
        <v>0</v>
      </c>
      <c r="S61" s="56"/>
      <c r="T61" s="56"/>
      <c r="U61" s="199">
        <f t="shared" ref="U61:U63" si="140">+T61+S61</f>
        <v>0</v>
      </c>
      <c r="V61" s="56"/>
      <c r="W61" s="56"/>
      <c r="X61" s="199">
        <f t="shared" si="7"/>
        <v>0</v>
      </c>
      <c r="Y61" s="56"/>
      <c r="Z61" s="56"/>
      <c r="AA61" s="199">
        <f t="shared" ref="AA61:AA63" si="141">+Z61+Y61</f>
        <v>0</v>
      </c>
      <c r="AB61" s="56"/>
      <c r="AC61" s="56"/>
      <c r="AD61" s="199">
        <f t="shared" si="9"/>
        <v>0</v>
      </c>
      <c r="AE61" s="996"/>
      <c r="AF61" s="56"/>
      <c r="AG61" s="577">
        <f t="shared" ref="AG61:AG64" si="142">+AE61+AF61</f>
        <v>0</v>
      </c>
    </row>
    <row r="62" spans="1:33" hidden="1" x14ac:dyDescent="0.2">
      <c r="A62" s="96" t="s">
        <v>384</v>
      </c>
      <c r="B62" s="1234" t="s">
        <v>385</v>
      </c>
      <c r="C62" s="1235"/>
      <c r="D62" s="780">
        <f t="shared" si="27"/>
        <v>0</v>
      </c>
      <c r="E62" s="758">
        <f t="shared" si="28"/>
        <v>0</v>
      </c>
      <c r="F62" s="781">
        <f t="shared" si="29"/>
        <v>0</v>
      </c>
      <c r="G62" s="998"/>
      <c r="H62" s="56"/>
      <c r="I62" s="199">
        <f t="shared" si="3"/>
        <v>0</v>
      </c>
      <c r="J62" s="56"/>
      <c r="K62" s="56"/>
      <c r="L62" s="199">
        <f t="shared" si="4"/>
        <v>0</v>
      </c>
      <c r="M62" s="56"/>
      <c r="N62" s="56"/>
      <c r="O62" s="199">
        <f t="shared" si="5"/>
        <v>0</v>
      </c>
      <c r="P62" s="56"/>
      <c r="Q62" s="56"/>
      <c r="R62" s="199">
        <f t="shared" si="23"/>
        <v>0</v>
      </c>
      <c r="S62" s="56"/>
      <c r="T62" s="56"/>
      <c r="U62" s="199">
        <f t="shared" si="140"/>
        <v>0</v>
      </c>
      <c r="V62" s="56"/>
      <c r="W62" s="56"/>
      <c r="X62" s="199">
        <f t="shared" si="7"/>
        <v>0</v>
      </c>
      <c r="Y62" s="56"/>
      <c r="Z62" s="56"/>
      <c r="AA62" s="199">
        <f t="shared" si="141"/>
        <v>0</v>
      </c>
      <c r="AB62" s="56"/>
      <c r="AC62" s="56"/>
      <c r="AD62" s="199">
        <f t="shared" si="9"/>
        <v>0</v>
      </c>
      <c r="AE62" s="996"/>
      <c r="AF62" s="56"/>
      <c r="AG62" s="577">
        <f t="shared" si="142"/>
        <v>0</v>
      </c>
    </row>
    <row r="63" spans="1:33" ht="12.75" hidden="1" customHeight="1" x14ac:dyDescent="0.2">
      <c r="A63" s="96" t="s">
        <v>607</v>
      </c>
      <c r="B63" s="1234" t="s">
        <v>386</v>
      </c>
      <c r="C63" s="1235"/>
      <c r="D63" s="780">
        <f t="shared" si="27"/>
        <v>0</v>
      </c>
      <c r="E63" s="758">
        <f t="shared" si="28"/>
        <v>0</v>
      </c>
      <c r="F63" s="781">
        <f t="shared" si="29"/>
        <v>0</v>
      </c>
      <c r="G63" s="998"/>
      <c r="H63" s="56"/>
      <c r="I63" s="199">
        <f t="shared" si="3"/>
        <v>0</v>
      </c>
      <c r="J63" s="56"/>
      <c r="K63" s="56"/>
      <c r="L63" s="199">
        <f t="shared" si="4"/>
        <v>0</v>
      </c>
      <c r="M63" s="56"/>
      <c r="N63" s="56"/>
      <c r="O63" s="199">
        <f t="shared" si="5"/>
        <v>0</v>
      </c>
      <c r="P63" s="56"/>
      <c r="Q63" s="56"/>
      <c r="R63" s="199">
        <f t="shared" si="23"/>
        <v>0</v>
      </c>
      <c r="S63" s="56"/>
      <c r="T63" s="56"/>
      <c r="U63" s="199">
        <f t="shared" si="140"/>
        <v>0</v>
      </c>
      <c r="V63" s="56"/>
      <c r="W63" s="56"/>
      <c r="X63" s="199">
        <f t="shared" si="7"/>
        <v>0</v>
      </c>
      <c r="Y63" s="56"/>
      <c r="Z63" s="56"/>
      <c r="AA63" s="199">
        <f t="shared" si="141"/>
        <v>0</v>
      </c>
      <c r="AB63" s="56"/>
      <c r="AC63" s="56"/>
      <c r="AD63" s="199">
        <f t="shared" si="9"/>
        <v>0</v>
      </c>
      <c r="AE63" s="996"/>
      <c r="AF63" s="56"/>
      <c r="AG63" s="577">
        <f t="shared" si="142"/>
        <v>0</v>
      </c>
    </row>
    <row r="64" spans="1:33" s="42" customFormat="1" ht="12.75" customHeight="1" x14ac:dyDescent="0.2">
      <c r="A64" s="513" t="s">
        <v>133</v>
      </c>
      <c r="B64" s="1215" t="s">
        <v>157</v>
      </c>
      <c r="C64" s="1200"/>
      <c r="D64" s="576">
        <f>+G64+J64+M64+P64+AB64+V64+AE64+S64+Y64</f>
        <v>0</v>
      </c>
      <c r="E64" s="85">
        <f>+H64+K64+N64+Q64+AC64+W64+AF64+T64+Z64</f>
        <v>0</v>
      </c>
      <c r="F64" s="578">
        <f>+I64+L64+O64+R64+AD64+X64+AG64+U64+AA64</f>
        <v>0</v>
      </c>
      <c r="G64" s="579">
        <f t="shared" ref="G64" si="143">SUM(G61:G63)</f>
        <v>0</v>
      </c>
      <c r="H64" s="53">
        <f t="shared" ref="H64:Q64" si="144">SUM(H61:H63)</f>
        <v>0</v>
      </c>
      <c r="I64" s="53">
        <f t="shared" si="3"/>
        <v>0</v>
      </c>
      <c r="J64" s="53">
        <f t="shared" ref="J64" si="145">SUM(J61:J63)</f>
        <v>0</v>
      </c>
      <c r="K64" s="53">
        <f t="shared" si="144"/>
        <v>0</v>
      </c>
      <c r="L64" s="53">
        <f t="shared" si="4"/>
        <v>0</v>
      </c>
      <c r="M64" s="53">
        <f t="shared" ref="M64" si="146">SUM(M61:M63)</f>
        <v>0</v>
      </c>
      <c r="N64" s="53">
        <f t="shared" si="144"/>
        <v>0</v>
      </c>
      <c r="O64" s="53">
        <f t="shared" si="5"/>
        <v>0</v>
      </c>
      <c r="P64" s="53">
        <f t="shared" ref="P64" si="147">SUM(P61:P63)</f>
        <v>0</v>
      </c>
      <c r="Q64" s="53">
        <f t="shared" si="144"/>
        <v>0</v>
      </c>
      <c r="R64" s="53">
        <f t="shared" si="23"/>
        <v>0</v>
      </c>
      <c r="S64" s="53">
        <f t="shared" ref="S64:U64" si="148">SUM(S61:S63)</f>
        <v>0</v>
      </c>
      <c r="T64" s="53">
        <f t="shared" si="148"/>
        <v>0</v>
      </c>
      <c r="U64" s="53">
        <f t="shared" si="148"/>
        <v>0</v>
      </c>
      <c r="V64" s="53">
        <f t="shared" ref="V64" si="149">SUM(V61:V63)</f>
        <v>0</v>
      </c>
      <c r="W64" s="53">
        <f t="shared" ref="W64:AA64" si="150">SUM(W61:W63)</f>
        <v>0</v>
      </c>
      <c r="X64" s="53">
        <f t="shared" si="150"/>
        <v>0</v>
      </c>
      <c r="Y64" s="53">
        <f t="shared" si="150"/>
        <v>0</v>
      </c>
      <c r="Z64" s="53">
        <f t="shared" si="150"/>
        <v>0</v>
      </c>
      <c r="AA64" s="53">
        <f t="shared" si="150"/>
        <v>0</v>
      </c>
      <c r="AB64" s="53">
        <f t="shared" ref="AB64:AC64" si="151">SUM(AB61:AB63)</f>
        <v>0</v>
      </c>
      <c r="AC64" s="53">
        <f t="shared" si="151"/>
        <v>0</v>
      </c>
      <c r="AD64" s="994">
        <f t="shared" si="9"/>
        <v>0</v>
      </c>
      <c r="AE64" s="53">
        <f t="shared" ref="AE64" si="152">SUM(AE61:AE63)</f>
        <v>0</v>
      </c>
      <c r="AF64" s="53">
        <f t="shared" ref="AF64" si="153">SUM(AF61:AF63)</f>
        <v>0</v>
      </c>
      <c r="AG64" s="514">
        <f t="shared" si="142"/>
        <v>0</v>
      </c>
    </row>
    <row r="65" spans="1:33" x14ac:dyDescent="0.2">
      <c r="A65" s="515"/>
      <c r="B65" s="512"/>
      <c r="C65" s="776"/>
      <c r="D65" s="780"/>
      <c r="E65" s="758"/>
      <c r="F65" s="781"/>
      <c r="G65" s="998"/>
      <c r="H65" s="56"/>
      <c r="I65" s="199"/>
      <c r="J65" s="56"/>
      <c r="K65" s="56"/>
      <c r="L65" s="199"/>
      <c r="M65" s="56"/>
      <c r="N65" s="56"/>
      <c r="O65" s="199"/>
      <c r="P65" s="56"/>
      <c r="Q65" s="56"/>
      <c r="R65" s="199"/>
      <c r="S65" s="56"/>
      <c r="T65" s="56"/>
      <c r="U65" s="199"/>
      <c r="V65" s="56"/>
      <c r="W65" s="56"/>
      <c r="X65" s="199"/>
      <c r="Y65" s="56"/>
      <c r="Z65" s="56"/>
      <c r="AA65" s="199"/>
      <c r="AB65" s="56"/>
      <c r="AC65" s="56"/>
      <c r="AD65" s="199"/>
      <c r="AE65" s="996"/>
      <c r="AF65" s="56"/>
      <c r="AG65" s="577"/>
    </row>
    <row r="66" spans="1:33" s="42" customFormat="1" ht="12.75" customHeight="1" x14ac:dyDescent="0.2">
      <c r="A66" s="767" t="s">
        <v>134</v>
      </c>
      <c r="B66" s="1215" t="s">
        <v>156</v>
      </c>
      <c r="C66" s="1200"/>
      <c r="D66" s="576">
        <f>+G66+J66+M66+P66+AB66+V66+AE66+S66+Y66</f>
        <v>552840</v>
      </c>
      <c r="E66" s="85">
        <f>+H66+K66+N66+Q66+AC66+W66+AF66+T66+Z66</f>
        <v>2247</v>
      </c>
      <c r="F66" s="578">
        <f>+I66+L66+O66+R66+AD66+X66+AG66+U66+AA66</f>
        <v>555087</v>
      </c>
      <c r="G66" s="579">
        <f t="shared" ref="G66" si="154">+G64+G59+G53+G44+G35+G9+G7</f>
        <v>250</v>
      </c>
      <c r="H66" s="53">
        <f t="shared" ref="H66:Q66" si="155">+H64+H59+H53+H44+H35+H9+H7</f>
        <v>-250</v>
      </c>
      <c r="I66" s="53">
        <f t="shared" si="3"/>
        <v>0</v>
      </c>
      <c r="J66" s="53">
        <f t="shared" ref="J66" si="156">+J64+J59+J53+J44+J35+J9+J7</f>
        <v>2182</v>
      </c>
      <c r="K66" s="53">
        <f t="shared" si="155"/>
        <v>-2078</v>
      </c>
      <c r="L66" s="53">
        <f t="shared" si="4"/>
        <v>104</v>
      </c>
      <c r="M66" s="53">
        <f t="shared" ref="M66" si="157">+M64+M59+M53+M44+M35+M9+M7</f>
        <v>125831</v>
      </c>
      <c r="N66" s="53">
        <f t="shared" si="155"/>
        <v>4713</v>
      </c>
      <c r="O66" s="53">
        <f t="shared" si="5"/>
        <v>130544</v>
      </c>
      <c r="P66" s="53">
        <f t="shared" ref="P66" si="158">+P64+P59+P53+P44+P35+P9+P7</f>
        <v>2385</v>
      </c>
      <c r="Q66" s="53">
        <f t="shared" si="155"/>
        <v>-2385</v>
      </c>
      <c r="R66" s="53">
        <f t="shared" si="23"/>
        <v>0</v>
      </c>
      <c r="S66" s="53">
        <f t="shared" ref="S66:U66" si="159">+S64+S59+S53+S44+S35+S9+S7</f>
        <v>1586</v>
      </c>
      <c r="T66" s="53">
        <f t="shared" si="159"/>
        <v>0</v>
      </c>
      <c r="U66" s="53">
        <f t="shared" si="159"/>
        <v>1586</v>
      </c>
      <c r="V66" s="53">
        <f t="shared" ref="V66" si="160">+V64+V59+V53+V44+V35+V9+V7</f>
        <v>0</v>
      </c>
      <c r="W66" s="53">
        <f t="shared" ref="W66:AA66" si="161">+W64+W59+W53+W44+W35+W9+W7</f>
        <v>0</v>
      </c>
      <c r="X66" s="53">
        <f t="shared" si="161"/>
        <v>0</v>
      </c>
      <c r="Y66" s="53">
        <f t="shared" si="161"/>
        <v>7913</v>
      </c>
      <c r="Z66" s="53">
        <f t="shared" si="161"/>
        <v>2247</v>
      </c>
      <c r="AA66" s="53">
        <f t="shared" si="161"/>
        <v>10160</v>
      </c>
      <c r="AB66" s="53">
        <f t="shared" ref="AB66:AC66" si="162">+AB64+AB59+AB53+AB44+AB35+AB9+AB7</f>
        <v>388682</v>
      </c>
      <c r="AC66" s="53">
        <f t="shared" si="162"/>
        <v>0</v>
      </c>
      <c r="AD66" s="994">
        <f t="shared" si="9"/>
        <v>388682</v>
      </c>
      <c r="AE66" s="53">
        <f t="shared" ref="AE66" si="163">+AE64+AE59+AE53+AE44+AE35+AE9+AE7</f>
        <v>24011</v>
      </c>
      <c r="AF66" s="53">
        <f t="shared" ref="AF66" si="164">+AF64+AF59+AF53+AF44+AF35+AF9+AF7</f>
        <v>0</v>
      </c>
      <c r="AG66" s="514">
        <f t="shared" ref="AG66" si="165">+AE66+AF66</f>
        <v>24011</v>
      </c>
    </row>
    <row r="67" spans="1:33" x14ac:dyDescent="0.2">
      <c r="A67" s="97"/>
      <c r="C67" s="777"/>
      <c r="D67" s="780"/>
      <c r="E67" s="758"/>
      <c r="F67" s="781"/>
      <c r="I67" s="199"/>
      <c r="L67" s="199"/>
      <c r="O67" s="199"/>
      <c r="R67" s="199"/>
      <c r="U67" s="199"/>
      <c r="X67" s="199"/>
      <c r="AA67" s="199"/>
      <c r="AD67" s="199"/>
      <c r="AE67" s="997"/>
      <c r="AG67" s="577"/>
    </row>
    <row r="68" spans="1:33" ht="12.75" customHeight="1" thickBot="1" x14ac:dyDescent="0.25">
      <c r="A68" s="768" t="s">
        <v>368</v>
      </c>
      <c r="B68" s="1232" t="s">
        <v>369</v>
      </c>
      <c r="C68" s="1233"/>
      <c r="D68" s="782">
        <f>+G68+J68+M68+P68+AB68+V68+AE68+S68+Y68</f>
        <v>0</v>
      </c>
      <c r="E68" s="769">
        <f>+H68+K68+N68+Q68+AC68+W68+AF68+T68+Z68</f>
        <v>0</v>
      </c>
      <c r="F68" s="783">
        <f>+I68+L68+O68+R68+AD68+X68+AG68+U68+AA68</f>
        <v>0</v>
      </c>
      <c r="G68" s="778"/>
      <c r="H68" s="770"/>
      <c r="I68" s="770">
        <f t="shared" si="3"/>
        <v>0</v>
      </c>
      <c r="J68" s="770"/>
      <c r="K68" s="770"/>
      <c r="L68" s="770">
        <f t="shared" si="4"/>
        <v>0</v>
      </c>
      <c r="M68" s="770"/>
      <c r="N68" s="770"/>
      <c r="O68" s="770">
        <f>+N68+M68</f>
        <v>0</v>
      </c>
      <c r="P68" s="771"/>
      <c r="Q68" s="770"/>
      <c r="R68" s="770">
        <f t="shared" si="23"/>
        <v>0</v>
      </c>
      <c r="S68" s="770"/>
      <c r="T68" s="770"/>
      <c r="U68" s="770">
        <f t="shared" ref="U68" si="166">+T68+S68</f>
        <v>0</v>
      </c>
      <c r="V68" s="770"/>
      <c r="W68" s="770"/>
      <c r="X68" s="770">
        <f t="shared" si="7"/>
        <v>0</v>
      </c>
      <c r="Y68" s="770"/>
      <c r="Z68" s="770"/>
      <c r="AA68" s="770">
        <f t="shared" ref="AA68" si="167">+Z68+Y68</f>
        <v>0</v>
      </c>
      <c r="AB68" s="770"/>
      <c r="AC68" s="770"/>
      <c r="AD68" s="995">
        <f t="shared" si="9"/>
        <v>0</v>
      </c>
      <c r="AE68" s="770"/>
      <c r="AF68" s="770"/>
      <c r="AG68" s="772">
        <f t="shared" ref="AG68" si="168">+AE68+AF68</f>
        <v>0</v>
      </c>
    </row>
  </sheetData>
  <mergeCells count="78">
    <mergeCell ref="B59:C59"/>
    <mergeCell ref="B19:C19"/>
    <mergeCell ref="B32:C32"/>
    <mergeCell ref="B21:C21"/>
    <mergeCell ref="B22:C22"/>
    <mergeCell ref="B23:C23"/>
    <mergeCell ref="B24:C24"/>
    <mergeCell ref="B27:C27"/>
    <mergeCell ref="B25:C25"/>
    <mergeCell ref="B26:C26"/>
    <mergeCell ref="B28:C28"/>
    <mergeCell ref="B29:C29"/>
    <mergeCell ref="B51:C51"/>
    <mergeCell ref="B52:C52"/>
    <mergeCell ref="B53:C53"/>
    <mergeCell ref="B55:C55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61:C61"/>
    <mergeCell ref="B58:C58"/>
    <mergeCell ref="B6:C6"/>
    <mergeCell ref="J2:L2"/>
    <mergeCell ref="M2:O2"/>
    <mergeCell ref="P2:R2"/>
    <mergeCell ref="J3:L3"/>
    <mergeCell ref="M3:O3"/>
    <mergeCell ref="B56:C56"/>
    <mergeCell ref="B57:C57"/>
    <mergeCell ref="B47:C47"/>
    <mergeCell ref="B48:C48"/>
    <mergeCell ref="B49:C49"/>
    <mergeCell ref="B50:C50"/>
    <mergeCell ref="A2:A4"/>
    <mergeCell ref="B2:C4"/>
    <mergeCell ref="D2:F2"/>
    <mergeCell ref="G2:I2"/>
    <mergeCell ref="D3:F3"/>
    <mergeCell ref="G3:I3"/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0:C30"/>
    <mergeCell ref="B31:C31"/>
    <mergeCell ref="B64:C64"/>
    <mergeCell ref="B66:C66"/>
    <mergeCell ref="AB2:AD2"/>
    <mergeCell ref="AB3:AD3"/>
    <mergeCell ref="P3:R3"/>
    <mergeCell ref="B5:C5"/>
    <mergeCell ref="AE2:AG2"/>
    <mergeCell ref="AE3:AG3"/>
    <mergeCell ref="S2:U2"/>
    <mergeCell ref="S3:U3"/>
    <mergeCell ref="Y2:AA2"/>
    <mergeCell ref="Y3:AA3"/>
    <mergeCell ref="V2:X2"/>
    <mergeCell ref="V3:X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3" orientation="landscape" cellComments="asDisplayed" r:id="rId1"/>
  <headerFooter>
    <oddHeader>&amp;C&amp;"Times New Roman,Félkövér"&amp;12Martonvásár Város Önkormányzatának kiadásai 2020.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9.140625" defaultRowHeight="15" x14ac:dyDescent="0.25"/>
  <cols>
    <col min="1" max="1" width="8.140625" style="756" customWidth="1"/>
    <col min="2" max="2" width="7.140625" style="25" customWidth="1"/>
    <col min="3" max="3" width="31" style="25" customWidth="1"/>
    <col min="4" max="4" width="11.42578125" style="17" customWidth="1"/>
    <col min="5" max="5" width="8.42578125" style="17" customWidth="1"/>
    <col min="6" max="6" width="10.28515625" style="17" customWidth="1"/>
    <col min="7" max="7" width="8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27" width="7.85546875" style="17" customWidth="1"/>
    <col min="28" max="28" width="7.140625" style="17" customWidth="1"/>
    <col min="29" max="29" width="8" style="17" customWidth="1"/>
    <col min="30" max="30" width="7.5703125" style="17" customWidth="1"/>
    <col min="31" max="31" width="8" style="17" customWidth="1"/>
    <col min="32" max="32" width="7.85546875" style="17" customWidth="1"/>
    <col min="33" max="33" width="7.28515625" style="17" customWidth="1"/>
    <col min="34" max="36" width="7.85546875" style="17" customWidth="1"/>
    <col min="37" max="39" width="8.85546875" style="1" customWidth="1"/>
    <col min="40" max="16384" width="9.140625" style="17"/>
  </cols>
  <sheetData>
    <row r="1" spans="1:39" s="1" customFormat="1" ht="12.75" customHeight="1" thickBot="1" x14ac:dyDescent="0.3">
      <c r="A1" s="756"/>
      <c r="B1" s="25"/>
      <c r="C1" s="25"/>
      <c r="AE1" s="61"/>
      <c r="AF1" s="61"/>
      <c r="AG1" s="61"/>
      <c r="AH1" s="61" t="s">
        <v>383</v>
      </c>
    </row>
    <row r="2" spans="1:39" s="31" customFormat="1" ht="28.5" customHeight="1" x14ac:dyDescent="0.25">
      <c r="A2" s="1236" t="s">
        <v>0</v>
      </c>
      <c r="B2" s="1238" t="s">
        <v>181</v>
      </c>
      <c r="C2" s="1239"/>
      <c r="D2" s="1258" t="s">
        <v>179</v>
      </c>
      <c r="E2" s="1229"/>
      <c r="F2" s="1230"/>
      <c r="G2" s="1227" t="s">
        <v>664</v>
      </c>
      <c r="H2" s="1227"/>
      <c r="I2" s="1227"/>
      <c r="J2" s="1227" t="s">
        <v>665</v>
      </c>
      <c r="K2" s="1227"/>
      <c r="L2" s="1227"/>
      <c r="M2" s="1228" t="s">
        <v>742</v>
      </c>
      <c r="N2" s="1251"/>
      <c r="O2" s="1247"/>
      <c r="P2" s="1227" t="s">
        <v>849</v>
      </c>
      <c r="Q2" s="1227"/>
      <c r="R2" s="1227"/>
      <c r="S2" s="1227" t="s">
        <v>850</v>
      </c>
      <c r="T2" s="1227"/>
      <c r="U2" s="1227"/>
      <c r="V2" s="1227" t="s">
        <v>761</v>
      </c>
      <c r="W2" s="1227"/>
      <c r="X2" s="1227"/>
      <c r="Y2" s="1227" t="s">
        <v>851</v>
      </c>
      <c r="Z2" s="1227"/>
      <c r="AA2" s="1227"/>
      <c r="AB2" s="1227" t="s">
        <v>762</v>
      </c>
      <c r="AC2" s="1227"/>
      <c r="AD2" s="1227"/>
      <c r="AE2" s="1227" t="s">
        <v>757</v>
      </c>
      <c r="AF2" s="1227"/>
      <c r="AG2" s="1228"/>
      <c r="AH2" s="1228" t="s">
        <v>1002</v>
      </c>
      <c r="AI2" s="1251"/>
      <c r="AJ2" s="1247"/>
      <c r="AK2" s="1252" t="s">
        <v>852</v>
      </c>
      <c r="AL2" s="1253"/>
      <c r="AM2" s="1254"/>
    </row>
    <row r="3" spans="1:39" s="31" customFormat="1" ht="12.75" x14ac:dyDescent="0.25">
      <c r="A3" s="1237"/>
      <c r="B3" s="1221"/>
      <c r="C3" s="1240"/>
      <c r="D3" s="1247"/>
      <c r="E3" s="1227"/>
      <c r="F3" s="1231"/>
      <c r="G3" s="1247" t="s">
        <v>290</v>
      </c>
      <c r="H3" s="1227"/>
      <c r="I3" s="1227"/>
      <c r="J3" s="1227" t="s">
        <v>290</v>
      </c>
      <c r="K3" s="1227"/>
      <c r="L3" s="1227"/>
      <c r="M3" s="1227" t="s">
        <v>290</v>
      </c>
      <c r="N3" s="1227"/>
      <c r="O3" s="1227"/>
      <c r="P3" s="1227" t="s">
        <v>290</v>
      </c>
      <c r="Q3" s="1227"/>
      <c r="R3" s="1227"/>
      <c r="S3" s="1227" t="s">
        <v>290</v>
      </c>
      <c r="T3" s="1227"/>
      <c r="U3" s="1227"/>
      <c r="V3" s="1228" t="s">
        <v>290</v>
      </c>
      <c r="W3" s="1251"/>
      <c r="X3" s="1247"/>
      <c r="Y3" s="1227" t="s">
        <v>737</v>
      </c>
      <c r="Z3" s="1227"/>
      <c r="AA3" s="1227"/>
      <c r="AB3" s="1227" t="s">
        <v>290</v>
      </c>
      <c r="AC3" s="1227"/>
      <c r="AD3" s="1227"/>
      <c r="AE3" s="1227" t="s">
        <v>290</v>
      </c>
      <c r="AF3" s="1227"/>
      <c r="AG3" s="1228"/>
      <c r="AH3" s="1227" t="s">
        <v>290</v>
      </c>
      <c r="AI3" s="1227"/>
      <c r="AJ3" s="1227"/>
      <c r="AK3" s="1227" t="s">
        <v>290</v>
      </c>
      <c r="AL3" s="1227"/>
      <c r="AM3" s="1231"/>
    </row>
    <row r="4" spans="1:39" s="16" customFormat="1" ht="25.5" x14ac:dyDescent="0.25">
      <c r="A4" s="1237"/>
      <c r="B4" s="1221"/>
      <c r="C4" s="1240"/>
      <c r="D4" s="773" t="s">
        <v>950</v>
      </c>
      <c r="E4" s="750" t="s">
        <v>694</v>
      </c>
      <c r="F4" s="766" t="s">
        <v>948</v>
      </c>
      <c r="G4" s="773" t="s">
        <v>950</v>
      </c>
      <c r="H4" s="750" t="s">
        <v>694</v>
      </c>
      <c r="I4" s="750" t="s">
        <v>948</v>
      </c>
      <c r="J4" s="750" t="s">
        <v>950</v>
      </c>
      <c r="K4" s="750" t="s">
        <v>694</v>
      </c>
      <c r="L4" s="750" t="s">
        <v>948</v>
      </c>
      <c r="M4" s="1067" t="s">
        <v>950</v>
      </c>
      <c r="N4" s="1067" t="s">
        <v>694</v>
      </c>
      <c r="O4" s="1067" t="s">
        <v>948</v>
      </c>
      <c r="P4" s="1067" t="s">
        <v>950</v>
      </c>
      <c r="Q4" s="1067" t="s">
        <v>694</v>
      </c>
      <c r="R4" s="1067" t="s">
        <v>948</v>
      </c>
      <c r="S4" s="1067" t="s">
        <v>950</v>
      </c>
      <c r="T4" s="1067" t="s">
        <v>694</v>
      </c>
      <c r="U4" s="1067" t="s">
        <v>948</v>
      </c>
      <c r="V4" s="1109" t="s">
        <v>950</v>
      </c>
      <c r="W4" s="1109" t="s">
        <v>694</v>
      </c>
      <c r="X4" s="1109" t="s">
        <v>948</v>
      </c>
      <c r="Y4" s="1109" t="s">
        <v>950</v>
      </c>
      <c r="Z4" s="1109" t="s">
        <v>694</v>
      </c>
      <c r="AA4" s="1109" t="s">
        <v>948</v>
      </c>
      <c r="AB4" s="1109" t="s">
        <v>950</v>
      </c>
      <c r="AC4" s="1109" t="s">
        <v>694</v>
      </c>
      <c r="AD4" s="1109" t="s">
        <v>948</v>
      </c>
      <c r="AE4" s="1109" t="s">
        <v>950</v>
      </c>
      <c r="AF4" s="1109" t="s">
        <v>694</v>
      </c>
      <c r="AG4" s="1109" t="s">
        <v>948</v>
      </c>
      <c r="AH4" s="1120" t="s">
        <v>950</v>
      </c>
      <c r="AI4" s="1120" t="s">
        <v>694</v>
      </c>
      <c r="AJ4" s="1120" t="s">
        <v>948</v>
      </c>
      <c r="AK4" s="1109" t="s">
        <v>950</v>
      </c>
      <c r="AL4" s="1109" t="s">
        <v>694</v>
      </c>
      <c r="AM4" s="1109" t="s">
        <v>948</v>
      </c>
    </row>
    <row r="5" spans="1:39" s="42" customFormat="1" ht="12.75" customHeight="1" x14ac:dyDescent="0.2">
      <c r="A5" s="513" t="s">
        <v>27</v>
      </c>
      <c r="B5" s="1215" t="s">
        <v>173</v>
      </c>
      <c r="C5" s="1200"/>
      <c r="D5" s="774">
        <f>+G5+J5+AB5+AE5+M5+V5+Y5+P5+S5+AK5+AH5</f>
        <v>0</v>
      </c>
      <c r="E5" s="85">
        <f>+H5+K5+AC5+AF5+N5+W5+Z5+Q5+T5+AL5+AI5</f>
        <v>4046</v>
      </c>
      <c r="F5" s="578">
        <f>+I5+L5+AD5+AG5+O5+X5+AA5+R5+U5+AM5+AJ5</f>
        <v>4046</v>
      </c>
      <c r="G5" s="29"/>
      <c r="H5" s="53"/>
      <c r="I5" s="53">
        <f>+H5+G5</f>
        <v>0</v>
      </c>
      <c r="J5" s="27"/>
      <c r="K5" s="53"/>
      <c r="L5" s="53">
        <f>+K5+J5</f>
        <v>0</v>
      </c>
      <c r="M5" s="27"/>
      <c r="N5" s="53"/>
      <c r="O5" s="53">
        <f>+N5+M5</f>
        <v>0</v>
      </c>
      <c r="P5" s="27"/>
      <c r="Q5" s="53"/>
      <c r="R5" s="53">
        <f>+Q5+P5</f>
        <v>0</v>
      </c>
      <c r="S5" s="27"/>
      <c r="T5" s="53"/>
      <c r="U5" s="53">
        <f>+T5+S5</f>
        <v>0</v>
      </c>
      <c r="V5" s="27"/>
      <c r="W5" s="53"/>
      <c r="X5" s="53">
        <f>+W5+V5</f>
        <v>0</v>
      </c>
      <c r="Y5" s="53"/>
      <c r="Z5" s="53"/>
      <c r="AA5" s="53">
        <f>+Z5+Y5</f>
        <v>0</v>
      </c>
      <c r="AB5" s="27"/>
      <c r="AC5" s="53"/>
      <c r="AD5" s="53">
        <f>+AB5+AC5</f>
        <v>0</v>
      </c>
      <c r="AE5" s="27"/>
      <c r="AF5" s="53"/>
      <c r="AG5" s="994">
        <f>+AF5+AE5</f>
        <v>0</v>
      </c>
      <c r="AH5" s="27"/>
      <c r="AI5" s="53">
        <v>4046</v>
      </c>
      <c r="AJ5" s="53">
        <f>+AI5+AH5</f>
        <v>4046</v>
      </c>
      <c r="AK5" s="53"/>
      <c r="AL5" s="53"/>
      <c r="AM5" s="514">
        <f>+AL5+AK5</f>
        <v>0</v>
      </c>
    </row>
    <row r="6" spans="1:39" s="42" customFormat="1" ht="12.75" customHeight="1" x14ac:dyDescent="0.2">
      <c r="A6" s="513" t="s">
        <v>33</v>
      </c>
      <c r="B6" s="1215" t="s">
        <v>172</v>
      </c>
      <c r="C6" s="1200"/>
      <c r="D6" s="774">
        <f t="shared" ref="D6:D7" si="0">+G6+J6+AB6+AE6+M6+V6+Y6+P6+S6+AK6+AH6</f>
        <v>2280</v>
      </c>
      <c r="E6" s="85">
        <f t="shared" ref="E6:E7" si="1">+H6+K6+AC6+AF6+N6+W6+Z6+Q6+T6+AL6+AI6</f>
        <v>0</v>
      </c>
      <c r="F6" s="578">
        <f t="shared" ref="F6:F7" si="2">+I6+L6+AD6+AG6+O6+X6+AA6+R6+U6+AM6+AJ6</f>
        <v>2280</v>
      </c>
      <c r="G6" s="29"/>
      <c r="H6" s="53"/>
      <c r="I6" s="53">
        <f t="shared" ref="I6:I65" si="3">+H6+G6</f>
        <v>0</v>
      </c>
      <c r="J6" s="27"/>
      <c r="K6" s="53"/>
      <c r="L6" s="53">
        <f t="shared" ref="L6:L65" si="4">+K6+J6</f>
        <v>0</v>
      </c>
      <c r="M6" s="27">
        <v>2280</v>
      </c>
      <c r="N6" s="53"/>
      <c r="O6" s="53">
        <f t="shared" ref="O6:O65" si="5">+N6+M6</f>
        <v>2280</v>
      </c>
      <c r="P6" s="27"/>
      <c r="Q6" s="53"/>
      <c r="R6" s="53">
        <f t="shared" ref="R6:R65" si="6">+Q6+P6</f>
        <v>0</v>
      </c>
      <c r="S6" s="27"/>
      <c r="T6" s="53"/>
      <c r="U6" s="53">
        <f t="shared" ref="U6:U65" si="7">+T6+S6</f>
        <v>0</v>
      </c>
      <c r="V6" s="27"/>
      <c r="W6" s="53"/>
      <c r="X6" s="53">
        <f t="shared" ref="X6:X65" si="8">+W6+V6</f>
        <v>0</v>
      </c>
      <c r="Y6" s="53"/>
      <c r="Z6" s="53"/>
      <c r="AA6" s="53">
        <f t="shared" ref="AA6:AA65" si="9">+Z6+Y6</f>
        <v>0</v>
      </c>
      <c r="AB6" s="27"/>
      <c r="AC6" s="53"/>
      <c r="AD6" s="53">
        <f t="shared" ref="AD6:AD65" si="10">+AB6+AC6</f>
        <v>0</v>
      </c>
      <c r="AE6" s="27"/>
      <c r="AF6" s="53"/>
      <c r="AG6" s="994">
        <f t="shared" ref="AG6:AG65" si="11">+AF6+AE6</f>
        <v>0</v>
      </c>
      <c r="AH6" s="27"/>
      <c r="AI6" s="53"/>
      <c r="AJ6" s="53">
        <f t="shared" ref="AJ6:AJ7" si="12">+AI6+AH6</f>
        <v>0</v>
      </c>
      <c r="AK6" s="53"/>
      <c r="AL6" s="53"/>
      <c r="AM6" s="514">
        <f t="shared" ref="AM6:AM7" si="13">+AL6+AK6</f>
        <v>0</v>
      </c>
    </row>
    <row r="7" spans="1:39" s="42" customFormat="1" ht="12.75" customHeight="1" x14ac:dyDescent="0.2">
      <c r="A7" s="513" t="s">
        <v>34</v>
      </c>
      <c r="B7" s="1215" t="s">
        <v>171</v>
      </c>
      <c r="C7" s="1200"/>
      <c r="D7" s="774">
        <f t="shared" si="0"/>
        <v>2280</v>
      </c>
      <c r="E7" s="85">
        <f t="shared" si="1"/>
        <v>4046</v>
      </c>
      <c r="F7" s="578">
        <f t="shared" si="2"/>
        <v>6326</v>
      </c>
      <c r="G7" s="53">
        <f>+G5+G6</f>
        <v>0</v>
      </c>
      <c r="H7" s="53">
        <f t="shared" ref="H7" si="14">+H6+H5</f>
        <v>0</v>
      </c>
      <c r="I7" s="53">
        <f t="shared" si="3"/>
        <v>0</v>
      </c>
      <c r="J7" s="53">
        <f t="shared" ref="J7" si="15">+J5+J6</f>
        <v>0</v>
      </c>
      <c r="K7" s="53">
        <f t="shared" ref="K7" si="16">+K6+K5</f>
        <v>0</v>
      </c>
      <c r="L7" s="53">
        <f t="shared" si="4"/>
        <v>0</v>
      </c>
      <c r="M7" s="53">
        <f t="shared" ref="M7" si="17">+M5+M6</f>
        <v>2280</v>
      </c>
      <c r="N7" s="53">
        <f t="shared" ref="N7" si="18">+N6+N5</f>
        <v>0</v>
      </c>
      <c r="O7" s="53">
        <f t="shared" si="5"/>
        <v>2280</v>
      </c>
      <c r="P7" s="53">
        <f t="shared" ref="P7" si="19">+P5+P6</f>
        <v>0</v>
      </c>
      <c r="Q7" s="53">
        <f t="shared" ref="Q7" si="20">+Q6+Q5</f>
        <v>0</v>
      </c>
      <c r="R7" s="53">
        <f t="shared" si="6"/>
        <v>0</v>
      </c>
      <c r="S7" s="53">
        <f t="shared" ref="S7" si="21">+S5+S6</f>
        <v>0</v>
      </c>
      <c r="T7" s="53">
        <f t="shared" ref="T7" si="22">+T6+T5</f>
        <v>0</v>
      </c>
      <c r="U7" s="53">
        <f t="shared" si="7"/>
        <v>0</v>
      </c>
      <c r="V7" s="53">
        <f t="shared" ref="V7" si="23">+V5+V6</f>
        <v>0</v>
      </c>
      <c r="W7" s="53">
        <f t="shared" ref="W7:Z7" si="24">+W6+W5</f>
        <v>0</v>
      </c>
      <c r="X7" s="53">
        <f t="shared" si="24"/>
        <v>0</v>
      </c>
      <c r="Y7" s="53">
        <f>+Y6+Y5</f>
        <v>0</v>
      </c>
      <c r="Z7" s="53">
        <f t="shared" si="24"/>
        <v>0</v>
      </c>
      <c r="AA7" s="53">
        <f t="shared" si="9"/>
        <v>0</v>
      </c>
      <c r="AB7" s="53">
        <f t="shared" ref="AB7" si="25">+AB5+AB6</f>
        <v>0</v>
      </c>
      <c r="AC7" s="53">
        <f t="shared" ref="AC7" si="26">+AC6+AC5</f>
        <v>0</v>
      </c>
      <c r="AD7" s="53">
        <f t="shared" si="10"/>
        <v>0</v>
      </c>
      <c r="AE7" s="53">
        <f t="shared" ref="AE7" si="27">+AE5+AE6</f>
        <v>0</v>
      </c>
      <c r="AF7" s="53">
        <f t="shared" ref="AF7" si="28">+AF6+AF5</f>
        <v>0</v>
      </c>
      <c r="AG7" s="994">
        <f t="shared" si="11"/>
        <v>0</v>
      </c>
      <c r="AH7" s="53">
        <f t="shared" ref="AH7" si="29">+AH5+AH6</f>
        <v>0</v>
      </c>
      <c r="AI7" s="53">
        <f t="shared" ref="AI7" si="30">+AI6+AI5</f>
        <v>4046</v>
      </c>
      <c r="AJ7" s="53">
        <f t="shared" si="12"/>
        <v>4046</v>
      </c>
      <c r="AK7" s="53">
        <f>+AK6+AK5</f>
        <v>0</v>
      </c>
      <c r="AL7" s="53">
        <f t="shared" ref="AL7" si="31">+AL6+AL5</f>
        <v>0</v>
      </c>
      <c r="AM7" s="514">
        <f t="shared" si="13"/>
        <v>0</v>
      </c>
    </row>
    <row r="8" spans="1:39" ht="12" customHeight="1" x14ac:dyDescent="0.2">
      <c r="A8" s="515"/>
      <c r="B8" s="751"/>
      <c r="C8" s="308"/>
      <c r="D8" s="758"/>
      <c r="E8" s="758"/>
      <c r="F8" s="781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56"/>
      <c r="AF8" s="56"/>
      <c r="AG8" s="199"/>
      <c r="AH8" s="56"/>
      <c r="AI8" s="56"/>
      <c r="AJ8" s="199"/>
      <c r="AK8" s="996"/>
      <c r="AL8" s="56"/>
      <c r="AM8" s="577"/>
    </row>
    <row r="9" spans="1:39" s="42" customFormat="1" ht="12.75" customHeight="1" x14ac:dyDescent="0.2">
      <c r="A9" s="513" t="s">
        <v>35</v>
      </c>
      <c r="B9" s="1215" t="s">
        <v>170</v>
      </c>
      <c r="C9" s="1200"/>
      <c r="D9" s="774">
        <f t="shared" ref="D9" si="32">+G9+J9+AB9+AE9+M9+V9+Y9+P9+S9+AK9+AH9</f>
        <v>411</v>
      </c>
      <c r="E9" s="85">
        <f t="shared" ref="E9" si="33">+H9+K9+AC9+AF9+N9+W9+Z9+Q9+T9+AL9+AI9</f>
        <v>627</v>
      </c>
      <c r="F9" s="578">
        <f t="shared" ref="F9" si="34">+I9+L9+AD9+AG9+O9+X9+AA9+R9+U9+AM9+AJ9</f>
        <v>1038</v>
      </c>
      <c r="G9" s="29"/>
      <c r="H9" s="53"/>
      <c r="I9" s="53">
        <f t="shared" si="3"/>
        <v>0</v>
      </c>
      <c r="J9" s="27"/>
      <c r="K9" s="53"/>
      <c r="L9" s="53">
        <f t="shared" si="4"/>
        <v>0</v>
      </c>
      <c r="M9" s="27">
        <v>411</v>
      </c>
      <c r="N9" s="53"/>
      <c r="O9" s="53">
        <f t="shared" si="5"/>
        <v>411</v>
      </c>
      <c r="P9" s="27"/>
      <c r="Q9" s="53"/>
      <c r="R9" s="53">
        <f t="shared" si="6"/>
        <v>0</v>
      </c>
      <c r="S9" s="27"/>
      <c r="T9" s="53"/>
      <c r="U9" s="53">
        <f t="shared" si="7"/>
        <v>0</v>
      </c>
      <c r="V9" s="27"/>
      <c r="W9" s="53"/>
      <c r="X9" s="53">
        <f t="shared" si="8"/>
        <v>0</v>
      </c>
      <c r="Y9" s="53"/>
      <c r="Z9" s="53"/>
      <c r="AA9" s="53">
        <f t="shared" si="9"/>
        <v>0</v>
      </c>
      <c r="AB9" s="27"/>
      <c r="AC9" s="53"/>
      <c r="AD9" s="53">
        <f t="shared" si="10"/>
        <v>0</v>
      </c>
      <c r="AE9" s="27"/>
      <c r="AF9" s="53"/>
      <c r="AG9" s="994">
        <f t="shared" si="11"/>
        <v>0</v>
      </c>
      <c r="AH9" s="27"/>
      <c r="AI9" s="53">
        <v>627</v>
      </c>
      <c r="AJ9" s="53">
        <f t="shared" ref="AJ9" si="35">+AI9+AH9</f>
        <v>627</v>
      </c>
      <c r="AK9" s="53"/>
      <c r="AL9" s="53"/>
      <c r="AM9" s="514">
        <f t="shared" ref="AM9" si="36">+AL9+AK9</f>
        <v>0</v>
      </c>
    </row>
    <row r="10" spans="1:39" ht="11.25" customHeight="1" x14ac:dyDescent="0.2">
      <c r="A10" s="96"/>
      <c r="C10" s="309"/>
      <c r="D10" s="758"/>
      <c r="E10" s="758"/>
      <c r="F10" s="781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56"/>
      <c r="AF10" s="56"/>
      <c r="AG10" s="199"/>
      <c r="AH10" s="56"/>
      <c r="AI10" s="56"/>
      <c r="AJ10" s="199"/>
      <c r="AK10" s="996"/>
      <c r="AL10" s="56"/>
      <c r="AM10" s="577"/>
    </row>
    <row r="11" spans="1:39" ht="12.75" customHeight="1" x14ac:dyDescent="0.2">
      <c r="A11" s="516" t="s">
        <v>42</v>
      </c>
      <c r="B11" s="1211" t="s">
        <v>41</v>
      </c>
      <c r="C11" s="1210"/>
      <c r="D11" s="774">
        <f t="shared" ref="D11:D35" si="37">+G11+J11+AB11+AE11+M11+V11+Y11+P11+S11+AK11+AH11</f>
        <v>0</v>
      </c>
      <c r="E11" s="85">
        <f t="shared" ref="E11:E35" si="38">+H11+K11+AC11+AF11+N11+W11+Z11+Q11+T11+AL11+AI11</f>
        <v>0</v>
      </c>
      <c r="F11" s="578">
        <f t="shared" ref="F11:F35" si="39">+I11+L11+AD11+AG11+O11+X11+AA11+R11+U11+AM11+AJ11</f>
        <v>0</v>
      </c>
      <c r="G11" s="29"/>
      <c r="H11" s="27"/>
      <c r="I11" s="53">
        <f t="shared" si="3"/>
        <v>0</v>
      </c>
      <c r="J11" s="27"/>
      <c r="K11" s="27"/>
      <c r="L11" s="53">
        <f t="shared" si="4"/>
        <v>0</v>
      </c>
      <c r="M11" s="27"/>
      <c r="N11" s="27"/>
      <c r="O11" s="53">
        <f t="shared" si="5"/>
        <v>0</v>
      </c>
      <c r="P11" s="27"/>
      <c r="Q11" s="27"/>
      <c r="R11" s="53">
        <f t="shared" si="6"/>
        <v>0</v>
      </c>
      <c r="S11" s="27"/>
      <c r="T11" s="27"/>
      <c r="U11" s="53">
        <f t="shared" si="7"/>
        <v>0</v>
      </c>
      <c r="V11" s="27"/>
      <c r="W11" s="27"/>
      <c r="X11" s="53">
        <f t="shared" si="8"/>
        <v>0</v>
      </c>
      <c r="Y11" s="27"/>
      <c r="Z11" s="27"/>
      <c r="AA11" s="53">
        <f t="shared" si="9"/>
        <v>0</v>
      </c>
      <c r="AB11" s="27"/>
      <c r="AC11" s="27"/>
      <c r="AD11" s="53">
        <f t="shared" si="10"/>
        <v>0</v>
      </c>
      <c r="AE11" s="27"/>
      <c r="AF11" s="27"/>
      <c r="AG11" s="994">
        <f t="shared" si="11"/>
        <v>0</v>
      </c>
      <c r="AH11" s="27"/>
      <c r="AI11" s="27"/>
      <c r="AJ11" s="53">
        <f t="shared" ref="AJ11:AJ35" si="40">+AI11+AH11</f>
        <v>0</v>
      </c>
      <c r="AK11" s="27"/>
      <c r="AL11" s="27"/>
      <c r="AM11" s="514">
        <f t="shared" ref="AM11:AM35" si="41">+AL11+AK11</f>
        <v>0</v>
      </c>
    </row>
    <row r="12" spans="1:39" ht="12.75" customHeight="1" x14ac:dyDescent="0.2">
      <c r="A12" s="516" t="s">
        <v>44</v>
      </c>
      <c r="B12" s="1211" t="s">
        <v>43</v>
      </c>
      <c r="C12" s="1210"/>
      <c r="D12" s="774">
        <f t="shared" si="37"/>
        <v>1555</v>
      </c>
      <c r="E12" s="85">
        <f t="shared" si="38"/>
        <v>0</v>
      </c>
      <c r="F12" s="578">
        <f t="shared" si="39"/>
        <v>1555</v>
      </c>
      <c r="G12" s="29"/>
      <c r="H12" s="27"/>
      <c r="I12" s="53">
        <f t="shared" si="3"/>
        <v>0</v>
      </c>
      <c r="J12" s="27"/>
      <c r="K12" s="27"/>
      <c r="L12" s="53">
        <f t="shared" si="4"/>
        <v>0</v>
      </c>
      <c r="M12" s="27"/>
      <c r="N12" s="27"/>
      <c r="O12" s="53">
        <f t="shared" si="5"/>
        <v>0</v>
      </c>
      <c r="P12" s="27">
        <v>751</v>
      </c>
      <c r="Q12" s="27"/>
      <c r="R12" s="53">
        <f t="shared" si="6"/>
        <v>751</v>
      </c>
      <c r="S12" s="27">
        <v>804</v>
      </c>
      <c r="T12" s="27"/>
      <c r="U12" s="53">
        <f t="shared" si="7"/>
        <v>804</v>
      </c>
      <c r="V12" s="27"/>
      <c r="W12" s="27"/>
      <c r="X12" s="53">
        <f t="shared" si="8"/>
        <v>0</v>
      </c>
      <c r="Y12" s="27"/>
      <c r="Z12" s="27"/>
      <c r="AA12" s="53">
        <f t="shared" si="9"/>
        <v>0</v>
      </c>
      <c r="AB12" s="27"/>
      <c r="AC12" s="27"/>
      <c r="AD12" s="53">
        <f t="shared" si="10"/>
        <v>0</v>
      </c>
      <c r="AE12" s="27"/>
      <c r="AF12" s="27"/>
      <c r="AG12" s="994">
        <f t="shared" si="11"/>
        <v>0</v>
      </c>
      <c r="AH12" s="27"/>
      <c r="AI12" s="27"/>
      <c r="AJ12" s="53">
        <f t="shared" si="40"/>
        <v>0</v>
      </c>
      <c r="AK12" s="27"/>
      <c r="AL12" s="27"/>
      <c r="AM12" s="514">
        <f t="shared" si="41"/>
        <v>0</v>
      </c>
    </row>
    <row r="13" spans="1:39" ht="12.75" customHeight="1" x14ac:dyDescent="0.2">
      <c r="A13" s="516" t="s">
        <v>46</v>
      </c>
      <c r="B13" s="1211" t="s">
        <v>45</v>
      </c>
      <c r="C13" s="1210"/>
      <c r="D13" s="774">
        <f t="shared" si="37"/>
        <v>0</v>
      </c>
      <c r="E13" s="85">
        <f t="shared" si="38"/>
        <v>0</v>
      </c>
      <c r="F13" s="578">
        <f t="shared" si="39"/>
        <v>0</v>
      </c>
      <c r="G13" s="29"/>
      <c r="H13" s="27"/>
      <c r="I13" s="53">
        <f t="shared" si="3"/>
        <v>0</v>
      </c>
      <c r="J13" s="27"/>
      <c r="K13" s="27"/>
      <c r="L13" s="53">
        <f t="shared" si="4"/>
        <v>0</v>
      </c>
      <c r="M13" s="27"/>
      <c r="N13" s="27"/>
      <c r="O13" s="53">
        <f t="shared" si="5"/>
        <v>0</v>
      </c>
      <c r="P13" s="27"/>
      <c r="Q13" s="27"/>
      <c r="R13" s="53">
        <f t="shared" si="6"/>
        <v>0</v>
      </c>
      <c r="S13" s="27"/>
      <c r="T13" s="27"/>
      <c r="U13" s="53">
        <f t="shared" si="7"/>
        <v>0</v>
      </c>
      <c r="V13" s="27"/>
      <c r="W13" s="27"/>
      <c r="X13" s="53">
        <f t="shared" si="8"/>
        <v>0</v>
      </c>
      <c r="Y13" s="27"/>
      <c r="Z13" s="27"/>
      <c r="AA13" s="53">
        <f t="shared" si="9"/>
        <v>0</v>
      </c>
      <c r="AB13" s="27"/>
      <c r="AC13" s="27"/>
      <c r="AD13" s="53">
        <f t="shared" si="10"/>
        <v>0</v>
      </c>
      <c r="AE13" s="27"/>
      <c r="AF13" s="27"/>
      <c r="AG13" s="994">
        <f t="shared" si="11"/>
        <v>0</v>
      </c>
      <c r="AH13" s="27"/>
      <c r="AI13" s="27"/>
      <c r="AJ13" s="53">
        <f t="shared" si="40"/>
        <v>0</v>
      </c>
      <c r="AK13" s="27"/>
      <c r="AL13" s="27"/>
      <c r="AM13" s="514">
        <f t="shared" si="41"/>
        <v>0</v>
      </c>
    </row>
    <row r="14" spans="1:39" s="42" customFormat="1" ht="12.75" customHeight="1" x14ac:dyDescent="0.2">
      <c r="A14" s="513" t="s">
        <v>47</v>
      </c>
      <c r="B14" s="1215" t="s">
        <v>169</v>
      </c>
      <c r="C14" s="1200"/>
      <c r="D14" s="774">
        <f t="shared" si="37"/>
        <v>1555</v>
      </c>
      <c r="E14" s="85">
        <f t="shared" si="38"/>
        <v>0</v>
      </c>
      <c r="F14" s="578">
        <f t="shared" si="39"/>
        <v>1555</v>
      </c>
      <c r="G14" s="575">
        <f>SUM(G11:G13)</f>
        <v>0</v>
      </c>
      <c r="H14" s="53">
        <f t="shared" ref="H14:AC14" si="42">SUM(H11:H13)</f>
        <v>0</v>
      </c>
      <c r="I14" s="53">
        <f t="shared" si="3"/>
        <v>0</v>
      </c>
      <c r="J14" s="53">
        <f t="shared" ref="J14" si="43">SUM(J11:J13)</f>
        <v>0</v>
      </c>
      <c r="K14" s="53">
        <f t="shared" si="42"/>
        <v>0</v>
      </c>
      <c r="L14" s="53">
        <f t="shared" si="4"/>
        <v>0</v>
      </c>
      <c r="M14" s="53">
        <f t="shared" ref="M14" si="44">SUM(M11:M13)</f>
        <v>0</v>
      </c>
      <c r="N14" s="53">
        <f t="shared" si="42"/>
        <v>0</v>
      </c>
      <c r="O14" s="53">
        <f t="shared" si="5"/>
        <v>0</v>
      </c>
      <c r="P14" s="53">
        <f t="shared" ref="P14" si="45">SUM(P11:P13)</f>
        <v>751</v>
      </c>
      <c r="Q14" s="53">
        <f t="shared" si="42"/>
        <v>0</v>
      </c>
      <c r="R14" s="53">
        <f t="shared" si="6"/>
        <v>751</v>
      </c>
      <c r="S14" s="53">
        <f t="shared" ref="S14" si="46">SUM(S11:S13)</f>
        <v>804</v>
      </c>
      <c r="T14" s="53">
        <f t="shared" si="42"/>
        <v>0</v>
      </c>
      <c r="U14" s="53">
        <f t="shared" si="7"/>
        <v>804</v>
      </c>
      <c r="V14" s="53">
        <f t="shared" ref="V14" si="47">SUM(V11:V13)</f>
        <v>0</v>
      </c>
      <c r="W14" s="53">
        <f t="shared" si="42"/>
        <v>0</v>
      </c>
      <c r="X14" s="53">
        <f t="shared" si="8"/>
        <v>0</v>
      </c>
      <c r="Y14" s="53">
        <f t="shared" si="42"/>
        <v>0</v>
      </c>
      <c r="Z14" s="53">
        <f t="shared" si="42"/>
        <v>0</v>
      </c>
      <c r="AA14" s="53">
        <f t="shared" si="9"/>
        <v>0</v>
      </c>
      <c r="AB14" s="53">
        <f t="shared" ref="AB14" si="48">SUM(AB11:AB13)</f>
        <v>0</v>
      </c>
      <c r="AC14" s="53">
        <f t="shared" si="42"/>
        <v>0</v>
      </c>
      <c r="AD14" s="53">
        <f t="shared" si="10"/>
        <v>0</v>
      </c>
      <c r="AE14" s="53">
        <f t="shared" ref="AE14" si="49">SUM(AE11:AE13)</f>
        <v>0</v>
      </c>
      <c r="AF14" s="53">
        <f>SUM(AF11:AF13)</f>
        <v>0</v>
      </c>
      <c r="AG14" s="994">
        <f t="shared" si="11"/>
        <v>0</v>
      </c>
      <c r="AH14" s="53">
        <f t="shared" ref="AH14:AI14" si="50">SUM(AH11:AH13)</f>
        <v>0</v>
      </c>
      <c r="AI14" s="53">
        <f t="shared" si="50"/>
        <v>0</v>
      </c>
      <c r="AJ14" s="53">
        <f t="shared" si="40"/>
        <v>0</v>
      </c>
      <c r="AK14" s="53">
        <f>SUM(AK11:AK13)</f>
        <v>0</v>
      </c>
      <c r="AL14" s="53">
        <f>SUM(AL11:AL13)</f>
        <v>0</v>
      </c>
      <c r="AM14" s="514">
        <f t="shared" si="41"/>
        <v>0</v>
      </c>
    </row>
    <row r="15" spans="1:39" ht="12.75" customHeight="1" x14ac:dyDescent="0.2">
      <c r="A15" s="516" t="s">
        <v>49</v>
      </c>
      <c r="B15" s="1211" t="s">
        <v>48</v>
      </c>
      <c r="C15" s="1210"/>
      <c r="D15" s="774">
        <f t="shared" si="37"/>
        <v>0</v>
      </c>
      <c r="E15" s="85">
        <f t="shared" si="38"/>
        <v>0</v>
      </c>
      <c r="F15" s="578">
        <f t="shared" si="39"/>
        <v>0</v>
      </c>
      <c r="G15" s="29"/>
      <c r="H15" s="27"/>
      <c r="I15" s="53">
        <f t="shared" si="3"/>
        <v>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53">
        <f t="shared" si="6"/>
        <v>0</v>
      </c>
      <c r="S15" s="27"/>
      <c r="T15" s="27"/>
      <c r="U15" s="53">
        <f t="shared" si="7"/>
        <v>0</v>
      </c>
      <c r="V15" s="27"/>
      <c r="W15" s="27"/>
      <c r="X15" s="53">
        <f t="shared" si="8"/>
        <v>0</v>
      </c>
      <c r="Y15" s="27"/>
      <c r="Z15" s="27"/>
      <c r="AA15" s="53">
        <f t="shared" si="9"/>
        <v>0</v>
      </c>
      <c r="AB15" s="27"/>
      <c r="AC15" s="27"/>
      <c r="AD15" s="53">
        <f t="shared" si="10"/>
        <v>0</v>
      </c>
      <c r="AE15" s="27"/>
      <c r="AF15" s="27"/>
      <c r="AG15" s="994">
        <f t="shared" si="11"/>
        <v>0</v>
      </c>
      <c r="AH15" s="27"/>
      <c r="AI15" s="27"/>
      <c r="AJ15" s="53">
        <f t="shared" si="40"/>
        <v>0</v>
      </c>
      <c r="AK15" s="27"/>
      <c r="AL15" s="27"/>
      <c r="AM15" s="514">
        <f t="shared" si="41"/>
        <v>0</v>
      </c>
    </row>
    <row r="16" spans="1:39" ht="12.75" customHeight="1" x14ac:dyDescent="0.2">
      <c r="A16" s="516" t="s">
        <v>51</v>
      </c>
      <c r="B16" s="1211" t="s">
        <v>50</v>
      </c>
      <c r="C16" s="1210"/>
      <c r="D16" s="774">
        <f t="shared" si="37"/>
        <v>0</v>
      </c>
      <c r="E16" s="85">
        <f t="shared" si="38"/>
        <v>0</v>
      </c>
      <c r="F16" s="578">
        <f t="shared" si="39"/>
        <v>0</v>
      </c>
      <c r="G16" s="29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53">
        <f t="shared" si="6"/>
        <v>0</v>
      </c>
      <c r="S16" s="27"/>
      <c r="T16" s="27"/>
      <c r="U16" s="53">
        <f t="shared" si="7"/>
        <v>0</v>
      </c>
      <c r="V16" s="27"/>
      <c r="W16" s="27"/>
      <c r="X16" s="53">
        <f t="shared" si="8"/>
        <v>0</v>
      </c>
      <c r="Y16" s="27"/>
      <c r="Z16" s="27"/>
      <c r="AA16" s="53">
        <f t="shared" si="9"/>
        <v>0</v>
      </c>
      <c r="AB16" s="27"/>
      <c r="AC16" s="27"/>
      <c r="AD16" s="53">
        <f t="shared" si="10"/>
        <v>0</v>
      </c>
      <c r="AE16" s="27"/>
      <c r="AF16" s="27"/>
      <c r="AG16" s="994">
        <f t="shared" si="11"/>
        <v>0</v>
      </c>
      <c r="AH16" s="27"/>
      <c r="AI16" s="27"/>
      <c r="AJ16" s="53">
        <f t="shared" si="40"/>
        <v>0</v>
      </c>
      <c r="AK16" s="27"/>
      <c r="AL16" s="27"/>
      <c r="AM16" s="514">
        <f t="shared" si="41"/>
        <v>0</v>
      </c>
    </row>
    <row r="17" spans="1:39" s="42" customFormat="1" ht="12.75" customHeight="1" x14ac:dyDescent="0.2">
      <c r="A17" s="513" t="s">
        <v>52</v>
      </c>
      <c r="B17" s="1215" t="s">
        <v>168</v>
      </c>
      <c r="C17" s="1200"/>
      <c r="D17" s="774">
        <f t="shared" si="37"/>
        <v>0</v>
      </c>
      <c r="E17" s="85">
        <f t="shared" si="38"/>
        <v>0</v>
      </c>
      <c r="F17" s="578">
        <f t="shared" si="39"/>
        <v>0</v>
      </c>
      <c r="G17" s="575">
        <f>+G15+G16</f>
        <v>0</v>
      </c>
      <c r="H17" s="53">
        <f t="shared" ref="H17:AC17" si="51">+H15+H16</f>
        <v>0</v>
      </c>
      <c r="I17" s="53">
        <f t="shared" si="3"/>
        <v>0</v>
      </c>
      <c r="J17" s="53">
        <f t="shared" ref="J17" si="52">+J15+J16</f>
        <v>0</v>
      </c>
      <c r="K17" s="53">
        <f t="shared" si="51"/>
        <v>0</v>
      </c>
      <c r="L17" s="53">
        <f t="shared" si="4"/>
        <v>0</v>
      </c>
      <c r="M17" s="53">
        <f t="shared" ref="M17" si="53">+M15+M16</f>
        <v>0</v>
      </c>
      <c r="N17" s="53">
        <f t="shared" si="51"/>
        <v>0</v>
      </c>
      <c r="O17" s="53">
        <f t="shared" si="5"/>
        <v>0</v>
      </c>
      <c r="P17" s="53">
        <f t="shared" ref="P17" si="54">+P15+P16</f>
        <v>0</v>
      </c>
      <c r="Q17" s="53">
        <f t="shared" si="51"/>
        <v>0</v>
      </c>
      <c r="R17" s="53">
        <f t="shared" si="6"/>
        <v>0</v>
      </c>
      <c r="S17" s="53">
        <f t="shared" ref="S17" si="55">+S15+S16</f>
        <v>0</v>
      </c>
      <c r="T17" s="53">
        <f t="shared" si="51"/>
        <v>0</v>
      </c>
      <c r="U17" s="53">
        <f t="shared" si="7"/>
        <v>0</v>
      </c>
      <c r="V17" s="53">
        <f t="shared" ref="V17" si="56">+V15+V16</f>
        <v>0</v>
      </c>
      <c r="W17" s="53">
        <f t="shared" si="51"/>
        <v>0</v>
      </c>
      <c r="X17" s="53">
        <f t="shared" si="8"/>
        <v>0</v>
      </c>
      <c r="Y17" s="53">
        <f t="shared" si="51"/>
        <v>0</v>
      </c>
      <c r="Z17" s="53">
        <f t="shared" si="51"/>
        <v>0</v>
      </c>
      <c r="AA17" s="53">
        <f t="shared" si="9"/>
        <v>0</v>
      </c>
      <c r="AB17" s="53">
        <f t="shared" ref="AB17" si="57">+AB15+AB16</f>
        <v>0</v>
      </c>
      <c r="AC17" s="53">
        <f t="shared" si="51"/>
        <v>0</v>
      </c>
      <c r="AD17" s="53">
        <f t="shared" si="10"/>
        <v>0</v>
      </c>
      <c r="AE17" s="53">
        <f t="shared" ref="AE17" si="58">+AE15+AE16</f>
        <v>0</v>
      </c>
      <c r="AF17" s="53">
        <f>+AF15+AF16</f>
        <v>0</v>
      </c>
      <c r="AG17" s="994">
        <f t="shared" si="11"/>
        <v>0</v>
      </c>
      <c r="AH17" s="53">
        <f t="shared" ref="AH17:AI17" si="59">+AH15+AH16</f>
        <v>0</v>
      </c>
      <c r="AI17" s="53">
        <f t="shared" si="59"/>
        <v>0</v>
      </c>
      <c r="AJ17" s="53">
        <f t="shared" si="40"/>
        <v>0</v>
      </c>
      <c r="AK17" s="53">
        <f>+AK15+AK16</f>
        <v>0</v>
      </c>
      <c r="AL17" s="53">
        <f>+AL15+AL16</f>
        <v>0</v>
      </c>
      <c r="AM17" s="514">
        <f t="shared" si="41"/>
        <v>0</v>
      </c>
    </row>
    <row r="18" spans="1:39" ht="12.75" customHeight="1" x14ac:dyDescent="0.2">
      <c r="A18" s="516" t="s">
        <v>54</v>
      </c>
      <c r="B18" s="1211" t="s">
        <v>53</v>
      </c>
      <c r="C18" s="1210"/>
      <c r="D18" s="774">
        <f t="shared" si="37"/>
        <v>0</v>
      </c>
      <c r="E18" s="85">
        <f t="shared" si="38"/>
        <v>0</v>
      </c>
      <c r="F18" s="578">
        <f t="shared" si="39"/>
        <v>0</v>
      </c>
      <c r="G18" s="29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53">
        <f t="shared" si="6"/>
        <v>0</v>
      </c>
      <c r="S18" s="27"/>
      <c r="T18" s="27"/>
      <c r="U18" s="53">
        <f t="shared" si="7"/>
        <v>0</v>
      </c>
      <c r="V18" s="27"/>
      <c r="W18" s="27"/>
      <c r="X18" s="53">
        <f t="shared" si="8"/>
        <v>0</v>
      </c>
      <c r="Y18" s="27"/>
      <c r="Z18" s="27"/>
      <c r="AA18" s="53">
        <f t="shared" si="9"/>
        <v>0</v>
      </c>
      <c r="AB18" s="27"/>
      <c r="AC18" s="27"/>
      <c r="AD18" s="53">
        <f t="shared" si="10"/>
        <v>0</v>
      </c>
      <c r="AE18" s="27"/>
      <c r="AF18" s="27"/>
      <c r="AG18" s="994">
        <f t="shared" si="11"/>
        <v>0</v>
      </c>
      <c r="AH18" s="27"/>
      <c r="AI18" s="27"/>
      <c r="AJ18" s="53">
        <f t="shared" si="40"/>
        <v>0</v>
      </c>
      <c r="AK18" s="27"/>
      <c r="AL18" s="27"/>
      <c r="AM18" s="514">
        <f t="shared" si="41"/>
        <v>0</v>
      </c>
    </row>
    <row r="19" spans="1:39" ht="12.75" customHeight="1" x14ac:dyDescent="0.2">
      <c r="A19" s="516" t="s">
        <v>56</v>
      </c>
      <c r="B19" s="1211" t="s">
        <v>55</v>
      </c>
      <c r="C19" s="1210"/>
      <c r="D19" s="774">
        <f t="shared" si="37"/>
        <v>0</v>
      </c>
      <c r="E19" s="85">
        <f t="shared" si="38"/>
        <v>0</v>
      </c>
      <c r="F19" s="578">
        <f t="shared" si="39"/>
        <v>0</v>
      </c>
      <c r="G19" s="29"/>
      <c r="H19" s="27"/>
      <c r="I19" s="53">
        <f t="shared" si="3"/>
        <v>0</v>
      </c>
      <c r="J19" s="27"/>
      <c r="K19" s="27"/>
      <c r="L19" s="53">
        <f t="shared" si="4"/>
        <v>0</v>
      </c>
      <c r="M19" s="27"/>
      <c r="N19" s="27"/>
      <c r="O19" s="53">
        <f t="shared" si="5"/>
        <v>0</v>
      </c>
      <c r="P19" s="27"/>
      <c r="Q19" s="27"/>
      <c r="R19" s="53">
        <f t="shared" si="6"/>
        <v>0</v>
      </c>
      <c r="S19" s="27"/>
      <c r="T19" s="27"/>
      <c r="U19" s="53">
        <f t="shared" si="7"/>
        <v>0</v>
      </c>
      <c r="V19" s="27"/>
      <c r="W19" s="27"/>
      <c r="X19" s="53">
        <f t="shared" si="8"/>
        <v>0</v>
      </c>
      <c r="Y19" s="27"/>
      <c r="Z19" s="27"/>
      <c r="AA19" s="53">
        <f t="shared" si="9"/>
        <v>0</v>
      </c>
      <c r="AB19" s="27"/>
      <c r="AC19" s="27"/>
      <c r="AD19" s="53">
        <f t="shared" si="10"/>
        <v>0</v>
      </c>
      <c r="AE19" s="27"/>
      <c r="AF19" s="27"/>
      <c r="AG19" s="994">
        <f t="shared" si="11"/>
        <v>0</v>
      </c>
      <c r="AH19" s="27"/>
      <c r="AI19" s="27"/>
      <c r="AJ19" s="53">
        <f t="shared" si="40"/>
        <v>0</v>
      </c>
      <c r="AK19" s="27"/>
      <c r="AL19" s="27"/>
      <c r="AM19" s="514">
        <f t="shared" si="41"/>
        <v>0</v>
      </c>
    </row>
    <row r="20" spans="1:39" ht="12.75" customHeight="1" x14ac:dyDescent="0.2">
      <c r="A20" s="516" t="s">
        <v>57</v>
      </c>
      <c r="B20" s="1211" t="s">
        <v>166</v>
      </c>
      <c r="C20" s="1210"/>
      <c r="D20" s="774">
        <f t="shared" si="37"/>
        <v>0</v>
      </c>
      <c r="E20" s="85">
        <f t="shared" si="38"/>
        <v>0</v>
      </c>
      <c r="F20" s="578">
        <f t="shared" si="39"/>
        <v>0</v>
      </c>
      <c r="G20" s="29"/>
      <c r="H20" s="27"/>
      <c r="I20" s="53">
        <f t="shared" si="3"/>
        <v>0</v>
      </c>
      <c r="J20" s="27"/>
      <c r="K20" s="27"/>
      <c r="L20" s="53">
        <f t="shared" si="4"/>
        <v>0</v>
      </c>
      <c r="M20" s="27"/>
      <c r="N20" s="27"/>
      <c r="O20" s="53">
        <f t="shared" si="5"/>
        <v>0</v>
      </c>
      <c r="P20" s="27"/>
      <c r="Q20" s="27"/>
      <c r="R20" s="53">
        <f t="shared" si="6"/>
        <v>0</v>
      </c>
      <c r="S20" s="27"/>
      <c r="T20" s="27"/>
      <c r="U20" s="53">
        <f t="shared" si="7"/>
        <v>0</v>
      </c>
      <c r="V20" s="27"/>
      <c r="W20" s="27"/>
      <c r="X20" s="53">
        <f t="shared" si="8"/>
        <v>0</v>
      </c>
      <c r="Y20" s="27"/>
      <c r="Z20" s="27"/>
      <c r="AA20" s="53">
        <f t="shared" si="9"/>
        <v>0</v>
      </c>
      <c r="AB20" s="27"/>
      <c r="AC20" s="27"/>
      <c r="AD20" s="53">
        <f t="shared" si="10"/>
        <v>0</v>
      </c>
      <c r="AE20" s="27"/>
      <c r="AF20" s="27"/>
      <c r="AG20" s="994">
        <f t="shared" si="11"/>
        <v>0</v>
      </c>
      <c r="AH20" s="27"/>
      <c r="AI20" s="27"/>
      <c r="AJ20" s="53">
        <f t="shared" si="40"/>
        <v>0</v>
      </c>
      <c r="AK20" s="27"/>
      <c r="AL20" s="27"/>
      <c r="AM20" s="514">
        <f t="shared" si="41"/>
        <v>0</v>
      </c>
    </row>
    <row r="21" spans="1:39" ht="12.75" customHeight="1" x14ac:dyDescent="0.2">
      <c r="A21" s="516" t="s">
        <v>59</v>
      </c>
      <c r="B21" s="1211" t="s">
        <v>58</v>
      </c>
      <c r="C21" s="1210"/>
      <c r="D21" s="774">
        <f t="shared" si="37"/>
        <v>0</v>
      </c>
      <c r="E21" s="85">
        <f t="shared" si="38"/>
        <v>0</v>
      </c>
      <c r="F21" s="578">
        <f t="shared" si="39"/>
        <v>0</v>
      </c>
      <c r="G21" s="29"/>
      <c r="H21" s="27"/>
      <c r="I21" s="53">
        <f t="shared" si="3"/>
        <v>0</v>
      </c>
      <c r="J21" s="27"/>
      <c r="K21" s="27"/>
      <c r="L21" s="53">
        <f t="shared" si="4"/>
        <v>0</v>
      </c>
      <c r="M21" s="27"/>
      <c r="N21" s="27"/>
      <c r="O21" s="53">
        <f t="shared" si="5"/>
        <v>0</v>
      </c>
      <c r="P21" s="27"/>
      <c r="Q21" s="27"/>
      <c r="R21" s="53">
        <f t="shared" si="6"/>
        <v>0</v>
      </c>
      <c r="S21" s="27"/>
      <c r="T21" s="27"/>
      <c r="U21" s="53">
        <f t="shared" si="7"/>
        <v>0</v>
      </c>
      <c r="V21" s="27"/>
      <c r="W21" s="27"/>
      <c r="X21" s="53">
        <f t="shared" si="8"/>
        <v>0</v>
      </c>
      <c r="Y21" s="27"/>
      <c r="Z21" s="27"/>
      <c r="AA21" s="53">
        <f t="shared" si="9"/>
        <v>0</v>
      </c>
      <c r="AB21" s="27"/>
      <c r="AC21" s="27"/>
      <c r="AD21" s="53">
        <f t="shared" si="10"/>
        <v>0</v>
      </c>
      <c r="AE21" s="27"/>
      <c r="AF21" s="27"/>
      <c r="AG21" s="994">
        <f t="shared" si="11"/>
        <v>0</v>
      </c>
      <c r="AH21" s="27"/>
      <c r="AI21" s="27"/>
      <c r="AJ21" s="53">
        <f t="shared" si="40"/>
        <v>0</v>
      </c>
      <c r="AK21" s="27"/>
      <c r="AL21" s="27"/>
      <c r="AM21" s="514">
        <f t="shared" si="41"/>
        <v>0</v>
      </c>
    </row>
    <row r="22" spans="1:39" ht="12.75" customHeight="1" x14ac:dyDescent="0.2">
      <c r="A22" s="516" t="s">
        <v>60</v>
      </c>
      <c r="B22" s="1211" t="s">
        <v>165</v>
      </c>
      <c r="C22" s="1210"/>
      <c r="D22" s="774">
        <f t="shared" si="37"/>
        <v>0</v>
      </c>
      <c r="E22" s="85">
        <f t="shared" si="38"/>
        <v>0</v>
      </c>
      <c r="F22" s="578">
        <f t="shared" si="39"/>
        <v>0</v>
      </c>
      <c r="G22" s="29"/>
      <c r="H22" s="27"/>
      <c r="I22" s="53">
        <f t="shared" si="3"/>
        <v>0</v>
      </c>
      <c r="J22" s="27"/>
      <c r="K22" s="27"/>
      <c r="L22" s="53">
        <f t="shared" si="4"/>
        <v>0</v>
      </c>
      <c r="M22" s="27"/>
      <c r="N22" s="27"/>
      <c r="O22" s="53">
        <f t="shared" si="5"/>
        <v>0</v>
      </c>
      <c r="P22" s="27"/>
      <c r="Q22" s="27"/>
      <c r="R22" s="53">
        <f t="shared" si="6"/>
        <v>0</v>
      </c>
      <c r="S22" s="27"/>
      <c r="T22" s="27"/>
      <c r="U22" s="53">
        <f t="shared" si="7"/>
        <v>0</v>
      </c>
      <c r="V22" s="27"/>
      <c r="W22" s="27"/>
      <c r="X22" s="53">
        <f t="shared" si="8"/>
        <v>0</v>
      </c>
      <c r="Y22" s="27"/>
      <c r="Z22" s="27"/>
      <c r="AA22" s="53">
        <f t="shared" si="9"/>
        <v>0</v>
      </c>
      <c r="AB22" s="27"/>
      <c r="AC22" s="27"/>
      <c r="AD22" s="53">
        <f t="shared" si="10"/>
        <v>0</v>
      </c>
      <c r="AE22" s="27"/>
      <c r="AF22" s="27"/>
      <c r="AG22" s="994">
        <f t="shared" si="11"/>
        <v>0</v>
      </c>
      <c r="AH22" s="27"/>
      <c r="AI22" s="27"/>
      <c r="AJ22" s="53">
        <f t="shared" si="40"/>
        <v>0</v>
      </c>
      <c r="AK22" s="27"/>
      <c r="AL22" s="27"/>
      <c r="AM22" s="514">
        <f t="shared" si="41"/>
        <v>0</v>
      </c>
    </row>
    <row r="23" spans="1:39" ht="12.75" customHeight="1" x14ac:dyDescent="0.2">
      <c r="A23" s="516" t="s">
        <v>63</v>
      </c>
      <c r="B23" s="1211" t="s">
        <v>62</v>
      </c>
      <c r="C23" s="1210"/>
      <c r="D23" s="774">
        <f t="shared" si="37"/>
        <v>2977</v>
      </c>
      <c r="E23" s="85">
        <f t="shared" si="38"/>
        <v>3373</v>
      </c>
      <c r="F23" s="578">
        <f t="shared" si="39"/>
        <v>6350</v>
      </c>
      <c r="G23" s="29"/>
      <c r="H23" s="27"/>
      <c r="I23" s="53">
        <f t="shared" si="3"/>
        <v>0</v>
      </c>
      <c r="J23" s="27"/>
      <c r="K23" s="27"/>
      <c r="L23" s="53">
        <f t="shared" si="4"/>
        <v>0</v>
      </c>
      <c r="M23" s="27">
        <v>1056</v>
      </c>
      <c r="N23" s="27"/>
      <c r="O23" s="53">
        <f t="shared" si="5"/>
        <v>1056</v>
      </c>
      <c r="P23" s="27">
        <v>335</v>
      </c>
      <c r="Q23" s="27"/>
      <c r="R23" s="53">
        <f t="shared" si="6"/>
        <v>335</v>
      </c>
      <c r="S23" s="27">
        <v>1586</v>
      </c>
      <c r="T23" s="27"/>
      <c r="U23" s="53">
        <f t="shared" si="7"/>
        <v>1586</v>
      </c>
      <c r="V23" s="1000"/>
      <c r="W23" s="27"/>
      <c r="X23" s="53">
        <f t="shared" si="8"/>
        <v>0</v>
      </c>
      <c r="Y23" s="27"/>
      <c r="Z23" s="27"/>
      <c r="AA23" s="53">
        <f t="shared" si="9"/>
        <v>0</v>
      </c>
      <c r="AB23" s="27"/>
      <c r="AC23" s="27"/>
      <c r="AD23" s="53">
        <f t="shared" si="10"/>
        <v>0</v>
      </c>
      <c r="AE23" s="27"/>
      <c r="AF23" s="27"/>
      <c r="AG23" s="994">
        <f t="shared" si="11"/>
        <v>0</v>
      </c>
      <c r="AH23" s="27"/>
      <c r="AI23" s="27">
        <v>3373</v>
      </c>
      <c r="AJ23" s="53">
        <f t="shared" si="40"/>
        <v>3373</v>
      </c>
      <c r="AK23" s="27"/>
      <c r="AL23" s="27"/>
      <c r="AM23" s="514">
        <f t="shared" si="41"/>
        <v>0</v>
      </c>
    </row>
    <row r="24" spans="1:39" ht="12.75" customHeight="1" x14ac:dyDescent="0.2">
      <c r="A24" s="516" t="s">
        <v>65</v>
      </c>
      <c r="B24" s="1211" t="s">
        <v>64</v>
      </c>
      <c r="C24" s="1210"/>
      <c r="D24" s="774">
        <f t="shared" si="37"/>
        <v>6059</v>
      </c>
      <c r="E24" s="85">
        <f t="shared" si="38"/>
        <v>0</v>
      </c>
      <c r="F24" s="578">
        <f t="shared" si="39"/>
        <v>6059</v>
      </c>
      <c r="G24" s="29">
        <f>2+1016+390+3132</f>
        <v>4540</v>
      </c>
      <c r="H24" s="27"/>
      <c r="I24" s="53">
        <f t="shared" si="3"/>
        <v>4540</v>
      </c>
      <c r="J24" s="27"/>
      <c r="K24" s="27"/>
      <c r="L24" s="53">
        <f t="shared" si="4"/>
        <v>0</v>
      </c>
      <c r="M24" s="27">
        <v>525</v>
      </c>
      <c r="N24" s="27"/>
      <c r="O24" s="53">
        <f t="shared" si="5"/>
        <v>525</v>
      </c>
      <c r="P24" s="27"/>
      <c r="Q24" s="27"/>
      <c r="R24" s="53">
        <f t="shared" si="6"/>
        <v>0</v>
      </c>
      <c r="S24" s="27"/>
      <c r="T24" s="27"/>
      <c r="U24" s="53">
        <f t="shared" si="7"/>
        <v>0</v>
      </c>
      <c r="V24" s="641">
        <v>525</v>
      </c>
      <c r="W24" s="27"/>
      <c r="X24" s="53">
        <f t="shared" si="8"/>
        <v>525</v>
      </c>
      <c r="Y24" s="27"/>
      <c r="Z24" s="27"/>
      <c r="AA24" s="53">
        <f t="shared" si="9"/>
        <v>0</v>
      </c>
      <c r="AB24" s="27">
        <v>100</v>
      </c>
      <c r="AC24" s="27"/>
      <c r="AD24" s="53">
        <f t="shared" si="10"/>
        <v>100</v>
      </c>
      <c r="AE24" s="27">
        <v>369</v>
      </c>
      <c r="AF24" s="27"/>
      <c r="AG24" s="994">
        <f t="shared" si="11"/>
        <v>369</v>
      </c>
      <c r="AH24" s="27"/>
      <c r="AI24" s="27"/>
      <c r="AJ24" s="53">
        <f t="shared" si="40"/>
        <v>0</v>
      </c>
      <c r="AK24" s="27"/>
      <c r="AL24" s="27"/>
      <c r="AM24" s="514">
        <f t="shared" si="41"/>
        <v>0</v>
      </c>
    </row>
    <row r="25" spans="1:39" s="42" customFormat="1" ht="12.75" customHeight="1" x14ac:dyDescent="0.2">
      <c r="A25" s="513" t="s">
        <v>66</v>
      </c>
      <c r="B25" s="1215" t="s">
        <v>155</v>
      </c>
      <c r="C25" s="1200"/>
      <c r="D25" s="774">
        <f t="shared" si="37"/>
        <v>9036</v>
      </c>
      <c r="E25" s="85">
        <f t="shared" si="38"/>
        <v>3373</v>
      </c>
      <c r="F25" s="578">
        <f t="shared" si="39"/>
        <v>12409</v>
      </c>
      <c r="G25" s="575">
        <f t="shared" ref="G25" si="60">+G24+G23+G22+G21+G20+G19+G18</f>
        <v>4540</v>
      </c>
      <c r="H25" s="53">
        <f t="shared" ref="H25:AF25" si="61">+H24+H23+H22+H21+H20+H19+H18</f>
        <v>0</v>
      </c>
      <c r="I25" s="53">
        <f t="shared" si="3"/>
        <v>4540</v>
      </c>
      <c r="J25" s="53">
        <f t="shared" ref="J25" si="62">+J24+J23+J22+J21+J20+J19+J18</f>
        <v>0</v>
      </c>
      <c r="K25" s="53">
        <f t="shared" si="61"/>
        <v>0</v>
      </c>
      <c r="L25" s="53">
        <f t="shared" si="4"/>
        <v>0</v>
      </c>
      <c r="M25" s="53">
        <f t="shared" ref="M25" si="63">+M24+M23+M22+M21+M20+M19+M18</f>
        <v>1581</v>
      </c>
      <c r="N25" s="53">
        <f t="shared" si="61"/>
        <v>0</v>
      </c>
      <c r="O25" s="53">
        <f t="shared" si="5"/>
        <v>1581</v>
      </c>
      <c r="P25" s="53">
        <f t="shared" ref="P25" si="64">+P24+P23+P22+P21+P20+P19+P18</f>
        <v>335</v>
      </c>
      <c r="Q25" s="53">
        <f t="shared" si="61"/>
        <v>0</v>
      </c>
      <c r="R25" s="53">
        <f t="shared" si="6"/>
        <v>335</v>
      </c>
      <c r="S25" s="53">
        <f t="shared" ref="S25" si="65">+S24+S23+S22+S21+S20+S19+S18</f>
        <v>1586</v>
      </c>
      <c r="T25" s="53">
        <f t="shared" si="61"/>
        <v>0</v>
      </c>
      <c r="U25" s="53">
        <f t="shared" si="7"/>
        <v>1586</v>
      </c>
      <c r="V25" s="642">
        <f t="shared" ref="V25" si="66">+V24+V23+V22+V21+V20+V19+V18</f>
        <v>525</v>
      </c>
      <c r="W25" s="53">
        <f t="shared" si="61"/>
        <v>0</v>
      </c>
      <c r="X25" s="53">
        <f t="shared" si="8"/>
        <v>525</v>
      </c>
      <c r="Y25" s="53">
        <f t="shared" si="61"/>
        <v>0</v>
      </c>
      <c r="Z25" s="53">
        <f t="shared" si="61"/>
        <v>0</v>
      </c>
      <c r="AA25" s="53">
        <f t="shared" si="9"/>
        <v>0</v>
      </c>
      <c r="AB25" s="53">
        <f t="shared" ref="AB25" si="67">+AB24+AB23+AB22+AB21+AB20+AB19+AB18</f>
        <v>100</v>
      </c>
      <c r="AC25" s="53">
        <f t="shared" si="61"/>
        <v>0</v>
      </c>
      <c r="AD25" s="53">
        <f t="shared" si="10"/>
        <v>100</v>
      </c>
      <c r="AE25" s="53">
        <f t="shared" ref="AE25" si="68">+AE24+AE23+AE22+AE21+AE20+AE19+AE18</f>
        <v>369</v>
      </c>
      <c r="AF25" s="53">
        <f t="shared" si="61"/>
        <v>0</v>
      </c>
      <c r="AG25" s="994">
        <f t="shared" si="11"/>
        <v>369</v>
      </c>
      <c r="AH25" s="53">
        <f t="shared" ref="AH25:AI25" si="69">+AH24+AH23+AH22+AH21+AH20+AH19+AH18</f>
        <v>0</v>
      </c>
      <c r="AI25" s="53">
        <f t="shared" si="69"/>
        <v>3373</v>
      </c>
      <c r="AJ25" s="53">
        <f t="shared" si="40"/>
        <v>3373</v>
      </c>
      <c r="AK25" s="53">
        <f t="shared" ref="AK25:AL25" si="70">+AK24+AK23+AK22+AK21+AK20+AK19+AK18</f>
        <v>0</v>
      </c>
      <c r="AL25" s="53">
        <f t="shared" si="70"/>
        <v>0</v>
      </c>
      <c r="AM25" s="514">
        <f t="shared" si="41"/>
        <v>0</v>
      </c>
    </row>
    <row r="26" spans="1:39" ht="12.75" customHeight="1" x14ac:dyDescent="0.2">
      <c r="A26" s="516" t="s">
        <v>68</v>
      </c>
      <c r="B26" s="1211" t="s">
        <v>67</v>
      </c>
      <c r="C26" s="1210"/>
      <c r="D26" s="774">
        <f t="shared" si="37"/>
        <v>0</v>
      </c>
      <c r="E26" s="85">
        <f t="shared" si="38"/>
        <v>0</v>
      </c>
      <c r="F26" s="578">
        <f t="shared" si="39"/>
        <v>0</v>
      </c>
      <c r="G26" s="29"/>
      <c r="H26" s="27"/>
      <c r="I26" s="53">
        <f t="shared" si="3"/>
        <v>0</v>
      </c>
      <c r="J26" s="27"/>
      <c r="K26" s="27"/>
      <c r="L26" s="53">
        <f t="shared" si="4"/>
        <v>0</v>
      </c>
      <c r="M26" s="27"/>
      <c r="N26" s="27"/>
      <c r="O26" s="53">
        <f t="shared" si="5"/>
        <v>0</v>
      </c>
      <c r="P26" s="27"/>
      <c r="Q26" s="27"/>
      <c r="R26" s="53">
        <f t="shared" si="6"/>
        <v>0</v>
      </c>
      <c r="S26" s="27"/>
      <c r="T26" s="27"/>
      <c r="U26" s="53">
        <f t="shared" si="7"/>
        <v>0</v>
      </c>
      <c r="V26" s="641"/>
      <c r="W26" s="27"/>
      <c r="X26" s="53">
        <f t="shared" si="8"/>
        <v>0</v>
      </c>
      <c r="Y26" s="27"/>
      <c r="Z26" s="27"/>
      <c r="AA26" s="53">
        <f t="shared" si="9"/>
        <v>0</v>
      </c>
      <c r="AB26" s="27"/>
      <c r="AC26" s="27"/>
      <c r="AD26" s="53">
        <f t="shared" si="10"/>
        <v>0</v>
      </c>
      <c r="AE26" s="27"/>
      <c r="AF26" s="27"/>
      <c r="AG26" s="994">
        <f t="shared" si="11"/>
        <v>0</v>
      </c>
      <c r="AH26" s="27"/>
      <c r="AI26" s="27"/>
      <c r="AJ26" s="53">
        <f t="shared" si="40"/>
        <v>0</v>
      </c>
      <c r="AK26" s="27"/>
      <c r="AL26" s="27"/>
      <c r="AM26" s="514">
        <f t="shared" si="41"/>
        <v>0</v>
      </c>
    </row>
    <row r="27" spans="1:39" ht="12.75" customHeight="1" x14ac:dyDescent="0.2">
      <c r="A27" s="516" t="s">
        <v>70</v>
      </c>
      <c r="B27" s="1211" t="s">
        <v>69</v>
      </c>
      <c r="C27" s="1210"/>
      <c r="D27" s="774">
        <f t="shared" si="37"/>
        <v>4489</v>
      </c>
      <c r="E27" s="85">
        <f t="shared" si="38"/>
        <v>554</v>
      </c>
      <c r="F27" s="578">
        <f t="shared" si="39"/>
        <v>5043</v>
      </c>
      <c r="G27" s="29"/>
      <c r="H27" s="27"/>
      <c r="I27" s="53">
        <f t="shared" si="3"/>
        <v>0</v>
      </c>
      <c r="J27" s="27">
        <v>181</v>
      </c>
      <c r="K27" s="27"/>
      <c r="L27" s="53">
        <f t="shared" si="4"/>
        <v>181</v>
      </c>
      <c r="M27" s="27">
        <v>3701</v>
      </c>
      <c r="N27" s="27"/>
      <c r="O27" s="53">
        <f t="shared" si="5"/>
        <v>3701</v>
      </c>
      <c r="P27" s="27">
        <v>157</v>
      </c>
      <c r="Q27" s="27"/>
      <c r="R27" s="53">
        <f t="shared" si="6"/>
        <v>157</v>
      </c>
      <c r="S27" s="27">
        <v>158</v>
      </c>
      <c r="T27" s="27"/>
      <c r="U27" s="53">
        <f t="shared" si="7"/>
        <v>158</v>
      </c>
      <c r="V27" s="641">
        <v>250</v>
      </c>
      <c r="W27" s="27"/>
      <c r="X27" s="53">
        <f t="shared" si="8"/>
        <v>250</v>
      </c>
      <c r="Y27" s="27"/>
      <c r="Z27" s="27"/>
      <c r="AA27" s="53">
        <f t="shared" si="9"/>
        <v>0</v>
      </c>
      <c r="AB27" s="27"/>
      <c r="AC27" s="27"/>
      <c r="AD27" s="53">
        <f t="shared" si="10"/>
        <v>0</v>
      </c>
      <c r="AE27" s="27">
        <v>42</v>
      </c>
      <c r="AF27" s="27"/>
      <c r="AG27" s="994">
        <f t="shared" si="11"/>
        <v>42</v>
      </c>
      <c r="AH27" s="27"/>
      <c r="AI27" s="27">
        <v>554</v>
      </c>
      <c r="AJ27" s="53">
        <f t="shared" si="40"/>
        <v>554</v>
      </c>
      <c r="AK27" s="27"/>
      <c r="AL27" s="27"/>
      <c r="AM27" s="514">
        <f t="shared" si="41"/>
        <v>0</v>
      </c>
    </row>
    <row r="28" spans="1:39" s="42" customFormat="1" ht="12.75" customHeight="1" x14ac:dyDescent="0.2">
      <c r="A28" s="513" t="s">
        <v>71</v>
      </c>
      <c r="B28" s="1215" t="s">
        <v>154</v>
      </c>
      <c r="C28" s="1200"/>
      <c r="D28" s="774">
        <f t="shared" si="37"/>
        <v>4489</v>
      </c>
      <c r="E28" s="85">
        <f t="shared" si="38"/>
        <v>554</v>
      </c>
      <c r="F28" s="578">
        <f t="shared" si="39"/>
        <v>5043</v>
      </c>
      <c r="G28" s="575">
        <f>SUM(G26:G27)</f>
        <v>0</v>
      </c>
      <c r="H28" s="53">
        <f t="shared" ref="H28:AC28" si="71">SUM(H26:H27)</f>
        <v>0</v>
      </c>
      <c r="I28" s="53">
        <f t="shared" si="3"/>
        <v>0</v>
      </c>
      <c r="J28" s="53">
        <f t="shared" ref="J28" si="72">SUM(J26:J27)</f>
        <v>181</v>
      </c>
      <c r="K28" s="53">
        <f t="shared" si="71"/>
        <v>0</v>
      </c>
      <c r="L28" s="53">
        <f t="shared" si="4"/>
        <v>181</v>
      </c>
      <c r="M28" s="53">
        <f t="shared" ref="M28" si="73">SUM(M26:M27)</f>
        <v>3701</v>
      </c>
      <c r="N28" s="53">
        <f t="shared" si="71"/>
        <v>0</v>
      </c>
      <c r="O28" s="53">
        <f t="shared" si="5"/>
        <v>3701</v>
      </c>
      <c r="P28" s="53">
        <f t="shared" ref="P28" si="74">SUM(P26:P27)</f>
        <v>157</v>
      </c>
      <c r="Q28" s="53">
        <f t="shared" si="71"/>
        <v>0</v>
      </c>
      <c r="R28" s="53">
        <f t="shared" si="6"/>
        <v>157</v>
      </c>
      <c r="S28" s="53">
        <f t="shared" ref="S28" si="75">SUM(S26:S27)</f>
        <v>158</v>
      </c>
      <c r="T28" s="53">
        <f t="shared" si="71"/>
        <v>0</v>
      </c>
      <c r="U28" s="53">
        <f t="shared" si="7"/>
        <v>158</v>
      </c>
      <c r="V28" s="642">
        <f t="shared" ref="V28" si="76">SUM(V26:V27)</f>
        <v>250</v>
      </c>
      <c r="W28" s="53">
        <f t="shared" si="71"/>
        <v>0</v>
      </c>
      <c r="X28" s="53">
        <f t="shared" si="8"/>
        <v>250</v>
      </c>
      <c r="Y28" s="53">
        <f t="shared" si="71"/>
        <v>0</v>
      </c>
      <c r="Z28" s="53">
        <f t="shared" si="71"/>
        <v>0</v>
      </c>
      <c r="AA28" s="53">
        <f t="shared" si="9"/>
        <v>0</v>
      </c>
      <c r="AB28" s="53">
        <f t="shared" ref="AB28" si="77">SUM(AB26:AB27)</f>
        <v>0</v>
      </c>
      <c r="AC28" s="53">
        <f t="shared" si="71"/>
        <v>0</v>
      </c>
      <c r="AD28" s="53">
        <f t="shared" si="10"/>
        <v>0</v>
      </c>
      <c r="AE28" s="53">
        <f t="shared" ref="AE28" si="78">SUM(AE26:AE27)</f>
        <v>42</v>
      </c>
      <c r="AF28" s="53">
        <f>SUM(AF26:AF27)</f>
        <v>0</v>
      </c>
      <c r="AG28" s="994">
        <f t="shared" si="11"/>
        <v>42</v>
      </c>
      <c r="AH28" s="53">
        <f t="shared" ref="AH28:AI28" si="79">SUM(AH26:AH27)</f>
        <v>0</v>
      </c>
      <c r="AI28" s="53">
        <f t="shared" si="79"/>
        <v>554</v>
      </c>
      <c r="AJ28" s="53">
        <f t="shared" si="40"/>
        <v>554</v>
      </c>
      <c r="AK28" s="53">
        <f>SUM(AK26:AK27)</f>
        <v>0</v>
      </c>
      <c r="AL28" s="53">
        <f>SUM(AL26:AL27)</f>
        <v>0</v>
      </c>
      <c r="AM28" s="514">
        <f t="shared" si="41"/>
        <v>0</v>
      </c>
    </row>
    <row r="29" spans="1:39" ht="12.75" customHeight="1" x14ac:dyDescent="0.2">
      <c r="A29" s="516" t="s">
        <v>73</v>
      </c>
      <c r="B29" s="1211" t="s">
        <v>72</v>
      </c>
      <c r="C29" s="1210"/>
      <c r="D29" s="774">
        <f t="shared" si="37"/>
        <v>5508</v>
      </c>
      <c r="E29" s="85">
        <f t="shared" si="38"/>
        <v>158</v>
      </c>
      <c r="F29" s="578">
        <f t="shared" si="39"/>
        <v>5666</v>
      </c>
      <c r="G29" s="29">
        <f>532+1+107+247+510+105+326</f>
        <v>1828</v>
      </c>
      <c r="H29" s="27"/>
      <c r="I29" s="53">
        <f t="shared" si="3"/>
        <v>1828</v>
      </c>
      <c r="J29" s="27">
        <f>213+49</f>
        <v>262</v>
      </c>
      <c r="K29" s="27"/>
      <c r="L29" s="53">
        <f t="shared" si="4"/>
        <v>262</v>
      </c>
      <c r="M29" s="27">
        <f>153+285+999</f>
        <v>1437</v>
      </c>
      <c r="N29" s="27"/>
      <c r="O29" s="53">
        <f t="shared" si="5"/>
        <v>1437</v>
      </c>
      <c r="P29" s="27">
        <v>408</v>
      </c>
      <c r="Q29" s="27"/>
      <c r="R29" s="53">
        <f t="shared" si="6"/>
        <v>408</v>
      </c>
      <c r="S29" s="27">
        <v>753</v>
      </c>
      <c r="T29" s="27"/>
      <c r="U29" s="53">
        <f t="shared" si="7"/>
        <v>753</v>
      </c>
      <c r="V29" s="641">
        <f>142+162+157+67</f>
        <v>528</v>
      </c>
      <c r="W29" s="27"/>
      <c r="X29" s="53">
        <f t="shared" si="8"/>
        <v>528</v>
      </c>
      <c r="Y29" s="27"/>
      <c r="Z29" s="27"/>
      <c r="AA29" s="53">
        <f t="shared" si="9"/>
        <v>0</v>
      </c>
      <c r="AB29" s="27">
        <f>21+27</f>
        <v>48</v>
      </c>
      <c r="AC29" s="27"/>
      <c r="AD29" s="53">
        <f t="shared" si="10"/>
        <v>48</v>
      </c>
      <c r="AE29" s="27">
        <f>100+78+66</f>
        <v>244</v>
      </c>
      <c r="AF29" s="27"/>
      <c r="AG29" s="994">
        <f t="shared" si="11"/>
        <v>244</v>
      </c>
      <c r="AH29" s="27"/>
      <c r="AI29" s="27">
        <v>158</v>
      </c>
      <c r="AJ29" s="53">
        <f t="shared" si="40"/>
        <v>158</v>
      </c>
      <c r="AK29" s="27"/>
      <c r="AL29" s="27"/>
      <c r="AM29" s="514">
        <f t="shared" si="41"/>
        <v>0</v>
      </c>
    </row>
    <row r="30" spans="1:39" ht="12.75" customHeight="1" x14ac:dyDescent="0.2">
      <c r="A30" s="516" t="s">
        <v>75</v>
      </c>
      <c r="B30" s="1211" t="s">
        <v>74</v>
      </c>
      <c r="C30" s="1210"/>
      <c r="D30" s="774">
        <f t="shared" si="37"/>
        <v>94800</v>
      </c>
      <c r="E30" s="85">
        <f t="shared" si="38"/>
        <v>0</v>
      </c>
      <c r="F30" s="578">
        <f t="shared" si="39"/>
        <v>94800</v>
      </c>
      <c r="G30" s="29">
        <v>56109</v>
      </c>
      <c r="H30" s="27"/>
      <c r="I30" s="53">
        <f t="shared" si="3"/>
        <v>56109</v>
      </c>
      <c r="J30" s="27"/>
      <c r="K30" s="27"/>
      <c r="L30" s="53">
        <f t="shared" si="4"/>
        <v>0</v>
      </c>
      <c r="M30" s="27"/>
      <c r="N30" s="27"/>
      <c r="O30" s="53">
        <f t="shared" si="5"/>
        <v>0</v>
      </c>
      <c r="P30" s="27"/>
      <c r="Q30" s="27"/>
      <c r="R30" s="53">
        <f t="shared" si="6"/>
        <v>0</v>
      </c>
      <c r="S30" s="27"/>
      <c r="T30" s="27"/>
      <c r="U30" s="53">
        <f t="shared" si="7"/>
        <v>0</v>
      </c>
      <c r="V30" s="641">
        <f>22746+15945</f>
        <v>38691</v>
      </c>
      <c r="W30" s="27"/>
      <c r="X30" s="53">
        <f t="shared" si="8"/>
        <v>38691</v>
      </c>
      <c r="Y30" s="27"/>
      <c r="Z30" s="27"/>
      <c r="AA30" s="53">
        <f t="shared" si="9"/>
        <v>0</v>
      </c>
      <c r="AB30" s="27"/>
      <c r="AC30" s="27"/>
      <c r="AD30" s="53">
        <f t="shared" si="10"/>
        <v>0</v>
      </c>
      <c r="AE30" s="27"/>
      <c r="AF30" s="27"/>
      <c r="AG30" s="994">
        <f t="shared" si="11"/>
        <v>0</v>
      </c>
      <c r="AH30" s="27"/>
      <c r="AI30" s="27"/>
      <c r="AJ30" s="53">
        <f t="shared" si="40"/>
        <v>0</v>
      </c>
      <c r="AK30" s="27"/>
      <c r="AL30" s="27"/>
      <c r="AM30" s="514">
        <f t="shared" si="41"/>
        <v>0</v>
      </c>
    </row>
    <row r="31" spans="1:39" ht="12.75" customHeight="1" x14ac:dyDescent="0.2">
      <c r="A31" s="516" t="s">
        <v>76</v>
      </c>
      <c r="B31" s="1211" t="s">
        <v>153</v>
      </c>
      <c r="C31" s="1210"/>
      <c r="D31" s="774">
        <f t="shared" si="37"/>
        <v>0</v>
      </c>
      <c r="E31" s="85">
        <f t="shared" si="38"/>
        <v>0</v>
      </c>
      <c r="F31" s="578">
        <f t="shared" si="39"/>
        <v>0</v>
      </c>
      <c r="G31" s="29"/>
      <c r="H31" s="27"/>
      <c r="I31" s="53">
        <f t="shared" si="3"/>
        <v>0</v>
      </c>
      <c r="J31" s="27"/>
      <c r="K31" s="27"/>
      <c r="L31" s="53">
        <f t="shared" si="4"/>
        <v>0</v>
      </c>
      <c r="M31" s="27"/>
      <c r="N31" s="27"/>
      <c r="O31" s="53">
        <f t="shared" si="5"/>
        <v>0</v>
      </c>
      <c r="P31" s="27"/>
      <c r="Q31" s="27"/>
      <c r="R31" s="53">
        <f t="shared" si="6"/>
        <v>0</v>
      </c>
      <c r="S31" s="27"/>
      <c r="T31" s="27"/>
      <c r="U31" s="53">
        <f t="shared" si="7"/>
        <v>0</v>
      </c>
      <c r="V31" s="641"/>
      <c r="W31" s="27"/>
      <c r="X31" s="53">
        <f t="shared" si="8"/>
        <v>0</v>
      </c>
      <c r="Y31" s="27"/>
      <c r="Z31" s="27"/>
      <c r="AA31" s="53">
        <f t="shared" si="9"/>
        <v>0</v>
      </c>
      <c r="AB31" s="27"/>
      <c r="AC31" s="27"/>
      <c r="AD31" s="53">
        <f t="shared" si="10"/>
        <v>0</v>
      </c>
      <c r="AE31" s="27"/>
      <c r="AF31" s="27"/>
      <c r="AG31" s="994">
        <f t="shared" si="11"/>
        <v>0</v>
      </c>
      <c r="AH31" s="27"/>
      <c r="AI31" s="27"/>
      <c r="AJ31" s="53">
        <f t="shared" si="40"/>
        <v>0</v>
      </c>
      <c r="AK31" s="27"/>
      <c r="AL31" s="27"/>
      <c r="AM31" s="514">
        <f t="shared" si="41"/>
        <v>0</v>
      </c>
    </row>
    <row r="32" spans="1:39" ht="12.75" customHeight="1" x14ac:dyDescent="0.2">
      <c r="A32" s="516" t="s">
        <v>77</v>
      </c>
      <c r="B32" s="1211" t="s">
        <v>152</v>
      </c>
      <c r="C32" s="1210"/>
      <c r="D32" s="774">
        <f t="shared" si="37"/>
        <v>0</v>
      </c>
      <c r="E32" s="85">
        <f t="shared" si="38"/>
        <v>0</v>
      </c>
      <c r="F32" s="578">
        <f t="shared" si="39"/>
        <v>0</v>
      </c>
      <c r="G32" s="29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53">
        <f t="shared" si="6"/>
        <v>0</v>
      </c>
      <c r="S32" s="27"/>
      <c r="T32" s="27"/>
      <c r="U32" s="53">
        <f t="shared" si="7"/>
        <v>0</v>
      </c>
      <c r="V32" s="641"/>
      <c r="W32" s="27"/>
      <c r="X32" s="53">
        <f t="shared" si="8"/>
        <v>0</v>
      </c>
      <c r="Y32" s="27"/>
      <c r="Z32" s="27"/>
      <c r="AA32" s="53">
        <f t="shared" si="9"/>
        <v>0</v>
      </c>
      <c r="AB32" s="27"/>
      <c r="AC32" s="27"/>
      <c r="AD32" s="53">
        <f t="shared" si="10"/>
        <v>0</v>
      </c>
      <c r="AE32" s="27"/>
      <c r="AF32" s="27"/>
      <c r="AG32" s="994">
        <f t="shared" si="11"/>
        <v>0</v>
      </c>
      <c r="AH32" s="27"/>
      <c r="AI32" s="27"/>
      <c r="AJ32" s="53">
        <f t="shared" si="40"/>
        <v>0</v>
      </c>
      <c r="AK32" s="27"/>
      <c r="AL32" s="27"/>
      <c r="AM32" s="514">
        <f t="shared" si="41"/>
        <v>0</v>
      </c>
    </row>
    <row r="33" spans="1:39" ht="12.75" customHeight="1" x14ac:dyDescent="0.2">
      <c r="A33" s="516" t="s">
        <v>79</v>
      </c>
      <c r="B33" s="1211" t="s">
        <v>78</v>
      </c>
      <c r="C33" s="1210"/>
      <c r="D33" s="774">
        <f t="shared" si="37"/>
        <v>9783</v>
      </c>
      <c r="E33" s="85">
        <f t="shared" si="38"/>
        <v>0</v>
      </c>
      <c r="F33" s="578">
        <f t="shared" si="39"/>
        <v>9783</v>
      </c>
      <c r="G33" s="29">
        <f>1971+396+913+1969</f>
        <v>5249</v>
      </c>
      <c r="H33" s="27"/>
      <c r="I33" s="53">
        <f t="shared" si="3"/>
        <v>5249</v>
      </c>
      <c r="J33" s="27">
        <v>787</v>
      </c>
      <c r="K33" s="27"/>
      <c r="L33" s="53">
        <f t="shared" si="4"/>
        <v>787</v>
      </c>
      <c r="M33" s="27">
        <v>1417</v>
      </c>
      <c r="N33" s="27"/>
      <c r="O33" s="53">
        <f t="shared" si="5"/>
        <v>1417</v>
      </c>
      <c r="P33" s="27">
        <v>236</v>
      </c>
      <c r="Q33" s="27"/>
      <c r="R33" s="53">
        <f t="shared" si="6"/>
        <v>236</v>
      </c>
      <c r="S33" s="27">
        <v>240</v>
      </c>
      <c r="T33" s="27"/>
      <c r="U33" s="53">
        <f t="shared" si="7"/>
        <v>240</v>
      </c>
      <c r="V33" s="641">
        <f>600+580</f>
        <v>1180</v>
      </c>
      <c r="W33" s="27"/>
      <c r="X33" s="53">
        <f t="shared" si="8"/>
        <v>1180</v>
      </c>
      <c r="Y33" s="27"/>
      <c r="Z33" s="27"/>
      <c r="AA33" s="53">
        <f t="shared" si="9"/>
        <v>0</v>
      </c>
      <c r="AB33" s="27">
        <f>80+60</f>
        <v>140</v>
      </c>
      <c r="AC33" s="27"/>
      <c r="AD33" s="53">
        <f t="shared" si="10"/>
        <v>140</v>
      </c>
      <c r="AE33" s="27">
        <f>288+246</f>
        <v>534</v>
      </c>
      <c r="AF33" s="27"/>
      <c r="AG33" s="994">
        <f t="shared" si="11"/>
        <v>534</v>
      </c>
      <c r="AH33" s="27"/>
      <c r="AI33" s="27"/>
      <c r="AJ33" s="53">
        <f t="shared" si="40"/>
        <v>0</v>
      </c>
      <c r="AK33" s="27"/>
      <c r="AL33" s="27"/>
      <c r="AM33" s="514">
        <f t="shared" si="41"/>
        <v>0</v>
      </c>
    </row>
    <row r="34" spans="1:39" s="42" customFormat="1" ht="12.75" customHeight="1" x14ac:dyDescent="0.2">
      <c r="A34" s="513" t="s">
        <v>80</v>
      </c>
      <c r="B34" s="1215" t="s">
        <v>151</v>
      </c>
      <c r="C34" s="1200"/>
      <c r="D34" s="774">
        <f t="shared" si="37"/>
        <v>110091</v>
      </c>
      <c r="E34" s="85">
        <f t="shared" si="38"/>
        <v>158</v>
      </c>
      <c r="F34" s="578">
        <f t="shared" si="39"/>
        <v>110249</v>
      </c>
      <c r="G34" s="575">
        <f>SUM(G29:G33)</f>
        <v>63186</v>
      </c>
      <c r="H34" s="53">
        <f t="shared" ref="H34:AC34" si="80">SUM(H29:H33)</f>
        <v>0</v>
      </c>
      <c r="I34" s="53">
        <f t="shared" si="3"/>
        <v>63186</v>
      </c>
      <c r="J34" s="53">
        <f t="shared" ref="J34" si="81">SUM(J29:J33)</f>
        <v>1049</v>
      </c>
      <c r="K34" s="53">
        <f t="shared" si="80"/>
        <v>0</v>
      </c>
      <c r="L34" s="53">
        <f t="shared" si="4"/>
        <v>1049</v>
      </c>
      <c r="M34" s="53">
        <f t="shared" ref="M34" si="82">SUM(M29:M33)</f>
        <v>2854</v>
      </c>
      <c r="N34" s="53">
        <f t="shared" ref="N34" si="83">SUM(N29:N33)</f>
        <v>0</v>
      </c>
      <c r="O34" s="53">
        <f t="shared" si="5"/>
        <v>2854</v>
      </c>
      <c r="P34" s="53">
        <f t="shared" ref="P34" si="84">SUM(P29:P33)</f>
        <v>644</v>
      </c>
      <c r="Q34" s="53">
        <f t="shared" ref="Q34" si="85">SUM(Q29:Q33)</f>
        <v>0</v>
      </c>
      <c r="R34" s="53">
        <f t="shared" si="6"/>
        <v>644</v>
      </c>
      <c r="S34" s="53">
        <f t="shared" ref="S34" si="86">SUM(S29:S33)</f>
        <v>993</v>
      </c>
      <c r="T34" s="53">
        <f t="shared" ref="T34" si="87">SUM(T29:T33)</f>
        <v>0</v>
      </c>
      <c r="U34" s="53">
        <f t="shared" si="7"/>
        <v>993</v>
      </c>
      <c r="V34" s="53">
        <f t="shared" ref="V34" si="88">SUM(V29:V33)</f>
        <v>40399</v>
      </c>
      <c r="W34" s="53">
        <f t="shared" ref="W34" si="89">SUM(W29:W33)</f>
        <v>0</v>
      </c>
      <c r="X34" s="53">
        <f t="shared" si="8"/>
        <v>40399</v>
      </c>
      <c r="Y34" s="53">
        <f t="shared" ref="Y34:Z34" si="90">SUM(Y29:Y33)</f>
        <v>0</v>
      </c>
      <c r="Z34" s="53">
        <f t="shared" si="90"/>
        <v>0</v>
      </c>
      <c r="AA34" s="53">
        <f t="shared" si="9"/>
        <v>0</v>
      </c>
      <c r="AB34" s="53">
        <f t="shared" ref="AB34" si="91">SUM(AB29:AB33)</f>
        <v>188</v>
      </c>
      <c r="AC34" s="53">
        <f t="shared" si="80"/>
        <v>0</v>
      </c>
      <c r="AD34" s="53">
        <f t="shared" si="10"/>
        <v>188</v>
      </c>
      <c r="AE34" s="53">
        <f t="shared" ref="AE34" si="92">SUM(AE29:AE33)</f>
        <v>778</v>
      </c>
      <c r="AF34" s="53">
        <f>SUM(AF29:AF33)</f>
        <v>0</v>
      </c>
      <c r="AG34" s="994">
        <f t="shared" si="11"/>
        <v>778</v>
      </c>
      <c r="AH34" s="53">
        <f t="shared" ref="AH34:AI34" si="93">SUM(AH29:AH33)</f>
        <v>0</v>
      </c>
      <c r="AI34" s="53">
        <f t="shared" si="93"/>
        <v>158</v>
      </c>
      <c r="AJ34" s="53">
        <f t="shared" si="40"/>
        <v>158</v>
      </c>
      <c r="AK34" s="53">
        <f>SUM(AK29:AK33)</f>
        <v>0</v>
      </c>
      <c r="AL34" s="53">
        <f>SUM(AL29:AL33)</f>
        <v>0</v>
      </c>
      <c r="AM34" s="514">
        <f t="shared" si="41"/>
        <v>0</v>
      </c>
    </row>
    <row r="35" spans="1:39" s="42" customFormat="1" ht="12.75" customHeight="1" x14ac:dyDescent="0.2">
      <c r="A35" s="513" t="s">
        <v>81</v>
      </c>
      <c r="B35" s="1215" t="s">
        <v>150</v>
      </c>
      <c r="C35" s="1200"/>
      <c r="D35" s="774">
        <f t="shared" si="37"/>
        <v>125171</v>
      </c>
      <c r="E35" s="85">
        <f t="shared" si="38"/>
        <v>4085</v>
      </c>
      <c r="F35" s="578">
        <f t="shared" si="39"/>
        <v>129256</v>
      </c>
      <c r="G35" s="575">
        <f t="shared" ref="G35" si="94">+G34+G28+G25+G17+G14</f>
        <v>67726</v>
      </c>
      <c r="H35" s="53">
        <f t="shared" ref="H35:AF35" si="95">+H34+H28+H25+H17+H14</f>
        <v>0</v>
      </c>
      <c r="I35" s="53">
        <f t="shared" si="3"/>
        <v>67726</v>
      </c>
      <c r="J35" s="53">
        <f t="shared" ref="J35" si="96">+J34+J28+J25+J17+J14</f>
        <v>1230</v>
      </c>
      <c r="K35" s="53">
        <f>+K34+K28+K25+K17+K14</f>
        <v>0</v>
      </c>
      <c r="L35" s="53">
        <f t="shared" si="4"/>
        <v>1230</v>
      </c>
      <c r="M35" s="53">
        <f t="shared" ref="M35" si="97">+M34+M28+M25+M17+M14</f>
        <v>8136</v>
      </c>
      <c r="N35" s="53">
        <f t="shared" si="95"/>
        <v>0</v>
      </c>
      <c r="O35" s="53">
        <f t="shared" si="5"/>
        <v>8136</v>
      </c>
      <c r="P35" s="53">
        <f t="shared" ref="P35" si="98">+P34+P28+P25+P17+P14</f>
        <v>1887</v>
      </c>
      <c r="Q35" s="53">
        <f t="shared" ref="Q35" si="99">+Q34+Q28+Q25+Q17+Q14</f>
        <v>0</v>
      </c>
      <c r="R35" s="53">
        <f t="shared" si="6"/>
        <v>1887</v>
      </c>
      <c r="S35" s="53">
        <f t="shared" ref="S35" si="100">+S34+S28+S25+S17+S14</f>
        <v>3541</v>
      </c>
      <c r="T35" s="53">
        <f t="shared" ref="T35" si="101">+T34+T28+T25+T17+T14</f>
        <v>0</v>
      </c>
      <c r="U35" s="53">
        <f t="shared" si="7"/>
        <v>3541</v>
      </c>
      <c r="V35" s="53">
        <f t="shared" ref="V35" si="102">+V34+V28+V25+V17+V14</f>
        <v>41174</v>
      </c>
      <c r="W35" s="53">
        <f t="shared" ref="W35" si="103">+W34+W28+W25+W17+W14</f>
        <v>0</v>
      </c>
      <c r="X35" s="53">
        <f t="shared" si="8"/>
        <v>41174</v>
      </c>
      <c r="Y35" s="53">
        <f t="shared" ref="Y35:Z35" si="104">+Y34+Y28+Y25+Y17+Y14</f>
        <v>0</v>
      </c>
      <c r="Z35" s="53">
        <f t="shared" si="104"/>
        <v>0</v>
      </c>
      <c r="AA35" s="53">
        <f t="shared" si="9"/>
        <v>0</v>
      </c>
      <c r="AB35" s="53">
        <f t="shared" ref="AB35" si="105">+AB34+AB28+AB25+AB17+AB14</f>
        <v>288</v>
      </c>
      <c r="AC35" s="53">
        <f t="shared" si="95"/>
        <v>0</v>
      </c>
      <c r="AD35" s="53">
        <f t="shared" si="10"/>
        <v>288</v>
      </c>
      <c r="AE35" s="53">
        <f t="shared" ref="AE35" si="106">+AE34+AE28+AE25+AE17+AE14</f>
        <v>1189</v>
      </c>
      <c r="AF35" s="53">
        <f t="shared" si="95"/>
        <v>0</v>
      </c>
      <c r="AG35" s="994">
        <f t="shared" si="11"/>
        <v>1189</v>
      </c>
      <c r="AH35" s="53">
        <f t="shared" ref="AH35:AI35" si="107">+AH34+AH28+AH25+AH17+AH14</f>
        <v>0</v>
      </c>
      <c r="AI35" s="53">
        <f t="shared" si="107"/>
        <v>4085</v>
      </c>
      <c r="AJ35" s="53">
        <f t="shared" si="40"/>
        <v>4085</v>
      </c>
      <c r="AK35" s="53">
        <f t="shared" ref="AK35:AL35" si="108">+AK34+AK28+AK25+AK17+AK14</f>
        <v>0</v>
      </c>
      <c r="AL35" s="53">
        <f t="shared" si="108"/>
        <v>0</v>
      </c>
      <c r="AM35" s="514">
        <f t="shared" si="41"/>
        <v>0</v>
      </c>
    </row>
    <row r="36" spans="1:39" ht="12" customHeight="1" x14ac:dyDescent="0.2">
      <c r="A36" s="515"/>
      <c r="B36" s="1248"/>
      <c r="C36" s="1249"/>
      <c r="D36" s="758"/>
      <c r="E36" s="758"/>
      <c r="F36" s="781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1001"/>
      <c r="W36" s="56"/>
      <c r="X36" s="199"/>
      <c r="Y36" s="56"/>
      <c r="Z36" s="56"/>
      <c r="AA36" s="199"/>
      <c r="AB36" s="56"/>
      <c r="AC36" s="56"/>
      <c r="AD36" s="199"/>
      <c r="AE36" s="56"/>
      <c r="AF36" s="56"/>
      <c r="AG36" s="199"/>
      <c r="AH36" s="56"/>
      <c r="AI36" s="56"/>
      <c r="AJ36" s="199"/>
      <c r="AK36" s="996"/>
      <c r="AL36" s="56"/>
      <c r="AM36" s="577"/>
    </row>
    <row r="37" spans="1:39" ht="12.75" hidden="1" customHeight="1" x14ac:dyDescent="0.2">
      <c r="A37" s="516" t="s">
        <v>96</v>
      </c>
      <c r="B37" s="1220" t="s">
        <v>95</v>
      </c>
      <c r="C37" s="1255"/>
      <c r="D37" s="774">
        <f t="shared" ref="D37:D42" si="109">+G37+J37+AB37+AE37+M37+V37+Y37+P37+S37+AK37</f>
        <v>0</v>
      </c>
      <c r="E37" s="85">
        <f t="shared" ref="E37:E42" si="110">+H37+K37+AC37+AF37+N37+W37+Z37+Q37+T37+AL37</f>
        <v>0</v>
      </c>
      <c r="F37" s="578">
        <f t="shared" ref="F37:F42" si="111">+I37+L37+AD37+AG37+O37+X37+AA37+R37+U37+AM37</f>
        <v>0</v>
      </c>
      <c r="G37" s="29"/>
      <c r="H37" s="27"/>
      <c r="I37" s="53">
        <f t="shared" si="3"/>
        <v>0</v>
      </c>
      <c r="J37" s="27"/>
      <c r="K37" s="27"/>
      <c r="L37" s="53">
        <f t="shared" si="4"/>
        <v>0</v>
      </c>
      <c r="M37" s="27"/>
      <c r="N37" s="27"/>
      <c r="O37" s="53">
        <f t="shared" si="5"/>
        <v>0</v>
      </c>
      <c r="P37" s="27"/>
      <c r="Q37" s="27"/>
      <c r="R37" s="53">
        <f t="shared" si="6"/>
        <v>0</v>
      </c>
      <c r="S37" s="27"/>
      <c r="T37" s="27"/>
      <c r="U37" s="53">
        <f t="shared" si="7"/>
        <v>0</v>
      </c>
      <c r="V37" s="641"/>
      <c r="W37" s="27"/>
      <c r="X37" s="53">
        <f t="shared" si="8"/>
        <v>0</v>
      </c>
      <c r="Y37" s="27"/>
      <c r="Z37" s="27"/>
      <c r="AA37" s="53">
        <f t="shared" si="9"/>
        <v>0</v>
      </c>
      <c r="AB37" s="27"/>
      <c r="AC37" s="27"/>
      <c r="AD37" s="53">
        <f t="shared" si="10"/>
        <v>0</v>
      </c>
      <c r="AE37" s="27"/>
      <c r="AF37" s="27"/>
      <c r="AG37" s="994">
        <f t="shared" si="11"/>
        <v>0</v>
      </c>
      <c r="AH37" s="27"/>
      <c r="AI37" s="27"/>
      <c r="AJ37" s="53">
        <f t="shared" ref="AJ37:AJ52" si="112">+AI37+AH37</f>
        <v>0</v>
      </c>
      <c r="AK37" s="27"/>
      <c r="AL37" s="27"/>
      <c r="AM37" s="514">
        <f t="shared" ref="AM37:AM52" si="113">+AL37+AK37</f>
        <v>0</v>
      </c>
    </row>
    <row r="38" spans="1:39" ht="12.75" hidden="1" customHeight="1" x14ac:dyDescent="0.2">
      <c r="A38" s="516" t="s">
        <v>98</v>
      </c>
      <c r="B38" s="1220" t="s">
        <v>97</v>
      </c>
      <c r="C38" s="1255"/>
      <c r="D38" s="774">
        <f t="shared" si="109"/>
        <v>0</v>
      </c>
      <c r="E38" s="85">
        <f t="shared" si="110"/>
        <v>0</v>
      </c>
      <c r="F38" s="578">
        <f t="shared" si="111"/>
        <v>0</v>
      </c>
      <c r="G38" s="29"/>
      <c r="H38" s="27"/>
      <c r="I38" s="53">
        <f t="shared" si="3"/>
        <v>0</v>
      </c>
      <c r="J38" s="27"/>
      <c r="K38" s="27"/>
      <c r="L38" s="53">
        <f t="shared" si="4"/>
        <v>0</v>
      </c>
      <c r="M38" s="27"/>
      <c r="N38" s="27"/>
      <c r="O38" s="53">
        <f t="shared" si="5"/>
        <v>0</v>
      </c>
      <c r="P38" s="27"/>
      <c r="Q38" s="27"/>
      <c r="R38" s="53">
        <f t="shared" si="6"/>
        <v>0</v>
      </c>
      <c r="S38" s="27"/>
      <c r="T38" s="27"/>
      <c r="U38" s="53">
        <f t="shared" si="7"/>
        <v>0</v>
      </c>
      <c r="V38" s="641"/>
      <c r="W38" s="27"/>
      <c r="X38" s="53">
        <f t="shared" si="8"/>
        <v>0</v>
      </c>
      <c r="Y38" s="27"/>
      <c r="Z38" s="27"/>
      <c r="AA38" s="53">
        <f t="shared" si="9"/>
        <v>0</v>
      </c>
      <c r="AB38" s="27"/>
      <c r="AC38" s="27"/>
      <c r="AD38" s="53">
        <f t="shared" si="10"/>
        <v>0</v>
      </c>
      <c r="AE38" s="27"/>
      <c r="AF38" s="27"/>
      <c r="AG38" s="994">
        <f t="shared" si="11"/>
        <v>0</v>
      </c>
      <c r="AH38" s="27"/>
      <c r="AI38" s="27"/>
      <c r="AJ38" s="53">
        <f t="shared" si="112"/>
        <v>0</v>
      </c>
      <c r="AK38" s="27"/>
      <c r="AL38" s="27"/>
      <c r="AM38" s="514">
        <f t="shared" si="113"/>
        <v>0</v>
      </c>
    </row>
    <row r="39" spans="1:39" ht="23.25" hidden="1" customHeight="1" x14ac:dyDescent="0.2">
      <c r="A39" s="516" t="s">
        <v>101</v>
      </c>
      <c r="B39" s="1220" t="s">
        <v>164</v>
      </c>
      <c r="C39" s="1255"/>
      <c r="D39" s="774">
        <f t="shared" si="109"/>
        <v>0</v>
      </c>
      <c r="E39" s="85">
        <f t="shared" si="110"/>
        <v>0</v>
      </c>
      <c r="F39" s="578">
        <f t="shared" si="111"/>
        <v>0</v>
      </c>
      <c r="G39" s="29"/>
      <c r="H39" s="27"/>
      <c r="I39" s="53">
        <f t="shared" si="3"/>
        <v>0</v>
      </c>
      <c r="J39" s="27"/>
      <c r="K39" s="27"/>
      <c r="L39" s="53">
        <f t="shared" si="4"/>
        <v>0</v>
      </c>
      <c r="M39" s="27"/>
      <c r="N39" s="27"/>
      <c r="O39" s="53">
        <f t="shared" si="5"/>
        <v>0</v>
      </c>
      <c r="P39" s="27"/>
      <c r="Q39" s="27"/>
      <c r="R39" s="53">
        <f t="shared" si="6"/>
        <v>0</v>
      </c>
      <c r="S39" s="27"/>
      <c r="T39" s="27"/>
      <c r="U39" s="53">
        <f t="shared" si="7"/>
        <v>0</v>
      </c>
      <c r="V39" s="641"/>
      <c r="W39" s="27"/>
      <c r="X39" s="53">
        <f t="shared" si="8"/>
        <v>0</v>
      </c>
      <c r="Y39" s="27"/>
      <c r="Z39" s="27"/>
      <c r="AA39" s="53">
        <f t="shared" si="9"/>
        <v>0</v>
      </c>
      <c r="AB39" s="27"/>
      <c r="AC39" s="27"/>
      <c r="AD39" s="53">
        <f t="shared" si="10"/>
        <v>0</v>
      </c>
      <c r="AE39" s="27"/>
      <c r="AF39" s="27"/>
      <c r="AG39" s="994">
        <f t="shared" si="11"/>
        <v>0</v>
      </c>
      <c r="AH39" s="27"/>
      <c r="AI39" s="27"/>
      <c r="AJ39" s="53">
        <f t="shared" si="112"/>
        <v>0</v>
      </c>
      <c r="AK39" s="27"/>
      <c r="AL39" s="27"/>
      <c r="AM39" s="514">
        <f t="shared" si="113"/>
        <v>0</v>
      </c>
    </row>
    <row r="40" spans="1:39" ht="25.5" hidden="1" customHeight="1" x14ac:dyDescent="0.2">
      <c r="A40" s="516" t="s">
        <v>103</v>
      </c>
      <c r="B40" s="1220" t="s">
        <v>102</v>
      </c>
      <c r="C40" s="1255"/>
      <c r="D40" s="774">
        <f t="shared" si="109"/>
        <v>0</v>
      </c>
      <c r="E40" s="85">
        <f t="shared" si="110"/>
        <v>0</v>
      </c>
      <c r="F40" s="578">
        <f t="shared" si="111"/>
        <v>0</v>
      </c>
      <c r="G40" s="29"/>
      <c r="H40" s="27"/>
      <c r="I40" s="53">
        <f t="shared" si="3"/>
        <v>0</v>
      </c>
      <c r="J40" s="27"/>
      <c r="K40" s="27"/>
      <c r="L40" s="53">
        <f t="shared" si="4"/>
        <v>0</v>
      </c>
      <c r="M40" s="27"/>
      <c r="N40" s="27"/>
      <c r="O40" s="53">
        <f t="shared" si="5"/>
        <v>0</v>
      </c>
      <c r="P40" s="27"/>
      <c r="Q40" s="27"/>
      <c r="R40" s="53">
        <f t="shared" si="6"/>
        <v>0</v>
      </c>
      <c r="S40" s="27"/>
      <c r="T40" s="27"/>
      <c r="U40" s="53">
        <f t="shared" si="7"/>
        <v>0</v>
      </c>
      <c r="V40" s="641"/>
      <c r="W40" s="27"/>
      <c r="X40" s="53">
        <f t="shared" si="8"/>
        <v>0</v>
      </c>
      <c r="Y40" s="27"/>
      <c r="Z40" s="27"/>
      <c r="AA40" s="53">
        <f t="shared" si="9"/>
        <v>0</v>
      </c>
      <c r="AB40" s="27"/>
      <c r="AC40" s="27"/>
      <c r="AD40" s="53">
        <f t="shared" si="10"/>
        <v>0</v>
      </c>
      <c r="AE40" s="27"/>
      <c r="AF40" s="27"/>
      <c r="AG40" s="994">
        <f t="shared" si="11"/>
        <v>0</v>
      </c>
      <c r="AH40" s="27"/>
      <c r="AI40" s="27"/>
      <c r="AJ40" s="53">
        <f t="shared" si="112"/>
        <v>0</v>
      </c>
      <c r="AK40" s="27"/>
      <c r="AL40" s="27"/>
      <c r="AM40" s="514">
        <f t="shared" si="113"/>
        <v>0</v>
      </c>
    </row>
    <row r="41" spans="1:39" ht="27" hidden="1" customHeight="1" x14ac:dyDescent="0.2">
      <c r="A41" s="516" t="s">
        <v>106</v>
      </c>
      <c r="B41" s="1220" t="s">
        <v>163</v>
      </c>
      <c r="C41" s="1255"/>
      <c r="D41" s="774">
        <f t="shared" si="109"/>
        <v>0</v>
      </c>
      <c r="E41" s="85">
        <f t="shared" si="110"/>
        <v>0</v>
      </c>
      <c r="F41" s="578">
        <f t="shared" si="111"/>
        <v>0</v>
      </c>
      <c r="G41" s="29"/>
      <c r="H41" s="27"/>
      <c r="I41" s="53">
        <f t="shared" si="3"/>
        <v>0</v>
      </c>
      <c r="J41" s="27"/>
      <c r="K41" s="27"/>
      <c r="L41" s="53">
        <f t="shared" si="4"/>
        <v>0</v>
      </c>
      <c r="M41" s="27"/>
      <c r="N41" s="27"/>
      <c r="O41" s="53">
        <f t="shared" si="5"/>
        <v>0</v>
      </c>
      <c r="P41" s="27"/>
      <c r="Q41" s="27"/>
      <c r="R41" s="53">
        <f t="shared" si="6"/>
        <v>0</v>
      </c>
      <c r="S41" s="27"/>
      <c r="T41" s="27"/>
      <c r="U41" s="53">
        <f t="shared" si="7"/>
        <v>0</v>
      </c>
      <c r="V41" s="641"/>
      <c r="W41" s="27"/>
      <c r="X41" s="53">
        <f t="shared" si="8"/>
        <v>0</v>
      </c>
      <c r="Y41" s="27"/>
      <c r="Z41" s="27"/>
      <c r="AA41" s="53">
        <f t="shared" si="9"/>
        <v>0</v>
      </c>
      <c r="AB41" s="27"/>
      <c r="AC41" s="27"/>
      <c r="AD41" s="53">
        <f t="shared" si="10"/>
        <v>0</v>
      </c>
      <c r="AE41" s="27"/>
      <c r="AF41" s="27"/>
      <c r="AG41" s="994">
        <f t="shared" si="11"/>
        <v>0</v>
      </c>
      <c r="AH41" s="27"/>
      <c r="AI41" s="27"/>
      <c r="AJ41" s="53">
        <f t="shared" si="112"/>
        <v>0</v>
      </c>
      <c r="AK41" s="27"/>
      <c r="AL41" s="27"/>
      <c r="AM41" s="514">
        <f t="shared" si="113"/>
        <v>0</v>
      </c>
    </row>
    <row r="42" spans="1:39" ht="12.75" hidden="1" customHeight="1" x14ac:dyDescent="0.2">
      <c r="A42" s="516" t="s">
        <v>606</v>
      </c>
      <c r="B42" s="1211" t="s">
        <v>105</v>
      </c>
      <c r="C42" s="1210"/>
      <c r="D42" s="774">
        <f t="shared" si="109"/>
        <v>0</v>
      </c>
      <c r="E42" s="85">
        <f t="shared" si="110"/>
        <v>0</v>
      </c>
      <c r="F42" s="578">
        <f t="shared" si="111"/>
        <v>0</v>
      </c>
      <c r="G42" s="29"/>
      <c r="H42" s="27"/>
      <c r="I42" s="53">
        <f t="shared" si="3"/>
        <v>0</v>
      </c>
      <c r="J42" s="27"/>
      <c r="K42" s="27"/>
      <c r="L42" s="53">
        <f t="shared" si="4"/>
        <v>0</v>
      </c>
      <c r="M42" s="27"/>
      <c r="N42" s="27"/>
      <c r="O42" s="53">
        <f t="shared" si="5"/>
        <v>0</v>
      </c>
      <c r="P42" s="27"/>
      <c r="Q42" s="27"/>
      <c r="R42" s="53">
        <f t="shared" si="6"/>
        <v>0</v>
      </c>
      <c r="S42" s="27"/>
      <c r="T42" s="27"/>
      <c r="U42" s="53">
        <f t="shared" si="7"/>
        <v>0</v>
      </c>
      <c r="V42" s="641"/>
      <c r="W42" s="27"/>
      <c r="X42" s="53">
        <f t="shared" si="8"/>
        <v>0</v>
      </c>
      <c r="Y42" s="27"/>
      <c r="Z42" s="27"/>
      <c r="AA42" s="53">
        <f t="shared" si="9"/>
        <v>0</v>
      </c>
      <c r="AB42" s="27"/>
      <c r="AC42" s="27"/>
      <c r="AD42" s="53">
        <f t="shared" si="10"/>
        <v>0</v>
      </c>
      <c r="AE42" s="27"/>
      <c r="AF42" s="27"/>
      <c r="AG42" s="994">
        <f t="shared" si="11"/>
        <v>0</v>
      </c>
      <c r="AH42" s="27"/>
      <c r="AI42" s="27"/>
      <c r="AJ42" s="53">
        <f t="shared" si="112"/>
        <v>0</v>
      </c>
      <c r="AK42" s="27"/>
      <c r="AL42" s="27"/>
      <c r="AM42" s="514">
        <f t="shared" si="113"/>
        <v>0</v>
      </c>
    </row>
    <row r="43" spans="1:39" s="42" customFormat="1" ht="12.75" customHeight="1" x14ac:dyDescent="0.2">
      <c r="A43" s="513" t="s">
        <v>107</v>
      </c>
      <c r="B43" s="1215" t="s">
        <v>162</v>
      </c>
      <c r="C43" s="1200"/>
      <c r="D43" s="774">
        <f t="shared" ref="D43" si="114">+G43+J43+AB43+AE43+M43+V43+Y43+P43+S43+AK43+AH43</f>
        <v>0</v>
      </c>
      <c r="E43" s="85">
        <f t="shared" ref="E43" si="115">+H43+K43+AC43+AF43+N43+W43+Z43+Q43+T43+AL43+AI43</f>
        <v>0</v>
      </c>
      <c r="F43" s="578">
        <f t="shared" ref="F43" si="116">+I43+L43+AD43+AG43+O43+X43+AA43+R43+U43+AM43+AJ43</f>
        <v>0</v>
      </c>
      <c r="G43" s="575"/>
      <c r="H43" s="53"/>
      <c r="I43" s="53">
        <f t="shared" si="3"/>
        <v>0</v>
      </c>
      <c r="J43" s="53"/>
      <c r="K43" s="53"/>
      <c r="L43" s="53">
        <f t="shared" si="4"/>
        <v>0</v>
      </c>
      <c r="M43" s="53"/>
      <c r="N43" s="53"/>
      <c r="O43" s="53">
        <f t="shared" si="5"/>
        <v>0</v>
      </c>
      <c r="P43" s="53"/>
      <c r="Q43" s="53"/>
      <c r="R43" s="53">
        <f t="shared" si="6"/>
        <v>0</v>
      </c>
      <c r="S43" s="53"/>
      <c r="T43" s="53"/>
      <c r="U43" s="53">
        <f t="shared" si="7"/>
        <v>0</v>
      </c>
      <c r="V43" s="642"/>
      <c r="W43" s="53"/>
      <c r="X43" s="53">
        <f t="shared" si="8"/>
        <v>0</v>
      </c>
      <c r="Y43" s="53"/>
      <c r="Z43" s="53"/>
      <c r="AA43" s="53">
        <f t="shared" si="9"/>
        <v>0</v>
      </c>
      <c r="AB43" s="53"/>
      <c r="AC43" s="53"/>
      <c r="AD43" s="53">
        <f t="shared" si="10"/>
        <v>0</v>
      </c>
      <c r="AE43" s="53"/>
      <c r="AF43" s="53"/>
      <c r="AG43" s="994">
        <f t="shared" si="11"/>
        <v>0</v>
      </c>
      <c r="AH43" s="53"/>
      <c r="AI43" s="53"/>
      <c r="AJ43" s="53">
        <f t="shared" si="112"/>
        <v>0</v>
      </c>
      <c r="AK43" s="53"/>
      <c r="AL43" s="53"/>
      <c r="AM43" s="514">
        <f t="shared" si="113"/>
        <v>0</v>
      </c>
    </row>
    <row r="44" spans="1:39" ht="12" customHeight="1" x14ac:dyDescent="0.2">
      <c r="A44" s="515"/>
      <c r="B44" s="751"/>
      <c r="C44" s="308"/>
      <c r="D44" s="758"/>
      <c r="E44" s="758"/>
      <c r="F44" s="781"/>
      <c r="G44" s="56"/>
      <c r="H44" s="56"/>
      <c r="I44" s="199">
        <f t="shared" si="3"/>
        <v>0</v>
      </c>
      <c r="J44" s="56"/>
      <c r="K44" s="56"/>
      <c r="L44" s="199">
        <f t="shared" si="4"/>
        <v>0</v>
      </c>
      <c r="M44" s="56"/>
      <c r="N44" s="56"/>
      <c r="O44" s="199">
        <f t="shared" si="5"/>
        <v>0</v>
      </c>
      <c r="P44" s="56"/>
      <c r="Q44" s="56"/>
      <c r="R44" s="199">
        <f t="shared" si="6"/>
        <v>0</v>
      </c>
      <c r="S44" s="56"/>
      <c r="T44" s="56"/>
      <c r="U44" s="199">
        <f t="shared" si="7"/>
        <v>0</v>
      </c>
      <c r="V44" s="1001"/>
      <c r="W44" s="56"/>
      <c r="X44" s="199">
        <f t="shared" si="8"/>
        <v>0</v>
      </c>
      <c r="Y44" s="56"/>
      <c r="Z44" s="56"/>
      <c r="AA44" s="199">
        <f t="shared" si="9"/>
        <v>0</v>
      </c>
      <c r="AB44" s="56"/>
      <c r="AC44" s="56"/>
      <c r="AD44" s="199">
        <f t="shared" si="10"/>
        <v>0</v>
      </c>
      <c r="AE44" s="56"/>
      <c r="AF44" s="56"/>
      <c r="AG44" s="199">
        <f t="shared" si="11"/>
        <v>0</v>
      </c>
      <c r="AH44" s="56"/>
      <c r="AI44" s="56"/>
      <c r="AJ44" s="199">
        <f t="shared" si="112"/>
        <v>0</v>
      </c>
      <c r="AK44" s="996"/>
      <c r="AL44" s="56"/>
      <c r="AM44" s="577">
        <f t="shared" si="113"/>
        <v>0</v>
      </c>
    </row>
    <row r="45" spans="1:39" ht="12.75" customHeight="1" x14ac:dyDescent="0.2">
      <c r="A45" s="516" t="s">
        <v>109</v>
      </c>
      <c r="B45" s="1211" t="s">
        <v>108</v>
      </c>
      <c r="C45" s="1210"/>
      <c r="D45" s="774">
        <f t="shared" ref="D45:D52" si="117">+G45+J45+AB45+AE45+M45+V45+Y45+P45+S45+AK45+AH45</f>
        <v>5916</v>
      </c>
      <c r="E45" s="85">
        <f t="shared" ref="E45:E52" si="118">+H45+K45+AC45+AF45+N45+W45+Z45+Q45+T45+AL45+AI45</f>
        <v>-664</v>
      </c>
      <c r="F45" s="578">
        <f t="shared" ref="F45:F52" si="119">+I45+L45+AD45+AG45+O45+X45+AA45+R45+U45+AM45+AJ45</f>
        <v>5252</v>
      </c>
      <c r="G45" s="29"/>
      <c r="H45" s="27"/>
      <c r="I45" s="53">
        <f t="shared" si="3"/>
        <v>0</v>
      </c>
      <c r="J45" s="27"/>
      <c r="K45" s="27"/>
      <c r="L45" s="53">
        <f t="shared" si="4"/>
        <v>0</v>
      </c>
      <c r="M45" s="27">
        <v>338</v>
      </c>
      <c r="N45" s="27"/>
      <c r="O45" s="53">
        <f t="shared" si="5"/>
        <v>338</v>
      </c>
      <c r="P45" s="27">
        <v>2322</v>
      </c>
      <c r="Q45" s="27"/>
      <c r="R45" s="53">
        <f t="shared" si="6"/>
        <v>2322</v>
      </c>
      <c r="S45" s="27">
        <v>2592</v>
      </c>
      <c r="T45" s="27"/>
      <c r="U45" s="53">
        <f t="shared" si="7"/>
        <v>2592</v>
      </c>
      <c r="V45" s="641"/>
      <c r="W45" s="27"/>
      <c r="X45" s="53">
        <f t="shared" si="8"/>
        <v>0</v>
      </c>
      <c r="Y45" s="27"/>
      <c r="Z45" s="27"/>
      <c r="AA45" s="53">
        <f t="shared" si="9"/>
        <v>0</v>
      </c>
      <c r="AB45" s="27"/>
      <c r="AC45" s="27"/>
      <c r="AD45" s="53">
        <f t="shared" si="10"/>
        <v>0</v>
      </c>
      <c r="AE45" s="27">
        <v>664</v>
      </c>
      <c r="AF45" s="27">
        <v>-664</v>
      </c>
      <c r="AG45" s="994">
        <f t="shared" si="11"/>
        <v>0</v>
      </c>
      <c r="AH45" s="27"/>
      <c r="AI45" s="27"/>
      <c r="AJ45" s="53">
        <f t="shared" si="112"/>
        <v>0</v>
      </c>
      <c r="AK45" s="27"/>
      <c r="AL45" s="27"/>
      <c r="AM45" s="514">
        <f t="shared" si="113"/>
        <v>0</v>
      </c>
    </row>
    <row r="46" spans="1:39" ht="12.75" customHeight="1" x14ac:dyDescent="0.2">
      <c r="A46" s="516" t="s">
        <v>110</v>
      </c>
      <c r="B46" s="1211" t="s">
        <v>161</v>
      </c>
      <c r="C46" s="1210"/>
      <c r="D46" s="774">
        <f t="shared" si="117"/>
        <v>473834</v>
      </c>
      <c r="E46" s="85">
        <f t="shared" si="118"/>
        <v>664</v>
      </c>
      <c r="F46" s="578">
        <f t="shared" si="119"/>
        <v>474498</v>
      </c>
      <c r="G46" s="29">
        <f>252+77878+207812</f>
        <v>285942</v>
      </c>
      <c r="H46" s="27"/>
      <c r="I46" s="53">
        <f t="shared" si="3"/>
        <v>285942</v>
      </c>
      <c r="J46" s="27"/>
      <c r="K46" s="27"/>
      <c r="L46" s="53">
        <f t="shared" si="4"/>
        <v>0</v>
      </c>
      <c r="M46" s="27"/>
      <c r="N46" s="27"/>
      <c r="O46" s="53">
        <f t="shared" si="5"/>
        <v>0</v>
      </c>
      <c r="P46" s="27"/>
      <c r="Q46" s="27"/>
      <c r="R46" s="53">
        <f t="shared" si="6"/>
        <v>0</v>
      </c>
      <c r="S46" s="27"/>
      <c r="T46" s="27"/>
      <c r="U46" s="53">
        <f t="shared" si="7"/>
        <v>0</v>
      </c>
      <c r="V46" s="641">
        <f>84245+59055</f>
        <v>143300</v>
      </c>
      <c r="W46" s="27"/>
      <c r="X46" s="53">
        <f t="shared" si="8"/>
        <v>143300</v>
      </c>
      <c r="Y46" s="27"/>
      <c r="Z46" s="27"/>
      <c r="AA46" s="53">
        <f t="shared" si="9"/>
        <v>0</v>
      </c>
      <c r="AB46" s="27">
        <v>59</v>
      </c>
      <c r="AC46" s="27"/>
      <c r="AD46" s="53">
        <f t="shared" si="10"/>
        <v>59</v>
      </c>
      <c r="AE46" s="27">
        <v>44533</v>
      </c>
      <c r="AF46" s="27">
        <v>664</v>
      </c>
      <c r="AG46" s="994">
        <f t="shared" si="11"/>
        <v>45197</v>
      </c>
      <c r="AH46" s="27"/>
      <c r="AI46" s="27"/>
      <c r="AJ46" s="53">
        <f t="shared" si="112"/>
        <v>0</v>
      </c>
      <c r="AK46" s="27"/>
      <c r="AL46" s="27"/>
      <c r="AM46" s="514">
        <f t="shared" si="113"/>
        <v>0</v>
      </c>
    </row>
    <row r="47" spans="1:39" ht="12.75" customHeight="1" x14ac:dyDescent="0.2">
      <c r="A47" s="516" t="s">
        <v>113</v>
      </c>
      <c r="B47" s="1211" t="s">
        <v>112</v>
      </c>
      <c r="C47" s="1210"/>
      <c r="D47" s="774">
        <f t="shared" si="117"/>
        <v>14196</v>
      </c>
      <c r="E47" s="85">
        <f t="shared" si="118"/>
        <v>0</v>
      </c>
      <c r="F47" s="578">
        <f t="shared" si="119"/>
        <v>14196</v>
      </c>
      <c r="G47" s="29"/>
      <c r="H47" s="27"/>
      <c r="I47" s="53">
        <f t="shared" si="3"/>
        <v>0</v>
      </c>
      <c r="J47" s="27"/>
      <c r="K47" s="27"/>
      <c r="L47" s="53">
        <f t="shared" si="4"/>
        <v>0</v>
      </c>
      <c r="M47" s="27"/>
      <c r="N47" s="27"/>
      <c r="O47" s="53">
        <f t="shared" si="5"/>
        <v>0</v>
      </c>
      <c r="P47" s="27">
        <v>7929</v>
      </c>
      <c r="Q47" s="27"/>
      <c r="R47" s="53">
        <f t="shared" si="6"/>
        <v>7929</v>
      </c>
      <c r="S47" s="27">
        <v>6267</v>
      </c>
      <c r="T47" s="27"/>
      <c r="U47" s="53">
        <f t="shared" si="7"/>
        <v>6267</v>
      </c>
      <c r="V47" s="641"/>
      <c r="W47" s="27"/>
      <c r="X47" s="53">
        <f t="shared" si="8"/>
        <v>0</v>
      </c>
      <c r="Y47" s="27"/>
      <c r="Z47" s="27"/>
      <c r="AA47" s="53">
        <f t="shared" si="9"/>
        <v>0</v>
      </c>
      <c r="AB47" s="27"/>
      <c r="AC47" s="27"/>
      <c r="AD47" s="53">
        <f t="shared" si="10"/>
        <v>0</v>
      </c>
      <c r="AE47" s="27"/>
      <c r="AF47" s="27"/>
      <c r="AG47" s="994">
        <f t="shared" si="11"/>
        <v>0</v>
      </c>
      <c r="AH47" s="27"/>
      <c r="AI47" s="27"/>
      <c r="AJ47" s="53">
        <f t="shared" si="112"/>
        <v>0</v>
      </c>
      <c r="AK47" s="27"/>
      <c r="AL47" s="27"/>
      <c r="AM47" s="514">
        <f t="shared" si="113"/>
        <v>0</v>
      </c>
    </row>
    <row r="48" spans="1:39" ht="12.75" customHeight="1" x14ac:dyDescent="0.2">
      <c r="A48" s="516" t="s">
        <v>115</v>
      </c>
      <c r="B48" s="1211" t="s">
        <v>114</v>
      </c>
      <c r="C48" s="1210"/>
      <c r="D48" s="774">
        <f t="shared" si="117"/>
        <v>24155</v>
      </c>
      <c r="E48" s="85">
        <f t="shared" si="118"/>
        <v>0</v>
      </c>
      <c r="F48" s="578">
        <f t="shared" si="119"/>
        <v>24155</v>
      </c>
      <c r="G48" s="29"/>
      <c r="H48" s="27"/>
      <c r="I48" s="53">
        <f t="shared" si="3"/>
        <v>0</v>
      </c>
      <c r="J48" s="27">
        <v>582</v>
      </c>
      <c r="K48" s="27"/>
      <c r="L48" s="53">
        <f t="shared" si="4"/>
        <v>582</v>
      </c>
      <c r="M48" s="27">
        <v>2362</v>
      </c>
      <c r="N48" s="27"/>
      <c r="O48" s="53">
        <f t="shared" si="5"/>
        <v>2362</v>
      </c>
      <c r="P48" s="27">
        <v>7932</v>
      </c>
      <c r="Q48" s="27"/>
      <c r="R48" s="53">
        <f t="shared" si="6"/>
        <v>7932</v>
      </c>
      <c r="S48" s="27">
        <v>4013</v>
      </c>
      <c r="T48" s="27"/>
      <c r="U48" s="53">
        <f t="shared" si="7"/>
        <v>4013</v>
      </c>
      <c r="V48" s="641">
        <v>1030</v>
      </c>
      <c r="W48" s="27"/>
      <c r="X48" s="53">
        <f t="shared" si="8"/>
        <v>1030</v>
      </c>
      <c r="Y48" s="27"/>
      <c r="Z48" s="27"/>
      <c r="AA48" s="53">
        <f t="shared" si="9"/>
        <v>0</v>
      </c>
      <c r="AB48" s="27"/>
      <c r="AC48" s="27"/>
      <c r="AD48" s="53">
        <f t="shared" si="10"/>
        <v>0</v>
      </c>
      <c r="AE48" s="27"/>
      <c r="AF48" s="27"/>
      <c r="AG48" s="994">
        <f t="shared" si="11"/>
        <v>0</v>
      </c>
      <c r="AH48" s="27"/>
      <c r="AI48" s="27"/>
      <c r="AJ48" s="53">
        <f t="shared" si="112"/>
        <v>0</v>
      </c>
      <c r="AK48" s="27">
        <v>8236</v>
      </c>
      <c r="AL48" s="27"/>
      <c r="AM48" s="514">
        <f t="shared" si="113"/>
        <v>8236</v>
      </c>
    </row>
    <row r="49" spans="1:39" ht="12.75" customHeight="1" x14ac:dyDescent="0.2">
      <c r="A49" s="516" t="s">
        <v>117</v>
      </c>
      <c r="B49" s="1211" t="s">
        <v>116</v>
      </c>
      <c r="C49" s="1210"/>
      <c r="D49" s="774">
        <f t="shared" si="117"/>
        <v>0</v>
      </c>
      <c r="E49" s="85">
        <f t="shared" si="118"/>
        <v>0</v>
      </c>
      <c r="F49" s="578">
        <f t="shared" si="119"/>
        <v>0</v>
      </c>
      <c r="G49" s="29"/>
      <c r="H49" s="27"/>
      <c r="I49" s="53">
        <f t="shared" si="3"/>
        <v>0</v>
      </c>
      <c r="J49" s="27"/>
      <c r="K49" s="27"/>
      <c r="L49" s="53">
        <f t="shared" si="4"/>
        <v>0</v>
      </c>
      <c r="M49" s="27"/>
      <c r="N49" s="27"/>
      <c r="O49" s="53">
        <f t="shared" si="5"/>
        <v>0</v>
      </c>
      <c r="P49" s="27"/>
      <c r="Q49" s="27"/>
      <c r="R49" s="53">
        <f t="shared" si="6"/>
        <v>0</v>
      </c>
      <c r="S49" s="27"/>
      <c r="T49" s="27"/>
      <c r="U49" s="53">
        <f t="shared" si="7"/>
        <v>0</v>
      </c>
      <c r="V49" s="641"/>
      <c r="W49" s="27"/>
      <c r="X49" s="53">
        <f t="shared" si="8"/>
        <v>0</v>
      </c>
      <c r="Y49" s="27"/>
      <c r="Z49" s="27"/>
      <c r="AA49" s="53">
        <f t="shared" si="9"/>
        <v>0</v>
      </c>
      <c r="AB49" s="27"/>
      <c r="AC49" s="27"/>
      <c r="AD49" s="53">
        <f t="shared" si="10"/>
        <v>0</v>
      </c>
      <c r="AE49" s="27"/>
      <c r="AF49" s="27"/>
      <c r="AG49" s="994">
        <f t="shared" si="11"/>
        <v>0</v>
      </c>
      <c r="AH49" s="27"/>
      <c r="AI49" s="27"/>
      <c r="AJ49" s="53">
        <f t="shared" si="112"/>
        <v>0</v>
      </c>
      <c r="AK49" s="27"/>
      <c r="AL49" s="27"/>
      <c r="AM49" s="514">
        <f t="shared" si="113"/>
        <v>0</v>
      </c>
    </row>
    <row r="50" spans="1:39" ht="12.75" customHeight="1" x14ac:dyDescent="0.2">
      <c r="A50" s="516" t="s">
        <v>119</v>
      </c>
      <c r="B50" s="1211" t="s">
        <v>118</v>
      </c>
      <c r="C50" s="1210"/>
      <c r="D50" s="774">
        <f t="shared" si="117"/>
        <v>0</v>
      </c>
      <c r="E50" s="85">
        <f t="shared" si="118"/>
        <v>0</v>
      </c>
      <c r="F50" s="578">
        <f t="shared" si="119"/>
        <v>0</v>
      </c>
      <c r="G50" s="29"/>
      <c r="H50" s="27"/>
      <c r="I50" s="53">
        <f t="shared" si="3"/>
        <v>0</v>
      </c>
      <c r="J50" s="27"/>
      <c r="K50" s="27"/>
      <c r="L50" s="53">
        <f t="shared" si="4"/>
        <v>0</v>
      </c>
      <c r="M50" s="27"/>
      <c r="N50" s="27"/>
      <c r="O50" s="53">
        <f t="shared" si="5"/>
        <v>0</v>
      </c>
      <c r="P50" s="27"/>
      <c r="Q50" s="27"/>
      <c r="R50" s="53">
        <f t="shared" si="6"/>
        <v>0</v>
      </c>
      <c r="S50" s="27"/>
      <c r="T50" s="27"/>
      <c r="U50" s="53">
        <f t="shared" si="7"/>
        <v>0</v>
      </c>
      <c r="V50" s="641"/>
      <c r="W50" s="27"/>
      <c r="X50" s="53">
        <f t="shared" si="8"/>
        <v>0</v>
      </c>
      <c r="Y50" s="27"/>
      <c r="Z50" s="27"/>
      <c r="AA50" s="53">
        <f t="shared" si="9"/>
        <v>0</v>
      </c>
      <c r="AB50" s="27"/>
      <c r="AC50" s="27"/>
      <c r="AD50" s="53">
        <f t="shared" si="10"/>
        <v>0</v>
      </c>
      <c r="AE50" s="27"/>
      <c r="AF50" s="27"/>
      <c r="AG50" s="994">
        <f t="shared" si="11"/>
        <v>0</v>
      </c>
      <c r="AH50" s="27"/>
      <c r="AI50" s="27"/>
      <c r="AJ50" s="53">
        <f t="shared" si="112"/>
        <v>0</v>
      </c>
      <c r="AK50" s="27"/>
      <c r="AL50" s="27"/>
      <c r="AM50" s="514">
        <f t="shared" si="113"/>
        <v>0</v>
      </c>
    </row>
    <row r="51" spans="1:39" ht="12.75" customHeight="1" x14ac:dyDescent="0.2">
      <c r="A51" s="516" t="s">
        <v>121</v>
      </c>
      <c r="B51" s="1211" t="s">
        <v>120</v>
      </c>
      <c r="C51" s="1210"/>
      <c r="D51" s="774">
        <f t="shared" si="117"/>
        <v>45153</v>
      </c>
      <c r="E51" s="85">
        <f t="shared" si="118"/>
        <v>0</v>
      </c>
      <c r="F51" s="578">
        <f t="shared" si="119"/>
        <v>45153</v>
      </c>
      <c r="G51" s="29">
        <f>68+21027</f>
        <v>21095</v>
      </c>
      <c r="H51" s="27"/>
      <c r="I51" s="53">
        <f t="shared" si="3"/>
        <v>21095</v>
      </c>
      <c r="J51" s="27">
        <v>157</v>
      </c>
      <c r="K51" s="27"/>
      <c r="L51" s="53">
        <f t="shared" si="4"/>
        <v>157</v>
      </c>
      <c r="M51" s="27">
        <f>91+638</f>
        <v>729</v>
      </c>
      <c r="N51" s="27"/>
      <c r="O51" s="53">
        <f t="shared" si="5"/>
        <v>729</v>
      </c>
      <c r="P51" s="27">
        <v>4905</v>
      </c>
      <c r="Q51" s="27"/>
      <c r="R51" s="53">
        <f t="shared" si="6"/>
        <v>4905</v>
      </c>
      <c r="S51" s="27">
        <v>3476</v>
      </c>
      <c r="T51" s="27"/>
      <c r="U51" s="53">
        <f t="shared" si="7"/>
        <v>3476</v>
      </c>
      <c r="V51" s="641">
        <v>278</v>
      </c>
      <c r="W51" s="27"/>
      <c r="X51" s="53">
        <f t="shared" si="8"/>
        <v>278</v>
      </c>
      <c r="Y51" s="27"/>
      <c r="Z51" s="27"/>
      <c r="AA51" s="53">
        <f t="shared" si="9"/>
        <v>0</v>
      </c>
      <c r="AB51" s="27">
        <v>87</v>
      </c>
      <c r="AC51" s="27"/>
      <c r="AD51" s="53">
        <f t="shared" si="10"/>
        <v>87</v>
      </c>
      <c r="AE51" s="27">
        <f>179+12024</f>
        <v>12203</v>
      </c>
      <c r="AF51" s="27"/>
      <c r="AG51" s="994">
        <f t="shared" si="11"/>
        <v>12203</v>
      </c>
      <c r="AH51" s="27"/>
      <c r="AI51" s="27"/>
      <c r="AJ51" s="53">
        <f t="shared" si="112"/>
        <v>0</v>
      </c>
      <c r="AK51" s="27">
        <v>2223</v>
      </c>
      <c r="AL51" s="27"/>
      <c r="AM51" s="514">
        <f t="shared" si="113"/>
        <v>2223</v>
      </c>
    </row>
    <row r="52" spans="1:39" s="42" customFormat="1" ht="12.75" customHeight="1" x14ac:dyDescent="0.2">
      <c r="A52" s="513" t="s">
        <v>122</v>
      </c>
      <c r="B52" s="1215" t="s">
        <v>160</v>
      </c>
      <c r="C52" s="1200"/>
      <c r="D52" s="774">
        <f t="shared" si="117"/>
        <v>563254</v>
      </c>
      <c r="E52" s="85">
        <f t="shared" si="118"/>
        <v>0</v>
      </c>
      <c r="F52" s="578">
        <f t="shared" si="119"/>
        <v>563254</v>
      </c>
      <c r="G52" s="575">
        <f t="shared" ref="G52" si="120">+G51+G50+G49+G48+G47+G46+G45</f>
        <v>307037</v>
      </c>
      <c r="H52" s="53">
        <f t="shared" ref="H52:AF52" si="121">+H51+H50+H49+H48+H47+H46+H45</f>
        <v>0</v>
      </c>
      <c r="I52" s="53">
        <f t="shared" si="3"/>
        <v>307037</v>
      </c>
      <c r="J52" s="53">
        <f t="shared" ref="J52" si="122">+J51+J50+J49+J48+J47+J46+J45</f>
        <v>739</v>
      </c>
      <c r="K52" s="53">
        <f t="shared" si="121"/>
        <v>0</v>
      </c>
      <c r="L52" s="53">
        <f t="shared" si="4"/>
        <v>739</v>
      </c>
      <c r="M52" s="53">
        <f t="shared" ref="M52" si="123">+M51+M50+M49+M48+M47+M46+M45</f>
        <v>3429</v>
      </c>
      <c r="N52" s="53">
        <f t="shared" si="121"/>
        <v>0</v>
      </c>
      <c r="O52" s="53">
        <f t="shared" si="5"/>
        <v>3429</v>
      </c>
      <c r="P52" s="53">
        <f t="shared" ref="P52" si="124">+P51+P50+P49+P48+P47+P46+P45</f>
        <v>23088</v>
      </c>
      <c r="Q52" s="53">
        <f t="shared" si="121"/>
        <v>0</v>
      </c>
      <c r="R52" s="53">
        <f t="shared" si="6"/>
        <v>23088</v>
      </c>
      <c r="S52" s="53">
        <f>+S51+S50+S49+S48+S47+S46+S45</f>
        <v>16348</v>
      </c>
      <c r="T52" s="53">
        <f t="shared" si="121"/>
        <v>0</v>
      </c>
      <c r="U52" s="53">
        <f t="shared" si="7"/>
        <v>16348</v>
      </c>
      <c r="V52" s="642">
        <f t="shared" ref="V52" si="125">+V51+V50+V49+V48+V47+V46+V45</f>
        <v>144608</v>
      </c>
      <c r="W52" s="53">
        <f t="shared" si="121"/>
        <v>0</v>
      </c>
      <c r="X52" s="53">
        <f t="shared" si="8"/>
        <v>144608</v>
      </c>
      <c r="Y52" s="53">
        <f t="shared" si="121"/>
        <v>0</v>
      </c>
      <c r="Z52" s="53">
        <f t="shared" si="121"/>
        <v>0</v>
      </c>
      <c r="AA52" s="53">
        <f t="shared" si="9"/>
        <v>0</v>
      </c>
      <c r="AB52" s="53">
        <f>+AB51+AB50+AB49+AB48+AB47+AB46+AB45</f>
        <v>146</v>
      </c>
      <c r="AC52" s="53">
        <f t="shared" si="121"/>
        <v>0</v>
      </c>
      <c r="AD52" s="53">
        <f t="shared" si="10"/>
        <v>146</v>
      </c>
      <c r="AE52" s="53">
        <f>+AE51+AE50+AE49+AE48+AE47+AE46+AE45</f>
        <v>57400</v>
      </c>
      <c r="AF52" s="53">
        <f t="shared" si="121"/>
        <v>0</v>
      </c>
      <c r="AG52" s="994">
        <f t="shared" si="11"/>
        <v>57400</v>
      </c>
      <c r="AH52" s="53">
        <f t="shared" ref="AH52:AI52" si="126">+AH51+AH50+AH49+AH48+AH47+AH46+AH45</f>
        <v>0</v>
      </c>
      <c r="AI52" s="53">
        <f t="shared" si="126"/>
        <v>0</v>
      </c>
      <c r="AJ52" s="53">
        <f t="shared" si="112"/>
        <v>0</v>
      </c>
      <c r="AK52" s="53">
        <f t="shared" ref="AK52:AL52" si="127">+AK51+AK50+AK49+AK48+AK47+AK46+AK45</f>
        <v>10459</v>
      </c>
      <c r="AL52" s="53">
        <f t="shared" si="127"/>
        <v>0</v>
      </c>
      <c r="AM52" s="514">
        <f t="shared" si="113"/>
        <v>10459</v>
      </c>
    </row>
    <row r="53" spans="1:39" ht="12.75" x14ac:dyDescent="0.2">
      <c r="A53" s="515"/>
      <c r="B53" s="751"/>
      <c r="C53" s="308"/>
      <c r="D53" s="758"/>
      <c r="E53" s="758"/>
      <c r="F53" s="781"/>
      <c r="G53" s="56"/>
      <c r="H53" s="56"/>
      <c r="I53" s="199"/>
      <c r="J53" s="56"/>
      <c r="K53" s="56"/>
      <c r="L53" s="199"/>
      <c r="M53" s="56"/>
      <c r="N53" s="56"/>
      <c r="O53" s="199"/>
      <c r="P53" s="56"/>
      <c r="Q53" s="56"/>
      <c r="R53" s="199"/>
      <c r="S53" s="56"/>
      <c r="T53" s="56"/>
      <c r="U53" s="199"/>
      <c r="V53" s="1001"/>
      <c r="W53" s="56"/>
      <c r="X53" s="199"/>
      <c r="Y53" s="56"/>
      <c r="Z53" s="56"/>
      <c r="AA53" s="199"/>
      <c r="AB53" s="56"/>
      <c r="AC53" s="56"/>
      <c r="AD53" s="199"/>
      <c r="AE53" s="56"/>
      <c r="AF53" s="56"/>
      <c r="AG53" s="199"/>
      <c r="AH53" s="56"/>
      <c r="AI53" s="56"/>
      <c r="AJ53" s="199"/>
      <c r="AK53" s="996"/>
      <c r="AL53" s="56"/>
      <c r="AM53" s="577"/>
    </row>
    <row r="54" spans="1:39" ht="12.75" customHeight="1" x14ac:dyDescent="0.2">
      <c r="A54" s="516" t="s">
        <v>124</v>
      </c>
      <c r="B54" s="1211" t="s">
        <v>123</v>
      </c>
      <c r="C54" s="1210"/>
      <c r="D54" s="774">
        <f t="shared" ref="D54:D58" si="128">+G54+J54+AB54+AE54+M54+V54+Y54+P54+S54+AK54+AH54</f>
        <v>3113</v>
      </c>
      <c r="E54" s="85">
        <f t="shared" ref="E54:E58" si="129">+H54+K54+AC54+AF54+N54+W54+Z54+Q54+T54+AL54+AI54</f>
        <v>0</v>
      </c>
      <c r="F54" s="578">
        <f t="shared" ref="F54:F58" si="130">+I54+L54+AD54+AG54+O54+X54+AA54+R54+U54+AM54+AJ54</f>
        <v>3113</v>
      </c>
      <c r="G54" s="29"/>
      <c r="H54" s="27"/>
      <c r="I54" s="53">
        <f t="shared" si="3"/>
        <v>0</v>
      </c>
      <c r="J54" s="27"/>
      <c r="K54" s="27"/>
      <c r="L54" s="53">
        <f t="shared" si="4"/>
        <v>0</v>
      </c>
      <c r="M54" s="27"/>
      <c r="N54" s="27"/>
      <c r="O54" s="53">
        <f t="shared" si="5"/>
        <v>0</v>
      </c>
      <c r="P54" s="27"/>
      <c r="Q54" s="27"/>
      <c r="R54" s="53">
        <f t="shared" si="6"/>
        <v>0</v>
      </c>
      <c r="S54" s="27">
        <v>3113</v>
      </c>
      <c r="T54" s="27"/>
      <c r="U54" s="53">
        <f t="shared" si="7"/>
        <v>3113</v>
      </c>
      <c r="V54" s="641"/>
      <c r="W54" s="27"/>
      <c r="X54" s="53">
        <f t="shared" si="8"/>
        <v>0</v>
      </c>
      <c r="Y54" s="27"/>
      <c r="Z54" s="27"/>
      <c r="AA54" s="53">
        <f t="shared" si="9"/>
        <v>0</v>
      </c>
      <c r="AB54" s="27"/>
      <c r="AC54" s="27"/>
      <c r="AD54" s="53">
        <f t="shared" si="10"/>
        <v>0</v>
      </c>
      <c r="AE54" s="27"/>
      <c r="AF54" s="27"/>
      <c r="AG54" s="994">
        <f t="shared" si="11"/>
        <v>0</v>
      </c>
      <c r="AH54" s="27"/>
      <c r="AI54" s="27"/>
      <c r="AJ54" s="53">
        <f t="shared" ref="AJ54:AJ63" si="131">+AI54+AH54</f>
        <v>0</v>
      </c>
      <c r="AK54" s="27"/>
      <c r="AL54" s="27"/>
      <c r="AM54" s="514">
        <f t="shared" ref="AM54:AM63" si="132">+AL54+AK54</f>
        <v>0</v>
      </c>
    </row>
    <row r="55" spans="1:39" ht="12.75" customHeight="1" x14ac:dyDescent="0.2">
      <c r="A55" s="516" t="s">
        <v>126</v>
      </c>
      <c r="B55" s="1211" t="s">
        <v>125</v>
      </c>
      <c r="C55" s="1210"/>
      <c r="D55" s="774">
        <f t="shared" si="128"/>
        <v>0</v>
      </c>
      <c r="E55" s="85">
        <f t="shared" si="129"/>
        <v>0</v>
      </c>
      <c r="F55" s="578">
        <f t="shared" si="130"/>
        <v>0</v>
      </c>
      <c r="G55" s="29"/>
      <c r="H55" s="27"/>
      <c r="I55" s="53">
        <f t="shared" si="3"/>
        <v>0</v>
      </c>
      <c r="J55" s="27"/>
      <c r="K55" s="27"/>
      <c r="L55" s="53">
        <f t="shared" si="4"/>
        <v>0</v>
      </c>
      <c r="M55" s="27"/>
      <c r="N55" s="27"/>
      <c r="O55" s="53">
        <f t="shared" si="5"/>
        <v>0</v>
      </c>
      <c r="P55" s="27"/>
      <c r="Q55" s="27"/>
      <c r="R55" s="53">
        <f t="shared" si="6"/>
        <v>0</v>
      </c>
      <c r="S55" s="27"/>
      <c r="T55" s="27"/>
      <c r="U55" s="53">
        <f t="shared" si="7"/>
        <v>0</v>
      </c>
      <c r="V55" s="641"/>
      <c r="W55" s="27"/>
      <c r="X55" s="53">
        <f t="shared" si="8"/>
        <v>0</v>
      </c>
      <c r="Y55" s="27"/>
      <c r="Z55" s="27"/>
      <c r="AA55" s="53">
        <f t="shared" si="9"/>
        <v>0</v>
      </c>
      <c r="AB55" s="27"/>
      <c r="AC55" s="27"/>
      <c r="AD55" s="53">
        <f t="shared" si="10"/>
        <v>0</v>
      </c>
      <c r="AE55" s="27"/>
      <c r="AF55" s="27"/>
      <c r="AG55" s="994">
        <f t="shared" si="11"/>
        <v>0</v>
      </c>
      <c r="AH55" s="27"/>
      <c r="AI55" s="27"/>
      <c r="AJ55" s="53">
        <f t="shared" si="131"/>
        <v>0</v>
      </c>
      <c r="AK55" s="27"/>
      <c r="AL55" s="27"/>
      <c r="AM55" s="514">
        <f t="shared" si="132"/>
        <v>0</v>
      </c>
    </row>
    <row r="56" spans="1:39" ht="12.75" customHeight="1" x14ac:dyDescent="0.2">
      <c r="A56" s="516" t="s">
        <v>128</v>
      </c>
      <c r="B56" s="1211" t="s">
        <v>127</v>
      </c>
      <c r="C56" s="1210"/>
      <c r="D56" s="774">
        <f t="shared" si="128"/>
        <v>0</v>
      </c>
      <c r="E56" s="85">
        <f t="shared" si="129"/>
        <v>0</v>
      </c>
      <c r="F56" s="578">
        <f t="shared" si="130"/>
        <v>0</v>
      </c>
      <c r="G56" s="29"/>
      <c r="H56" s="27"/>
      <c r="I56" s="53">
        <f t="shared" si="3"/>
        <v>0</v>
      </c>
      <c r="J56" s="27"/>
      <c r="K56" s="27"/>
      <c r="L56" s="53">
        <f t="shared" si="4"/>
        <v>0</v>
      </c>
      <c r="M56" s="27"/>
      <c r="N56" s="27"/>
      <c r="O56" s="53">
        <f t="shared" si="5"/>
        <v>0</v>
      </c>
      <c r="P56" s="27"/>
      <c r="Q56" s="27"/>
      <c r="R56" s="53">
        <f t="shared" si="6"/>
        <v>0</v>
      </c>
      <c r="S56" s="27"/>
      <c r="T56" s="27"/>
      <c r="U56" s="53">
        <f t="shared" si="7"/>
        <v>0</v>
      </c>
      <c r="V56" s="641"/>
      <c r="W56" s="27"/>
      <c r="X56" s="53">
        <f t="shared" si="8"/>
        <v>0</v>
      </c>
      <c r="Y56" s="27"/>
      <c r="Z56" s="27"/>
      <c r="AA56" s="53">
        <f t="shared" si="9"/>
        <v>0</v>
      </c>
      <c r="AB56" s="27"/>
      <c r="AC56" s="27"/>
      <c r="AD56" s="53">
        <f t="shared" si="10"/>
        <v>0</v>
      </c>
      <c r="AE56" s="27"/>
      <c r="AF56" s="27"/>
      <c r="AG56" s="994">
        <f t="shared" si="11"/>
        <v>0</v>
      </c>
      <c r="AH56" s="27"/>
      <c r="AI56" s="27"/>
      <c r="AJ56" s="53">
        <f t="shared" si="131"/>
        <v>0</v>
      </c>
      <c r="AK56" s="27"/>
      <c r="AL56" s="27"/>
      <c r="AM56" s="514">
        <f t="shared" si="132"/>
        <v>0</v>
      </c>
    </row>
    <row r="57" spans="1:39" ht="12.75" customHeight="1" x14ac:dyDescent="0.2">
      <c r="A57" s="516" t="s">
        <v>130</v>
      </c>
      <c r="B57" s="1211" t="s">
        <v>129</v>
      </c>
      <c r="C57" s="1210"/>
      <c r="D57" s="774">
        <f t="shared" si="128"/>
        <v>840</v>
      </c>
      <c r="E57" s="85">
        <f t="shared" si="129"/>
        <v>0</v>
      </c>
      <c r="F57" s="578">
        <f t="shared" si="130"/>
        <v>840</v>
      </c>
      <c r="G57" s="29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53">
        <f t="shared" si="6"/>
        <v>0</v>
      </c>
      <c r="S57" s="27">
        <v>840</v>
      </c>
      <c r="T57" s="27"/>
      <c r="U57" s="53">
        <f t="shared" si="7"/>
        <v>840</v>
      </c>
      <c r="V57" s="641"/>
      <c r="W57" s="27"/>
      <c r="X57" s="53">
        <f t="shared" si="8"/>
        <v>0</v>
      </c>
      <c r="Y57" s="27"/>
      <c r="Z57" s="27"/>
      <c r="AA57" s="53">
        <f t="shared" si="9"/>
        <v>0</v>
      </c>
      <c r="AB57" s="27"/>
      <c r="AC57" s="27"/>
      <c r="AD57" s="53">
        <f t="shared" si="10"/>
        <v>0</v>
      </c>
      <c r="AE57" s="27"/>
      <c r="AF57" s="27"/>
      <c r="AG57" s="994">
        <f t="shared" si="11"/>
        <v>0</v>
      </c>
      <c r="AH57" s="27"/>
      <c r="AI57" s="27"/>
      <c r="AJ57" s="53">
        <f t="shared" si="131"/>
        <v>0</v>
      </c>
      <c r="AK57" s="27"/>
      <c r="AL57" s="27"/>
      <c r="AM57" s="514">
        <f t="shared" si="132"/>
        <v>0</v>
      </c>
    </row>
    <row r="58" spans="1:39" s="42" customFormat="1" ht="12.75" customHeight="1" x14ac:dyDescent="0.2">
      <c r="A58" s="513" t="s">
        <v>131</v>
      </c>
      <c r="B58" s="1215" t="s">
        <v>159</v>
      </c>
      <c r="C58" s="1200"/>
      <c r="D58" s="774">
        <f t="shared" si="128"/>
        <v>3953</v>
      </c>
      <c r="E58" s="85">
        <f t="shared" si="129"/>
        <v>0</v>
      </c>
      <c r="F58" s="578">
        <f t="shared" si="130"/>
        <v>3953</v>
      </c>
      <c r="G58" s="575">
        <f t="shared" ref="G58" si="133">SUM(G54:G57)</f>
        <v>0</v>
      </c>
      <c r="H58" s="53">
        <f t="shared" ref="H58:AF58" si="134">SUM(H54:H57)</f>
        <v>0</v>
      </c>
      <c r="I58" s="53">
        <f t="shared" si="3"/>
        <v>0</v>
      </c>
      <c r="J58" s="53">
        <f t="shared" ref="J58" si="135">SUM(J54:J57)</f>
        <v>0</v>
      </c>
      <c r="K58" s="53">
        <f t="shared" si="134"/>
        <v>0</v>
      </c>
      <c r="L58" s="53">
        <f t="shared" si="4"/>
        <v>0</v>
      </c>
      <c r="M58" s="53">
        <f t="shared" ref="M58" si="136">SUM(M54:M57)</f>
        <v>0</v>
      </c>
      <c r="N58" s="53">
        <f t="shared" si="134"/>
        <v>0</v>
      </c>
      <c r="O58" s="53">
        <f t="shared" si="5"/>
        <v>0</v>
      </c>
      <c r="P58" s="53">
        <f t="shared" ref="P58" si="137">SUM(P54:P57)</f>
        <v>0</v>
      </c>
      <c r="Q58" s="53">
        <f t="shared" si="134"/>
        <v>0</v>
      </c>
      <c r="R58" s="53">
        <f t="shared" si="6"/>
        <v>0</v>
      </c>
      <c r="S58" s="53">
        <f t="shared" ref="S58" si="138">SUM(S54:S57)</f>
        <v>3953</v>
      </c>
      <c r="T58" s="53">
        <f t="shared" si="134"/>
        <v>0</v>
      </c>
      <c r="U58" s="53">
        <f t="shared" si="7"/>
        <v>3953</v>
      </c>
      <c r="V58" s="53">
        <f t="shared" ref="V58" si="139">SUM(V54:V57)</f>
        <v>0</v>
      </c>
      <c r="W58" s="53">
        <f t="shared" si="134"/>
        <v>0</v>
      </c>
      <c r="X58" s="53">
        <f t="shared" si="8"/>
        <v>0</v>
      </c>
      <c r="Y58" s="53">
        <f t="shared" si="134"/>
        <v>0</v>
      </c>
      <c r="Z58" s="53">
        <f t="shared" si="134"/>
        <v>0</v>
      </c>
      <c r="AA58" s="53">
        <f t="shared" si="9"/>
        <v>0</v>
      </c>
      <c r="AB58" s="53">
        <f t="shared" ref="AB58" si="140">SUM(AB54:AB57)</f>
        <v>0</v>
      </c>
      <c r="AC58" s="53">
        <f t="shared" si="134"/>
        <v>0</v>
      </c>
      <c r="AD58" s="53">
        <f t="shared" si="10"/>
        <v>0</v>
      </c>
      <c r="AE58" s="53">
        <f t="shared" ref="AE58" si="141">SUM(AE54:AE57)</f>
        <v>0</v>
      </c>
      <c r="AF58" s="53">
        <f t="shared" si="134"/>
        <v>0</v>
      </c>
      <c r="AG58" s="994">
        <f t="shared" si="11"/>
        <v>0</v>
      </c>
      <c r="AH58" s="53">
        <f t="shared" ref="AH58:AI58" si="142">SUM(AH54:AH57)</f>
        <v>0</v>
      </c>
      <c r="AI58" s="53">
        <f t="shared" si="142"/>
        <v>0</v>
      </c>
      <c r="AJ58" s="53">
        <f t="shared" si="131"/>
        <v>0</v>
      </c>
      <c r="AK58" s="53">
        <f t="shared" ref="AK58:AL58" si="143">SUM(AK54:AK57)</f>
        <v>0</v>
      </c>
      <c r="AL58" s="53">
        <f t="shared" si="143"/>
        <v>0</v>
      </c>
      <c r="AM58" s="514">
        <f t="shared" si="132"/>
        <v>0</v>
      </c>
    </row>
    <row r="59" spans="1:39" ht="12.75" x14ac:dyDescent="0.2">
      <c r="A59" s="515"/>
      <c r="B59" s="751"/>
      <c r="C59" s="308"/>
      <c r="D59" s="758"/>
      <c r="E59" s="758"/>
      <c r="F59" s="781"/>
      <c r="G59" s="56"/>
      <c r="H59" s="56"/>
      <c r="I59" s="199">
        <f t="shared" si="3"/>
        <v>0</v>
      </c>
      <c r="J59" s="56"/>
      <c r="K59" s="56"/>
      <c r="L59" s="199">
        <f t="shared" si="4"/>
        <v>0</v>
      </c>
      <c r="M59" s="56"/>
      <c r="N59" s="56"/>
      <c r="O59" s="199">
        <f t="shared" si="5"/>
        <v>0</v>
      </c>
      <c r="P59" s="56"/>
      <c r="Q59" s="56"/>
      <c r="R59" s="199">
        <f t="shared" si="6"/>
        <v>0</v>
      </c>
      <c r="S59" s="56"/>
      <c r="T59" s="56"/>
      <c r="U59" s="199">
        <f t="shared" si="7"/>
        <v>0</v>
      </c>
      <c r="V59" s="1001"/>
      <c r="W59" s="56"/>
      <c r="X59" s="199">
        <f t="shared" si="8"/>
        <v>0</v>
      </c>
      <c r="Y59" s="56"/>
      <c r="Z59" s="56"/>
      <c r="AA59" s="199">
        <f t="shared" si="9"/>
        <v>0</v>
      </c>
      <c r="AB59" s="56"/>
      <c r="AC59" s="56"/>
      <c r="AD59" s="199">
        <f t="shared" si="10"/>
        <v>0</v>
      </c>
      <c r="AE59" s="56"/>
      <c r="AF59" s="56"/>
      <c r="AG59" s="199">
        <f t="shared" si="11"/>
        <v>0</v>
      </c>
      <c r="AH59" s="56"/>
      <c r="AI59" s="56"/>
      <c r="AJ59" s="199">
        <f t="shared" si="131"/>
        <v>0</v>
      </c>
      <c r="AK59" s="996"/>
      <c r="AL59" s="56"/>
      <c r="AM59" s="577">
        <f t="shared" si="132"/>
        <v>0</v>
      </c>
    </row>
    <row r="60" spans="1:39" ht="12.75" hidden="1" x14ac:dyDescent="0.2">
      <c r="A60" s="516" t="s">
        <v>371</v>
      </c>
      <c r="B60" s="1256" t="s">
        <v>372</v>
      </c>
      <c r="C60" s="1257"/>
      <c r="D60" s="774">
        <f t="shared" ref="D60:D62" si="144">+G60+J60+AB60+AE60+M60+V60+Y60+P60+S60+AK60</f>
        <v>0</v>
      </c>
      <c r="E60" s="85">
        <f t="shared" ref="E60:E62" si="145">+H60+K60+AC60+AF60+N60+W60+Z60+Q60+T60+AL60</f>
        <v>0</v>
      </c>
      <c r="F60" s="578">
        <f t="shared" ref="F60:F62" si="146">+I60+L60+AD60+AG60+O60+X60+AA60+R60+U60+AM60</f>
        <v>0</v>
      </c>
      <c r="G60" s="29"/>
      <c r="H60" s="27"/>
      <c r="I60" s="53">
        <f t="shared" si="3"/>
        <v>0</v>
      </c>
      <c r="J60" s="27"/>
      <c r="K60" s="27"/>
      <c r="L60" s="53">
        <f t="shared" si="4"/>
        <v>0</v>
      </c>
      <c r="M60" s="27"/>
      <c r="N60" s="27"/>
      <c r="O60" s="53">
        <f t="shared" si="5"/>
        <v>0</v>
      </c>
      <c r="P60" s="27"/>
      <c r="Q60" s="27"/>
      <c r="R60" s="53">
        <f t="shared" si="6"/>
        <v>0</v>
      </c>
      <c r="S60" s="27"/>
      <c r="T60" s="27"/>
      <c r="U60" s="53">
        <f t="shared" si="7"/>
        <v>0</v>
      </c>
      <c r="V60" s="641"/>
      <c r="W60" s="27"/>
      <c r="X60" s="53">
        <f t="shared" si="8"/>
        <v>0</v>
      </c>
      <c r="Y60" s="27"/>
      <c r="Z60" s="27"/>
      <c r="AA60" s="53">
        <f t="shared" si="9"/>
        <v>0</v>
      </c>
      <c r="AB60" s="27"/>
      <c r="AC60" s="27"/>
      <c r="AD60" s="53">
        <f t="shared" si="10"/>
        <v>0</v>
      </c>
      <c r="AE60" s="27"/>
      <c r="AF60" s="27"/>
      <c r="AG60" s="994">
        <f t="shared" si="11"/>
        <v>0</v>
      </c>
      <c r="AH60" s="27"/>
      <c r="AI60" s="27"/>
      <c r="AJ60" s="53">
        <f t="shared" si="131"/>
        <v>0</v>
      </c>
      <c r="AK60" s="27"/>
      <c r="AL60" s="27"/>
      <c r="AM60" s="514">
        <f t="shared" si="132"/>
        <v>0</v>
      </c>
    </row>
    <row r="61" spans="1:39" ht="12.75" hidden="1" x14ac:dyDescent="0.2">
      <c r="A61" s="516" t="s">
        <v>384</v>
      </c>
      <c r="B61" s="1211" t="s">
        <v>385</v>
      </c>
      <c r="C61" s="1210"/>
      <c r="D61" s="774">
        <f t="shared" si="144"/>
        <v>0</v>
      </c>
      <c r="E61" s="85">
        <f t="shared" si="145"/>
        <v>0</v>
      </c>
      <c r="F61" s="578">
        <f t="shared" si="146"/>
        <v>0</v>
      </c>
      <c r="G61" s="29"/>
      <c r="H61" s="27"/>
      <c r="I61" s="53">
        <f t="shared" si="3"/>
        <v>0</v>
      </c>
      <c r="J61" s="27"/>
      <c r="K61" s="27"/>
      <c r="L61" s="53">
        <f t="shared" si="4"/>
        <v>0</v>
      </c>
      <c r="M61" s="27"/>
      <c r="N61" s="27"/>
      <c r="O61" s="53">
        <f t="shared" si="5"/>
        <v>0</v>
      </c>
      <c r="P61" s="27"/>
      <c r="Q61" s="27"/>
      <c r="R61" s="53">
        <f t="shared" si="6"/>
        <v>0</v>
      </c>
      <c r="S61" s="27"/>
      <c r="T61" s="27"/>
      <c r="U61" s="53">
        <f t="shared" si="7"/>
        <v>0</v>
      </c>
      <c r="V61" s="641"/>
      <c r="W61" s="27"/>
      <c r="X61" s="53">
        <f t="shared" si="8"/>
        <v>0</v>
      </c>
      <c r="Y61" s="27"/>
      <c r="Z61" s="27"/>
      <c r="AA61" s="53">
        <f t="shared" si="9"/>
        <v>0</v>
      </c>
      <c r="AB61" s="27"/>
      <c r="AC61" s="27"/>
      <c r="AD61" s="53">
        <f t="shared" si="10"/>
        <v>0</v>
      </c>
      <c r="AE61" s="27"/>
      <c r="AF61" s="27"/>
      <c r="AG61" s="994">
        <f t="shared" si="11"/>
        <v>0</v>
      </c>
      <c r="AH61" s="27"/>
      <c r="AI61" s="27"/>
      <c r="AJ61" s="53">
        <f t="shared" si="131"/>
        <v>0</v>
      </c>
      <c r="AK61" s="27"/>
      <c r="AL61" s="27"/>
      <c r="AM61" s="514">
        <f t="shared" si="132"/>
        <v>0</v>
      </c>
    </row>
    <row r="62" spans="1:39" ht="12.75" hidden="1" customHeight="1" x14ac:dyDescent="0.2">
      <c r="A62" s="516" t="s">
        <v>132</v>
      </c>
      <c r="B62" s="1211" t="s">
        <v>386</v>
      </c>
      <c r="C62" s="1210"/>
      <c r="D62" s="774">
        <f t="shared" si="144"/>
        <v>0</v>
      </c>
      <c r="E62" s="85">
        <f t="shared" si="145"/>
        <v>0</v>
      </c>
      <c r="F62" s="578">
        <f t="shared" si="146"/>
        <v>0</v>
      </c>
      <c r="G62" s="29"/>
      <c r="H62" s="27"/>
      <c r="I62" s="53">
        <f t="shared" si="3"/>
        <v>0</v>
      </c>
      <c r="J62" s="27"/>
      <c r="K62" s="27"/>
      <c r="L62" s="53">
        <f t="shared" si="4"/>
        <v>0</v>
      </c>
      <c r="M62" s="27"/>
      <c r="N62" s="27"/>
      <c r="O62" s="53">
        <f t="shared" si="5"/>
        <v>0</v>
      </c>
      <c r="P62" s="27"/>
      <c r="Q62" s="27"/>
      <c r="R62" s="53">
        <f t="shared" si="6"/>
        <v>0</v>
      </c>
      <c r="S62" s="27"/>
      <c r="T62" s="27"/>
      <c r="U62" s="53">
        <f t="shared" si="7"/>
        <v>0</v>
      </c>
      <c r="V62" s="641"/>
      <c r="W62" s="27"/>
      <c r="X62" s="53">
        <f t="shared" si="8"/>
        <v>0</v>
      </c>
      <c r="Y62" s="27"/>
      <c r="Z62" s="27"/>
      <c r="AA62" s="53">
        <f t="shared" si="9"/>
        <v>0</v>
      </c>
      <c r="AB62" s="27"/>
      <c r="AC62" s="27"/>
      <c r="AD62" s="53">
        <f t="shared" si="10"/>
        <v>0</v>
      </c>
      <c r="AE62" s="27"/>
      <c r="AF62" s="27"/>
      <c r="AG62" s="994">
        <f t="shared" si="11"/>
        <v>0</v>
      </c>
      <c r="AH62" s="27"/>
      <c r="AI62" s="27"/>
      <c r="AJ62" s="53">
        <f t="shared" si="131"/>
        <v>0</v>
      </c>
      <c r="AK62" s="27"/>
      <c r="AL62" s="27"/>
      <c r="AM62" s="514">
        <f t="shared" si="132"/>
        <v>0</v>
      </c>
    </row>
    <row r="63" spans="1:39" s="42" customFormat="1" ht="12.75" customHeight="1" x14ac:dyDescent="0.2">
      <c r="A63" s="513" t="s">
        <v>133</v>
      </c>
      <c r="B63" s="1215" t="s">
        <v>157</v>
      </c>
      <c r="C63" s="1200"/>
      <c r="D63" s="774">
        <f t="shared" ref="D63" si="147">+G63+J63+AB63+AE63+M63+V63+Y63+P63+S63+AK63+AH63</f>
        <v>0</v>
      </c>
      <c r="E63" s="85">
        <f t="shared" ref="E63" si="148">+H63+K63+AC63+AF63+N63+W63+Z63+Q63+T63+AL63+AI63</f>
        <v>0</v>
      </c>
      <c r="F63" s="578">
        <f t="shared" ref="F63" si="149">+I63+L63+AD63+AG63+O63+X63+AA63+R63+U63+AM63+AJ63</f>
        <v>0</v>
      </c>
      <c r="G63" s="575">
        <f t="shared" ref="G63" si="150">SUM(G60:G62)</f>
        <v>0</v>
      </c>
      <c r="H63" s="53">
        <f t="shared" ref="H63:AF63" si="151">SUM(H60:H62)</f>
        <v>0</v>
      </c>
      <c r="I63" s="53">
        <f t="shared" si="3"/>
        <v>0</v>
      </c>
      <c r="J63" s="53">
        <f t="shared" ref="J63" si="152">SUM(J60:J62)</f>
        <v>0</v>
      </c>
      <c r="K63" s="53">
        <f t="shared" si="151"/>
        <v>0</v>
      </c>
      <c r="L63" s="53">
        <f t="shared" si="4"/>
        <v>0</v>
      </c>
      <c r="M63" s="53">
        <f t="shared" ref="M63" si="153">SUM(M60:M62)</f>
        <v>0</v>
      </c>
      <c r="N63" s="53">
        <f t="shared" si="151"/>
        <v>0</v>
      </c>
      <c r="O63" s="53">
        <f t="shared" si="5"/>
        <v>0</v>
      </c>
      <c r="P63" s="53">
        <f t="shared" ref="P63" si="154">SUM(P60:P62)</f>
        <v>0</v>
      </c>
      <c r="Q63" s="53">
        <f t="shared" si="151"/>
        <v>0</v>
      </c>
      <c r="R63" s="53">
        <f t="shared" si="6"/>
        <v>0</v>
      </c>
      <c r="S63" s="53"/>
      <c r="T63" s="53">
        <f t="shared" si="151"/>
        <v>0</v>
      </c>
      <c r="U63" s="53">
        <f t="shared" si="7"/>
        <v>0</v>
      </c>
      <c r="V63" s="642">
        <f t="shared" ref="V63" si="155">SUM(V60:V62)</f>
        <v>0</v>
      </c>
      <c r="W63" s="53">
        <f t="shared" si="151"/>
        <v>0</v>
      </c>
      <c r="X63" s="53">
        <f t="shared" si="8"/>
        <v>0</v>
      </c>
      <c r="Y63" s="53">
        <f t="shared" si="151"/>
        <v>0</v>
      </c>
      <c r="Z63" s="53">
        <f t="shared" si="151"/>
        <v>0</v>
      </c>
      <c r="AA63" s="53">
        <f t="shared" si="9"/>
        <v>0</v>
      </c>
      <c r="AB63" s="53"/>
      <c r="AC63" s="53">
        <f t="shared" si="151"/>
        <v>0</v>
      </c>
      <c r="AD63" s="53">
        <f t="shared" si="10"/>
        <v>0</v>
      </c>
      <c r="AE63" s="53"/>
      <c r="AF63" s="53">
        <f t="shared" si="151"/>
        <v>0</v>
      </c>
      <c r="AG63" s="994">
        <f t="shared" si="11"/>
        <v>0</v>
      </c>
      <c r="AH63" s="53">
        <f t="shared" ref="AH63:AI63" si="156">SUM(AH60:AH62)</f>
        <v>0</v>
      </c>
      <c r="AI63" s="53">
        <f t="shared" si="156"/>
        <v>0</v>
      </c>
      <c r="AJ63" s="53">
        <f t="shared" si="131"/>
        <v>0</v>
      </c>
      <c r="AK63" s="53">
        <f t="shared" ref="AK63:AL63" si="157">SUM(AK60:AK62)</f>
        <v>0</v>
      </c>
      <c r="AL63" s="53">
        <f t="shared" si="157"/>
        <v>0</v>
      </c>
      <c r="AM63" s="514">
        <f t="shared" si="132"/>
        <v>0</v>
      </c>
    </row>
    <row r="64" spans="1:39" ht="12.75" x14ac:dyDescent="0.2">
      <c r="A64" s="515"/>
      <c r="B64" s="512"/>
      <c r="C64" s="776"/>
      <c r="D64" s="758"/>
      <c r="E64" s="758"/>
      <c r="F64" s="781"/>
      <c r="G64" s="56"/>
      <c r="H64" s="56"/>
      <c r="I64" s="199"/>
      <c r="J64" s="56"/>
      <c r="K64" s="56"/>
      <c r="L64" s="199"/>
      <c r="M64" s="56"/>
      <c r="N64" s="56"/>
      <c r="O64" s="199"/>
      <c r="P64" s="56"/>
      <c r="Q64" s="56"/>
      <c r="R64" s="199"/>
      <c r="S64" s="56"/>
      <c r="T64" s="56"/>
      <c r="U64" s="199"/>
      <c r="V64" s="1001"/>
      <c r="W64" s="56"/>
      <c r="X64" s="199"/>
      <c r="Y64" s="56"/>
      <c r="Z64" s="56"/>
      <c r="AA64" s="199"/>
      <c r="AB64" s="56"/>
      <c r="AC64" s="56"/>
      <c r="AD64" s="199"/>
      <c r="AE64" s="56"/>
      <c r="AF64" s="56"/>
      <c r="AG64" s="199"/>
      <c r="AH64" s="56"/>
      <c r="AI64" s="56"/>
      <c r="AJ64" s="199"/>
      <c r="AK64" s="996"/>
      <c r="AL64" s="56"/>
      <c r="AM64" s="577"/>
    </row>
    <row r="65" spans="1:39" s="42" customFormat="1" ht="12.75" customHeight="1" thickBot="1" x14ac:dyDescent="0.25">
      <c r="A65" s="768" t="s">
        <v>134</v>
      </c>
      <c r="B65" s="1232" t="s">
        <v>156</v>
      </c>
      <c r="C65" s="1233"/>
      <c r="D65" s="775">
        <f t="shared" ref="D65" si="158">+G65+J65+AB65+AE65+M65+V65+Y65+P65+S65+AK65+AH65</f>
        <v>695069</v>
      </c>
      <c r="E65" s="769">
        <f t="shared" ref="E65" si="159">+H65+K65+AC65+AF65+N65+W65+Z65+Q65+T65+AL65+AI65</f>
        <v>8758</v>
      </c>
      <c r="F65" s="783">
        <f t="shared" ref="F65" si="160">+I65+L65+AD65+AG65+O65+X65+AA65+R65+U65+AM65+AJ65</f>
        <v>703827</v>
      </c>
      <c r="G65" s="778">
        <f>+G63+G58+G52+G43+G35+G9+G7</f>
        <v>374763</v>
      </c>
      <c r="H65" s="770">
        <f t="shared" ref="H65:AF65" si="161">+H63+H58+H52+H43+H35+H9+H7</f>
        <v>0</v>
      </c>
      <c r="I65" s="770">
        <f t="shared" si="3"/>
        <v>374763</v>
      </c>
      <c r="J65" s="770">
        <f t="shared" ref="J65" si="162">+J63+J58+J52+J43+J35+J9+J7</f>
        <v>1969</v>
      </c>
      <c r="K65" s="770">
        <f t="shared" si="161"/>
        <v>0</v>
      </c>
      <c r="L65" s="770">
        <f t="shared" si="4"/>
        <v>1969</v>
      </c>
      <c r="M65" s="770">
        <f t="shared" ref="M65" si="163">+M63+M58+M52+M43+M35+M9+M7</f>
        <v>14256</v>
      </c>
      <c r="N65" s="770">
        <f t="shared" si="161"/>
        <v>0</v>
      </c>
      <c r="O65" s="770">
        <f t="shared" si="5"/>
        <v>14256</v>
      </c>
      <c r="P65" s="770">
        <f t="shared" ref="P65" si="164">+P63+P58+P52+P43+P35+P9+P7</f>
        <v>24975</v>
      </c>
      <c r="Q65" s="770">
        <f t="shared" si="161"/>
        <v>0</v>
      </c>
      <c r="R65" s="770">
        <f t="shared" si="6"/>
        <v>24975</v>
      </c>
      <c r="S65" s="770">
        <f t="shared" ref="S65" si="165">+S63+S58+S52+S43+S35+S9+S7</f>
        <v>23842</v>
      </c>
      <c r="T65" s="770">
        <f t="shared" si="161"/>
        <v>0</v>
      </c>
      <c r="U65" s="770">
        <f t="shared" si="7"/>
        <v>23842</v>
      </c>
      <c r="V65" s="1002">
        <f t="shared" ref="V65" si="166">+V63+V58+V52+V43+V35+V9+V7</f>
        <v>185782</v>
      </c>
      <c r="W65" s="770">
        <f>+W63+W58+W52+W43+W35+W9+W7</f>
        <v>0</v>
      </c>
      <c r="X65" s="770">
        <f t="shared" si="8"/>
        <v>185782</v>
      </c>
      <c r="Y65" s="770">
        <f t="shared" si="161"/>
        <v>0</v>
      </c>
      <c r="Z65" s="770">
        <f t="shared" si="161"/>
        <v>0</v>
      </c>
      <c r="AA65" s="770">
        <f t="shared" si="9"/>
        <v>0</v>
      </c>
      <c r="AB65" s="770">
        <f t="shared" ref="AB65" si="167">+AB63+AB58+AB52+AB43+AB35+AB9+AB7</f>
        <v>434</v>
      </c>
      <c r="AC65" s="770">
        <f t="shared" si="161"/>
        <v>0</v>
      </c>
      <c r="AD65" s="770">
        <f t="shared" si="10"/>
        <v>434</v>
      </c>
      <c r="AE65" s="770">
        <f t="shared" ref="AE65" si="168">+AE63+AE58+AE52+AE43+AE35+AE9+AE7</f>
        <v>58589</v>
      </c>
      <c r="AF65" s="770">
        <f t="shared" si="161"/>
        <v>0</v>
      </c>
      <c r="AG65" s="995">
        <f t="shared" si="11"/>
        <v>58589</v>
      </c>
      <c r="AH65" s="770">
        <f t="shared" ref="AH65:AI65" si="169">+AH63+AH58+AH52+AH43+AH35+AH9+AH7</f>
        <v>0</v>
      </c>
      <c r="AI65" s="770">
        <f t="shared" si="169"/>
        <v>8758</v>
      </c>
      <c r="AJ65" s="770">
        <f t="shared" ref="AJ65" si="170">+AI65+AH65</f>
        <v>8758</v>
      </c>
      <c r="AK65" s="770">
        <f t="shared" ref="AK65:AL65" si="171">+AK63+AK58+AK52+AK43+AK35+AK9+AK7</f>
        <v>10459</v>
      </c>
      <c r="AL65" s="770">
        <f t="shared" si="171"/>
        <v>0</v>
      </c>
      <c r="AM65" s="772">
        <f t="shared" ref="AM65" si="172">+AL65+AK65</f>
        <v>10459</v>
      </c>
    </row>
  </sheetData>
  <mergeCells count="81">
    <mergeCell ref="S2:U2"/>
    <mergeCell ref="S3:U3"/>
    <mergeCell ref="D2:F2"/>
    <mergeCell ref="A2:A4"/>
    <mergeCell ref="B2:C4"/>
    <mergeCell ref="G2:I2"/>
    <mergeCell ref="J2:L2"/>
    <mergeCell ref="D3:F3"/>
    <mergeCell ref="B14:C14"/>
    <mergeCell ref="B15:C15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B13:C13"/>
    <mergeCell ref="B5:C5"/>
    <mergeCell ref="B6:C6"/>
    <mergeCell ref="B7:C7"/>
    <mergeCell ref="B9:C9"/>
    <mergeCell ref="B11:C11"/>
    <mergeCell ref="B12:C12"/>
    <mergeCell ref="B16:C16"/>
    <mergeCell ref="B17:C17"/>
    <mergeCell ref="B18:C18"/>
    <mergeCell ref="B37:C37"/>
    <mergeCell ref="B38:C38"/>
    <mergeCell ref="B24:C24"/>
    <mergeCell ref="B28:C28"/>
    <mergeCell ref="B19:C19"/>
    <mergeCell ref="B20:C20"/>
    <mergeCell ref="B21:C21"/>
    <mergeCell ref="B22:C22"/>
    <mergeCell ref="B23:C23"/>
    <mergeCell ref="B39:C39"/>
    <mergeCell ref="B35:C35"/>
    <mergeCell ref="B25:C25"/>
    <mergeCell ref="B26:C26"/>
    <mergeCell ref="B27:C27"/>
    <mergeCell ref="B31:C31"/>
    <mergeCell ref="B36:C36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51:C51"/>
    <mergeCell ref="B52:C52"/>
    <mergeCell ref="B40:C40"/>
    <mergeCell ref="B48:C48"/>
    <mergeCell ref="B49:C49"/>
    <mergeCell ref="B50:C50"/>
    <mergeCell ref="AH2:AJ2"/>
    <mergeCell ref="AH3:AJ3"/>
    <mergeCell ref="AK2:AM2"/>
    <mergeCell ref="AK3:AM3"/>
    <mergeCell ref="B54:C54"/>
    <mergeCell ref="B41:C41"/>
    <mergeCell ref="B42:C42"/>
    <mergeCell ref="B43:C43"/>
    <mergeCell ref="B45:C45"/>
    <mergeCell ref="B46:C46"/>
    <mergeCell ref="B47:C47"/>
    <mergeCell ref="B29:C29"/>
    <mergeCell ref="B32:C32"/>
    <mergeCell ref="B33:C33"/>
    <mergeCell ref="B34:C34"/>
    <mergeCell ref="B30:C30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1" orientation="landscape" cellComments="asDisplayed" r:id="rId1"/>
  <headerFooter>
    <oddHeader>&amp;C&amp;"Times New Roman,Félkövér"&amp;12Martonvásár Város Önkormányzatának kiadásai 2020.
Városfejlesztési feladatok EU forrásból&amp;R&amp;"Times New Roman,Félkövér"&amp;12 5/c.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25" sqref="N25"/>
    </sheetView>
  </sheetViews>
  <sheetFormatPr defaultColWidth="9.140625" defaultRowHeight="12.75" x14ac:dyDescent="0.2"/>
  <cols>
    <col min="1" max="1" width="7.28515625" style="24" customWidth="1"/>
    <col min="2" max="2" width="7.140625" style="25" customWidth="1"/>
    <col min="3" max="3" width="32" style="25" customWidth="1"/>
    <col min="4" max="7" width="7.7109375" style="17" customWidth="1"/>
    <col min="8" max="8" width="6.7109375" style="17" customWidth="1"/>
    <col min="9" max="9" width="7.42578125" style="17" customWidth="1"/>
    <col min="10" max="10" width="7.28515625" style="17" customWidth="1"/>
    <col min="11" max="11" width="7.7109375" style="17" customWidth="1"/>
    <col min="12" max="12" width="7" style="17" customWidth="1"/>
    <col min="13" max="13" width="7.7109375" style="17" customWidth="1"/>
    <col min="14" max="14" width="7.42578125" style="17" customWidth="1"/>
    <col min="15" max="15" width="7.7109375" style="17" customWidth="1"/>
    <col min="16" max="16" width="7.7109375" style="17" hidden="1" customWidth="1"/>
    <col min="17" max="17" width="6.7109375" style="17" hidden="1" customWidth="1"/>
    <col min="18" max="19" width="7.7109375" style="17" hidden="1" customWidth="1"/>
    <col min="20" max="20" width="6.85546875" style="17" hidden="1" customWidth="1"/>
    <col min="21" max="21" width="7.140625" style="17" hidden="1" customWidth="1"/>
    <col min="22" max="16384" width="9.140625" style="17"/>
  </cols>
  <sheetData>
    <row r="1" spans="1:21" s="1" customFormat="1" ht="15.75" thickBot="1" x14ac:dyDescent="0.3">
      <c r="A1" s="24"/>
      <c r="B1" s="25"/>
      <c r="C1" s="25"/>
      <c r="S1" s="1212" t="s">
        <v>383</v>
      </c>
      <c r="T1" s="1212"/>
      <c r="U1" s="1212"/>
    </row>
    <row r="2" spans="1:21" s="31" customFormat="1" ht="33.75" customHeight="1" x14ac:dyDescent="0.25">
      <c r="A2" s="1236" t="s">
        <v>0</v>
      </c>
      <c r="B2" s="1238" t="s">
        <v>181</v>
      </c>
      <c r="C2" s="1239"/>
      <c r="D2" s="1263" t="s">
        <v>179</v>
      </c>
      <c r="E2" s="1264"/>
      <c r="F2" s="1265"/>
      <c r="G2" s="1258" t="s">
        <v>185</v>
      </c>
      <c r="H2" s="1229"/>
      <c r="I2" s="1229"/>
      <c r="J2" s="1229" t="s">
        <v>186</v>
      </c>
      <c r="K2" s="1229"/>
      <c r="L2" s="1229"/>
      <c r="M2" s="1226" t="s">
        <v>187</v>
      </c>
      <c r="N2" s="1226"/>
      <c r="O2" s="1261"/>
      <c r="P2" s="1262" t="s">
        <v>190</v>
      </c>
      <c r="Q2" s="1260"/>
      <c r="R2" s="1260"/>
      <c r="S2" s="1260" t="s">
        <v>191</v>
      </c>
      <c r="T2" s="1260"/>
      <c r="U2" s="1260"/>
    </row>
    <row r="3" spans="1:21" s="31" customFormat="1" x14ac:dyDescent="0.25">
      <c r="A3" s="1237"/>
      <c r="B3" s="1221"/>
      <c r="C3" s="1240"/>
      <c r="D3" s="1266"/>
      <c r="E3" s="1267"/>
      <c r="F3" s="1268"/>
      <c r="G3" s="1247" t="s">
        <v>188</v>
      </c>
      <c r="H3" s="1227"/>
      <c r="I3" s="1227"/>
      <c r="J3" s="1227" t="s">
        <v>188</v>
      </c>
      <c r="K3" s="1227"/>
      <c r="L3" s="1227"/>
      <c r="M3" s="1227" t="s">
        <v>189</v>
      </c>
      <c r="N3" s="1227"/>
      <c r="O3" s="1231"/>
      <c r="P3" s="1247" t="s">
        <v>189</v>
      </c>
      <c r="Q3" s="1227"/>
      <c r="R3" s="1227"/>
      <c r="S3" s="1227" t="s">
        <v>189</v>
      </c>
      <c r="T3" s="1227"/>
      <c r="U3" s="1227"/>
    </row>
    <row r="4" spans="1:21" s="16" customFormat="1" ht="25.5" x14ac:dyDescent="0.25">
      <c r="A4" s="1237"/>
      <c r="B4" s="1221"/>
      <c r="C4" s="1240"/>
      <c r="D4" s="779" t="s">
        <v>950</v>
      </c>
      <c r="E4" s="750" t="s">
        <v>694</v>
      </c>
      <c r="F4" s="766" t="s">
        <v>948</v>
      </c>
      <c r="G4" s="773" t="s">
        <v>950</v>
      </c>
      <c r="H4" s="750" t="s">
        <v>694</v>
      </c>
      <c r="I4" s="750" t="s">
        <v>948</v>
      </c>
      <c r="J4" s="750" t="s">
        <v>950</v>
      </c>
      <c r="K4" s="750" t="s">
        <v>694</v>
      </c>
      <c r="L4" s="750" t="s">
        <v>948</v>
      </c>
      <c r="M4" s="750" t="s">
        <v>950</v>
      </c>
      <c r="N4" s="750" t="s">
        <v>694</v>
      </c>
      <c r="O4" s="766" t="s">
        <v>948</v>
      </c>
      <c r="P4" s="773" t="s">
        <v>176</v>
      </c>
      <c r="Q4" s="3" t="s">
        <v>177</v>
      </c>
      <c r="R4" s="3" t="s">
        <v>178</v>
      </c>
      <c r="S4" s="3" t="s">
        <v>176</v>
      </c>
      <c r="T4" s="3" t="s">
        <v>177</v>
      </c>
      <c r="U4" s="3" t="s">
        <v>178</v>
      </c>
    </row>
    <row r="5" spans="1:21" s="42" customFormat="1" ht="12" customHeight="1" x14ac:dyDescent="0.2">
      <c r="A5" s="513" t="s">
        <v>27</v>
      </c>
      <c r="B5" s="1215" t="s">
        <v>173</v>
      </c>
      <c r="C5" s="1200"/>
      <c r="D5" s="579">
        <f>+G5+J5+M5+P5+S5</f>
        <v>16631</v>
      </c>
      <c r="E5" s="53">
        <f t="shared" ref="E5:F6" si="0">+H5+K5+N5+Q5+T5</f>
        <v>1500</v>
      </c>
      <c r="F5" s="514">
        <f t="shared" si="0"/>
        <v>18131</v>
      </c>
      <c r="G5" s="575">
        <v>12590</v>
      </c>
      <c r="H5" s="53">
        <v>1000</v>
      </c>
      <c r="I5" s="53">
        <f>+H5+G5</f>
        <v>13590</v>
      </c>
      <c r="J5" s="53">
        <v>4041</v>
      </c>
      <c r="K5" s="53">
        <v>500</v>
      </c>
      <c r="L5" s="53">
        <f>+K5+J5</f>
        <v>4541</v>
      </c>
      <c r="M5" s="53"/>
      <c r="N5" s="53"/>
      <c r="O5" s="514">
        <f>+N5+M5</f>
        <v>0</v>
      </c>
      <c r="P5" s="575"/>
      <c r="Q5" s="53"/>
      <c r="R5" s="53"/>
      <c r="S5" s="53"/>
      <c r="T5" s="53"/>
      <c r="U5" s="53"/>
    </row>
    <row r="6" spans="1:21" s="42" customFormat="1" ht="12" customHeight="1" x14ac:dyDescent="0.2">
      <c r="A6" s="513" t="s">
        <v>33</v>
      </c>
      <c r="B6" s="1215" t="s">
        <v>172</v>
      </c>
      <c r="C6" s="1200"/>
      <c r="D6" s="579">
        <f>+G6+J6+M6+P6+S6</f>
        <v>1080</v>
      </c>
      <c r="E6" s="53">
        <f t="shared" si="0"/>
        <v>-810</v>
      </c>
      <c r="F6" s="514">
        <f t="shared" si="0"/>
        <v>270</v>
      </c>
      <c r="G6" s="575"/>
      <c r="H6" s="53"/>
      <c r="I6" s="53">
        <f>+H6+G6</f>
        <v>0</v>
      </c>
      <c r="J6" s="53"/>
      <c r="K6" s="53"/>
      <c r="L6" s="53">
        <f>+K6+J6</f>
        <v>0</v>
      </c>
      <c r="M6" s="53">
        <v>1080</v>
      </c>
      <c r="N6" s="53">
        <v>-810</v>
      </c>
      <c r="O6" s="514">
        <f>+N6+M6</f>
        <v>270</v>
      </c>
      <c r="P6" s="575"/>
      <c r="Q6" s="53"/>
      <c r="R6" s="53"/>
      <c r="S6" s="53"/>
      <c r="T6" s="53"/>
      <c r="U6" s="53"/>
    </row>
    <row r="7" spans="1:21" s="42" customFormat="1" ht="12" customHeight="1" x14ac:dyDescent="0.2">
      <c r="A7" s="790" t="s">
        <v>34</v>
      </c>
      <c r="B7" s="1214" t="s">
        <v>171</v>
      </c>
      <c r="C7" s="1269"/>
      <c r="D7" s="812">
        <f>+D6+D5</f>
        <v>17711</v>
      </c>
      <c r="E7" s="51">
        <f t="shared" ref="E7:F7" si="1">+E6+E5</f>
        <v>690</v>
      </c>
      <c r="F7" s="791">
        <f t="shared" si="1"/>
        <v>18401</v>
      </c>
      <c r="G7" s="787">
        <f>+G5+G6</f>
        <v>12590</v>
      </c>
      <c r="H7" s="51">
        <f t="shared" ref="H7:J7" si="2">+H5+H6</f>
        <v>1000</v>
      </c>
      <c r="I7" s="51">
        <f t="shared" si="2"/>
        <v>13590</v>
      </c>
      <c r="J7" s="51">
        <f t="shared" si="2"/>
        <v>4041</v>
      </c>
      <c r="K7" s="51">
        <f t="shared" ref="K7:L7" si="3">K5+K6</f>
        <v>500</v>
      </c>
      <c r="L7" s="51">
        <f t="shared" si="3"/>
        <v>4541</v>
      </c>
      <c r="M7" s="51">
        <f t="shared" ref="M7" si="4">+M5+M6</f>
        <v>1080</v>
      </c>
      <c r="N7" s="51">
        <f t="shared" ref="N7:O7" si="5">SUM(N6)</f>
        <v>-810</v>
      </c>
      <c r="O7" s="791">
        <f t="shared" si="5"/>
        <v>270</v>
      </c>
      <c r="P7" s="787"/>
      <c r="Q7" s="51"/>
      <c r="R7" s="51"/>
      <c r="S7" s="51"/>
      <c r="T7" s="51"/>
      <c r="U7" s="51"/>
    </row>
    <row r="8" spans="1:21" ht="12" customHeight="1" x14ac:dyDescent="0.2">
      <c r="A8" s="419"/>
      <c r="B8" s="8"/>
      <c r="C8" s="808"/>
      <c r="D8" s="813"/>
      <c r="E8" s="28"/>
      <c r="F8" s="792"/>
      <c r="G8" s="28"/>
      <c r="H8" s="28"/>
      <c r="I8" s="28"/>
      <c r="J8" s="28"/>
      <c r="K8" s="28"/>
      <c r="L8" s="28"/>
      <c r="M8" s="28"/>
      <c r="N8" s="28"/>
      <c r="O8" s="792"/>
      <c r="P8" s="28"/>
      <c r="Q8" s="28"/>
      <c r="R8" s="29"/>
      <c r="S8" s="28"/>
      <c r="T8" s="28"/>
      <c r="U8" s="29"/>
    </row>
    <row r="9" spans="1:21" s="42" customFormat="1" ht="12" customHeight="1" x14ac:dyDescent="0.2">
      <c r="A9" s="793" t="s">
        <v>35</v>
      </c>
      <c r="B9" s="1214" t="s">
        <v>170</v>
      </c>
      <c r="C9" s="1269"/>
      <c r="D9" s="814">
        <f>+G9+J9+M9+P9+S9</f>
        <v>3135</v>
      </c>
      <c r="E9" s="26">
        <f t="shared" ref="E9:F9" si="6">+H9+K9+N9+Q9+T9</f>
        <v>121</v>
      </c>
      <c r="F9" s="815">
        <f t="shared" si="6"/>
        <v>3256</v>
      </c>
      <c r="G9" s="788">
        <v>2227</v>
      </c>
      <c r="H9" s="50">
        <v>175</v>
      </c>
      <c r="I9" s="50">
        <f>+H9+G9</f>
        <v>2402</v>
      </c>
      <c r="J9" s="50">
        <v>719</v>
      </c>
      <c r="K9" s="50">
        <v>88</v>
      </c>
      <c r="L9" s="50">
        <f>+K9+J9</f>
        <v>807</v>
      </c>
      <c r="M9" s="50">
        <v>189</v>
      </c>
      <c r="N9" s="50">
        <v>-142</v>
      </c>
      <c r="O9" s="794">
        <f>+N9+M9</f>
        <v>47</v>
      </c>
      <c r="P9" s="788"/>
      <c r="Q9" s="50"/>
      <c r="R9" s="50"/>
      <c r="S9" s="50"/>
      <c r="T9" s="50"/>
      <c r="U9" s="50"/>
    </row>
    <row r="10" spans="1:21" s="38" customFormat="1" ht="11.25" customHeight="1" x14ac:dyDescent="0.2">
      <c r="A10" s="795"/>
      <c r="B10" s="202"/>
      <c r="C10" s="809"/>
      <c r="D10" s="813"/>
      <c r="E10" s="530"/>
      <c r="F10" s="816"/>
      <c r="G10" s="530"/>
      <c r="H10" s="530"/>
      <c r="I10" s="530"/>
      <c r="J10" s="201"/>
      <c r="K10" s="201"/>
      <c r="L10" s="201"/>
      <c r="M10" s="201"/>
      <c r="N10" s="201"/>
      <c r="O10" s="796"/>
      <c r="P10" s="201"/>
      <c r="Q10" s="201"/>
      <c r="R10" s="201"/>
      <c r="S10" s="201"/>
      <c r="T10" s="201"/>
      <c r="U10" s="201"/>
    </row>
    <row r="11" spans="1:21" ht="12" customHeight="1" x14ac:dyDescent="0.2">
      <c r="A11" s="516" t="s">
        <v>42</v>
      </c>
      <c r="B11" s="1211" t="s">
        <v>41</v>
      </c>
      <c r="C11" s="1210"/>
      <c r="D11" s="580">
        <f t="shared" ref="D11:D34" si="7">+G11+J11+M11+P11+S11</f>
        <v>170</v>
      </c>
      <c r="E11" s="27">
        <f t="shared" ref="E11" si="8">+H11+K11+N11+Q11+T11</f>
        <v>0</v>
      </c>
      <c r="F11" s="517">
        <f t="shared" ref="F11" si="9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517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">
      <c r="A12" s="516" t="s">
        <v>44</v>
      </c>
      <c r="B12" s="1211" t="s">
        <v>43</v>
      </c>
      <c r="C12" s="1210"/>
      <c r="D12" s="580">
        <f t="shared" ref="D12:D13" si="10">+G12+J12+M12+P12+S12</f>
        <v>230</v>
      </c>
      <c r="E12" s="27">
        <f t="shared" ref="E12:E13" si="11">+H12+K12+N12+Q12+T12</f>
        <v>0</v>
      </c>
      <c r="F12" s="517">
        <f t="shared" ref="F12:F13" si="12">+I12+L12+O12+R12+U12</f>
        <v>230</v>
      </c>
      <c r="G12" s="29">
        <v>150</v>
      </c>
      <c r="H12" s="27"/>
      <c r="I12" s="27">
        <f t="shared" ref="I12:I13" si="13">+H12+G12</f>
        <v>150</v>
      </c>
      <c r="J12" s="27">
        <v>30</v>
      </c>
      <c r="K12" s="27"/>
      <c r="L12" s="27">
        <f t="shared" ref="L12:L13" si="14">+K12+J12</f>
        <v>30</v>
      </c>
      <c r="M12" s="27">
        <v>50</v>
      </c>
      <c r="N12" s="27"/>
      <c r="O12" s="517">
        <f t="shared" ref="O12:O13" si="15">+N12+M12</f>
        <v>50</v>
      </c>
      <c r="P12" s="29"/>
      <c r="Q12" s="27"/>
      <c r="R12" s="27"/>
      <c r="S12" s="27"/>
      <c r="T12" s="27"/>
      <c r="U12" s="27"/>
    </row>
    <row r="13" spans="1:21" ht="12" customHeight="1" x14ac:dyDescent="0.2">
      <c r="A13" s="516" t="s">
        <v>46</v>
      </c>
      <c r="B13" s="1211" t="s">
        <v>45</v>
      </c>
      <c r="C13" s="1210"/>
      <c r="D13" s="580">
        <f t="shared" si="10"/>
        <v>0</v>
      </c>
      <c r="E13" s="27">
        <f t="shared" si="11"/>
        <v>0</v>
      </c>
      <c r="F13" s="517">
        <f t="shared" si="12"/>
        <v>0</v>
      </c>
      <c r="G13" s="29"/>
      <c r="H13" s="27"/>
      <c r="I13" s="27">
        <f t="shared" si="13"/>
        <v>0</v>
      </c>
      <c r="J13" s="27"/>
      <c r="K13" s="27"/>
      <c r="L13" s="27">
        <f t="shared" si="14"/>
        <v>0</v>
      </c>
      <c r="M13" s="27"/>
      <c r="N13" s="27"/>
      <c r="O13" s="517">
        <f t="shared" si="15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">
      <c r="A14" s="513" t="s">
        <v>47</v>
      </c>
      <c r="B14" s="1215" t="s">
        <v>169</v>
      </c>
      <c r="C14" s="1200"/>
      <c r="D14" s="817">
        <f t="shared" si="7"/>
        <v>400</v>
      </c>
      <c r="E14" s="53">
        <f>SUM(E11:E13)</f>
        <v>0</v>
      </c>
      <c r="F14" s="514">
        <f>SUM(F11:F13)</f>
        <v>400</v>
      </c>
      <c r="G14" s="575">
        <f>SUM(G11:G13)</f>
        <v>320</v>
      </c>
      <c r="H14" s="53">
        <f t="shared" ref="H14:U14" si="16">SUM(H11:H13)</f>
        <v>0</v>
      </c>
      <c r="I14" s="53">
        <f t="shared" si="16"/>
        <v>320</v>
      </c>
      <c r="J14" s="53">
        <f t="shared" ref="J14" si="17">SUM(J11:J13)</f>
        <v>30</v>
      </c>
      <c r="K14" s="53">
        <f t="shared" si="16"/>
        <v>0</v>
      </c>
      <c r="L14" s="53">
        <f t="shared" si="16"/>
        <v>30</v>
      </c>
      <c r="M14" s="53">
        <f t="shared" ref="M14" si="18">SUM(M11:M13)</f>
        <v>50</v>
      </c>
      <c r="N14" s="53">
        <f t="shared" si="16"/>
        <v>0</v>
      </c>
      <c r="O14" s="514">
        <f t="shared" si="16"/>
        <v>50</v>
      </c>
      <c r="P14" s="575">
        <f t="shared" si="16"/>
        <v>0</v>
      </c>
      <c r="Q14" s="53">
        <f t="shared" si="16"/>
        <v>0</v>
      </c>
      <c r="R14" s="53">
        <f t="shared" si="16"/>
        <v>0</v>
      </c>
      <c r="S14" s="53">
        <f t="shared" si="16"/>
        <v>0</v>
      </c>
      <c r="T14" s="53">
        <f t="shared" si="16"/>
        <v>0</v>
      </c>
      <c r="U14" s="53">
        <f t="shared" si="16"/>
        <v>0</v>
      </c>
    </row>
    <row r="15" spans="1:21" ht="12" customHeight="1" x14ac:dyDescent="0.2">
      <c r="A15" s="516" t="s">
        <v>49</v>
      </c>
      <c r="B15" s="1211" t="s">
        <v>48</v>
      </c>
      <c r="C15" s="1210"/>
      <c r="D15" s="818">
        <f t="shared" si="7"/>
        <v>100</v>
      </c>
      <c r="E15" s="30">
        <f t="shared" ref="E15" si="19">+H15+K15+N15+Q15+T15</f>
        <v>110</v>
      </c>
      <c r="F15" s="798">
        <f t="shared" ref="F15" si="20">+I15+L15+O15+R15+U15</f>
        <v>210</v>
      </c>
      <c r="G15" s="29">
        <v>30</v>
      </c>
      <c r="H15" s="27"/>
      <c r="I15" s="27">
        <f>+H15+G15</f>
        <v>30</v>
      </c>
      <c r="J15" s="27"/>
      <c r="K15" s="27">
        <v>90</v>
      </c>
      <c r="L15" s="27">
        <f>+K15+J15</f>
        <v>90</v>
      </c>
      <c r="M15" s="27">
        <v>70</v>
      </c>
      <c r="N15" s="27">
        <v>20</v>
      </c>
      <c r="O15" s="517">
        <f>+N15+M15</f>
        <v>90</v>
      </c>
      <c r="P15" s="29"/>
      <c r="Q15" s="27"/>
      <c r="R15" s="27"/>
      <c r="S15" s="27"/>
      <c r="T15" s="27"/>
      <c r="U15" s="27"/>
    </row>
    <row r="16" spans="1:21" ht="12" customHeight="1" x14ac:dyDescent="0.2">
      <c r="A16" s="516" t="s">
        <v>51</v>
      </c>
      <c r="B16" s="1211" t="s">
        <v>50</v>
      </c>
      <c r="C16" s="1210"/>
      <c r="D16" s="818">
        <f t="shared" ref="D16" si="21">+G16+J16+M16+P16+S16</f>
        <v>140</v>
      </c>
      <c r="E16" s="30">
        <f t="shared" ref="E16" si="22">+H16+K16+N16+Q16+T16</f>
        <v>-20</v>
      </c>
      <c r="F16" s="798">
        <f t="shared" ref="F16" si="23">+I16+L16+O16+R16+U16</f>
        <v>120</v>
      </c>
      <c r="G16" s="29">
        <v>100</v>
      </c>
      <c r="H16" s="27"/>
      <c r="I16" s="27">
        <f>+H16+G16</f>
        <v>100</v>
      </c>
      <c r="J16" s="27"/>
      <c r="K16" s="27"/>
      <c r="L16" s="27">
        <f>+K16+J16</f>
        <v>0</v>
      </c>
      <c r="M16" s="27">
        <v>40</v>
      </c>
      <c r="N16" s="27">
        <v>-20</v>
      </c>
      <c r="O16" s="517">
        <f>+N16+M16</f>
        <v>20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">
      <c r="A17" s="513" t="s">
        <v>52</v>
      </c>
      <c r="B17" s="1215" t="s">
        <v>168</v>
      </c>
      <c r="C17" s="1200"/>
      <c r="D17" s="817">
        <f t="shared" si="7"/>
        <v>240</v>
      </c>
      <c r="E17" s="53">
        <f>+E15+E16</f>
        <v>90</v>
      </c>
      <c r="F17" s="514">
        <f>+F15+F16</f>
        <v>330</v>
      </c>
      <c r="G17" s="575">
        <f>+G15+G16</f>
        <v>130</v>
      </c>
      <c r="H17" s="53">
        <f t="shared" ref="H17:U17" si="24">+H15+H16</f>
        <v>0</v>
      </c>
      <c r="I17" s="53">
        <f t="shared" si="24"/>
        <v>130</v>
      </c>
      <c r="J17" s="53">
        <f t="shared" si="24"/>
        <v>0</v>
      </c>
      <c r="K17" s="53">
        <f t="shared" si="24"/>
        <v>90</v>
      </c>
      <c r="L17" s="53">
        <f t="shared" si="24"/>
        <v>90</v>
      </c>
      <c r="M17" s="53">
        <f t="shared" si="24"/>
        <v>110</v>
      </c>
      <c r="N17" s="53">
        <f t="shared" si="24"/>
        <v>0</v>
      </c>
      <c r="O17" s="514">
        <f t="shared" si="24"/>
        <v>110</v>
      </c>
      <c r="P17" s="575">
        <f t="shared" si="24"/>
        <v>0</v>
      </c>
      <c r="Q17" s="53">
        <f t="shared" si="24"/>
        <v>0</v>
      </c>
      <c r="R17" s="53">
        <f t="shared" si="24"/>
        <v>0</v>
      </c>
      <c r="S17" s="53">
        <f t="shared" si="24"/>
        <v>0</v>
      </c>
      <c r="T17" s="53">
        <f t="shared" si="24"/>
        <v>0</v>
      </c>
      <c r="U17" s="53">
        <f t="shared" si="24"/>
        <v>0</v>
      </c>
    </row>
    <row r="18" spans="1:21" ht="12" customHeight="1" x14ac:dyDescent="0.2">
      <c r="A18" s="516" t="s">
        <v>54</v>
      </c>
      <c r="B18" s="1211" t="s">
        <v>53</v>
      </c>
      <c r="C18" s="1210"/>
      <c r="D18" s="818">
        <f t="shared" si="7"/>
        <v>0</v>
      </c>
      <c r="E18" s="30">
        <f t="shared" ref="E18" si="25">+H18+K18+N18+Q18+T18</f>
        <v>0</v>
      </c>
      <c r="F18" s="798">
        <f t="shared" ref="F18" si="26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517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">
      <c r="A19" s="516" t="s">
        <v>56</v>
      </c>
      <c r="B19" s="1211" t="s">
        <v>55</v>
      </c>
      <c r="C19" s="1210"/>
      <c r="D19" s="818">
        <f t="shared" ref="D19:D24" si="27">+G19+J19+M19+P19+S19</f>
        <v>0</v>
      </c>
      <c r="E19" s="30">
        <f t="shared" ref="E19:E24" si="28">+H19+K19+N19+Q19+T19</f>
        <v>0</v>
      </c>
      <c r="F19" s="798">
        <f t="shared" ref="F19:F24" si="29">+I19+L19+O19+R19+U19</f>
        <v>0</v>
      </c>
      <c r="G19" s="29"/>
      <c r="H19" s="27"/>
      <c r="I19" s="27">
        <f t="shared" ref="I19:I24" si="30">+H19+G19</f>
        <v>0</v>
      </c>
      <c r="J19" s="27"/>
      <c r="K19" s="27"/>
      <c r="L19" s="27">
        <f t="shared" ref="L19:L24" si="31">+K19+J19</f>
        <v>0</v>
      </c>
      <c r="M19" s="27"/>
      <c r="N19" s="27"/>
      <c r="O19" s="517">
        <f t="shared" ref="O19:O24" si="32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">
      <c r="A20" s="516" t="s">
        <v>57</v>
      </c>
      <c r="B20" s="1211" t="s">
        <v>166</v>
      </c>
      <c r="C20" s="1210"/>
      <c r="D20" s="818">
        <f t="shared" si="27"/>
        <v>0</v>
      </c>
      <c r="E20" s="30">
        <f t="shared" si="28"/>
        <v>0</v>
      </c>
      <c r="F20" s="798">
        <f t="shared" si="29"/>
        <v>0</v>
      </c>
      <c r="G20" s="29"/>
      <c r="H20" s="27"/>
      <c r="I20" s="27">
        <f t="shared" si="30"/>
        <v>0</v>
      </c>
      <c r="J20" s="27"/>
      <c r="K20" s="27"/>
      <c r="L20" s="27">
        <f t="shared" si="31"/>
        <v>0</v>
      </c>
      <c r="M20" s="27"/>
      <c r="N20" s="27"/>
      <c r="O20" s="517">
        <f t="shared" si="32"/>
        <v>0</v>
      </c>
      <c r="P20" s="29"/>
      <c r="Q20" s="27"/>
      <c r="R20" s="27"/>
      <c r="S20" s="27"/>
      <c r="T20" s="27"/>
      <c r="U20" s="27"/>
    </row>
    <row r="21" spans="1:21" ht="12" customHeight="1" x14ac:dyDescent="0.2">
      <c r="A21" s="516" t="s">
        <v>59</v>
      </c>
      <c r="B21" s="1211" t="s">
        <v>58</v>
      </c>
      <c r="C21" s="1210"/>
      <c r="D21" s="818">
        <f t="shared" si="27"/>
        <v>0</v>
      </c>
      <c r="E21" s="30">
        <f t="shared" si="28"/>
        <v>41</v>
      </c>
      <c r="F21" s="798">
        <f t="shared" si="29"/>
        <v>41</v>
      </c>
      <c r="G21" s="29"/>
      <c r="H21" s="27">
        <v>41</v>
      </c>
      <c r="I21" s="27">
        <f t="shared" si="30"/>
        <v>41</v>
      </c>
      <c r="J21" s="27"/>
      <c r="K21" s="27"/>
      <c r="L21" s="27">
        <f t="shared" si="31"/>
        <v>0</v>
      </c>
      <c r="M21" s="27"/>
      <c r="N21" s="27"/>
      <c r="O21" s="517">
        <f t="shared" si="32"/>
        <v>0</v>
      </c>
      <c r="P21" s="29"/>
      <c r="Q21" s="27"/>
      <c r="R21" s="27"/>
      <c r="S21" s="27"/>
      <c r="T21" s="27"/>
      <c r="U21" s="27"/>
    </row>
    <row r="22" spans="1:21" ht="12" customHeight="1" x14ac:dyDescent="0.2">
      <c r="A22" s="516" t="s">
        <v>60</v>
      </c>
      <c r="B22" s="1211" t="s">
        <v>165</v>
      </c>
      <c r="C22" s="1210"/>
      <c r="D22" s="818">
        <f t="shared" si="27"/>
        <v>0</v>
      </c>
      <c r="E22" s="30">
        <f t="shared" si="28"/>
        <v>0</v>
      </c>
      <c r="F22" s="798">
        <f t="shared" si="29"/>
        <v>0</v>
      </c>
      <c r="G22" s="29"/>
      <c r="H22" s="27"/>
      <c r="I22" s="27">
        <f t="shared" si="30"/>
        <v>0</v>
      </c>
      <c r="J22" s="27"/>
      <c r="K22" s="27"/>
      <c r="L22" s="27">
        <f t="shared" si="31"/>
        <v>0</v>
      </c>
      <c r="M22" s="27"/>
      <c r="N22" s="27"/>
      <c r="O22" s="517">
        <f t="shared" si="32"/>
        <v>0</v>
      </c>
      <c r="P22" s="29"/>
      <c r="Q22" s="27"/>
      <c r="R22" s="27"/>
      <c r="S22" s="27"/>
      <c r="T22" s="27"/>
      <c r="U22" s="27"/>
    </row>
    <row r="23" spans="1:21" ht="12" customHeight="1" x14ac:dyDescent="0.2">
      <c r="A23" s="516" t="s">
        <v>63</v>
      </c>
      <c r="B23" s="1211" t="s">
        <v>62</v>
      </c>
      <c r="C23" s="1210"/>
      <c r="D23" s="818">
        <f t="shared" si="27"/>
        <v>0</v>
      </c>
      <c r="E23" s="30">
        <f t="shared" si="28"/>
        <v>0</v>
      </c>
      <c r="F23" s="798">
        <f t="shared" si="29"/>
        <v>0</v>
      </c>
      <c r="G23" s="29"/>
      <c r="H23" s="27"/>
      <c r="I23" s="27">
        <f t="shared" si="30"/>
        <v>0</v>
      </c>
      <c r="J23" s="27"/>
      <c r="K23" s="27"/>
      <c r="L23" s="27">
        <f t="shared" si="31"/>
        <v>0</v>
      </c>
      <c r="M23" s="27"/>
      <c r="N23" s="27"/>
      <c r="O23" s="517">
        <f t="shared" si="32"/>
        <v>0</v>
      </c>
      <c r="P23" s="29"/>
      <c r="Q23" s="27"/>
      <c r="R23" s="27"/>
      <c r="S23" s="27"/>
      <c r="T23" s="27"/>
      <c r="U23" s="27"/>
    </row>
    <row r="24" spans="1:21" ht="12" customHeight="1" x14ac:dyDescent="0.2">
      <c r="A24" s="516" t="s">
        <v>65</v>
      </c>
      <c r="B24" s="1211" t="s">
        <v>64</v>
      </c>
      <c r="C24" s="1210"/>
      <c r="D24" s="818">
        <f t="shared" si="27"/>
        <v>1199</v>
      </c>
      <c r="E24" s="30">
        <f t="shared" si="28"/>
        <v>911</v>
      </c>
      <c r="F24" s="798">
        <f t="shared" si="29"/>
        <v>2110</v>
      </c>
      <c r="G24" s="29">
        <v>400</v>
      </c>
      <c r="H24" s="27">
        <v>-41</v>
      </c>
      <c r="I24" s="27">
        <f t="shared" si="30"/>
        <v>359</v>
      </c>
      <c r="J24" s="27">
        <v>516</v>
      </c>
      <c r="K24" s="27"/>
      <c r="L24" s="27">
        <f t="shared" si="31"/>
        <v>516</v>
      </c>
      <c r="M24" s="27">
        <v>283</v>
      </c>
      <c r="N24" s="27">
        <v>952</v>
      </c>
      <c r="O24" s="517">
        <f t="shared" si="32"/>
        <v>1235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">
      <c r="A25" s="513" t="s">
        <v>66</v>
      </c>
      <c r="B25" s="1215" t="s">
        <v>155</v>
      </c>
      <c r="C25" s="1200"/>
      <c r="D25" s="817">
        <f t="shared" si="7"/>
        <v>1199</v>
      </c>
      <c r="E25" s="53">
        <f t="shared" ref="E25:U25" si="33">+E24+E23+E22+E21+E20+E19+E18</f>
        <v>952</v>
      </c>
      <c r="F25" s="514">
        <f t="shared" si="33"/>
        <v>2151</v>
      </c>
      <c r="G25" s="575">
        <f t="shared" si="33"/>
        <v>400</v>
      </c>
      <c r="H25" s="53">
        <f t="shared" si="33"/>
        <v>0</v>
      </c>
      <c r="I25" s="53">
        <f t="shared" si="33"/>
        <v>400</v>
      </c>
      <c r="J25" s="53">
        <f t="shared" si="33"/>
        <v>516</v>
      </c>
      <c r="K25" s="53">
        <f t="shared" si="33"/>
        <v>0</v>
      </c>
      <c r="L25" s="53">
        <f t="shared" si="33"/>
        <v>516</v>
      </c>
      <c r="M25" s="53">
        <f t="shared" si="33"/>
        <v>283</v>
      </c>
      <c r="N25" s="53">
        <f t="shared" si="33"/>
        <v>952</v>
      </c>
      <c r="O25" s="514">
        <f t="shared" si="33"/>
        <v>1235</v>
      </c>
      <c r="P25" s="575">
        <f t="shared" si="33"/>
        <v>0</v>
      </c>
      <c r="Q25" s="53">
        <f t="shared" si="33"/>
        <v>0</v>
      </c>
      <c r="R25" s="53">
        <f t="shared" si="33"/>
        <v>0</v>
      </c>
      <c r="S25" s="53">
        <f t="shared" si="33"/>
        <v>0</v>
      </c>
      <c r="T25" s="53">
        <f t="shared" si="33"/>
        <v>0</v>
      </c>
      <c r="U25" s="53">
        <f t="shared" si="33"/>
        <v>0</v>
      </c>
    </row>
    <row r="26" spans="1:21" ht="12" customHeight="1" x14ac:dyDescent="0.2">
      <c r="A26" s="516" t="s">
        <v>68</v>
      </c>
      <c r="B26" s="1211" t="s">
        <v>67</v>
      </c>
      <c r="C26" s="1210"/>
      <c r="D26" s="818">
        <f t="shared" si="7"/>
        <v>280</v>
      </c>
      <c r="E26" s="30">
        <f t="shared" ref="E26" si="34">+H26+K26+N26+Q26+T26</f>
        <v>0</v>
      </c>
      <c r="F26" s="798">
        <f t="shared" ref="F26" si="35">+I26+L26+O26+R26+U26</f>
        <v>280</v>
      </c>
      <c r="G26" s="29">
        <v>200</v>
      </c>
      <c r="H26" s="27"/>
      <c r="I26" s="27">
        <f>+H26+G26</f>
        <v>200</v>
      </c>
      <c r="J26" s="27">
        <v>80</v>
      </c>
      <c r="K26" s="27"/>
      <c r="L26" s="27">
        <f>+K26+J26</f>
        <v>80</v>
      </c>
      <c r="M26" s="27"/>
      <c r="N26" s="27"/>
      <c r="O26" s="517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">
      <c r="A27" s="516" t="s">
        <v>70</v>
      </c>
      <c r="B27" s="1211" t="s">
        <v>69</v>
      </c>
      <c r="C27" s="1210"/>
      <c r="D27" s="818">
        <f t="shared" ref="D27" si="36">+G27+J27+M27+P27+S27</f>
        <v>0</v>
      </c>
      <c r="E27" s="30">
        <f t="shared" ref="E27:E29" si="37">+H27+K27+N27+Q27+T27</f>
        <v>0</v>
      </c>
      <c r="F27" s="798">
        <f t="shared" ref="F27:F29" si="38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517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">
      <c r="A28" s="513" t="s">
        <v>71</v>
      </c>
      <c r="B28" s="1215" t="s">
        <v>154</v>
      </c>
      <c r="C28" s="1200"/>
      <c r="D28" s="817">
        <f t="shared" si="7"/>
        <v>280</v>
      </c>
      <c r="E28" s="50">
        <f t="shared" si="37"/>
        <v>0</v>
      </c>
      <c r="F28" s="794">
        <f t="shared" si="38"/>
        <v>280</v>
      </c>
      <c r="G28" s="575">
        <f>+G26+G27</f>
        <v>200</v>
      </c>
      <c r="H28" s="53">
        <f t="shared" ref="H28:U28" si="39">+H26+H27</f>
        <v>0</v>
      </c>
      <c r="I28" s="53">
        <f t="shared" si="39"/>
        <v>200</v>
      </c>
      <c r="J28" s="53">
        <f t="shared" si="39"/>
        <v>80</v>
      </c>
      <c r="K28" s="53">
        <f t="shared" si="39"/>
        <v>0</v>
      </c>
      <c r="L28" s="53">
        <f t="shared" si="39"/>
        <v>80</v>
      </c>
      <c r="M28" s="53">
        <f t="shared" si="39"/>
        <v>0</v>
      </c>
      <c r="N28" s="53">
        <f t="shared" si="39"/>
        <v>0</v>
      </c>
      <c r="O28" s="514">
        <f t="shared" si="39"/>
        <v>0</v>
      </c>
      <c r="P28" s="575">
        <f t="shared" si="39"/>
        <v>0</v>
      </c>
      <c r="Q28" s="53">
        <f t="shared" si="39"/>
        <v>0</v>
      </c>
      <c r="R28" s="53">
        <f t="shared" si="39"/>
        <v>0</v>
      </c>
      <c r="S28" s="53">
        <f t="shared" si="39"/>
        <v>0</v>
      </c>
      <c r="T28" s="53">
        <f t="shared" si="39"/>
        <v>0</v>
      </c>
      <c r="U28" s="53">
        <f t="shared" si="39"/>
        <v>0</v>
      </c>
    </row>
    <row r="29" spans="1:21" ht="12" customHeight="1" x14ac:dyDescent="0.2">
      <c r="A29" s="516" t="s">
        <v>73</v>
      </c>
      <c r="B29" s="1211" t="s">
        <v>72</v>
      </c>
      <c r="C29" s="1210"/>
      <c r="D29" s="818">
        <f t="shared" si="7"/>
        <v>320</v>
      </c>
      <c r="E29" s="30">
        <f t="shared" si="37"/>
        <v>4</v>
      </c>
      <c r="F29" s="798">
        <f t="shared" si="38"/>
        <v>324</v>
      </c>
      <c r="G29" s="29">
        <v>200</v>
      </c>
      <c r="H29" s="27"/>
      <c r="I29" s="27">
        <f>+H29+G29</f>
        <v>200</v>
      </c>
      <c r="J29" s="27"/>
      <c r="K29" s="27">
        <v>4</v>
      </c>
      <c r="L29" s="27">
        <f>+K29+J29</f>
        <v>4</v>
      </c>
      <c r="M29" s="27">
        <v>120</v>
      </c>
      <c r="N29" s="27"/>
      <c r="O29" s="517">
        <f>+N29+M29</f>
        <v>120</v>
      </c>
      <c r="P29" s="29"/>
      <c r="Q29" s="27"/>
      <c r="R29" s="27"/>
      <c r="S29" s="27"/>
      <c r="T29" s="27"/>
      <c r="U29" s="27"/>
    </row>
    <row r="30" spans="1:21" ht="12" customHeight="1" x14ac:dyDescent="0.2">
      <c r="A30" s="516" t="s">
        <v>75</v>
      </c>
      <c r="B30" s="1211" t="s">
        <v>74</v>
      </c>
      <c r="C30" s="1210"/>
      <c r="D30" s="818">
        <f t="shared" ref="D30:D33" si="40">+G30+J30+M30+P30+S30</f>
        <v>0</v>
      </c>
      <c r="E30" s="30">
        <f t="shared" ref="E30:E34" si="41">+H30+K30+N30+Q30+T30</f>
        <v>0</v>
      </c>
      <c r="F30" s="798">
        <f t="shared" ref="F30:F34" si="42">+I30+L30+O30+R30+U30</f>
        <v>0</v>
      </c>
      <c r="G30" s="29"/>
      <c r="H30" s="27"/>
      <c r="I30" s="27">
        <f t="shared" ref="I30:I33" si="43">+H30+G30</f>
        <v>0</v>
      </c>
      <c r="J30" s="27"/>
      <c r="K30" s="27"/>
      <c r="L30" s="27">
        <f t="shared" ref="L30:L33" si="44">+K30+J30</f>
        <v>0</v>
      </c>
      <c r="M30" s="27"/>
      <c r="N30" s="27"/>
      <c r="O30" s="517">
        <f t="shared" ref="O30:O33" si="45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">
      <c r="A31" s="516" t="s">
        <v>76</v>
      </c>
      <c r="B31" s="1211" t="s">
        <v>153</v>
      </c>
      <c r="C31" s="1210"/>
      <c r="D31" s="818">
        <f t="shared" si="40"/>
        <v>0</v>
      </c>
      <c r="E31" s="30">
        <f t="shared" si="41"/>
        <v>0</v>
      </c>
      <c r="F31" s="798">
        <f t="shared" si="42"/>
        <v>0</v>
      </c>
      <c r="G31" s="29"/>
      <c r="H31" s="27"/>
      <c r="I31" s="27">
        <f t="shared" si="43"/>
        <v>0</v>
      </c>
      <c r="J31" s="27"/>
      <c r="K31" s="27"/>
      <c r="L31" s="27">
        <f t="shared" si="44"/>
        <v>0</v>
      </c>
      <c r="M31" s="27"/>
      <c r="N31" s="27"/>
      <c r="O31" s="517">
        <f t="shared" si="45"/>
        <v>0</v>
      </c>
      <c r="P31" s="29"/>
      <c r="Q31" s="27"/>
      <c r="R31" s="27"/>
      <c r="S31" s="27"/>
      <c r="T31" s="27"/>
      <c r="U31" s="27"/>
    </row>
    <row r="32" spans="1:21" ht="12" customHeight="1" x14ac:dyDescent="0.2">
      <c r="A32" s="516" t="s">
        <v>77</v>
      </c>
      <c r="B32" s="1211" t="s">
        <v>152</v>
      </c>
      <c r="C32" s="1210"/>
      <c r="D32" s="818">
        <f t="shared" si="40"/>
        <v>0</v>
      </c>
      <c r="E32" s="30">
        <f t="shared" si="41"/>
        <v>0</v>
      </c>
      <c r="F32" s="798">
        <f t="shared" si="42"/>
        <v>0</v>
      </c>
      <c r="G32" s="29"/>
      <c r="H32" s="27"/>
      <c r="I32" s="27">
        <f t="shared" si="43"/>
        <v>0</v>
      </c>
      <c r="J32" s="27"/>
      <c r="K32" s="27"/>
      <c r="L32" s="27">
        <f t="shared" si="44"/>
        <v>0</v>
      </c>
      <c r="M32" s="27"/>
      <c r="N32" s="27"/>
      <c r="O32" s="517">
        <f t="shared" si="45"/>
        <v>0</v>
      </c>
      <c r="P32" s="29"/>
      <c r="Q32" s="27"/>
      <c r="R32" s="27"/>
      <c r="S32" s="27"/>
      <c r="T32" s="27"/>
      <c r="U32" s="27"/>
    </row>
    <row r="33" spans="1:21" ht="12" customHeight="1" x14ac:dyDescent="0.2">
      <c r="A33" s="516" t="s">
        <v>79</v>
      </c>
      <c r="B33" s="1211" t="s">
        <v>78</v>
      </c>
      <c r="C33" s="1210"/>
      <c r="D33" s="818">
        <f t="shared" si="40"/>
        <v>0</v>
      </c>
      <c r="E33" s="30">
        <f t="shared" si="41"/>
        <v>0</v>
      </c>
      <c r="F33" s="798">
        <f t="shared" si="42"/>
        <v>0</v>
      </c>
      <c r="G33" s="29"/>
      <c r="H33" s="27"/>
      <c r="I33" s="27">
        <f t="shared" si="43"/>
        <v>0</v>
      </c>
      <c r="J33" s="27"/>
      <c r="K33" s="27"/>
      <c r="L33" s="27">
        <f t="shared" si="44"/>
        <v>0</v>
      </c>
      <c r="M33" s="27"/>
      <c r="N33" s="27"/>
      <c r="O33" s="517">
        <f t="shared" si="45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">
      <c r="A34" s="513" t="s">
        <v>80</v>
      </c>
      <c r="B34" s="1215" t="s">
        <v>151</v>
      </c>
      <c r="C34" s="1200"/>
      <c r="D34" s="817">
        <f t="shared" si="7"/>
        <v>320</v>
      </c>
      <c r="E34" s="50">
        <f t="shared" si="41"/>
        <v>4</v>
      </c>
      <c r="F34" s="794">
        <f t="shared" si="42"/>
        <v>324</v>
      </c>
      <c r="G34" s="575">
        <f>SUM(G29:G33)</f>
        <v>200</v>
      </c>
      <c r="H34" s="53">
        <f t="shared" ref="H34:U34" si="46">SUM(H29:H33)</f>
        <v>0</v>
      </c>
      <c r="I34" s="53">
        <f t="shared" si="46"/>
        <v>200</v>
      </c>
      <c r="J34" s="53">
        <f t="shared" ref="J34" si="47">SUM(J29:J33)</f>
        <v>0</v>
      </c>
      <c r="K34" s="53">
        <f t="shared" si="46"/>
        <v>4</v>
      </c>
      <c r="L34" s="53">
        <f t="shared" si="46"/>
        <v>4</v>
      </c>
      <c r="M34" s="53">
        <f t="shared" ref="M34" si="48">SUM(M29:M33)</f>
        <v>120</v>
      </c>
      <c r="N34" s="53">
        <f t="shared" si="46"/>
        <v>0</v>
      </c>
      <c r="O34" s="514">
        <f t="shared" si="46"/>
        <v>120</v>
      </c>
      <c r="P34" s="575">
        <f t="shared" si="46"/>
        <v>0</v>
      </c>
      <c r="Q34" s="53">
        <f t="shared" si="46"/>
        <v>0</v>
      </c>
      <c r="R34" s="53">
        <f t="shared" si="46"/>
        <v>0</v>
      </c>
      <c r="S34" s="53">
        <f t="shared" si="46"/>
        <v>0</v>
      </c>
      <c r="T34" s="53">
        <f t="shared" si="46"/>
        <v>0</v>
      </c>
      <c r="U34" s="53">
        <f t="shared" si="46"/>
        <v>0</v>
      </c>
    </row>
    <row r="35" spans="1:21" s="42" customFormat="1" ht="12" customHeight="1" x14ac:dyDescent="0.2">
      <c r="A35" s="790" t="s">
        <v>81</v>
      </c>
      <c r="B35" s="1214" t="s">
        <v>150</v>
      </c>
      <c r="C35" s="1269"/>
      <c r="D35" s="812">
        <f t="shared" ref="D35:U35" si="49">+D34+D28+D25+D17+D14</f>
        <v>2439</v>
      </c>
      <c r="E35" s="51">
        <f t="shared" si="49"/>
        <v>1046</v>
      </c>
      <c r="F35" s="791">
        <f t="shared" si="49"/>
        <v>3485</v>
      </c>
      <c r="G35" s="787">
        <f t="shared" si="49"/>
        <v>1250</v>
      </c>
      <c r="H35" s="51">
        <f t="shared" si="49"/>
        <v>0</v>
      </c>
      <c r="I35" s="51">
        <f t="shared" si="49"/>
        <v>1250</v>
      </c>
      <c r="J35" s="51">
        <f t="shared" si="49"/>
        <v>626</v>
      </c>
      <c r="K35" s="51">
        <f t="shared" si="49"/>
        <v>94</v>
      </c>
      <c r="L35" s="51">
        <f t="shared" si="49"/>
        <v>720</v>
      </c>
      <c r="M35" s="51">
        <f t="shared" si="49"/>
        <v>563</v>
      </c>
      <c r="N35" s="51">
        <f t="shared" si="49"/>
        <v>952</v>
      </c>
      <c r="O35" s="791">
        <f t="shared" si="49"/>
        <v>1515</v>
      </c>
      <c r="P35" s="787">
        <f t="shared" si="49"/>
        <v>0</v>
      </c>
      <c r="Q35" s="51">
        <f t="shared" si="49"/>
        <v>0</v>
      </c>
      <c r="R35" s="51">
        <f t="shared" si="49"/>
        <v>0</v>
      </c>
      <c r="S35" s="51">
        <f t="shared" si="49"/>
        <v>0</v>
      </c>
      <c r="T35" s="51">
        <f t="shared" si="49"/>
        <v>0</v>
      </c>
      <c r="U35" s="51">
        <f t="shared" si="49"/>
        <v>0</v>
      </c>
    </row>
    <row r="36" spans="1:21" ht="9.75" customHeight="1" x14ac:dyDescent="0.2">
      <c r="A36" s="419"/>
      <c r="B36" s="8"/>
      <c r="C36" s="808"/>
      <c r="D36" s="819"/>
      <c r="E36" s="28"/>
      <c r="F36" s="792"/>
      <c r="G36" s="28"/>
      <c r="H36" s="28"/>
      <c r="I36" s="29"/>
      <c r="J36" s="28"/>
      <c r="K36" s="28"/>
      <c r="L36" s="29"/>
      <c r="M36" s="28"/>
      <c r="N36" s="28"/>
      <c r="O36" s="792"/>
      <c r="P36" s="28"/>
      <c r="Q36" s="28"/>
      <c r="R36" s="29"/>
      <c r="S36" s="28"/>
      <c r="T36" s="28"/>
      <c r="U36" s="29"/>
    </row>
    <row r="37" spans="1:21" ht="12" customHeight="1" x14ac:dyDescent="0.2">
      <c r="A37" s="797" t="s">
        <v>109</v>
      </c>
      <c r="B37" s="1213" t="s">
        <v>108</v>
      </c>
      <c r="C37" s="1208"/>
      <c r="D37" s="818">
        <f t="shared" ref="D37" si="50">+G37+J37+M37+S37</f>
        <v>236</v>
      </c>
      <c r="E37" s="30">
        <f t="shared" ref="E37" si="51">+H37+K37+N37+T37</f>
        <v>0</v>
      </c>
      <c r="F37" s="798">
        <f t="shared" ref="F37" si="52">+I37+L37+O37+U37</f>
        <v>236</v>
      </c>
      <c r="G37" s="101">
        <v>236</v>
      </c>
      <c r="H37" s="30"/>
      <c r="I37" s="30">
        <f>+H37+G37</f>
        <v>236</v>
      </c>
      <c r="J37" s="30"/>
      <c r="K37" s="30"/>
      <c r="L37" s="30">
        <f>+K37+J37</f>
        <v>0</v>
      </c>
      <c r="M37" s="30"/>
      <c r="N37" s="30"/>
      <c r="O37" s="798"/>
      <c r="P37" s="101"/>
      <c r="Q37" s="30"/>
      <c r="R37" s="30"/>
      <c r="S37" s="30"/>
      <c r="T37" s="30"/>
      <c r="U37" s="30"/>
    </row>
    <row r="38" spans="1:21" ht="12" customHeight="1" x14ac:dyDescent="0.2">
      <c r="A38" s="516" t="s">
        <v>110</v>
      </c>
      <c r="B38" s="1211" t="s">
        <v>161</v>
      </c>
      <c r="C38" s="1210"/>
      <c r="D38" s="818">
        <f t="shared" ref="D38:D44" si="53">+G38+J38+M38+S38</f>
        <v>0</v>
      </c>
      <c r="E38" s="30">
        <f t="shared" ref="E38:E44" si="54">+H38+K38+N38+T38</f>
        <v>0</v>
      </c>
      <c r="F38" s="798">
        <f t="shared" ref="F38:F44" si="55">+I38+L38+O38+U38</f>
        <v>0</v>
      </c>
      <c r="G38" s="29"/>
      <c r="H38" s="27"/>
      <c r="I38" s="30">
        <f t="shared" ref="I38:I44" si="56">+H38+G38</f>
        <v>0</v>
      </c>
      <c r="J38" s="27"/>
      <c r="K38" s="27"/>
      <c r="L38" s="30">
        <f t="shared" ref="L38:L44" si="57">+K38+J38</f>
        <v>0</v>
      </c>
      <c r="M38" s="27"/>
      <c r="N38" s="27"/>
      <c r="O38" s="517"/>
      <c r="P38" s="29"/>
      <c r="Q38" s="27"/>
      <c r="R38" s="27"/>
      <c r="S38" s="27"/>
      <c r="T38" s="27"/>
      <c r="U38" s="27"/>
    </row>
    <row r="39" spans="1:21" s="38" customFormat="1" ht="12" customHeight="1" x14ac:dyDescent="0.2">
      <c r="A39" s="799" t="s">
        <v>110</v>
      </c>
      <c r="B39" s="37"/>
      <c r="C39" s="810" t="s">
        <v>111</v>
      </c>
      <c r="D39" s="818">
        <f t="shared" si="53"/>
        <v>0</v>
      </c>
      <c r="E39" s="30">
        <f t="shared" si="54"/>
        <v>0</v>
      </c>
      <c r="F39" s="798">
        <f t="shared" si="55"/>
        <v>0</v>
      </c>
      <c r="G39" s="52"/>
      <c r="H39" s="48"/>
      <c r="I39" s="30">
        <f t="shared" si="56"/>
        <v>0</v>
      </c>
      <c r="J39" s="48"/>
      <c r="K39" s="48"/>
      <c r="L39" s="30">
        <f t="shared" si="57"/>
        <v>0</v>
      </c>
      <c r="M39" s="48"/>
      <c r="N39" s="48"/>
      <c r="O39" s="800"/>
      <c r="P39" s="52"/>
      <c r="Q39" s="48"/>
      <c r="R39" s="48"/>
      <c r="S39" s="48"/>
      <c r="T39" s="48"/>
      <c r="U39" s="48"/>
    </row>
    <row r="40" spans="1:21" ht="12" customHeight="1" x14ac:dyDescent="0.2">
      <c r="A40" s="516" t="s">
        <v>113</v>
      </c>
      <c r="B40" s="1211" t="s">
        <v>112</v>
      </c>
      <c r="C40" s="1210"/>
      <c r="D40" s="818">
        <f t="shared" si="53"/>
        <v>0</v>
      </c>
      <c r="E40" s="30">
        <f t="shared" si="54"/>
        <v>0</v>
      </c>
      <c r="F40" s="798">
        <f t="shared" si="55"/>
        <v>0</v>
      </c>
      <c r="G40" s="29"/>
      <c r="H40" s="27"/>
      <c r="I40" s="30">
        <f t="shared" si="56"/>
        <v>0</v>
      </c>
      <c r="J40" s="27"/>
      <c r="K40" s="27"/>
      <c r="L40" s="30">
        <f t="shared" si="57"/>
        <v>0</v>
      </c>
      <c r="M40" s="27"/>
      <c r="N40" s="27"/>
      <c r="O40" s="517"/>
      <c r="P40" s="29"/>
      <c r="Q40" s="27"/>
      <c r="R40" s="27"/>
      <c r="S40" s="27"/>
      <c r="T40" s="27"/>
      <c r="U40" s="27"/>
    </row>
    <row r="41" spans="1:21" ht="12" customHeight="1" x14ac:dyDescent="0.2">
      <c r="A41" s="516" t="s">
        <v>115</v>
      </c>
      <c r="B41" s="1211" t="s">
        <v>114</v>
      </c>
      <c r="C41" s="1210"/>
      <c r="D41" s="818">
        <f t="shared" si="53"/>
        <v>125</v>
      </c>
      <c r="E41" s="30">
        <f t="shared" si="54"/>
        <v>0</v>
      </c>
      <c r="F41" s="798">
        <f t="shared" si="55"/>
        <v>125</v>
      </c>
      <c r="G41" s="29">
        <v>125</v>
      </c>
      <c r="H41" s="27"/>
      <c r="I41" s="30">
        <f t="shared" si="56"/>
        <v>125</v>
      </c>
      <c r="J41" s="27"/>
      <c r="K41" s="27"/>
      <c r="L41" s="30">
        <f t="shared" si="57"/>
        <v>0</v>
      </c>
      <c r="M41" s="27"/>
      <c r="N41" s="27"/>
      <c r="O41" s="517"/>
      <c r="P41" s="29"/>
      <c r="Q41" s="27"/>
      <c r="R41" s="27"/>
      <c r="S41" s="27"/>
      <c r="T41" s="27"/>
      <c r="U41" s="27"/>
    </row>
    <row r="42" spans="1:21" ht="12" customHeight="1" x14ac:dyDescent="0.2">
      <c r="A42" s="516" t="s">
        <v>117</v>
      </c>
      <c r="B42" s="1211" t="s">
        <v>116</v>
      </c>
      <c r="C42" s="1210"/>
      <c r="D42" s="818">
        <f t="shared" si="53"/>
        <v>0</v>
      </c>
      <c r="E42" s="30">
        <f t="shared" si="54"/>
        <v>0</v>
      </c>
      <c r="F42" s="798">
        <f t="shared" si="55"/>
        <v>0</v>
      </c>
      <c r="G42" s="29"/>
      <c r="H42" s="27"/>
      <c r="I42" s="30">
        <f t="shared" si="56"/>
        <v>0</v>
      </c>
      <c r="J42" s="27"/>
      <c r="K42" s="27"/>
      <c r="L42" s="30">
        <f t="shared" si="57"/>
        <v>0</v>
      </c>
      <c r="M42" s="27"/>
      <c r="N42" s="27"/>
      <c r="O42" s="517"/>
      <c r="P42" s="29"/>
      <c r="Q42" s="27"/>
      <c r="R42" s="27"/>
      <c r="S42" s="27"/>
      <c r="T42" s="27"/>
      <c r="U42" s="27"/>
    </row>
    <row r="43" spans="1:21" ht="12" customHeight="1" x14ac:dyDescent="0.2">
      <c r="A43" s="516" t="s">
        <v>119</v>
      </c>
      <c r="B43" s="1211" t="s">
        <v>118</v>
      </c>
      <c r="C43" s="1210"/>
      <c r="D43" s="818">
        <f t="shared" si="53"/>
        <v>0</v>
      </c>
      <c r="E43" s="30">
        <f t="shared" si="54"/>
        <v>0</v>
      </c>
      <c r="F43" s="798">
        <f t="shared" si="55"/>
        <v>0</v>
      </c>
      <c r="G43" s="29"/>
      <c r="H43" s="27"/>
      <c r="I43" s="30">
        <f t="shared" si="56"/>
        <v>0</v>
      </c>
      <c r="J43" s="27"/>
      <c r="K43" s="27"/>
      <c r="L43" s="30">
        <f t="shared" si="57"/>
        <v>0</v>
      </c>
      <c r="M43" s="27"/>
      <c r="N43" s="27"/>
      <c r="O43" s="517"/>
      <c r="P43" s="29"/>
      <c r="Q43" s="27"/>
      <c r="R43" s="27"/>
      <c r="S43" s="27"/>
      <c r="T43" s="27"/>
      <c r="U43" s="27"/>
    </row>
    <row r="44" spans="1:21" ht="12" customHeight="1" x14ac:dyDescent="0.2">
      <c r="A44" s="516" t="s">
        <v>121</v>
      </c>
      <c r="B44" s="1211" t="s">
        <v>120</v>
      </c>
      <c r="C44" s="1210"/>
      <c r="D44" s="818">
        <f t="shared" si="53"/>
        <v>99</v>
      </c>
      <c r="E44" s="30">
        <f t="shared" si="54"/>
        <v>0</v>
      </c>
      <c r="F44" s="798">
        <f t="shared" si="55"/>
        <v>99</v>
      </c>
      <c r="G44" s="29">
        <f>35+64</f>
        <v>99</v>
      </c>
      <c r="H44" s="27"/>
      <c r="I44" s="30">
        <f t="shared" si="56"/>
        <v>99</v>
      </c>
      <c r="J44" s="27"/>
      <c r="K44" s="27"/>
      <c r="L44" s="30">
        <f t="shared" si="57"/>
        <v>0</v>
      </c>
      <c r="M44" s="27"/>
      <c r="N44" s="27"/>
      <c r="O44" s="517"/>
      <c r="P44" s="29"/>
      <c r="Q44" s="27"/>
      <c r="R44" s="27"/>
      <c r="S44" s="27"/>
      <c r="T44" s="27"/>
      <c r="U44" s="27"/>
    </row>
    <row r="45" spans="1:21" s="42" customFormat="1" ht="12" customHeight="1" x14ac:dyDescent="0.2">
      <c r="A45" s="790" t="s">
        <v>122</v>
      </c>
      <c r="B45" s="1214" t="s">
        <v>160</v>
      </c>
      <c r="C45" s="1269"/>
      <c r="D45" s="812">
        <f>+D44+D43+D42+D41+D40+D38+D37</f>
        <v>460</v>
      </c>
      <c r="E45" s="51">
        <f>+E44+E43+E42+E41+E40+E38+E37</f>
        <v>0</v>
      </c>
      <c r="F45" s="791">
        <f>+F44+F43+F42+F41+F40+F38+F37</f>
        <v>460</v>
      </c>
      <c r="G45" s="787">
        <f>+G44+G43+G42+G41+G40+G38+G37</f>
        <v>460</v>
      </c>
      <c r="H45" s="51">
        <f t="shared" ref="H45:U45" si="58">+H44+H43+H42+H41+H40+H38+H37</f>
        <v>0</v>
      </c>
      <c r="I45" s="51">
        <f t="shared" si="58"/>
        <v>460</v>
      </c>
      <c r="J45" s="51">
        <f t="shared" si="58"/>
        <v>0</v>
      </c>
      <c r="K45" s="51">
        <f t="shared" si="58"/>
        <v>0</v>
      </c>
      <c r="L45" s="51">
        <f t="shared" si="58"/>
        <v>0</v>
      </c>
      <c r="M45" s="51">
        <f t="shared" si="58"/>
        <v>0</v>
      </c>
      <c r="N45" s="51">
        <f t="shared" si="58"/>
        <v>0</v>
      </c>
      <c r="O45" s="791">
        <f t="shared" si="58"/>
        <v>0</v>
      </c>
      <c r="P45" s="787">
        <f t="shared" si="58"/>
        <v>0</v>
      </c>
      <c r="Q45" s="51">
        <f t="shared" si="58"/>
        <v>0</v>
      </c>
      <c r="R45" s="51">
        <f t="shared" si="58"/>
        <v>0</v>
      </c>
      <c r="S45" s="51">
        <f t="shared" si="58"/>
        <v>0</v>
      </c>
      <c r="T45" s="51">
        <f t="shared" si="58"/>
        <v>0</v>
      </c>
      <c r="U45" s="51">
        <f t="shared" si="58"/>
        <v>0</v>
      </c>
    </row>
    <row r="46" spans="1:21" ht="9" customHeight="1" x14ac:dyDescent="0.2">
      <c r="A46" s="419"/>
      <c r="B46" s="8"/>
      <c r="C46" s="808"/>
      <c r="D46" s="819"/>
      <c r="E46" s="28"/>
      <c r="F46" s="792"/>
      <c r="G46" s="28"/>
      <c r="H46" s="28"/>
      <c r="I46" s="28"/>
      <c r="J46" s="28"/>
      <c r="K46" s="28"/>
      <c r="L46" s="29"/>
      <c r="M46" s="28"/>
      <c r="N46" s="28"/>
      <c r="O46" s="792"/>
      <c r="P46" s="28"/>
      <c r="Q46" s="28"/>
      <c r="R46" s="29"/>
      <c r="S46" s="28"/>
      <c r="T46" s="28"/>
      <c r="U46" s="29"/>
    </row>
    <row r="47" spans="1:21" ht="12" hidden="1" customHeight="1" x14ac:dyDescent="0.2">
      <c r="A47" s="516" t="s">
        <v>124</v>
      </c>
      <c r="B47" s="1211" t="s">
        <v>123</v>
      </c>
      <c r="C47" s="1210"/>
      <c r="D47" s="580"/>
      <c r="E47" s="27"/>
      <c r="F47" s="517"/>
      <c r="G47" s="29"/>
      <c r="H47" s="27"/>
      <c r="I47" s="27"/>
      <c r="J47" s="27"/>
      <c r="K47" s="27"/>
      <c r="L47" s="27"/>
      <c r="M47" s="27"/>
      <c r="N47" s="27"/>
      <c r="O47" s="517"/>
      <c r="P47" s="29"/>
      <c r="Q47" s="27"/>
      <c r="R47" s="27"/>
      <c r="S47" s="27"/>
      <c r="T47" s="27"/>
      <c r="U47" s="27"/>
    </row>
    <row r="48" spans="1:21" ht="12" hidden="1" customHeight="1" x14ac:dyDescent="0.2">
      <c r="A48" s="516" t="s">
        <v>126</v>
      </c>
      <c r="B48" s="1211" t="s">
        <v>125</v>
      </c>
      <c r="C48" s="1210"/>
      <c r="D48" s="580"/>
      <c r="E48" s="27"/>
      <c r="F48" s="517"/>
      <c r="G48" s="29"/>
      <c r="H48" s="27"/>
      <c r="I48" s="27"/>
      <c r="J48" s="27"/>
      <c r="K48" s="27"/>
      <c r="L48" s="27"/>
      <c r="M48" s="27"/>
      <c r="N48" s="27"/>
      <c r="O48" s="517"/>
      <c r="P48" s="29"/>
      <c r="Q48" s="27"/>
      <c r="R48" s="27"/>
      <c r="S48" s="27"/>
      <c r="T48" s="27"/>
      <c r="U48" s="27"/>
    </row>
    <row r="49" spans="1:21" ht="12" hidden="1" customHeight="1" x14ac:dyDescent="0.2">
      <c r="A49" s="516" t="s">
        <v>128</v>
      </c>
      <c r="B49" s="1211" t="s">
        <v>127</v>
      </c>
      <c r="C49" s="1210"/>
      <c r="D49" s="580"/>
      <c r="E49" s="27"/>
      <c r="F49" s="517"/>
      <c r="G49" s="29"/>
      <c r="H49" s="27"/>
      <c r="I49" s="27"/>
      <c r="J49" s="27"/>
      <c r="K49" s="27"/>
      <c r="L49" s="27"/>
      <c r="M49" s="27"/>
      <c r="N49" s="27"/>
      <c r="O49" s="517"/>
      <c r="P49" s="29"/>
      <c r="Q49" s="27"/>
      <c r="R49" s="27"/>
      <c r="S49" s="27"/>
      <c r="T49" s="27"/>
      <c r="U49" s="27"/>
    </row>
    <row r="50" spans="1:21" ht="15" hidden="1" customHeight="1" x14ac:dyDescent="0.2">
      <c r="A50" s="516" t="s">
        <v>130</v>
      </c>
      <c r="B50" s="1211" t="s">
        <v>129</v>
      </c>
      <c r="C50" s="1210"/>
      <c r="D50" s="580"/>
      <c r="E50" s="27"/>
      <c r="F50" s="517"/>
      <c r="G50" s="29"/>
      <c r="H50" s="27"/>
      <c r="I50" s="27"/>
      <c r="J50" s="27"/>
      <c r="K50" s="27"/>
      <c r="L50" s="27"/>
      <c r="M50" s="27"/>
      <c r="N50" s="27"/>
      <c r="O50" s="517"/>
      <c r="P50" s="29"/>
      <c r="Q50" s="27"/>
      <c r="R50" s="27"/>
      <c r="S50" s="27"/>
      <c r="T50" s="27"/>
      <c r="U50" s="27"/>
    </row>
    <row r="51" spans="1:21" s="42" customFormat="1" ht="12" customHeight="1" x14ac:dyDescent="0.2">
      <c r="A51" s="790" t="s">
        <v>131</v>
      </c>
      <c r="B51" s="1214" t="s">
        <v>159</v>
      </c>
      <c r="C51" s="1269"/>
      <c r="D51" s="812"/>
      <c r="E51" s="51"/>
      <c r="F51" s="791"/>
      <c r="G51" s="787"/>
      <c r="H51" s="51"/>
      <c r="I51" s="51"/>
      <c r="J51" s="51"/>
      <c r="K51" s="51"/>
      <c r="L51" s="51"/>
      <c r="M51" s="51"/>
      <c r="N51" s="51"/>
      <c r="O51" s="791"/>
      <c r="P51" s="787"/>
      <c r="Q51" s="51"/>
      <c r="R51" s="51"/>
      <c r="S51" s="51"/>
      <c r="T51" s="51"/>
      <c r="U51" s="51"/>
    </row>
    <row r="52" spans="1:21" ht="7.5" customHeight="1" x14ac:dyDescent="0.2">
      <c r="A52" s="419"/>
      <c r="B52" s="8"/>
      <c r="C52" s="808"/>
      <c r="D52" s="819"/>
      <c r="E52" s="28"/>
      <c r="F52" s="792"/>
      <c r="G52" s="28"/>
      <c r="H52" s="28"/>
      <c r="I52" s="28"/>
      <c r="J52" s="28"/>
      <c r="K52" s="28"/>
      <c r="L52" s="28"/>
      <c r="M52" s="28"/>
      <c r="N52" s="28"/>
      <c r="O52" s="792"/>
      <c r="P52" s="28"/>
      <c r="Q52" s="28"/>
      <c r="R52" s="28"/>
      <c r="S52" s="28"/>
      <c r="T52" s="28"/>
      <c r="U52" s="28"/>
    </row>
    <row r="53" spans="1:21" ht="12" hidden="1" customHeight="1" x14ac:dyDescent="0.2">
      <c r="A53" s="417" t="s">
        <v>371</v>
      </c>
      <c r="B53" s="1213" t="s">
        <v>372</v>
      </c>
      <c r="C53" s="1208"/>
      <c r="D53" s="820"/>
      <c r="E53" s="100"/>
      <c r="F53" s="801"/>
      <c r="G53" s="100"/>
      <c r="H53" s="100"/>
      <c r="I53" s="100"/>
      <c r="J53" s="100"/>
      <c r="K53" s="100"/>
      <c r="L53" s="100"/>
      <c r="M53" s="100"/>
      <c r="N53" s="100"/>
      <c r="O53" s="801"/>
      <c r="P53" s="100"/>
      <c r="Q53" s="100"/>
      <c r="R53" s="100"/>
      <c r="S53" s="100"/>
      <c r="T53" s="100"/>
      <c r="U53" s="100"/>
    </row>
    <row r="54" spans="1:21" ht="12" hidden="1" customHeight="1" x14ac:dyDescent="0.2">
      <c r="A54" s="417" t="s">
        <v>384</v>
      </c>
      <c r="B54" s="1224" t="s">
        <v>385</v>
      </c>
      <c r="C54" s="1259"/>
      <c r="D54" s="820"/>
      <c r="E54" s="100"/>
      <c r="F54" s="801"/>
      <c r="G54" s="100"/>
      <c r="H54" s="100"/>
      <c r="I54" s="100"/>
      <c r="J54" s="100"/>
      <c r="K54" s="100"/>
      <c r="L54" s="100"/>
      <c r="M54" s="100"/>
      <c r="N54" s="100"/>
      <c r="O54" s="801"/>
      <c r="P54" s="100"/>
      <c r="Q54" s="100"/>
      <c r="R54" s="100"/>
      <c r="S54" s="100"/>
      <c r="T54" s="100"/>
      <c r="U54" s="100"/>
    </row>
    <row r="55" spans="1:21" ht="12" hidden="1" customHeight="1" x14ac:dyDescent="0.2">
      <c r="A55" s="797" t="s">
        <v>607</v>
      </c>
      <c r="B55" s="1213" t="s">
        <v>158</v>
      </c>
      <c r="C55" s="1208"/>
      <c r="D55" s="818"/>
      <c r="E55" s="30"/>
      <c r="F55" s="798"/>
      <c r="G55" s="101"/>
      <c r="H55" s="30"/>
      <c r="I55" s="30"/>
      <c r="J55" s="30"/>
      <c r="K55" s="30"/>
      <c r="L55" s="30"/>
      <c r="M55" s="30"/>
      <c r="N55" s="30"/>
      <c r="O55" s="798"/>
      <c r="P55" s="101"/>
      <c r="Q55" s="30"/>
      <c r="R55" s="30"/>
      <c r="S55" s="30"/>
      <c r="T55" s="30"/>
      <c r="U55" s="30"/>
    </row>
    <row r="56" spans="1:21" s="42" customFormat="1" ht="12" customHeight="1" x14ac:dyDescent="0.2">
      <c r="A56" s="802" t="s">
        <v>133</v>
      </c>
      <c r="B56" s="1222" t="s">
        <v>157</v>
      </c>
      <c r="C56" s="1272"/>
      <c r="D56" s="821"/>
      <c r="E56" s="49"/>
      <c r="F56" s="803"/>
      <c r="G56" s="789"/>
      <c r="H56" s="49"/>
      <c r="I56" s="49"/>
      <c r="J56" s="49"/>
      <c r="K56" s="49"/>
      <c r="L56" s="49"/>
      <c r="M56" s="49"/>
      <c r="N56" s="49"/>
      <c r="O56" s="803"/>
      <c r="P56" s="789"/>
      <c r="Q56" s="49"/>
      <c r="R56" s="49"/>
      <c r="S56" s="49"/>
      <c r="T56" s="49"/>
      <c r="U56" s="49"/>
    </row>
    <row r="57" spans="1:21" ht="12" customHeight="1" x14ac:dyDescent="0.2">
      <c r="A57" s="419"/>
      <c r="B57" s="15"/>
      <c r="C57" s="811"/>
      <c r="D57" s="819"/>
      <c r="E57" s="28"/>
      <c r="F57" s="792"/>
      <c r="G57" s="28"/>
      <c r="H57" s="28"/>
      <c r="I57" s="28"/>
      <c r="J57" s="28"/>
      <c r="K57" s="28"/>
      <c r="L57" s="29"/>
      <c r="M57" s="28"/>
      <c r="N57" s="28"/>
      <c r="O57" s="792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25">
      <c r="A58" s="804" t="s">
        <v>134</v>
      </c>
      <c r="B58" s="1270" t="s">
        <v>156</v>
      </c>
      <c r="C58" s="1271"/>
      <c r="D58" s="822">
        <f t="shared" ref="D58:U58" si="59">+D56+D51+D45+D35+D9+D7</f>
        <v>23745</v>
      </c>
      <c r="E58" s="805">
        <f t="shared" si="59"/>
        <v>1857</v>
      </c>
      <c r="F58" s="806">
        <f t="shared" si="59"/>
        <v>25602</v>
      </c>
      <c r="G58" s="807">
        <f t="shared" si="59"/>
        <v>16527</v>
      </c>
      <c r="H58" s="805">
        <f t="shared" si="59"/>
        <v>1175</v>
      </c>
      <c r="I58" s="805">
        <f t="shared" si="59"/>
        <v>17702</v>
      </c>
      <c r="J58" s="805">
        <f t="shared" si="59"/>
        <v>5386</v>
      </c>
      <c r="K58" s="805">
        <f t="shared" si="59"/>
        <v>682</v>
      </c>
      <c r="L58" s="805">
        <f t="shared" si="59"/>
        <v>6068</v>
      </c>
      <c r="M58" s="805">
        <f t="shared" si="59"/>
        <v>1832</v>
      </c>
      <c r="N58" s="805">
        <f t="shared" si="59"/>
        <v>0</v>
      </c>
      <c r="O58" s="806">
        <f t="shared" si="59"/>
        <v>1832</v>
      </c>
      <c r="P58" s="788">
        <f t="shared" si="59"/>
        <v>0</v>
      </c>
      <c r="Q58" s="50">
        <f t="shared" si="59"/>
        <v>0</v>
      </c>
      <c r="R58" s="50">
        <f t="shared" si="59"/>
        <v>0</v>
      </c>
      <c r="S58" s="50">
        <f t="shared" si="59"/>
        <v>0</v>
      </c>
      <c r="T58" s="50">
        <f t="shared" si="59"/>
        <v>0</v>
      </c>
      <c r="U58" s="50">
        <f t="shared" si="59"/>
        <v>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2" orientation="landscape" r:id="rId1"/>
  <headerFooter>
    <oddHeader>&amp;C&amp;"Times New Roman,Félkövér"&amp;12Martonvásár Város Önkormányzatának kiadásai 2020.
Védőnői, iskola egészségügyi feladatok ellátása&amp;R&amp;"Times New Roman,Félkövér"&amp;12 5/d. melléklet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workbookViewId="0">
      <selection activeCell="Q34" sqref="Q34"/>
    </sheetView>
  </sheetViews>
  <sheetFormatPr defaultColWidth="9.140625" defaultRowHeight="12.75" x14ac:dyDescent="0.2"/>
  <cols>
    <col min="1" max="1" width="7.5703125" style="300" customWidth="1"/>
    <col min="2" max="2" width="25.42578125" style="299" customWidth="1"/>
    <col min="3" max="3" width="8.5703125" style="299" customWidth="1"/>
    <col min="4" max="4" width="6.5703125" style="299" customWidth="1"/>
    <col min="5" max="5" width="7.42578125" style="299" customWidth="1"/>
    <col min="6" max="16384" width="9.140625" style="299"/>
  </cols>
  <sheetData>
    <row r="1" spans="1:14" ht="12" customHeight="1" x14ac:dyDescent="0.2"/>
    <row r="2" spans="1:14" s="303" customFormat="1" ht="28.5" customHeight="1" x14ac:dyDescent="0.25">
      <c r="A2" s="1279" t="s">
        <v>278</v>
      </c>
      <c r="B2" s="1280"/>
      <c r="C2" s="1273" t="s">
        <v>853</v>
      </c>
      <c r="D2" s="1273"/>
      <c r="E2" s="1274"/>
      <c r="F2" s="1273" t="s">
        <v>896</v>
      </c>
      <c r="G2" s="1273"/>
      <c r="H2" s="1274"/>
      <c r="I2" s="1273" t="s">
        <v>897</v>
      </c>
      <c r="J2" s="1273"/>
      <c r="K2" s="1274"/>
      <c r="L2" s="1273" t="s">
        <v>898</v>
      </c>
      <c r="M2" s="1273"/>
      <c r="N2" s="1274"/>
    </row>
    <row r="3" spans="1:14" s="303" customFormat="1" ht="25.5" x14ac:dyDescent="0.25">
      <c r="A3" s="1228" t="s">
        <v>487</v>
      </c>
      <c r="B3" s="1247"/>
      <c r="C3" s="293" t="s">
        <v>950</v>
      </c>
      <c r="D3" s="297" t="s">
        <v>694</v>
      </c>
      <c r="E3" s="297" t="s">
        <v>948</v>
      </c>
      <c r="F3" s="293" t="s">
        <v>950</v>
      </c>
      <c r="G3" s="1075" t="s">
        <v>694</v>
      </c>
      <c r="H3" s="1075" t="s">
        <v>948</v>
      </c>
      <c r="I3" s="293" t="s">
        <v>950</v>
      </c>
      <c r="J3" s="1075" t="s">
        <v>694</v>
      </c>
      <c r="K3" s="1075" t="s">
        <v>948</v>
      </c>
      <c r="L3" s="293" t="s">
        <v>950</v>
      </c>
      <c r="M3" s="1075" t="s">
        <v>694</v>
      </c>
      <c r="N3" s="1075" t="s">
        <v>948</v>
      </c>
    </row>
    <row r="4" spans="1:14" s="303" customFormat="1" ht="15" customHeight="1" x14ac:dyDescent="0.25">
      <c r="A4" s="529" t="s">
        <v>489</v>
      </c>
      <c r="B4" s="302" t="s">
        <v>617</v>
      </c>
      <c r="C4" s="312">
        <v>550</v>
      </c>
      <c r="D4" s="490"/>
      <c r="E4" s="143">
        <f>+D4+C4</f>
        <v>550</v>
      </c>
      <c r="F4" s="312"/>
      <c r="G4" s="1075"/>
      <c r="H4" s="143">
        <f>+G4+F4</f>
        <v>0</v>
      </c>
      <c r="I4" s="312"/>
      <c r="J4" s="1075"/>
      <c r="K4" s="143">
        <f>+J4+I4</f>
        <v>0</v>
      </c>
      <c r="L4" s="312"/>
      <c r="M4" s="1075"/>
      <c r="N4" s="143">
        <f>+M4+L4</f>
        <v>0</v>
      </c>
    </row>
    <row r="5" spans="1:14" s="303" customFormat="1" ht="14.25" customHeight="1" x14ac:dyDescent="0.25">
      <c r="A5" s="528" t="s">
        <v>489</v>
      </c>
      <c r="B5" s="302" t="s">
        <v>567</v>
      </c>
      <c r="C5" s="312">
        <v>300</v>
      </c>
      <c r="D5" s="312"/>
      <c r="E5" s="143">
        <f t="shared" ref="E5:E6" si="0">+D5+C5</f>
        <v>300</v>
      </c>
      <c r="F5" s="312"/>
      <c r="G5" s="312"/>
      <c r="H5" s="143">
        <f t="shared" ref="H5:H6" si="1">+G5+F5</f>
        <v>0</v>
      </c>
      <c r="I5" s="312"/>
      <c r="J5" s="312"/>
      <c r="K5" s="143">
        <f t="shared" ref="K5:K6" si="2">+J5+I5</f>
        <v>0</v>
      </c>
      <c r="L5" s="312"/>
      <c r="M5" s="312"/>
      <c r="N5" s="143">
        <f t="shared" ref="N5:N6" si="3">+M5+L5</f>
        <v>0</v>
      </c>
    </row>
    <row r="6" spans="1:14" ht="38.25" x14ac:dyDescent="0.2">
      <c r="A6" s="528" t="s">
        <v>489</v>
      </c>
      <c r="B6" s="302" t="s">
        <v>566</v>
      </c>
      <c r="C6" s="518">
        <v>4484</v>
      </c>
      <c r="D6" s="312">
        <f>-121-141</f>
        <v>-262</v>
      </c>
      <c r="E6" s="143">
        <f t="shared" si="0"/>
        <v>4222</v>
      </c>
      <c r="F6" s="643">
        <v>1140</v>
      </c>
      <c r="G6" s="312"/>
      <c r="H6" s="143">
        <f t="shared" si="1"/>
        <v>1140</v>
      </c>
      <c r="I6" s="643"/>
      <c r="J6" s="312">
        <f>95+111</f>
        <v>206</v>
      </c>
      <c r="K6" s="143">
        <f t="shared" si="2"/>
        <v>206</v>
      </c>
      <c r="L6" s="643">
        <v>287</v>
      </c>
      <c r="M6" s="312">
        <f>26+30</f>
        <v>56</v>
      </c>
      <c r="N6" s="143">
        <f t="shared" si="3"/>
        <v>343</v>
      </c>
    </row>
    <row r="7" spans="1:14" ht="19.5" customHeight="1" x14ac:dyDescent="0.2">
      <c r="A7" s="1275" t="s">
        <v>179</v>
      </c>
      <c r="B7" s="1276"/>
      <c r="C7" s="314">
        <f t="shared" ref="C7:N7" si="4">SUM(C4:C6)</f>
        <v>5334</v>
      </c>
      <c r="D7" s="314">
        <f t="shared" si="4"/>
        <v>-262</v>
      </c>
      <c r="E7" s="314">
        <f t="shared" si="4"/>
        <v>5072</v>
      </c>
      <c r="F7" s="314">
        <f t="shared" si="4"/>
        <v>1140</v>
      </c>
      <c r="G7" s="314">
        <f t="shared" si="4"/>
        <v>0</v>
      </c>
      <c r="H7" s="314">
        <f t="shared" si="4"/>
        <v>1140</v>
      </c>
      <c r="I7" s="314">
        <f t="shared" si="4"/>
        <v>0</v>
      </c>
      <c r="J7" s="314">
        <f t="shared" si="4"/>
        <v>206</v>
      </c>
      <c r="K7" s="314">
        <f t="shared" si="4"/>
        <v>206</v>
      </c>
      <c r="L7" s="314">
        <f t="shared" si="4"/>
        <v>287</v>
      </c>
      <c r="M7" s="314">
        <f t="shared" si="4"/>
        <v>56</v>
      </c>
      <c r="N7" s="314">
        <f t="shared" si="4"/>
        <v>343</v>
      </c>
    </row>
    <row r="8" spans="1:14" ht="19.5" customHeight="1" x14ac:dyDescent="0.2">
      <c r="A8" s="484"/>
      <c r="B8" s="484"/>
      <c r="C8" s="485"/>
      <c r="D8" s="485"/>
      <c r="E8" s="485"/>
    </row>
    <row r="9" spans="1:14" ht="12.75" customHeight="1" x14ac:dyDescent="0.2">
      <c r="A9" s="1278" t="s">
        <v>278</v>
      </c>
      <c r="B9" s="1278"/>
      <c r="C9" s="1277" t="s">
        <v>854</v>
      </c>
      <c r="D9" s="1273"/>
      <c r="E9" s="1274"/>
    </row>
    <row r="10" spans="1:14" ht="25.5" x14ac:dyDescent="0.2">
      <c r="A10" s="1227" t="s">
        <v>487</v>
      </c>
      <c r="B10" s="1227"/>
      <c r="C10" s="293" t="s">
        <v>950</v>
      </c>
      <c r="D10" s="1067" t="s">
        <v>694</v>
      </c>
      <c r="E10" s="1067" t="s">
        <v>948</v>
      </c>
    </row>
    <row r="11" spans="1:14" ht="25.5" x14ac:dyDescent="0.2">
      <c r="A11" s="301" t="s">
        <v>597</v>
      </c>
      <c r="B11" s="302" t="s">
        <v>594</v>
      </c>
      <c r="C11" s="784">
        <f>+'5.f. mell. Átadott pénzeszk.'!C11</f>
        <v>0</v>
      </c>
      <c r="D11" s="785">
        <f>+'5.f. mell. Átadott pénzeszk.'!D11</f>
        <v>0</v>
      </c>
      <c r="E11" s="785">
        <f>+D11+C11</f>
        <v>0</v>
      </c>
    </row>
    <row r="12" spans="1:14" ht="25.5" x14ac:dyDescent="0.2">
      <c r="A12" s="301" t="s">
        <v>602</v>
      </c>
      <c r="B12" s="302" t="s">
        <v>590</v>
      </c>
      <c r="C12" s="784">
        <f>+'5.f. mell. Átadott pénzeszk.'!C12</f>
        <v>1666</v>
      </c>
      <c r="D12" s="784">
        <f>+'5.f. mell. Átadott pénzeszk.'!D12</f>
        <v>0</v>
      </c>
      <c r="E12" s="785">
        <f t="shared" ref="E12:E17" si="5">+D12+C12</f>
        <v>1666</v>
      </c>
    </row>
    <row r="13" spans="1:14" ht="25.5" x14ac:dyDescent="0.2">
      <c r="A13" s="301" t="s">
        <v>603</v>
      </c>
      <c r="B13" s="302" t="s">
        <v>591</v>
      </c>
      <c r="C13" s="784">
        <f>+'5.f. mell. Átadott pénzeszk.'!C13</f>
        <v>3364</v>
      </c>
      <c r="D13" s="784">
        <f>+'5.f. mell. Átadott pénzeszk.'!D13</f>
        <v>0</v>
      </c>
      <c r="E13" s="785">
        <f t="shared" si="5"/>
        <v>3364</v>
      </c>
    </row>
    <row r="14" spans="1:14" x14ac:dyDescent="0.2">
      <c r="A14" s="301" t="s">
        <v>601</v>
      </c>
      <c r="B14" s="302" t="s">
        <v>595</v>
      </c>
      <c r="C14" s="784">
        <f>+'5.f. mell. Átadott pénzeszk.'!C14</f>
        <v>1824</v>
      </c>
      <c r="D14" s="784">
        <f>+'5.f. mell. Átadott pénzeszk.'!D14</f>
        <v>0</v>
      </c>
      <c r="E14" s="785">
        <f t="shared" si="5"/>
        <v>1824</v>
      </c>
    </row>
    <row r="15" spans="1:14" ht="25.5" x14ac:dyDescent="0.2">
      <c r="A15" s="301" t="s">
        <v>600</v>
      </c>
      <c r="B15" s="302" t="s">
        <v>596</v>
      </c>
      <c r="C15" s="784">
        <f>+'5.f. mell. Átadott pénzeszk.'!C15</f>
        <v>2220</v>
      </c>
      <c r="D15" s="784">
        <f>+'5.f. mell. Átadott pénzeszk.'!D15</f>
        <v>0</v>
      </c>
      <c r="E15" s="785">
        <f t="shared" si="5"/>
        <v>2220</v>
      </c>
    </row>
    <row r="16" spans="1:14" x14ac:dyDescent="0.2">
      <c r="A16" s="301" t="s">
        <v>682</v>
      </c>
      <c r="B16" s="302" t="s">
        <v>679</v>
      </c>
      <c r="C16" s="784">
        <f>+'5.f. mell. Átadott pénzeszk.'!C17</f>
        <v>0</v>
      </c>
      <c r="D16" s="784">
        <f>+'5.f. mell. Átadott pénzeszk.'!D17</f>
        <v>0</v>
      </c>
      <c r="E16" s="785">
        <f t="shared" si="5"/>
        <v>0</v>
      </c>
    </row>
    <row r="17" spans="1:5" x14ac:dyDescent="0.2">
      <c r="A17" s="301" t="s">
        <v>604</v>
      </c>
      <c r="B17" s="302" t="s">
        <v>599</v>
      </c>
      <c r="C17" s="784">
        <f>+'5.f. mell. Átadott pénzeszk.'!C16</f>
        <v>1585</v>
      </c>
      <c r="D17" s="784">
        <f>+'5.f. mell. Átadott pénzeszk.'!D16</f>
        <v>0</v>
      </c>
      <c r="E17" s="785">
        <f t="shared" si="5"/>
        <v>1585</v>
      </c>
    </row>
    <row r="18" spans="1:5" x14ac:dyDescent="0.2">
      <c r="A18" s="1275" t="s">
        <v>179</v>
      </c>
      <c r="B18" s="1276"/>
      <c r="C18" s="786">
        <f>SUM(C11:C17)</f>
        <v>10659</v>
      </c>
      <c r="D18" s="786">
        <f>SUM(D11:D17)</f>
        <v>0</v>
      </c>
      <c r="E18" s="786">
        <f>SUM(E11:E17)</f>
        <v>10659</v>
      </c>
    </row>
    <row r="19" spans="1:5" x14ac:dyDescent="0.2">
      <c r="A19" s="486"/>
      <c r="B19" s="487"/>
      <c r="C19" s="488"/>
      <c r="D19" s="17"/>
      <c r="E19" s="17"/>
    </row>
  </sheetData>
  <mergeCells count="11">
    <mergeCell ref="F2:H2"/>
    <mergeCell ref="I2:K2"/>
    <mergeCell ref="L2:N2"/>
    <mergeCell ref="A18:B18"/>
    <mergeCell ref="C2:E2"/>
    <mergeCell ref="C9:E9"/>
    <mergeCell ref="A9:B9"/>
    <mergeCell ref="A10:B10"/>
    <mergeCell ref="A3:B3"/>
    <mergeCell ref="A7:B7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2020.
Szociális feladatok ellátása&amp;R&amp;"Times New Roman,Félkövér"&amp;12 5/e. 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28" zoomScaleNormal="100" workbookViewId="0">
      <selection activeCell="H27" sqref="H27"/>
    </sheetView>
  </sheetViews>
  <sheetFormatPr defaultColWidth="9.140625" defaultRowHeight="12.75" x14ac:dyDescent="0.2"/>
  <cols>
    <col min="1" max="1" width="7.5703125" style="300" customWidth="1"/>
    <col min="2" max="2" width="29" style="299" customWidth="1"/>
    <col min="3" max="3" width="7.42578125" style="299" customWidth="1"/>
    <col min="4" max="4" width="6.5703125" style="299" customWidth="1"/>
    <col min="5" max="5" width="7.42578125" style="299" bestFit="1" customWidth="1"/>
    <col min="6" max="6" width="7.5703125" style="299" customWidth="1"/>
    <col min="7" max="7" width="6.7109375" style="299" customWidth="1"/>
    <col min="8" max="8" width="7.42578125" style="299" customWidth="1"/>
    <col min="9" max="11" width="7.42578125" style="299" hidden="1" customWidth="1"/>
    <col min="12" max="12" width="8.140625" style="299" customWidth="1"/>
    <col min="13" max="13" width="6.5703125" style="299" customWidth="1"/>
    <col min="14" max="14" width="7.85546875" style="299" customWidth="1"/>
    <col min="15" max="16384" width="9.140625" style="299"/>
  </cols>
  <sheetData>
    <row r="1" spans="1:14" ht="12.75" customHeight="1" x14ac:dyDescent="0.2">
      <c r="A1" s="1299"/>
      <c r="B1" s="1301" t="s">
        <v>488</v>
      </c>
      <c r="C1" s="1297" t="s">
        <v>101</v>
      </c>
      <c r="D1" s="1297"/>
      <c r="E1" s="1297"/>
      <c r="F1" s="1297" t="s">
        <v>106</v>
      </c>
      <c r="G1" s="1297"/>
      <c r="H1" s="1297"/>
      <c r="I1" s="1297" t="s">
        <v>133</v>
      </c>
      <c r="J1" s="1297"/>
      <c r="K1" s="1298"/>
      <c r="L1" s="1290" t="s">
        <v>179</v>
      </c>
      <c r="M1" s="1291"/>
      <c r="N1" s="1292"/>
    </row>
    <row r="2" spans="1:14" ht="29.25" customHeight="1" x14ac:dyDescent="0.2">
      <c r="A2" s="1300"/>
      <c r="B2" s="1302"/>
      <c r="C2" s="1296" t="s">
        <v>562</v>
      </c>
      <c r="D2" s="1296"/>
      <c r="E2" s="1296"/>
      <c r="F2" s="1296" t="s">
        <v>483</v>
      </c>
      <c r="G2" s="1296"/>
      <c r="H2" s="1296"/>
      <c r="I2" s="1296" t="s">
        <v>622</v>
      </c>
      <c r="J2" s="1296"/>
      <c r="K2" s="1277"/>
      <c r="L2" s="1293"/>
      <c r="M2" s="1294"/>
      <c r="N2" s="1295"/>
    </row>
    <row r="3" spans="1:14" ht="26.25" customHeight="1" x14ac:dyDescent="0.2">
      <c r="A3" s="752" t="s">
        <v>487</v>
      </c>
      <c r="B3" s="754" t="s">
        <v>278</v>
      </c>
      <c r="C3" s="293" t="s">
        <v>950</v>
      </c>
      <c r="D3" s="750" t="s">
        <v>694</v>
      </c>
      <c r="E3" s="750" t="s">
        <v>948</v>
      </c>
      <c r="F3" s="293" t="s">
        <v>950</v>
      </c>
      <c r="G3" s="750" t="s">
        <v>694</v>
      </c>
      <c r="H3" s="750" t="s">
        <v>948</v>
      </c>
      <c r="I3" s="293" t="s">
        <v>176</v>
      </c>
      <c r="J3" s="750" t="s">
        <v>694</v>
      </c>
      <c r="K3" s="832" t="s">
        <v>695</v>
      </c>
      <c r="L3" s="837" t="s">
        <v>950</v>
      </c>
      <c r="M3" s="750" t="s">
        <v>694</v>
      </c>
      <c r="N3" s="766" t="s">
        <v>948</v>
      </c>
    </row>
    <row r="4" spans="1:14" s="303" customFormat="1" ht="15" customHeight="1" x14ac:dyDescent="0.25">
      <c r="A4" s="824" t="s">
        <v>484</v>
      </c>
      <c r="B4" s="753" t="s">
        <v>485</v>
      </c>
      <c r="C4" s="518">
        <v>0</v>
      </c>
      <c r="D4" s="518"/>
      <c r="E4" s="518">
        <f>+D4+C4</f>
        <v>0</v>
      </c>
      <c r="F4" s="518">
        <v>50</v>
      </c>
      <c r="G4" s="312">
        <v>900</v>
      </c>
      <c r="H4" s="312">
        <f>+G4+F4</f>
        <v>950</v>
      </c>
      <c r="I4" s="312"/>
      <c r="J4" s="312"/>
      <c r="K4" s="833"/>
      <c r="L4" s="838">
        <f>+C4+F4+I4</f>
        <v>50</v>
      </c>
      <c r="M4" s="312">
        <f t="shared" ref="M4:N8" si="0">+D4+G4+J4</f>
        <v>900</v>
      </c>
      <c r="N4" s="825">
        <f t="shared" si="0"/>
        <v>950</v>
      </c>
    </row>
    <row r="5" spans="1:14" s="303" customFormat="1" ht="15" customHeight="1" x14ac:dyDescent="0.25">
      <c r="A5" s="1305" t="s">
        <v>809</v>
      </c>
      <c r="B5" s="1308" t="s">
        <v>763</v>
      </c>
      <c r="C5" s="1281">
        <v>0</v>
      </c>
      <c r="D5" s="1281"/>
      <c r="E5" s="1281">
        <f t="shared" ref="E5:E20" si="1">+D5+C5</f>
        <v>0</v>
      </c>
      <c r="F5" s="1281">
        <v>1000</v>
      </c>
      <c r="G5" s="1284"/>
      <c r="H5" s="1287">
        <f t="shared" ref="H5:H46" si="2">+G5+F5</f>
        <v>1000</v>
      </c>
      <c r="I5" s="312"/>
      <c r="J5" s="312"/>
      <c r="K5" s="833"/>
      <c r="L5" s="838">
        <f>+C5+F5+I5</f>
        <v>1000</v>
      </c>
      <c r="M5" s="312">
        <f t="shared" si="0"/>
        <v>0</v>
      </c>
      <c r="N5" s="825">
        <f t="shared" si="0"/>
        <v>1000</v>
      </c>
    </row>
    <row r="6" spans="1:14" s="303" customFormat="1" ht="15" customHeight="1" x14ac:dyDescent="0.25">
      <c r="A6" s="1306"/>
      <c r="B6" s="1309"/>
      <c r="C6" s="1282"/>
      <c r="D6" s="1282"/>
      <c r="E6" s="1282"/>
      <c r="F6" s="1282"/>
      <c r="G6" s="1285"/>
      <c r="H6" s="1288"/>
      <c r="I6" s="312"/>
      <c r="J6" s="312"/>
      <c r="K6" s="833"/>
      <c r="L6" s="838">
        <f t="shared" ref="L6:L8" si="3">+C6+F6+I6</f>
        <v>0</v>
      </c>
      <c r="M6" s="312">
        <f t="shared" si="0"/>
        <v>0</v>
      </c>
      <c r="N6" s="825">
        <f t="shared" si="0"/>
        <v>0</v>
      </c>
    </row>
    <row r="7" spans="1:14" s="303" customFormat="1" ht="15" customHeight="1" x14ac:dyDescent="0.25">
      <c r="A7" s="1307"/>
      <c r="B7" s="1310"/>
      <c r="C7" s="1283"/>
      <c r="D7" s="1283"/>
      <c r="E7" s="1283"/>
      <c r="F7" s="1283"/>
      <c r="G7" s="1286"/>
      <c r="H7" s="1289"/>
      <c r="I7" s="312"/>
      <c r="J7" s="312"/>
      <c r="K7" s="833"/>
      <c r="L7" s="838">
        <f t="shared" si="3"/>
        <v>0</v>
      </c>
      <c r="M7" s="312">
        <f t="shared" si="0"/>
        <v>0</v>
      </c>
      <c r="N7" s="825">
        <f t="shared" si="0"/>
        <v>0</v>
      </c>
    </row>
    <row r="8" spans="1:14" s="303" customFormat="1" ht="15" customHeight="1" x14ac:dyDescent="0.25">
      <c r="A8" s="824" t="s">
        <v>486</v>
      </c>
      <c r="B8" s="1121" t="s">
        <v>477</v>
      </c>
      <c r="C8" s="518">
        <v>0</v>
      </c>
      <c r="D8" s="518"/>
      <c r="E8" s="518">
        <f t="shared" ref="E8" si="4">+D8+C8</f>
        <v>0</v>
      </c>
      <c r="F8" s="518">
        <v>0</v>
      </c>
      <c r="G8" s="312"/>
      <c r="H8" s="312">
        <f t="shared" ref="H8" si="5">+G8+F8</f>
        <v>0</v>
      </c>
      <c r="I8" s="312"/>
      <c r="J8" s="312"/>
      <c r="K8" s="833"/>
      <c r="L8" s="838">
        <f t="shared" si="3"/>
        <v>0</v>
      </c>
      <c r="M8" s="312">
        <f t="shared" si="0"/>
        <v>0</v>
      </c>
      <c r="N8" s="825">
        <f t="shared" si="0"/>
        <v>0</v>
      </c>
    </row>
    <row r="9" spans="1:14" s="303" customFormat="1" ht="15" customHeight="1" x14ac:dyDescent="0.25">
      <c r="A9" s="824" t="s">
        <v>672</v>
      </c>
      <c r="B9" s="753" t="s">
        <v>983</v>
      </c>
      <c r="C9" s="518">
        <v>0</v>
      </c>
      <c r="D9" s="518"/>
      <c r="E9" s="518">
        <f t="shared" si="1"/>
        <v>0</v>
      </c>
      <c r="F9" s="518">
        <v>0</v>
      </c>
      <c r="G9" s="312">
        <f>588+153</f>
        <v>741</v>
      </c>
      <c r="H9" s="312">
        <f t="shared" si="2"/>
        <v>741</v>
      </c>
      <c r="I9" s="312"/>
      <c r="J9" s="312"/>
      <c r="K9" s="833"/>
      <c r="L9" s="838">
        <f t="shared" ref="L9:L27" si="6">+C9+F9+I9</f>
        <v>0</v>
      </c>
      <c r="M9" s="312">
        <f t="shared" ref="M9:M46" si="7">+D9+G9+J9</f>
        <v>741</v>
      </c>
      <c r="N9" s="825">
        <f t="shared" ref="N9:N46" si="8">+E9+H9+K9</f>
        <v>741</v>
      </c>
    </row>
    <row r="10" spans="1:14" s="303" customFormat="1" ht="15" customHeight="1" x14ac:dyDescent="0.25">
      <c r="A10" s="1315" t="s">
        <v>490</v>
      </c>
      <c r="B10" s="1316"/>
      <c r="C10" s="519">
        <f>SUM(C11:C19)</f>
        <v>17178</v>
      </c>
      <c r="D10" s="519">
        <f t="shared" ref="D10:E10" si="9">SUM(D11:D19)</f>
        <v>0</v>
      </c>
      <c r="E10" s="519">
        <f t="shared" si="9"/>
        <v>17178</v>
      </c>
      <c r="F10" s="519"/>
      <c r="G10" s="312"/>
      <c r="H10" s="312">
        <f t="shared" si="2"/>
        <v>0</v>
      </c>
      <c r="I10" s="312"/>
      <c r="J10" s="312"/>
      <c r="K10" s="833"/>
      <c r="L10" s="838">
        <f t="shared" si="6"/>
        <v>17178</v>
      </c>
      <c r="M10" s="312">
        <f t="shared" si="7"/>
        <v>0</v>
      </c>
      <c r="N10" s="825">
        <f t="shared" si="8"/>
        <v>17178</v>
      </c>
    </row>
    <row r="11" spans="1:14" s="491" customFormat="1" ht="24.75" customHeight="1" x14ac:dyDescent="0.25">
      <c r="A11" s="616" t="s">
        <v>597</v>
      </c>
      <c r="B11" s="376" t="s">
        <v>594</v>
      </c>
      <c r="C11" s="378">
        <v>0</v>
      </c>
      <c r="D11" s="378"/>
      <c r="E11" s="518">
        <f t="shared" si="1"/>
        <v>0</v>
      </c>
      <c r="F11" s="378"/>
      <c r="G11" s="378"/>
      <c r="H11" s="312">
        <f t="shared" si="2"/>
        <v>0</v>
      </c>
      <c r="I11" s="378"/>
      <c r="J11" s="378"/>
      <c r="K11" s="834"/>
      <c r="L11" s="839">
        <f t="shared" si="6"/>
        <v>0</v>
      </c>
      <c r="M11" s="378">
        <f t="shared" si="7"/>
        <v>0</v>
      </c>
      <c r="N11" s="826">
        <f t="shared" si="8"/>
        <v>0</v>
      </c>
    </row>
    <row r="12" spans="1:14" s="491" customFormat="1" ht="15" customHeight="1" x14ac:dyDescent="0.25">
      <c r="A12" s="616" t="s">
        <v>602</v>
      </c>
      <c r="B12" s="376" t="s">
        <v>590</v>
      </c>
      <c r="C12" s="378">
        <v>1666</v>
      </c>
      <c r="D12" s="378"/>
      <c r="E12" s="518">
        <f t="shared" si="1"/>
        <v>1666</v>
      </c>
      <c r="F12" s="378"/>
      <c r="G12" s="378"/>
      <c r="H12" s="312">
        <f t="shared" si="2"/>
        <v>0</v>
      </c>
      <c r="I12" s="378"/>
      <c r="J12" s="378"/>
      <c r="K12" s="834"/>
      <c r="L12" s="839">
        <f t="shared" si="6"/>
        <v>1666</v>
      </c>
      <c r="M12" s="378">
        <f t="shared" si="7"/>
        <v>0</v>
      </c>
      <c r="N12" s="826">
        <f t="shared" si="8"/>
        <v>1666</v>
      </c>
    </row>
    <row r="13" spans="1:14" s="491" customFormat="1" ht="15" customHeight="1" x14ac:dyDescent="0.25">
      <c r="A13" s="616" t="s">
        <v>603</v>
      </c>
      <c r="B13" s="376" t="s">
        <v>591</v>
      </c>
      <c r="C13" s="378">
        <v>3364</v>
      </c>
      <c r="D13" s="378"/>
      <c r="E13" s="518">
        <f t="shared" si="1"/>
        <v>3364</v>
      </c>
      <c r="F13" s="378"/>
      <c r="G13" s="378"/>
      <c r="H13" s="312">
        <f t="shared" si="2"/>
        <v>0</v>
      </c>
      <c r="I13" s="378"/>
      <c r="J13" s="378"/>
      <c r="K13" s="834"/>
      <c r="L13" s="839">
        <f t="shared" si="6"/>
        <v>3364</v>
      </c>
      <c r="M13" s="378">
        <f t="shared" si="7"/>
        <v>0</v>
      </c>
      <c r="N13" s="826">
        <f t="shared" si="8"/>
        <v>3364</v>
      </c>
    </row>
    <row r="14" spans="1:14" s="491" customFormat="1" ht="15" customHeight="1" x14ac:dyDescent="0.25">
      <c r="A14" s="616" t="s">
        <v>601</v>
      </c>
      <c r="B14" s="376" t="s">
        <v>595</v>
      </c>
      <c r="C14" s="378">
        <v>1824</v>
      </c>
      <c r="D14" s="378"/>
      <c r="E14" s="518">
        <f t="shared" si="1"/>
        <v>1824</v>
      </c>
      <c r="F14" s="378"/>
      <c r="G14" s="378"/>
      <c r="H14" s="312">
        <f t="shared" si="2"/>
        <v>0</v>
      </c>
      <c r="I14" s="378"/>
      <c r="J14" s="378"/>
      <c r="K14" s="834"/>
      <c r="L14" s="839">
        <f t="shared" si="6"/>
        <v>1824</v>
      </c>
      <c r="M14" s="378">
        <f t="shared" si="7"/>
        <v>0</v>
      </c>
      <c r="N14" s="826">
        <f t="shared" si="8"/>
        <v>1824</v>
      </c>
    </row>
    <row r="15" spans="1:14" s="491" customFormat="1" ht="24" customHeight="1" x14ac:dyDescent="0.25">
      <c r="A15" s="616" t="s">
        <v>600</v>
      </c>
      <c r="B15" s="376" t="s">
        <v>596</v>
      </c>
      <c r="C15" s="378">
        <v>2220</v>
      </c>
      <c r="D15" s="378"/>
      <c r="E15" s="518">
        <f t="shared" si="1"/>
        <v>2220</v>
      </c>
      <c r="F15" s="378"/>
      <c r="G15" s="378"/>
      <c r="H15" s="312">
        <f t="shared" si="2"/>
        <v>0</v>
      </c>
      <c r="I15" s="378"/>
      <c r="J15" s="378"/>
      <c r="K15" s="834"/>
      <c r="L15" s="839">
        <f t="shared" si="6"/>
        <v>2220</v>
      </c>
      <c r="M15" s="378">
        <f t="shared" si="7"/>
        <v>0</v>
      </c>
      <c r="N15" s="826">
        <f t="shared" si="8"/>
        <v>2220</v>
      </c>
    </row>
    <row r="16" spans="1:14" s="491" customFormat="1" ht="15" customHeight="1" x14ac:dyDescent="0.25">
      <c r="A16" s="616" t="s">
        <v>604</v>
      </c>
      <c r="B16" s="376" t="s">
        <v>599</v>
      </c>
      <c r="C16" s="378">
        <v>1585</v>
      </c>
      <c r="D16" s="378"/>
      <c r="E16" s="518">
        <f t="shared" si="1"/>
        <v>1585</v>
      </c>
      <c r="F16" s="378"/>
      <c r="G16" s="378"/>
      <c r="H16" s="312">
        <f t="shared" si="2"/>
        <v>0</v>
      </c>
      <c r="I16" s="378"/>
      <c r="J16" s="378"/>
      <c r="K16" s="834"/>
      <c r="L16" s="839">
        <f t="shared" si="6"/>
        <v>1585</v>
      </c>
      <c r="M16" s="378">
        <f t="shared" si="7"/>
        <v>0</v>
      </c>
      <c r="N16" s="826">
        <f t="shared" si="8"/>
        <v>1585</v>
      </c>
    </row>
    <row r="17" spans="1:14" s="491" customFormat="1" ht="15" customHeight="1" x14ac:dyDescent="0.25">
      <c r="A17" s="616" t="s">
        <v>682</v>
      </c>
      <c r="B17" s="376" t="s">
        <v>679</v>
      </c>
      <c r="C17" s="378">
        <v>0</v>
      </c>
      <c r="D17" s="378"/>
      <c r="E17" s="518">
        <f t="shared" si="1"/>
        <v>0</v>
      </c>
      <c r="F17" s="378"/>
      <c r="G17" s="378"/>
      <c r="H17" s="312">
        <f t="shared" si="2"/>
        <v>0</v>
      </c>
      <c r="I17" s="378"/>
      <c r="J17" s="378"/>
      <c r="K17" s="834"/>
      <c r="L17" s="839">
        <f t="shared" si="6"/>
        <v>0</v>
      </c>
      <c r="M17" s="378"/>
      <c r="N17" s="826"/>
    </row>
    <row r="18" spans="1:14" s="491" customFormat="1" ht="15" customHeight="1" x14ac:dyDescent="0.25">
      <c r="A18" s="616" t="s">
        <v>681</v>
      </c>
      <c r="B18" s="376" t="s">
        <v>680</v>
      </c>
      <c r="C18" s="378">
        <v>882</v>
      </c>
      <c r="D18" s="378"/>
      <c r="E18" s="518">
        <f t="shared" si="1"/>
        <v>882</v>
      </c>
      <c r="F18" s="378"/>
      <c r="G18" s="378"/>
      <c r="H18" s="312">
        <f t="shared" si="2"/>
        <v>0</v>
      </c>
      <c r="I18" s="378"/>
      <c r="J18" s="378"/>
      <c r="K18" s="834"/>
      <c r="L18" s="839">
        <f t="shared" si="6"/>
        <v>882</v>
      </c>
      <c r="M18" s="378"/>
      <c r="N18" s="826"/>
    </row>
    <row r="19" spans="1:14" s="491" customFormat="1" ht="26.25" customHeight="1" x14ac:dyDescent="0.25">
      <c r="A19" s="616" t="s">
        <v>478</v>
      </c>
      <c r="B19" s="376" t="s">
        <v>598</v>
      </c>
      <c r="C19" s="378">
        <v>5637</v>
      </c>
      <c r="D19" s="378"/>
      <c r="E19" s="518">
        <f t="shared" si="1"/>
        <v>5637</v>
      </c>
      <c r="F19" s="378"/>
      <c r="G19" s="378"/>
      <c r="H19" s="312">
        <f t="shared" si="2"/>
        <v>0</v>
      </c>
      <c r="I19" s="378"/>
      <c r="J19" s="378"/>
      <c r="K19" s="834"/>
      <c r="L19" s="839">
        <f t="shared" si="6"/>
        <v>5637</v>
      </c>
      <c r="M19" s="378">
        <f t="shared" si="7"/>
        <v>0</v>
      </c>
      <c r="N19" s="826">
        <f t="shared" si="8"/>
        <v>5637</v>
      </c>
    </row>
    <row r="20" spans="1:14" s="303" customFormat="1" ht="15" customHeight="1" x14ac:dyDescent="0.25">
      <c r="A20" s="1303" t="s">
        <v>615</v>
      </c>
      <c r="B20" s="1304"/>
      <c r="C20" s="312">
        <v>108251</v>
      </c>
      <c r="D20" s="312">
        <f>2408+43+43+2411</f>
        <v>4905</v>
      </c>
      <c r="E20" s="518">
        <f t="shared" si="1"/>
        <v>113156</v>
      </c>
      <c r="F20" s="312"/>
      <c r="G20" s="312"/>
      <c r="H20" s="312">
        <f t="shared" si="2"/>
        <v>0</v>
      </c>
      <c r="I20" s="312"/>
      <c r="J20" s="312"/>
      <c r="K20" s="833"/>
      <c r="L20" s="838">
        <f t="shared" si="6"/>
        <v>108251</v>
      </c>
      <c r="M20" s="312">
        <f t="shared" si="7"/>
        <v>4905</v>
      </c>
      <c r="N20" s="825">
        <f t="shared" si="8"/>
        <v>113156</v>
      </c>
    </row>
    <row r="21" spans="1:14" s="303" customFormat="1" ht="15" customHeight="1" x14ac:dyDescent="0.25">
      <c r="A21" s="1303" t="s">
        <v>614</v>
      </c>
      <c r="B21" s="1304"/>
      <c r="C21" s="312"/>
      <c r="D21" s="312"/>
      <c r="E21" s="312"/>
      <c r="F21" s="312"/>
      <c r="G21" s="312"/>
      <c r="H21" s="312">
        <f t="shared" si="2"/>
        <v>0</v>
      </c>
      <c r="I21" s="312"/>
      <c r="J21" s="312"/>
      <c r="K21" s="833"/>
      <c r="L21" s="838">
        <f t="shared" si="6"/>
        <v>0</v>
      </c>
      <c r="M21" s="312">
        <f t="shared" si="7"/>
        <v>0</v>
      </c>
      <c r="N21" s="825">
        <f t="shared" si="8"/>
        <v>0</v>
      </c>
    </row>
    <row r="22" spans="1:14" s="303" customFormat="1" ht="15" customHeight="1" x14ac:dyDescent="0.25">
      <c r="A22" s="1311" t="s">
        <v>588</v>
      </c>
      <c r="B22" s="1312"/>
      <c r="C22" s="312"/>
      <c r="D22" s="312"/>
      <c r="E22" s="312"/>
      <c r="F22" s="519">
        <f>+SUM(F23:F26)</f>
        <v>0</v>
      </c>
      <c r="G22" s="519">
        <f>+SUM(G23:G26)</f>
        <v>21273</v>
      </c>
      <c r="H22" s="312">
        <f t="shared" ref="H22" si="10">+G22+F22</f>
        <v>21273</v>
      </c>
      <c r="I22" s="312"/>
      <c r="J22" s="312"/>
      <c r="K22" s="833"/>
      <c r="L22" s="838">
        <f t="shared" ref="L22" si="11">+C22+F22+I22</f>
        <v>0</v>
      </c>
      <c r="M22" s="312">
        <f t="shared" ref="M22" si="12">+D22+G22+J22</f>
        <v>21273</v>
      </c>
      <c r="N22" s="825">
        <f t="shared" ref="N22" si="13">+E22+H22+K22</f>
        <v>21273</v>
      </c>
    </row>
    <row r="23" spans="1:14" s="303" customFormat="1" ht="15" customHeight="1" x14ac:dyDescent="0.25">
      <c r="A23" s="1003" t="s">
        <v>987</v>
      </c>
      <c r="B23" s="302" t="s">
        <v>988</v>
      </c>
      <c r="C23" s="312"/>
      <c r="D23" s="312"/>
      <c r="E23" s="312"/>
      <c r="F23" s="519"/>
      <c r="G23" s="312">
        <v>1334</v>
      </c>
      <c r="H23" s="312">
        <f t="shared" si="2"/>
        <v>1334</v>
      </c>
      <c r="I23" s="312"/>
      <c r="J23" s="312"/>
      <c r="K23" s="833"/>
      <c r="L23" s="838">
        <f t="shared" si="6"/>
        <v>0</v>
      </c>
      <c r="M23" s="312">
        <f t="shared" si="7"/>
        <v>1334</v>
      </c>
      <c r="N23" s="825">
        <f t="shared" si="8"/>
        <v>1334</v>
      </c>
    </row>
    <row r="24" spans="1:14" s="303" customFormat="1" ht="15" customHeight="1" x14ac:dyDescent="0.25">
      <c r="A24" s="1003" t="s">
        <v>989</v>
      </c>
      <c r="B24" s="302" t="s">
        <v>990</v>
      </c>
      <c r="C24" s="312"/>
      <c r="D24" s="312"/>
      <c r="E24" s="312"/>
      <c r="F24" s="519"/>
      <c r="G24" s="312">
        <v>2894</v>
      </c>
      <c r="H24" s="312">
        <f t="shared" ref="H24" si="14">+G24+F24</f>
        <v>2894</v>
      </c>
      <c r="I24" s="312"/>
      <c r="J24" s="312"/>
      <c r="K24" s="833"/>
      <c r="L24" s="838">
        <f t="shared" ref="L24" si="15">+C24+F24+I24</f>
        <v>0</v>
      </c>
      <c r="M24" s="312">
        <f t="shared" ref="M24" si="16">+D24+G24+J24</f>
        <v>2894</v>
      </c>
      <c r="N24" s="825">
        <f t="shared" ref="N24" si="17">+E24+H24+K24</f>
        <v>2894</v>
      </c>
    </row>
    <row r="25" spans="1:14" s="303" customFormat="1" ht="15" customHeight="1" x14ac:dyDescent="0.25">
      <c r="A25" s="1003" t="s">
        <v>991</v>
      </c>
      <c r="B25" s="302" t="s">
        <v>992</v>
      </c>
      <c r="C25" s="312"/>
      <c r="D25" s="312"/>
      <c r="E25" s="312"/>
      <c r="F25" s="519"/>
      <c r="G25" s="312">
        <v>6301</v>
      </c>
      <c r="H25" s="312">
        <f t="shared" ref="H25" si="18">+G25+F25</f>
        <v>6301</v>
      </c>
      <c r="I25" s="312"/>
      <c r="J25" s="312"/>
      <c r="K25" s="833"/>
      <c r="L25" s="838">
        <f t="shared" ref="L25" si="19">+C25+F25+I25</f>
        <v>0</v>
      </c>
      <c r="M25" s="312">
        <f t="shared" ref="M25" si="20">+D25+G25+J25</f>
        <v>6301</v>
      </c>
      <c r="N25" s="825">
        <f t="shared" ref="N25" si="21">+E25+H25+K25</f>
        <v>6301</v>
      </c>
    </row>
    <row r="26" spans="1:14" s="303" customFormat="1" ht="15" customHeight="1" x14ac:dyDescent="0.25">
      <c r="A26" s="1003" t="s">
        <v>993</v>
      </c>
      <c r="B26" s="302" t="s">
        <v>994</v>
      </c>
      <c r="C26" s="312"/>
      <c r="D26" s="312"/>
      <c r="E26" s="312"/>
      <c r="F26" s="519"/>
      <c r="G26" s="312">
        <v>10744</v>
      </c>
      <c r="H26" s="312">
        <f t="shared" si="2"/>
        <v>10744</v>
      </c>
      <c r="I26" s="312"/>
      <c r="J26" s="312"/>
      <c r="K26" s="833"/>
      <c r="L26" s="838">
        <f t="shared" si="6"/>
        <v>0</v>
      </c>
      <c r="M26" s="312">
        <f t="shared" si="7"/>
        <v>10744</v>
      </c>
      <c r="N26" s="825">
        <f t="shared" si="8"/>
        <v>10744</v>
      </c>
    </row>
    <row r="27" spans="1:14" s="303" customFormat="1" ht="35.25" customHeight="1" x14ac:dyDescent="0.25">
      <c r="A27" s="1311" t="s">
        <v>559</v>
      </c>
      <c r="B27" s="1312"/>
      <c r="C27" s="312"/>
      <c r="D27" s="312"/>
      <c r="E27" s="312"/>
      <c r="F27" s="312">
        <f>SUM(F28:F33)+SUM(F39:F40)</f>
        <v>118902</v>
      </c>
      <c r="G27" s="312">
        <f>SUM(G28:G33)+SUM(G39:G40)</f>
        <v>988</v>
      </c>
      <c r="H27" s="312">
        <f t="shared" si="2"/>
        <v>119890</v>
      </c>
      <c r="I27" s="312"/>
      <c r="J27" s="312"/>
      <c r="K27" s="833"/>
      <c r="L27" s="838">
        <f t="shared" si="6"/>
        <v>118902</v>
      </c>
      <c r="M27" s="312">
        <f t="shared" si="7"/>
        <v>988</v>
      </c>
      <c r="N27" s="825">
        <f t="shared" si="8"/>
        <v>119890</v>
      </c>
    </row>
    <row r="28" spans="1:14" s="491" customFormat="1" ht="25.5" customHeight="1" x14ac:dyDescent="0.25">
      <c r="A28" s="1003" t="s">
        <v>667</v>
      </c>
      <c r="B28" s="302" t="s">
        <v>480</v>
      </c>
      <c r="C28" s="377"/>
      <c r="D28" s="378"/>
      <c r="E28" s="378"/>
      <c r="F28" s="312">
        <v>4356</v>
      </c>
      <c r="G28" s="378">
        <v>-29</v>
      </c>
      <c r="H28" s="312">
        <f t="shared" si="2"/>
        <v>4327</v>
      </c>
      <c r="I28" s="378"/>
      <c r="J28" s="378"/>
      <c r="K28" s="834"/>
      <c r="L28" s="839">
        <f t="shared" ref="L28:L46" si="22">+C28+F28+I28</f>
        <v>4356</v>
      </c>
      <c r="M28" s="378">
        <f t="shared" si="7"/>
        <v>-29</v>
      </c>
      <c r="N28" s="826">
        <f t="shared" si="8"/>
        <v>4327</v>
      </c>
    </row>
    <row r="29" spans="1:14" s="491" customFormat="1" ht="15" customHeight="1" x14ac:dyDescent="0.25">
      <c r="A29" s="1003" t="s">
        <v>887</v>
      </c>
      <c r="B29" s="302" t="s">
        <v>888</v>
      </c>
      <c r="C29" s="377"/>
      <c r="D29" s="378"/>
      <c r="E29" s="378"/>
      <c r="F29" s="312">
        <v>8962</v>
      </c>
      <c r="G29" s="378">
        <v>428</v>
      </c>
      <c r="H29" s="312">
        <f t="shared" si="2"/>
        <v>9390</v>
      </c>
      <c r="I29" s="378"/>
      <c r="J29" s="378"/>
      <c r="K29" s="834"/>
      <c r="L29" s="839"/>
      <c r="M29" s="378"/>
      <c r="N29" s="826">
        <f t="shared" si="8"/>
        <v>9390</v>
      </c>
    </row>
    <row r="30" spans="1:14" s="491" customFormat="1" ht="15" customHeight="1" x14ac:dyDescent="0.25">
      <c r="A30" s="1003" t="s">
        <v>668</v>
      </c>
      <c r="B30" s="302" t="s">
        <v>446</v>
      </c>
      <c r="C30" s="377"/>
      <c r="D30" s="378"/>
      <c r="E30" s="378"/>
      <c r="F30" s="312">
        <v>7488</v>
      </c>
      <c r="G30" s="378">
        <v>-65</v>
      </c>
      <c r="H30" s="312">
        <f t="shared" si="2"/>
        <v>7423</v>
      </c>
      <c r="I30" s="378"/>
      <c r="J30" s="378"/>
      <c r="K30" s="834"/>
      <c r="L30" s="839">
        <f t="shared" si="22"/>
        <v>7488</v>
      </c>
      <c r="M30" s="378">
        <f t="shared" si="7"/>
        <v>-65</v>
      </c>
      <c r="N30" s="826">
        <f t="shared" si="8"/>
        <v>7423</v>
      </c>
    </row>
    <row r="31" spans="1:14" s="491" customFormat="1" ht="15" customHeight="1" x14ac:dyDescent="0.25">
      <c r="A31" s="1003" t="s">
        <v>669</v>
      </c>
      <c r="B31" s="302" t="s">
        <v>479</v>
      </c>
      <c r="C31" s="377"/>
      <c r="D31" s="378"/>
      <c r="E31" s="378"/>
      <c r="F31" s="312">
        <v>12649</v>
      </c>
      <c r="G31" s="378">
        <v>-94</v>
      </c>
      <c r="H31" s="312">
        <f t="shared" si="2"/>
        <v>12555</v>
      </c>
      <c r="I31" s="378"/>
      <c r="J31" s="378"/>
      <c r="K31" s="834"/>
      <c r="L31" s="839">
        <f t="shared" si="22"/>
        <v>12649</v>
      </c>
      <c r="M31" s="378">
        <f t="shared" si="7"/>
        <v>-94</v>
      </c>
      <c r="N31" s="826">
        <f t="shared" si="8"/>
        <v>12555</v>
      </c>
    </row>
    <row r="32" spans="1:14" s="491" customFormat="1" ht="15" customHeight="1" x14ac:dyDescent="0.25">
      <c r="A32" s="1003" t="s">
        <v>670</v>
      </c>
      <c r="B32" s="302" t="s">
        <v>481</v>
      </c>
      <c r="C32" s="377"/>
      <c r="D32" s="378"/>
      <c r="E32" s="378"/>
      <c r="F32" s="518">
        <v>19631</v>
      </c>
      <c r="G32" s="378">
        <v>1083</v>
      </c>
      <c r="H32" s="312">
        <f t="shared" ref="H32:H36" si="23">+G32+F32</f>
        <v>20714</v>
      </c>
      <c r="I32" s="378"/>
      <c r="J32" s="378"/>
      <c r="K32" s="834"/>
      <c r="L32" s="839">
        <f t="shared" ref="L32:L36" si="24">+C32+F32+I32</f>
        <v>19631</v>
      </c>
      <c r="M32" s="378">
        <f t="shared" ref="M32:M33" si="25">+D32+G32+J32</f>
        <v>1083</v>
      </c>
      <c r="N32" s="826">
        <f t="shared" ref="N32:N33" si="26">+E32+H32+K32</f>
        <v>20714</v>
      </c>
    </row>
    <row r="33" spans="1:14" s="491" customFormat="1" ht="15" customHeight="1" x14ac:dyDescent="0.25">
      <c r="A33" s="1003" t="s">
        <v>671</v>
      </c>
      <c r="B33" s="302" t="s">
        <v>482</v>
      </c>
      <c r="C33" s="377"/>
      <c r="D33" s="378"/>
      <c r="E33" s="378"/>
      <c r="F33" s="518">
        <f>+SUM(F34:F38)</f>
        <v>43596</v>
      </c>
      <c r="G33" s="518">
        <f>+SUM(G34:G38)</f>
        <v>-494</v>
      </c>
      <c r="H33" s="312">
        <f t="shared" si="23"/>
        <v>43102</v>
      </c>
      <c r="I33" s="378"/>
      <c r="J33" s="378"/>
      <c r="K33" s="834"/>
      <c r="L33" s="839">
        <f t="shared" si="24"/>
        <v>43596</v>
      </c>
      <c r="M33" s="378">
        <f t="shared" si="25"/>
        <v>-494</v>
      </c>
      <c r="N33" s="826">
        <f t="shared" si="26"/>
        <v>43102</v>
      </c>
    </row>
    <row r="34" spans="1:14" s="491" customFormat="1" ht="15" customHeight="1" x14ac:dyDescent="0.25">
      <c r="A34" s="616" t="s">
        <v>671</v>
      </c>
      <c r="B34" s="376" t="s">
        <v>855</v>
      </c>
      <c r="C34" s="377"/>
      <c r="D34" s="378"/>
      <c r="E34" s="378"/>
      <c r="F34" s="892">
        <v>21778</v>
      </c>
      <c r="G34" s="378">
        <v>-338</v>
      </c>
      <c r="H34" s="312">
        <f t="shared" si="23"/>
        <v>21440</v>
      </c>
      <c r="I34" s="378"/>
      <c r="J34" s="378"/>
      <c r="K34" s="834"/>
      <c r="L34" s="839">
        <f t="shared" si="24"/>
        <v>21778</v>
      </c>
      <c r="M34" s="378"/>
      <c r="N34" s="826">
        <f t="shared" ref="N34:N36" si="27">+E34+H34+K34</f>
        <v>21440</v>
      </c>
    </row>
    <row r="35" spans="1:14" s="491" customFormat="1" ht="15" customHeight="1" x14ac:dyDescent="0.25">
      <c r="A35" s="616" t="s">
        <v>671</v>
      </c>
      <c r="B35" s="376" t="s">
        <v>856</v>
      </c>
      <c r="C35" s="377"/>
      <c r="D35" s="378"/>
      <c r="E35" s="378"/>
      <c r="F35" s="892">
        <v>4123</v>
      </c>
      <c r="G35" s="378">
        <v>-34</v>
      </c>
      <c r="H35" s="312">
        <f t="shared" si="23"/>
        <v>4089</v>
      </c>
      <c r="I35" s="378"/>
      <c r="J35" s="378"/>
      <c r="K35" s="834"/>
      <c r="L35" s="839">
        <f t="shared" si="24"/>
        <v>4123</v>
      </c>
      <c r="M35" s="378">
        <f t="shared" ref="M35:M36" si="28">+D35+G35+J35</f>
        <v>-34</v>
      </c>
      <c r="N35" s="826">
        <f t="shared" si="27"/>
        <v>4089</v>
      </c>
    </row>
    <row r="36" spans="1:14" s="491" customFormat="1" ht="30.75" customHeight="1" x14ac:dyDescent="0.25">
      <c r="A36" s="616" t="s">
        <v>671</v>
      </c>
      <c r="B36" s="376" t="s">
        <v>857</v>
      </c>
      <c r="C36" s="377"/>
      <c r="D36" s="378"/>
      <c r="E36" s="378"/>
      <c r="F36" s="892">
        <v>7020</v>
      </c>
      <c r="G36" s="378">
        <v>-47</v>
      </c>
      <c r="H36" s="312">
        <f t="shared" si="23"/>
        <v>6973</v>
      </c>
      <c r="I36" s="378"/>
      <c r="J36" s="378"/>
      <c r="K36" s="834"/>
      <c r="L36" s="839">
        <f t="shared" si="24"/>
        <v>7020</v>
      </c>
      <c r="M36" s="378">
        <f t="shared" si="28"/>
        <v>-47</v>
      </c>
      <c r="N36" s="826">
        <f t="shared" si="27"/>
        <v>6973</v>
      </c>
    </row>
    <row r="37" spans="1:14" s="491" customFormat="1" ht="15" customHeight="1" x14ac:dyDescent="0.25">
      <c r="A37" s="616" t="s">
        <v>671</v>
      </c>
      <c r="B37" s="376" t="s">
        <v>858</v>
      </c>
      <c r="C37" s="377"/>
      <c r="D37" s="378"/>
      <c r="E37" s="378"/>
      <c r="F37" s="892">
        <v>9544</v>
      </c>
      <c r="G37" s="378">
        <v>-69</v>
      </c>
      <c r="H37" s="312">
        <f t="shared" si="2"/>
        <v>9475</v>
      </c>
      <c r="I37" s="378"/>
      <c r="J37" s="378"/>
      <c r="K37" s="834"/>
      <c r="L37" s="839">
        <f t="shared" si="22"/>
        <v>9544</v>
      </c>
      <c r="M37" s="378">
        <f t="shared" si="7"/>
        <v>-69</v>
      </c>
      <c r="N37" s="826">
        <f t="shared" si="8"/>
        <v>9475</v>
      </c>
    </row>
    <row r="38" spans="1:14" s="491" customFormat="1" ht="15" customHeight="1" x14ac:dyDescent="0.25">
      <c r="A38" s="616" t="s">
        <v>671</v>
      </c>
      <c r="B38" s="376" t="s">
        <v>859</v>
      </c>
      <c r="C38" s="377"/>
      <c r="D38" s="378"/>
      <c r="E38" s="378"/>
      <c r="F38" s="892">
        <v>1131</v>
      </c>
      <c r="G38" s="378">
        <v>-6</v>
      </c>
      <c r="H38" s="312">
        <f t="shared" si="2"/>
        <v>1125</v>
      </c>
      <c r="I38" s="378"/>
      <c r="J38" s="378"/>
      <c r="K38" s="834"/>
      <c r="L38" s="839">
        <f t="shared" si="22"/>
        <v>1131</v>
      </c>
      <c r="M38" s="378">
        <f t="shared" si="7"/>
        <v>-6</v>
      </c>
      <c r="N38" s="826">
        <f t="shared" si="8"/>
        <v>1125</v>
      </c>
    </row>
    <row r="39" spans="1:14" s="491" customFormat="1" ht="15" customHeight="1" x14ac:dyDescent="0.25">
      <c r="A39" s="1003" t="s">
        <v>672</v>
      </c>
      <c r="B39" s="302" t="s">
        <v>678</v>
      </c>
      <c r="C39" s="377"/>
      <c r="D39" s="378"/>
      <c r="E39" s="378"/>
      <c r="F39" s="518">
        <v>4031</v>
      </c>
      <c r="G39" s="378">
        <v>-30</v>
      </c>
      <c r="H39" s="312">
        <f t="shared" si="2"/>
        <v>4001</v>
      </c>
      <c r="I39" s="378"/>
      <c r="J39" s="378"/>
      <c r="K39" s="834"/>
      <c r="L39" s="839">
        <f t="shared" si="22"/>
        <v>4031</v>
      </c>
      <c r="M39" s="378">
        <f t="shared" si="7"/>
        <v>-30</v>
      </c>
      <c r="N39" s="826">
        <f t="shared" si="8"/>
        <v>4001</v>
      </c>
    </row>
    <row r="40" spans="1:14" s="491" customFormat="1" ht="14.25" customHeight="1" x14ac:dyDescent="0.25">
      <c r="A40" s="1003" t="s">
        <v>637</v>
      </c>
      <c r="B40" s="302" t="s">
        <v>860</v>
      </c>
      <c r="C40" s="377"/>
      <c r="D40" s="378"/>
      <c r="E40" s="378"/>
      <c r="F40" s="643">
        <f>+SUM(F41:F45)</f>
        <v>18189</v>
      </c>
      <c r="G40" s="643">
        <f>+SUM(G41:G45)</f>
        <v>189</v>
      </c>
      <c r="H40" s="312">
        <f t="shared" si="2"/>
        <v>18378</v>
      </c>
      <c r="I40" s="378"/>
      <c r="J40" s="378"/>
      <c r="K40" s="834"/>
      <c r="L40" s="839">
        <f t="shared" si="22"/>
        <v>18189</v>
      </c>
      <c r="M40" s="378">
        <f t="shared" si="7"/>
        <v>189</v>
      </c>
      <c r="N40" s="826">
        <f t="shared" si="8"/>
        <v>18378</v>
      </c>
    </row>
    <row r="41" spans="1:14" s="491" customFormat="1" ht="14.25" customHeight="1" x14ac:dyDescent="0.25">
      <c r="A41" s="616" t="s">
        <v>637</v>
      </c>
      <c r="B41" s="376" t="s">
        <v>861</v>
      </c>
      <c r="C41" s="377"/>
      <c r="D41" s="378"/>
      <c r="E41" s="378"/>
      <c r="F41" s="893">
        <v>702</v>
      </c>
      <c r="G41" s="378">
        <v>-3</v>
      </c>
      <c r="H41" s="312">
        <f t="shared" si="2"/>
        <v>699</v>
      </c>
      <c r="I41" s="378"/>
      <c r="J41" s="378"/>
      <c r="K41" s="834"/>
      <c r="L41" s="839">
        <f t="shared" si="22"/>
        <v>702</v>
      </c>
      <c r="M41" s="378">
        <f t="shared" si="7"/>
        <v>-3</v>
      </c>
      <c r="N41" s="826">
        <f t="shared" si="8"/>
        <v>699</v>
      </c>
    </row>
    <row r="42" spans="1:14" s="491" customFormat="1" ht="14.25" customHeight="1" x14ac:dyDescent="0.25">
      <c r="A42" s="616" t="s">
        <v>637</v>
      </c>
      <c r="B42" s="376" t="s">
        <v>862</v>
      </c>
      <c r="C42" s="377"/>
      <c r="D42" s="378"/>
      <c r="E42" s="378"/>
      <c r="F42" s="893">
        <v>9537</v>
      </c>
      <c r="G42" s="378">
        <v>282</v>
      </c>
      <c r="H42" s="312">
        <f t="shared" si="2"/>
        <v>9819</v>
      </c>
      <c r="I42" s="378"/>
      <c r="J42" s="378"/>
      <c r="K42" s="834"/>
      <c r="L42" s="839">
        <f t="shared" si="22"/>
        <v>9537</v>
      </c>
      <c r="M42" s="378">
        <f t="shared" si="7"/>
        <v>282</v>
      </c>
      <c r="N42" s="826">
        <f t="shared" si="8"/>
        <v>9819</v>
      </c>
    </row>
    <row r="43" spans="1:14" s="491" customFormat="1" ht="14.25" customHeight="1" x14ac:dyDescent="0.25">
      <c r="A43" s="616" t="s">
        <v>637</v>
      </c>
      <c r="B43" s="379" t="s">
        <v>863</v>
      </c>
      <c r="C43" s="377"/>
      <c r="D43" s="378"/>
      <c r="E43" s="378"/>
      <c r="F43" s="894">
        <v>2129</v>
      </c>
      <c r="G43" s="378">
        <v>-14</v>
      </c>
      <c r="H43" s="312">
        <f t="shared" si="2"/>
        <v>2115</v>
      </c>
      <c r="I43" s="378"/>
      <c r="J43" s="378"/>
      <c r="K43" s="834"/>
      <c r="L43" s="839">
        <f t="shared" si="22"/>
        <v>2129</v>
      </c>
      <c r="M43" s="378">
        <f t="shared" si="7"/>
        <v>-14</v>
      </c>
      <c r="N43" s="826">
        <f t="shared" si="8"/>
        <v>2115</v>
      </c>
    </row>
    <row r="44" spans="1:14" s="491" customFormat="1" ht="15" customHeight="1" x14ac:dyDescent="0.25">
      <c r="A44" s="616" t="s">
        <v>637</v>
      </c>
      <c r="B44" s="379" t="s">
        <v>864</v>
      </c>
      <c r="C44" s="380"/>
      <c r="D44" s="381"/>
      <c r="E44" s="381"/>
      <c r="F44" s="894">
        <f>7809-2336</f>
        <v>5473</v>
      </c>
      <c r="G44" s="378">
        <v>-64</v>
      </c>
      <c r="H44" s="312">
        <f t="shared" si="2"/>
        <v>5409</v>
      </c>
      <c r="I44" s="378"/>
      <c r="J44" s="378"/>
      <c r="K44" s="834"/>
      <c r="L44" s="839">
        <f t="shared" si="22"/>
        <v>5473</v>
      </c>
      <c r="M44" s="378">
        <f t="shared" si="7"/>
        <v>-64</v>
      </c>
      <c r="N44" s="826">
        <f t="shared" si="8"/>
        <v>5409</v>
      </c>
    </row>
    <row r="45" spans="1:14" s="491" customFormat="1" ht="15" customHeight="1" x14ac:dyDescent="0.25">
      <c r="A45" s="616" t="s">
        <v>637</v>
      </c>
      <c r="B45" s="379" t="s">
        <v>865</v>
      </c>
      <c r="C45" s="380"/>
      <c r="D45" s="381"/>
      <c r="E45" s="381"/>
      <c r="F45" s="894">
        <v>348</v>
      </c>
      <c r="G45" s="381">
        <v>-12</v>
      </c>
      <c r="H45" s="312">
        <f t="shared" si="2"/>
        <v>336</v>
      </c>
      <c r="I45" s="381"/>
      <c r="J45" s="381"/>
      <c r="K45" s="835"/>
      <c r="L45" s="839">
        <f t="shared" si="22"/>
        <v>348</v>
      </c>
      <c r="M45" s="378">
        <f t="shared" si="7"/>
        <v>-12</v>
      </c>
      <c r="N45" s="826">
        <f t="shared" si="8"/>
        <v>336</v>
      </c>
    </row>
    <row r="46" spans="1:14" s="303" customFormat="1" ht="26.25" customHeight="1" thickBot="1" x14ac:dyDescent="0.3">
      <c r="A46" s="827"/>
      <c r="B46" s="828" t="s">
        <v>616</v>
      </c>
      <c r="C46" s="829"/>
      <c r="D46" s="829"/>
      <c r="E46" s="829"/>
      <c r="F46" s="829"/>
      <c r="G46" s="829"/>
      <c r="H46" s="829">
        <f t="shared" si="2"/>
        <v>0</v>
      </c>
      <c r="I46" s="829"/>
      <c r="J46" s="829"/>
      <c r="K46" s="836"/>
      <c r="L46" s="840">
        <f t="shared" si="22"/>
        <v>0</v>
      </c>
      <c r="M46" s="830">
        <f t="shared" si="7"/>
        <v>0</v>
      </c>
      <c r="N46" s="831">
        <f t="shared" si="8"/>
        <v>0</v>
      </c>
    </row>
    <row r="47" spans="1:14" ht="13.5" thickBot="1" x14ac:dyDescent="0.25">
      <c r="A47" s="1313" t="s">
        <v>179</v>
      </c>
      <c r="B47" s="1314"/>
      <c r="C47" s="57">
        <f>+C20+C10+C9+C5+C4</f>
        <v>125429</v>
      </c>
      <c r="D47" s="57">
        <f>+D20+D10</f>
        <v>4905</v>
      </c>
      <c r="E47" s="57">
        <f>+E20+E10+E9+E5+E4</f>
        <v>130334</v>
      </c>
      <c r="F47" s="57">
        <f>SUM(F4:F22)+F27</f>
        <v>119952</v>
      </c>
      <c r="G47" s="57">
        <f>SUM(G4:G22)+G27</f>
        <v>23902</v>
      </c>
      <c r="H47" s="57">
        <f>SUM(H4:H22)+H27</f>
        <v>143854</v>
      </c>
      <c r="I47" s="57">
        <f>SUM(I4:I46)</f>
        <v>0</v>
      </c>
      <c r="J47" s="57">
        <f>SUM(J4:J46)</f>
        <v>0</v>
      </c>
      <c r="K47" s="764">
        <f>SUM(K4:K46)</f>
        <v>0</v>
      </c>
      <c r="L47" s="841">
        <f>+C47+F47+I47</f>
        <v>245381</v>
      </c>
      <c r="M47" s="382">
        <f t="shared" ref="M47" si="29">+D47+G47</f>
        <v>28807</v>
      </c>
      <c r="N47" s="823">
        <f t="shared" ref="N47" si="30">+E47+H47</f>
        <v>274188</v>
      </c>
    </row>
  </sheetData>
  <mergeCells count="23">
    <mergeCell ref="A22:B22"/>
    <mergeCell ref="C5:C7"/>
    <mergeCell ref="E5:E7"/>
    <mergeCell ref="D5:D7"/>
    <mergeCell ref="A47:B47"/>
    <mergeCell ref="A10:B10"/>
    <mergeCell ref="A20:B20"/>
    <mergeCell ref="A27:B27"/>
    <mergeCell ref="A1:A2"/>
    <mergeCell ref="B1:B2"/>
    <mergeCell ref="A21:B21"/>
    <mergeCell ref="A5:A7"/>
    <mergeCell ref="B5:B7"/>
    <mergeCell ref="C1:E1"/>
    <mergeCell ref="F1:H1"/>
    <mergeCell ref="C2:E2"/>
    <mergeCell ref="I1:K1"/>
    <mergeCell ref="I2:K2"/>
    <mergeCell ref="F5:F7"/>
    <mergeCell ref="G5:G7"/>
    <mergeCell ref="H5:H7"/>
    <mergeCell ref="L1:N2"/>
    <mergeCell ref="F2:H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&amp;C&amp;"Times New Roman,Félkövér"&amp;12Martonvásár Város Önkormányzatának kiadásai 2020.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00"/>
  <sheetViews>
    <sheetView zoomScaleNormal="100" zoomScaleSheetLayoutView="80" workbookViewId="0">
      <pane xSplit="3" ySplit="4" topLeftCell="D35" activePane="bottomRight" state="frozen"/>
      <selection pane="topRight" activeCell="D1" sqref="D1"/>
      <selection pane="bottomLeft" activeCell="A5" sqref="A5"/>
      <selection pane="bottomRight" activeCell="C67" sqref="C67"/>
    </sheetView>
  </sheetViews>
  <sheetFormatPr defaultColWidth="9.140625" defaultRowHeight="15" x14ac:dyDescent="0.25"/>
  <cols>
    <col min="1" max="1" width="6.140625" style="756" customWidth="1"/>
    <col min="2" max="2" width="7.140625" style="25" customWidth="1"/>
    <col min="3" max="3" width="42.42578125" style="25" customWidth="1"/>
    <col min="4" max="4" width="8.85546875" style="17" customWidth="1"/>
    <col min="5" max="5" width="10.5703125" style="17" bestFit="1" customWidth="1"/>
    <col min="6" max="6" width="10" style="17" customWidth="1"/>
    <col min="7" max="8" width="7.28515625" style="17" customWidth="1"/>
    <col min="9" max="9" width="8.140625" style="17" bestFit="1" customWidth="1"/>
    <col min="10" max="11" width="7.7109375" style="17" customWidth="1"/>
    <col min="12" max="12" width="8" style="17" bestFit="1" customWidth="1"/>
    <col min="13" max="14" width="7.7109375" style="17" customWidth="1"/>
    <col min="15" max="15" width="9.7109375" style="17" customWidth="1"/>
    <col min="16" max="16" width="7" style="17" customWidth="1"/>
    <col min="17" max="17" width="6.7109375" style="17" customWidth="1"/>
    <col min="18" max="18" width="7" style="17" customWidth="1"/>
    <col min="19" max="19" width="7" style="17" hidden="1" customWidth="1"/>
    <col min="20" max="20" width="6.42578125" style="17" hidden="1" customWidth="1"/>
    <col min="21" max="21" width="7.42578125" style="17" hidden="1" customWidth="1"/>
    <col min="22" max="22" width="7.7109375" style="17" customWidth="1"/>
    <col min="23" max="23" width="5.85546875" style="17" customWidth="1"/>
    <col min="24" max="24" width="6.42578125" style="17" customWidth="1"/>
    <col min="25" max="25" width="7.42578125" style="17" customWidth="1"/>
    <col min="26" max="27" width="6.42578125" style="17" customWidth="1"/>
    <col min="28" max="28" width="7.140625" style="633" customWidth="1"/>
    <col min="29" max="30" width="6.42578125" style="633" customWidth="1"/>
    <col min="31" max="31" width="7.140625" style="633" customWidth="1"/>
    <col min="32" max="33" width="6.42578125" style="633" customWidth="1"/>
    <col min="34" max="34" width="8" style="17" customWidth="1"/>
    <col min="35" max="35" width="8.42578125" style="17" customWidth="1"/>
    <col min="36" max="36" width="9.140625" style="17" customWidth="1"/>
    <col min="37" max="39" width="8.85546875" style="1" customWidth="1"/>
    <col min="40" max="16384" width="9.140625" style="17"/>
  </cols>
  <sheetData>
    <row r="1" spans="1:36" s="1" customFormat="1" ht="16.5" thickBot="1" x14ac:dyDescent="0.3">
      <c r="A1" s="1318"/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8"/>
      <c r="Q1" s="1318"/>
      <c r="R1" s="1318"/>
      <c r="S1" s="1318"/>
      <c r="T1" s="1318"/>
      <c r="U1" s="1318"/>
      <c r="V1" s="1318"/>
      <c r="W1" s="1318"/>
      <c r="X1" s="1318"/>
      <c r="Y1" s="1318"/>
      <c r="Z1" s="1318"/>
      <c r="AA1" s="1318"/>
      <c r="AB1" s="1318"/>
      <c r="AC1" s="1318"/>
      <c r="AD1" s="1318"/>
      <c r="AE1" s="1318"/>
      <c r="AF1" s="1318"/>
      <c r="AG1" s="1318"/>
      <c r="AH1" s="1318"/>
      <c r="AI1" s="1318"/>
      <c r="AJ1" s="1318"/>
    </row>
    <row r="2" spans="1:36" s="31" customFormat="1" ht="38.25" customHeight="1" x14ac:dyDescent="0.25">
      <c r="A2" s="1236" t="s">
        <v>0</v>
      </c>
      <c r="B2" s="1238" t="s">
        <v>181</v>
      </c>
      <c r="C2" s="1239"/>
      <c r="D2" s="1258" t="s">
        <v>179</v>
      </c>
      <c r="E2" s="1229"/>
      <c r="F2" s="1230"/>
      <c r="G2" s="1319" t="s">
        <v>180</v>
      </c>
      <c r="H2" s="1226"/>
      <c r="I2" s="1226"/>
      <c r="J2" s="1226" t="s">
        <v>563</v>
      </c>
      <c r="K2" s="1226"/>
      <c r="L2" s="1226"/>
      <c r="M2" s="1229" t="s">
        <v>866</v>
      </c>
      <c r="N2" s="1229"/>
      <c r="O2" s="1229"/>
      <c r="P2" s="1323" t="s">
        <v>878</v>
      </c>
      <c r="Q2" s="1324"/>
      <c r="R2" s="1319"/>
      <c r="S2" s="1323" t="s">
        <v>192</v>
      </c>
      <c r="T2" s="1324"/>
      <c r="U2" s="1319"/>
      <c r="V2" s="1229" t="s">
        <v>743</v>
      </c>
      <c r="W2" s="1229"/>
      <c r="X2" s="1229"/>
      <c r="Y2" s="1320" t="s">
        <v>297</v>
      </c>
      <c r="Z2" s="1320"/>
      <c r="AA2" s="1320"/>
      <c r="AB2" s="1322" t="s">
        <v>666</v>
      </c>
      <c r="AC2" s="1322"/>
      <c r="AD2" s="1322"/>
      <c r="AE2" s="1322" t="s">
        <v>1008</v>
      </c>
      <c r="AF2" s="1322"/>
      <c r="AG2" s="1322"/>
      <c r="AH2" s="1229" t="s">
        <v>264</v>
      </c>
      <c r="AI2" s="1229"/>
      <c r="AJ2" s="1230"/>
    </row>
    <row r="3" spans="1:36" s="31" customFormat="1" ht="12.75" customHeight="1" x14ac:dyDescent="0.25">
      <c r="A3" s="1237"/>
      <c r="B3" s="1221"/>
      <c r="C3" s="1240"/>
      <c r="D3" s="1247"/>
      <c r="E3" s="1227"/>
      <c r="F3" s="1231"/>
      <c r="G3" s="1247" t="s">
        <v>188</v>
      </c>
      <c r="H3" s="1227"/>
      <c r="I3" s="1227"/>
      <c r="J3" s="1227" t="s">
        <v>188</v>
      </c>
      <c r="K3" s="1227"/>
      <c r="L3" s="1227"/>
      <c r="M3" s="1227" t="s">
        <v>188</v>
      </c>
      <c r="N3" s="1227"/>
      <c r="O3" s="1227"/>
      <c r="P3" s="1228" t="s">
        <v>188</v>
      </c>
      <c r="Q3" s="1251"/>
      <c r="R3" s="1247"/>
      <c r="S3" s="1228" t="s">
        <v>188</v>
      </c>
      <c r="T3" s="1251"/>
      <c r="U3" s="1247"/>
      <c r="V3" s="1227" t="s">
        <v>188</v>
      </c>
      <c r="W3" s="1227"/>
      <c r="X3" s="1227"/>
      <c r="Y3" s="1321" t="s">
        <v>189</v>
      </c>
      <c r="Z3" s="1321"/>
      <c r="AA3" s="1321"/>
      <c r="AB3" s="1317"/>
      <c r="AC3" s="1317"/>
      <c r="AD3" s="1317"/>
      <c r="AE3" s="1317"/>
      <c r="AF3" s="1317"/>
      <c r="AG3" s="1317"/>
      <c r="AH3" s="1227"/>
      <c r="AI3" s="1227"/>
      <c r="AJ3" s="1231"/>
    </row>
    <row r="4" spans="1:36" s="16" customFormat="1" ht="25.5" x14ac:dyDescent="0.25">
      <c r="A4" s="1237"/>
      <c r="B4" s="1221"/>
      <c r="C4" s="1240"/>
      <c r="D4" s="773" t="s">
        <v>950</v>
      </c>
      <c r="E4" s="750" t="s">
        <v>694</v>
      </c>
      <c r="F4" s="766" t="s">
        <v>948</v>
      </c>
      <c r="G4" s="773" t="s">
        <v>950</v>
      </c>
      <c r="H4" s="750" t="s">
        <v>694</v>
      </c>
      <c r="I4" s="750" t="s">
        <v>948</v>
      </c>
      <c r="J4" s="1067" t="s">
        <v>947</v>
      </c>
      <c r="K4" s="750" t="s">
        <v>694</v>
      </c>
      <c r="L4" s="1067" t="s">
        <v>948</v>
      </c>
      <c r="M4" s="1109" t="s">
        <v>947</v>
      </c>
      <c r="N4" s="1109" t="s">
        <v>694</v>
      </c>
      <c r="O4" s="1109" t="s">
        <v>948</v>
      </c>
      <c r="P4" s="1109" t="s">
        <v>947</v>
      </c>
      <c r="Q4" s="1109" t="s">
        <v>694</v>
      </c>
      <c r="R4" s="1109" t="s">
        <v>948</v>
      </c>
      <c r="S4" s="750" t="s">
        <v>176</v>
      </c>
      <c r="T4" s="750" t="s">
        <v>177</v>
      </c>
      <c r="U4" s="750" t="s">
        <v>178</v>
      </c>
      <c r="V4" s="1109" t="s">
        <v>947</v>
      </c>
      <c r="W4" s="1109" t="s">
        <v>694</v>
      </c>
      <c r="X4" s="1109" t="s">
        <v>948</v>
      </c>
      <c r="Y4" s="1109" t="s">
        <v>947</v>
      </c>
      <c r="Z4" s="1109" t="s">
        <v>694</v>
      </c>
      <c r="AA4" s="1109" t="s">
        <v>948</v>
      </c>
      <c r="AB4" s="1109" t="s">
        <v>947</v>
      </c>
      <c r="AC4" s="1109" t="s">
        <v>694</v>
      </c>
      <c r="AD4" s="1109" t="s">
        <v>948</v>
      </c>
      <c r="AE4" s="1122" t="s">
        <v>947</v>
      </c>
      <c r="AF4" s="1122" t="s">
        <v>694</v>
      </c>
      <c r="AG4" s="1122" t="s">
        <v>948</v>
      </c>
      <c r="AH4" s="1109" t="s">
        <v>947</v>
      </c>
      <c r="AI4" s="1109" t="s">
        <v>694</v>
      </c>
      <c r="AJ4" s="1109" t="s">
        <v>948</v>
      </c>
    </row>
    <row r="5" spans="1:36" s="42" customFormat="1" ht="12.95" customHeight="1" x14ac:dyDescent="0.2">
      <c r="A5" s="513" t="s">
        <v>27</v>
      </c>
      <c r="B5" s="1215" t="s">
        <v>173</v>
      </c>
      <c r="C5" s="1200"/>
      <c r="D5" s="575">
        <f>+G5+M5+P5+S5+V5+AH5+J5+Y5+AB5+AE5</f>
        <v>234</v>
      </c>
      <c r="E5" s="575">
        <f>+H5+N5+Q5+T5+W5+AI5+K5+Z5+AC5+AF5</f>
        <v>21</v>
      </c>
      <c r="F5" s="514">
        <f>+I5+O5+R5+U5+X5+AJ5+L5+AA5+AD5+AG5</f>
        <v>255</v>
      </c>
      <c r="G5" s="575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/>
      <c r="V5" s="53">
        <v>234</v>
      </c>
      <c r="W5" s="53">
        <f>6+4+11</f>
        <v>21</v>
      </c>
      <c r="X5" s="53">
        <f>+W5+V5</f>
        <v>255</v>
      </c>
      <c r="Y5" s="53"/>
      <c r="Z5" s="53"/>
      <c r="AA5" s="53">
        <f>+Z5+Y5</f>
        <v>0</v>
      </c>
      <c r="AB5" s="765"/>
      <c r="AC5" s="765"/>
      <c r="AD5" s="765">
        <f>+AC5+AB5</f>
        <v>0</v>
      </c>
      <c r="AE5" s="765"/>
      <c r="AF5" s="765"/>
      <c r="AG5" s="765">
        <f>+AF5+AE5</f>
        <v>0</v>
      </c>
      <c r="AH5" s="53"/>
      <c r="AI5" s="53"/>
      <c r="AJ5" s="514">
        <f>+AI5+AH5</f>
        <v>0</v>
      </c>
    </row>
    <row r="6" spans="1:36" s="42" customFormat="1" ht="12.95" customHeight="1" x14ac:dyDescent="0.2">
      <c r="A6" s="513" t="s">
        <v>33</v>
      </c>
      <c r="B6" s="1215" t="s">
        <v>172</v>
      </c>
      <c r="C6" s="1200"/>
      <c r="D6" s="575">
        <f t="shared" ref="D6:D7" si="0">+G6+M6+P6+S6+V6+AH6+J6+Y6+AB6+AE6</f>
        <v>368</v>
      </c>
      <c r="E6" s="575">
        <f t="shared" ref="E6:E7" si="1">+H6+N6+Q6+T6+W6+AI6+K6+Z6+AC6+AF6</f>
        <v>0</v>
      </c>
      <c r="F6" s="514">
        <f t="shared" ref="F6:F7" si="2">+I6+O6+R6+U6+X6+AJ6+L6+AA6+AD6+AG6</f>
        <v>368</v>
      </c>
      <c r="G6" s="575"/>
      <c r="H6" s="53"/>
      <c r="I6" s="53">
        <f t="shared" ref="I6:I67" si="3">+H6+G6</f>
        <v>0</v>
      </c>
      <c r="J6" s="53">
        <v>360</v>
      </c>
      <c r="K6" s="53"/>
      <c r="L6" s="53">
        <f t="shared" ref="L6:L67" si="4">+K6+J6</f>
        <v>360</v>
      </c>
      <c r="M6" s="53"/>
      <c r="N6" s="53"/>
      <c r="O6" s="53">
        <f t="shared" ref="O6:O67" si="5">+N6+M6</f>
        <v>0</v>
      </c>
      <c r="P6" s="53"/>
      <c r="Q6" s="53"/>
      <c r="R6" s="53"/>
      <c r="S6" s="53"/>
      <c r="T6" s="53"/>
      <c r="U6" s="53"/>
      <c r="V6" s="53"/>
      <c r="W6" s="53"/>
      <c r="X6" s="53">
        <f t="shared" ref="X6:X67" si="6">+W6+V6</f>
        <v>0</v>
      </c>
      <c r="Y6" s="53"/>
      <c r="Z6" s="53"/>
      <c r="AA6" s="53">
        <f t="shared" ref="AA6:AA67" si="7">+Z6+Y6</f>
        <v>0</v>
      </c>
      <c r="AB6" s="765">
        <v>8</v>
      </c>
      <c r="AC6" s="765"/>
      <c r="AD6" s="765">
        <f t="shared" ref="AD6:AD67" si="8">+AC6+AB6</f>
        <v>8</v>
      </c>
      <c r="AE6" s="765"/>
      <c r="AF6" s="765"/>
      <c r="AG6" s="765">
        <f t="shared" ref="AG6:AG7" si="9">+AF6+AE6</f>
        <v>0</v>
      </c>
      <c r="AH6" s="53"/>
      <c r="AI6" s="53"/>
      <c r="AJ6" s="514">
        <f t="shared" ref="AJ6:AJ68" si="10">+AI6+AH6</f>
        <v>0</v>
      </c>
    </row>
    <row r="7" spans="1:36" s="42" customFormat="1" ht="12.95" customHeight="1" x14ac:dyDescent="0.2">
      <c r="A7" s="513" t="s">
        <v>34</v>
      </c>
      <c r="B7" s="1215" t="s">
        <v>171</v>
      </c>
      <c r="C7" s="1200"/>
      <c r="D7" s="575">
        <f t="shared" si="0"/>
        <v>602</v>
      </c>
      <c r="E7" s="575">
        <f t="shared" si="1"/>
        <v>21</v>
      </c>
      <c r="F7" s="514">
        <f t="shared" si="2"/>
        <v>623</v>
      </c>
      <c r="G7" s="53">
        <f>SUM(G5:G6)</f>
        <v>0</v>
      </c>
      <c r="H7" s="53">
        <f t="shared" ref="H7" si="11">SUM(H5:H6)</f>
        <v>0</v>
      </c>
      <c r="I7" s="53">
        <f t="shared" si="3"/>
        <v>0</v>
      </c>
      <c r="J7" s="53">
        <f t="shared" ref="J7" si="12">SUM(J5:J6)</f>
        <v>360</v>
      </c>
      <c r="K7" s="53">
        <f t="shared" ref="K7" si="13">SUM(K5:K6)</f>
        <v>0</v>
      </c>
      <c r="L7" s="53">
        <f t="shared" si="4"/>
        <v>360</v>
      </c>
      <c r="M7" s="53">
        <f t="shared" ref="M7:N7" si="14">SUM(M5:M6)</f>
        <v>0</v>
      </c>
      <c r="N7" s="53">
        <f t="shared" si="14"/>
        <v>0</v>
      </c>
      <c r="O7" s="53">
        <f t="shared" si="5"/>
        <v>0</v>
      </c>
      <c r="P7" s="53">
        <f t="shared" ref="P7:Q7" si="15">SUM(P5:P6)</f>
        <v>0</v>
      </c>
      <c r="Q7" s="53">
        <f t="shared" si="15"/>
        <v>0</v>
      </c>
      <c r="R7" s="53">
        <f t="shared" ref="R7" si="16">+Q7+P7</f>
        <v>0</v>
      </c>
      <c r="S7" s="53">
        <f t="shared" ref="S7:T7" si="17">SUM(S5:S6)</f>
        <v>0</v>
      </c>
      <c r="T7" s="53">
        <f t="shared" si="17"/>
        <v>0</v>
      </c>
      <c r="U7" s="53">
        <f t="shared" ref="U7" si="18">+T7+S7</f>
        <v>0</v>
      </c>
      <c r="V7" s="53">
        <f>SUM(V5:V6)</f>
        <v>234</v>
      </c>
      <c r="W7" s="53">
        <f>SUM(W5:W6)</f>
        <v>21</v>
      </c>
      <c r="X7" s="53">
        <f t="shared" si="6"/>
        <v>255</v>
      </c>
      <c r="Y7" s="53">
        <f t="shared" ref="Y7:Z7" si="19">SUM(Y5:Y6)</f>
        <v>0</v>
      </c>
      <c r="Z7" s="53">
        <f t="shared" si="19"/>
        <v>0</v>
      </c>
      <c r="AA7" s="53">
        <f t="shared" si="7"/>
        <v>0</v>
      </c>
      <c r="AB7" s="53">
        <f t="shared" ref="AB7:AC7" si="20">SUM(AB5:AB6)</f>
        <v>8</v>
      </c>
      <c r="AC7" s="53">
        <f t="shared" si="20"/>
        <v>0</v>
      </c>
      <c r="AD7" s="53">
        <f t="shared" si="8"/>
        <v>8</v>
      </c>
      <c r="AE7" s="53">
        <f t="shared" ref="AE7:AF7" si="21">SUM(AE5:AE6)</f>
        <v>0</v>
      </c>
      <c r="AF7" s="53">
        <f t="shared" si="21"/>
        <v>0</v>
      </c>
      <c r="AG7" s="53">
        <f t="shared" si="9"/>
        <v>0</v>
      </c>
      <c r="AH7" s="53">
        <f t="shared" ref="AH7:AI7" si="22">SUM(AH5:AH6)</f>
        <v>0</v>
      </c>
      <c r="AI7" s="53">
        <f t="shared" si="22"/>
        <v>0</v>
      </c>
      <c r="AJ7" s="514">
        <f t="shared" si="10"/>
        <v>0</v>
      </c>
    </row>
    <row r="8" spans="1:36" ht="10.5" customHeight="1" x14ac:dyDescent="0.25">
      <c r="A8" s="515"/>
      <c r="B8" s="751"/>
      <c r="C8" s="308"/>
      <c r="D8" s="199"/>
      <c r="E8" s="199"/>
      <c r="F8" s="577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56"/>
      <c r="S8" s="56"/>
      <c r="T8" s="56"/>
      <c r="U8" s="56"/>
      <c r="V8" s="56"/>
      <c r="W8" s="56"/>
      <c r="X8" s="199"/>
      <c r="Y8" s="56"/>
      <c r="Z8" s="56"/>
      <c r="AA8" s="199"/>
      <c r="AB8" s="617"/>
      <c r="AC8" s="617"/>
      <c r="AD8" s="933"/>
      <c r="AE8" s="617"/>
      <c r="AF8" s="617"/>
      <c r="AG8" s="933"/>
      <c r="AH8" s="56"/>
      <c r="AI8" s="56"/>
      <c r="AJ8" s="577"/>
    </row>
    <row r="9" spans="1:36" s="42" customFormat="1" ht="12.95" customHeight="1" x14ac:dyDescent="0.2">
      <c r="A9" s="513" t="s">
        <v>35</v>
      </c>
      <c r="B9" s="1215" t="s">
        <v>170</v>
      </c>
      <c r="C9" s="1200"/>
      <c r="D9" s="575">
        <f>+G9+M9+P9+S9+V9+AH9+J9+Y9+AB9+AE9</f>
        <v>83</v>
      </c>
      <c r="E9" s="575">
        <f>+H9+N9+Q9+T9+W9+AI9+K9+Z9+AC9+AF9</f>
        <v>2</v>
      </c>
      <c r="F9" s="514">
        <f>+I9+O9+R9+U9+X9+AJ9+L9+AA9+AD9+AG9</f>
        <v>85</v>
      </c>
      <c r="G9" s="575"/>
      <c r="H9" s="53"/>
      <c r="I9" s="53">
        <f t="shared" si="3"/>
        <v>0</v>
      </c>
      <c r="J9" s="53">
        <v>63</v>
      </c>
      <c r="K9" s="53"/>
      <c r="L9" s="53">
        <f t="shared" si="4"/>
        <v>63</v>
      </c>
      <c r="M9" s="53"/>
      <c r="N9" s="53"/>
      <c r="O9" s="53">
        <f t="shared" si="5"/>
        <v>0</v>
      </c>
      <c r="P9" s="53"/>
      <c r="Q9" s="53"/>
      <c r="R9" s="53"/>
      <c r="S9" s="53"/>
      <c r="T9" s="53"/>
      <c r="U9" s="53"/>
      <c r="V9" s="53">
        <v>20</v>
      </c>
      <c r="W9" s="53">
        <f>-6+8</f>
        <v>2</v>
      </c>
      <c r="X9" s="53">
        <f t="shared" si="6"/>
        <v>22</v>
      </c>
      <c r="Y9" s="53"/>
      <c r="Z9" s="53"/>
      <c r="AA9" s="53">
        <f t="shared" si="7"/>
        <v>0</v>
      </c>
      <c r="AB9" s="765">
        <v>0</v>
      </c>
      <c r="AC9" s="765"/>
      <c r="AD9" s="765">
        <f t="shared" si="8"/>
        <v>0</v>
      </c>
      <c r="AE9" s="765">
        <v>0</v>
      </c>
      <c r="AF9" s="765"/>
      <c r="AG9" s="765">
        <f t="shared" ref="AG9" si="23">+AF9+AE9</f>
        <v>0</v>
      </c>
      <c r="AH9" s="53"/>
      <c r="AI9" s="53"/>
      <c r="AJ9" s="514">
        <f t="shared" si="10"/>
        <v>0</v>
      </c>
    </row>
    <row r="10" spans="1:36" ht="10.5" customHeight="1" x14ac:dyDescent="0.25">
      <c r="A10" s="96"/>
      <c r="C10" s="309"/>
      <c r="D10" s="199"/>
      <c r="E10" s="199"/>
      <c r="F10" s="577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56"/>
      <c r="S10" s="56"/>
      <c r="T10" s="56"/>
      <c r="U10" s="56"/>
      <c r="V10" s="56"/>
      <c r="W10" s="56"/>
      <c r="X10" s="199"/>
      <c r="Y10" s="56"/>
      <c r="Z10" s="56"/>
      <c r="AA10" s="199"/>
      <c r="AB10" s="617"/>
      <c r="AC10" s="617"/>
      <c r="AD10" s="933"/>
      <c r="AE10" s="617"/>
      <c r="AF10" s="617"/>
      <c r="AG10" s="933"/>
      <c r="AH10" s="56"/>
      <c r="AI10" s="56"/>
      <c r="AJ10" s="577"/>
    </row>
    <row r="11" spans="1:36" ht="12.95" customHeight="1" x14ac:dyDescent="0.25">
      <c r="A11" s="516" t="s">
        <v>42</v>
      </c>
      <c r="B11" s="1211" t="s">
        <v>41</v>
      </c>
      <c r="C11" s="1210"/>
      <c r="D11" s="575">
        <f t="shared" ref="D11:D35" si="24">+G11+M11+P11+S11+V11+AH11+J11+Y11+AB11+AE11</f>
        <v>0</v>
      </c>
      <c r="E11" s="575">
        <f t="shared" ref="E11:E35" si="25">+H11+N11+Q11+T11+W11+AI11+K11+Z11+AC11+AF11</f>
        <v>710</v>
      </c>
      <c r="F11" s="514">
        <f t="shared" ref="F11:F35" si="26">+I11+O11+R11+U11+X11+AJ11+L11+AA11+AD11+AG11</f>
        <v>710</v>
      </c>
      <c r="G11" s="29"/>
      <c r="H11" s="27"/>
      <c r="I11" s="53">
        <f t="shared" si="3"/>
        <v>0</v>
      </c>
      <c r="J11" s="27"/>
      <c r="K11" s="27"/>
      <c r="L11" s="53">
        <f t="shared" si="4"/>
        <v>0</v>
      </c>
      <c r="M11" s="27"/>
      <c r="N11" s="27"/>
      <c r="O11" s="53">
        <f t="shared" si="5"/>
        <v>0</v>
      </c>
      <c r="P11" s="27"/>
      <c r="Q11" s="27"/>
      <c r="R11" s="27"/>
      <c r="S11" s="27"/>
      <c r="T11" s="27"/>
      <c r="U11" s="27"/>
      <c r="V11" s="27"/>
      <c r="W11" s="27"/>
      <c r="X11" s="53">
        <f t="shared" si="6"/>
        <v>0</v>
      </c>
      <c r="Y11" s="27"/>
      <c r="Z11" s="27"/>
      <c r="AA11" s="53">
        <f t="shared" si="7"/>
        <v>0</v>
      </c>
      <c r="AB11" s="456"/>
      <c r="AC11" s="456"/>
      <c r="AD11" s="765">
        <f t="shared" si="8"/>
        <v>0</v>
      </c>
      <c r="AE11" s="456"/>
      <c r="AF11" s="456">
        <v>710</v>
      </c>
      <c r="AG11" s="765">
        <f t="shared" ref="AG11:AG35" si="27">+AF11+AE11</f>
        <v>710</v>
      </c>
      <c r="AH11" s="27"/>
      <c r="AI11" s="27"/>
      <c r="AJ11" s="514">
        <f t="shared" si="10"/>
        <v>0</v>
      </c>
    </row>
    <row r="12" spans="1:36" ht="12.95" customHeight="1" x14ac:dyDescent="0.25">
      <c r="A12" s="516" t="s">
        <v>44</v>
      </c>
      <c r="B12" s="1211" t="s">
        <v>43</v>
      </c>
      <c r="C12" s="1210"/>
      <c r="D12" s="575">
        <f t="shared" si="24"/>
        <v>607</v>
      </c>
      <c r="E12" s="575">
        <f t="shared" si="25"/>
        <v>88</v>
      </c>
      <c r="F12" s="514">
        <f t="shared" si="26"/>
        <v>695</v>
      </c>
      <c r="G12" s="29"/>
      <c r="H12" s="27"/>
      <c r="I12" s="53">
        <f t="shared" si="3"/>
        <v>0</v>
      </c>
      <c r="J12" s="27"/>
      <c r="K12" s="27"/>
      <c r="L12" s="53">
        <f t="shared" si="4"/>
        <v>0</v>
      </c>
      <c r="M12" s="27"/>
      <c r="N12" s="27"/>
      <c r="O12" s="53">
        <f t="shared" si="5"/>
        <v>0</v>
      </c>
      <c r="P12" s="27">
        <v>593</v>
      </c>
      <c r="Q12" s="27">
        <v>88</v>
      </c>
      <c r="R12" s="27">
        <f>+P12+Q12</f>
        <v>681</v>
      </c>
      <c r="S12" s="27"/>
      <c r="T12" s="27"/>
      <c r="U12" s="27"/>
      <c r="V12" s="27"/>
      <c r="W12" s="27"/>
      <c r="X12" s="53">
        <f t="shared" si="6"/>
        <v>0</v>
      </c>
      <c r="Y12" s="27"/>
      <c r="Z12" s="27"/>
      <c r="AA12" s="53">
        <f t="shared" si="7"/>
        <v>0</v>
      </c>
      <c r="AB12" s="456">
        <v>14</v>
      </c>
      <c r="AC12" s="456"/>
      <c r="AD12" s="765">
        <f t="shared" si="8"/>
        <v>14</v>
      </c>
      <c r="AE12" s="456"/>
      <c r="AF12" s="456"/>
      <c r="AG12" s="765">
        <f t="shared" si="27"/>
        <v>0</v>
      </c>
      <c r="AH12" s="27"/>
      <c r="AI12" s="27"/>
      <c r="AJ12" s="514">
        <f t="shared" si="10"/>
        <v>0</v>
      </c>
    </row>
    <row r="13" spans="1:36" ht="12.95" customHeight="1" x14ac:dyDescent="0.25">
      <c r="A13" s="516" t="s">
        <v>46</v>
      </c>
      <c r="B13" s="1211" t="s">
        <v>45</v>
      </c>
      <c r="C13" s="1210"/>
      <c r="D13" s="575">
        <f t="shared" si="24"/>
        <v>0</v>
      </c>
      <c r="E13" s="575">
        <f t="shared" si="25"/>
        <v>0</v>
      </c>
      <c r="F13" s="514">
        <f t="shared" si="26"/>
        <v>0</v>
      </c>
      <c r="G13" s="29"/>
      <c r="H13" s="27"/>
      <c r="I13" s="53">
        <f t="shared" si="3"/>
        <v>0</v>
      </c>
      <c r="J13" s="27"/>
      <c r="K13" s="27"/>
      <c r="L13" s="53">
        <f t="shared" si="4"/>
        <v>0</v>
      </c>
      <c r="M13" s="27"/>
      <c r="N13" s="27"/>
      <c r="O13" s="53">
        <f t="shared" si="5"/>
        <v>0</v>
      </c>
      <c r="P13" s="27"/>
      <c r="Q13" s="27"/>
      <c r="R13" s="27"/>
      <c r="S13" s="27"/>
      <c r="T13" s="27"/>
      <c r="U13" s="27"/>
      <c r="V13" s="27"/>
      <c r="W13" s="27"/>
      <c r="X13" s="53">
        <f t="shared" si="6"/>
        <v>0</v>
      </c>
      <c r="Y13" s="27"/>
      <c r="Z13" s="27"/>
      <c r="AA13" s="53">
        <f t="shared" si="7"/>
        <v>0</v>
      </c>
      <c r="AB13" s="456"/>
      <c r="AC13" s="456"/>
      <c r="AD13" s="765">
        <f t="shared" si="8"/>
        <v>0</v>
      </c>
      <c r="AE13" s="456"/>
      <c r="AF13" s="456"/>
      <c r="AG13" s="765">
        <f t="shared" si="27"/>
        <v>0</v>
      </c>
      <c r="AH13" s="27"/>
      <c r="AI13" s="27"/>
      <c r="AJ13" s="514">
        <f t="shared" si="10"/>
        <v>0</v>
      </c>
    </row>
    <row r="14" spans="1:36" s="42" customFormat="1" ht="12.95" customHeight="1" x14ac:dyDescent="0.2">
      <c r="A14" s="513" t="s">
        <v>47</v>
      </c>
      <c r="B14" s="1215" t="s">
        <v>169</v>
      </c>
      <c r="C14" s="1200"/>
      <c r="D14" s="575">
        <f t="shared" si="24"/>
        <v>607</v>
      </c>
      <c r="E14" s="575">
        <f t="shared" si="25"/>
        <v>798</v>
      </c>
      <c r="F14" s="514">
        <f t="shared" si="26"/>
        <v>1405</v>
      </c>
      <c r="G14" s="575">
        <f t="shared" ref="G14" si="28">SUM(G11:G13)</f>
        <v>0</v>
      </c>
      <c r="H14" s="53">
        <f t="shared" ref="H14" si="29">SUM(H11:H13)</f>
        <v>0</v>
      </c>
      <c r="I14" s="53">
        <f t="shared" si="3"/>
        <v>0</v>
      </c>
      <c r="J14" s="53">
        <f t="shared" ref="J14" si="30">SUM(J11:J13)</f>
        <v>0</v>
      </c>
      <c r="K14" s="53"/>
      <c r="L14" s="53">
        <f t="shared" si="4"/>
        <v>0</v>
      </c>
      <c r="M14" s="53">
        <f>SUM(M11:M13)</f>
        <v>0</v>
      </c>
      <c r="N14" s="53">
        <f>SUM(N11:N13)</f>
        <v>0</v>
      </c>
      <c r="O14" s="53">
        <f t="shared" si="5"/>
        <v>0</v>
      </c>
      <c r="P14" s="53">
        <f t="shared" ref="P14:R14" si="31">SUM(P11:P13)</f>
        <v>593</v>
      </c>
      <c r="Q14" s="53">
        <f t="shared" si="31"/>
        <v>88</v>
      </c>
      <c r="R14" s="53">
        <f t="shared" si="31"/>
        <v>681</v>
      </c>
      <c r="S14" s="53">
        <f t="shared" ref="S14:AC14" si="32">SUM(S11:S13)</f>
        <v>0</v>
      </c>
      <c r="T14" s="53">
        <f t="shared" si="32"/>
        <v>0</v>
      </c>
      <c r="U14" s="53">
        <f t="shared" si="32"/>
        <v>0</v>
      </c>
      <c r="V14" s="53">
        <f t="shared" si="32"/>
        <v>0</v>
      </c>
      <c r="W14" s="53">
        <f t="shared" si="32"/>
        <v>0</v>
      </c>
      <c r="X14" s="53">
        <f t="shared" si="6"/>
        <v>0</v>
      </c>
      <c r="Y14" s="53">
        <f t="shared" si="32"/>
        <v>0</v>
      </c>
      <c r="Z14" s="53">
        <f t="shared" si="32"/>
        <v>0</v>
      </c>
      <c r="AA14" s="53">
        <f t="shared" si="7"/>
        <v>0</v>
      </c>
      <c r="AB14" s="765">
        <f t="shared" si="32"/>
        <v>14</v>
      </c>
      <c r="AC14" s="765">
        <f t="shared" si="32"/>
        <v>0</v>
      </c>
      <c r="AD14" s="765">
        <f t="shared" si="8"/>
        <v>14</v>
      </c>
      <c r="AE14" s="765">
        <f t="shared" ref="AE14:AF14" si="33">SUM(AE11:AE13)</f>
        <v>0</v>
      </c>
      <c r="AF14" s="765">
        <f t="shared" si="33"/>
        <v>710</v>
      </c>
      <c r="AG14" s="765">
        <f t="shared" si="27"/>
        <v>710</v>
      </c>
      <c r="AH14" s="53">
        <f>SUM(AH11:AH13)</f>
        <v>0</v>
      </c>
      <c r="AI14" s="53">
        <f>SUM(AI11:AI13)</f>
        <v>0</v>
      </c>
      <c r="AJ14" s="514">
        <f t="shared" si="10"/>
        <v>0</v>
      </c>
    </row>
    <row r="15" spans="1:36" ht="12.95" customHeight="1" x14ac:dyDescent="0.25">
      <c r="A15" s="516" t="s">
        <v>49</v>
      </c>
      <c r="B15" s="1211" t="s">
        <v>48</v>
      </c>
      <c r="C15" s="1210"/>
      <c r="D15" s="575">
        <f t="shared" si="24"/>
        <v>3001</v>
      </c>
      <c r="E15" s="575">
        <f t="shared" si="25"/>
        <v>79</v>
      </c>
      <c r="F15" s="514">
        <f t="shared" si="26"/>
        <v>3080</v>
      </c>
      <c r="G15" s="29">
        <v>3001</v>
      </c>
      <c r="H15" s="27">
        <v>79</v>
      </c>
      <c r="I15" s="53">
        <f t="shared" si="3"/>
        <v>3080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27"/>
      <c r="S15" s="27"/>
      <c r="T15" s="27"/>
      <c r="U15" s="27"/>
      <c r="V15" s="27"/>
      <c r="W15" s="27"/>
      <c r="X15" s="53">
        <f t="shared" si="6"/>
        <v>0</v>
      </c>
      <c r="Y15" s="27"/>
      <c r="Z15" s="27"/>
      <c r="AA15" s="53">
        <f t="shared" si="7"/>
        <v>0</v>
      </c>
      <c r="AB15" s="456"/>
      <c r="AC15" s="456"/>
      <c r="AD15" s="765">
        <f t="shared" si="8"/>
        <v>0</v>
      </c>
      <c r="AE15" s="456"/>
      <c r="AF15" s="456"/>
      <c r="AG15" s="765">
        <f t="shared" si="27"/>
        <v>0</v>
      </c>
      <c r="AH15" s="27"/>
      <c r="AI15" s="27"/>
      <c r="AJ15" s="514">
        <f t="shared" si="10"/>
        <v>0</v>
      </c>
    </row>
    <row r="16" spans="1:36" ht="12.95" customHeight="1" x14ac:dyDescent="0.25">
      <c r="A16" s="516" t="s">
        <v>51</v>
      </c>
      <c r="B16" s="1211" t="s">
        <v>50</v>
      </c>
      <c r="C16" s="1210"/>
      <c r="D16" s="575">
        <f t="shared" si="24"/>
        <v>0</v>
      </c>
      <c r="E16" s="575">
        <f t="shared" si="25"/>
        <v>0</v>
      </c>
      <c r="F16" s="514">
        <f t="shared" si="26"/>
        <v>0</v>
      </c>
      <c r="G16" s="29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27"/>
      <c r="S16" s="27"/>
      <c r="T16" s="27"/>
      <c r="U16" s="27"/>
      <c r="V16" s="27"/>
      <c r="W16" s="27"/>
      <c r="X16" s="53">
        <f t="shared" si="6"/>
        <v>0</v>
      </c>
      <c r="Y16" s="27"/>
      <c r="Z16" s="27"/>
      <c r="AA16" s="53">
        <f t="shared" si="7"/>
        <v>0</v>
      </c>
      <c r="AB16" s="456"/>
      <c r="AC16" s="456"/>
      <c r="AD16" s="765">
        <f t="shared" si="8"/>
        <v>0</v>
      </c>
      <c r="AE16" s="456"/>
      <c r="AF16" s="456"/>
      <c r="AG16" s="765">
        <f t="shared" si="27"/>
        <v>0</v>
      </c>
      <c r="AH16" s="27"/>
      <c r="AI16" s="27"/>
      <c r="AJ16" s="514">
        <f t="shared" si="10"/>
        <v>0</v>
      </c>
    </row>
    <row r="17" spans="1:36" s="42" customFormat="1" ht="12.95" customHeight="1" x14ac:dyDescent="0.2">
      <c r="A17" s="513" t="s">
        <v>52</v>
      </c>
      <c r="B17" s="1215" t="s">
        <v>168</v>
      </c>
      <c r="C17" s="1200"/>
      <c r="D17" s="575">
        <f t="shared" si="24"/>
        <v>3001</v>
      </c>
      <c r="E17" s="575">
        <f t="shared" si="25"/>
        <v>79</v>
      </c>
      <c r="F17" s="514">
        <f t="shared" si="26"/>
        <v>3080</v>
      </c>
      <c r="G17" s="575">
        <f t="shared" ref="G17" si="34">+G15+G16</f>
        <v>3001</v>
      </c>
      <c r="H17" s="53">
        <f t="shared" ref="H17" si="35">+H15+H16</f>
        <v>79</v>
      </c>
      <c r="I17" s="53">
        <f t="shared" si="3"/>
        <v>3080</v>
      </c>
      <c r="J17" s="53">
        <f t="shared" ref="J17" si="36">+J15+J16</f>
        <v>0</v>
      </c>
      <c r="K17" s="53"/>
      <c r="L17" s="53">
        <f t="shared" si="4"/>
        <v>0</v>
      </c>
      <c r="M17" s="53">
        <f>+M15+M16</f>
        <v>0</v>
      </c>
      <c r="N17" s="53">
        <f>+N15+N16</f>
        <v>0</v>
      </c>
      <c r="O17" s="53">
        <f t="shared" si="5"/>
        <v>0</v>
      </c>
      <c r="P17" s="53">
        <f t="shared" ref="P17:R17" si="37">+P15+P16</f>
        <v>0</v>
      </c>
      <c r="Q17" s="53">
        <f t="shared" si="37"/>
        <v>0</v>
      </c>
      <c r="R17" s="53">
        <f t="shared" si="37"/>
        <v>0</v>
      </c>
      <c r="S17" s="53">
        <f t="shared" ref="S17:AC17" si="38">+S15+S16</f>
        <v>0</v>
      </c>
      <c r="T17" s="53">
        <f t="shared" si="38"/>
        <v>0</v>
      </c>
      <c r="U17" s="53">
        <f t="shared" si="38"/>
        <v>0</v>
      </c>
      <c r="V17" s="53">
        <f t="shared" si="38"/>
        <v>0</v>
      </c>
      <c r="W17" s="53">
        <f t="shared" si="38"/>
        <v>0</v>
      </c>
      <c r="X17" s="53">
        <f t="shared" si="6"/>
        <v>0</v>
      </c>
      <c r="Y17" s="53">
        <f t="shared" si="38"/>
        <v>0</v>
      </c>
      <c r="Z17" s="53">
        <f t="shared" si="38"/>
        <v>0</v>
      </c>
      <c r="AA17" s="53">
        <f t="shared" si="7"/>
        <v>0</v>
      </c>
      <c r="AB17" s="765">
        <f t="shared" si="38"/>
        <v>0</v>
      </c>
      <c r="AC17" s="765">
        <f t="shared" si="38"/>
        <v>0</v>
      </c>
      <c r="AD17" s="765">
        <f t="shared" si="8"/>
        <v>0</v>
      </c>
      <c r="AE17" s="765">
        <f t="shared" ref="AE17:AF17" si="39">+AE15+AE16</f>
        <v>0</v>
      </c>
      <c r="AF17" s="765">
        <f t="shared" si="39"/>
        <v>0</v>
      </c>
      <c r="AG17" s="765">
        <f t="shared" si="27"/>
        <v>0</v>
      </c>
      <c r="AH17" s="53">
        <f>+AH15+AH16</f>
        <v>0</v>
      </c>
      <c r="AI17" s="53">
        <f>+AI15+AI16</f>
        <v>0</v>
      </c>
      <c r="AJ17" s="514">
        <f t="shared" si="10"/>
        <v>0</v>
      </c>
    </row>
    <row r="18" spans="1:36" ht="12.95" customHeight="1" x14ac:dyDescent="0.25">
      <c r="A18" s="516" t="s">
        <v>54</v>
      </c>
      <c r="B18" s="1211" t="s">
        <v>53</v>
      </c>
      <c r="C18" s="1210"/>
      <c r="D18" s="575">
        <f t="shared" si="24"/>
        <v>0</v>
      </c>
      <c r="E18" s="575">
        <f t="shared" si="25"/>
        <v>0</v>
      </c>
      <c r="F18" s="514">
        <f t="shared" si="26"/>
        <v>0</v>
      </c>
      <c r="G18" s="29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27"/>
      <c r="S18" s="27"/>
      <c r="T18" s="27"/>
      <c r="U18" s="27"/>
      <c r="V18" s="27"/>
      <c r="W18" s="27"/>
      <c r="X18" s="53">
        <f t="shared" si="6"/>
        <v>0</v>
      </c>
      <c r="Y18" s="27"/>
      <c r="Z18" s="27"/>
      <c r="AA18" s="53">
        <f t="shared" si="7"/>
        <v>0</v>
      </c>
      <c r="AB18" s="456"/>
      <c r="AC18" s="456"/>
      <c r="AD18" s="765">
        <f t="shared" si="8"/>
        <v>0</v>
      </c>
      <c r="AE18" s="456"/>
      <c r="AF18" s="456"/>
      <c r="AG18" s="765">
        <f t="shared" si="27"/>
        <v>0</v>
      </c>
      <c r="AH18" s="27"/>
      <c r="AI18" s="27"/>
      <c r="AJ18" s="514">
        <f t="shared" si="10"/>
        <v>0</v>
      </c>
    </row>
    <row r="19" spans="1:36" ht="12.95" customHeight="1" x14ac:dyDescent="0.25">
      <c r="A19" s="516" t="s">
        <v>56</v>
      </c>
      <c r="B19" s="1211" t="s">
        <v>55</v>
      </c>
      <c r="C19" s="1210"/>
      <c r="D19" s="575">
        <f t="shared" si="24"/>
        <v>65135</v>
      </c>
      <c r="E19" s="575">
        <f t="shared" si="25"/>
        <v>-7390</v>
      </c>
      <c r="F19" s="514">
        <f t="shared" si="26"/>
        <v>57745</v>
      </c>
      <c r="G19" s="29"/>
      <c r="H19" s="27"/>
      <c r="I19" s="53">
        <f t="shared" si="3"/>
        <v>0</v>
      </c>
      <c r="J19" s="130">
        <v>49259</v>
      </c>
      <c r="K19" s="641">
        <f>-922-6468</f>
        <v>-7390</v>
      </c>
      <c r="L19" s="53">
        <f t="shared" si="4"/>
        <v>41869</v>
      </c>
      <c r="M19" s="641">
        <v>15876</v>
      </c>
      <c r="N19" s="27"/>
      <c r="O19" s="53">
        <f t="shared" si="5"/>
        <v>15876</v>
      </c>
      <c r="P19" s="27"/>
      <c r="Q19" s="27"/>
      <c r="R19" s="27"/>
      <c r="S19" s="27"/>
      <c r="T19" s="27"/>
      <c r="U19" s="27"/>
      <c r="V19" s="27"/>
      <c r="W19" s="27"/>
      <c r="X19" s="53">
        <f t="shared" si="6"/>
        <v>0</v>
      </c>
      <c r="Y19" s="27"/>
      <c r="Z19" s="27"/>
      <c r="AA19" s="53">
        <f t="shared" si="7"/>
        <v>0</v>
      </c>
      <c r="AB19" s="456"/>
      <c r="AC19" s="456"/>
      <c r="AD19" s="765">
        <f t="shared" si="8"/>
        <v>0</v>
      </c>
      <c r="AE19" s="456"/>
      <c r="AF19" s="456"/>
      <c r="AG19" s="765">
        <f t="shared" si="27"/>
        <v>0</v>
      </c>
      <c r="AH19" s="27"/>
      <c r="AI19" s="27"/>
      <c r="AJ19" s="514">
        <f t="shared" si="10"/>
        <v>0</v>
      </c>
    </row>
    <row r="20" spans="1:36" ht="12.95" customHeight="1" x14ac:dyDescent="0.25">
      <c r="A20" s="516" t="s">
        <v>57</v>
      </c>
      <c r="B20" s="1211" t="s">
        <v>166</v>
      </c>
      <c r="C20" s="1210"/>
      <c r="D20" s="575">
        <f t="shared" si="24"/>
        <v>168</v>
      </c>
      <c r="E20" s="575">
        <f t="shared" si="25"/>
        <v>0</v>
      </c>
      <c r="F20" s="514">
        <f t="shared" si="26"/>
        <v>168</v>
      </c>
      <c r="G20" s="29">
        <f>52+116</f>
        <v>168</v>
      </c>
      <c r="H20" s="27"/>
      <c r="I20" s="53">
        <f t="shared" si="3"/>
        <v>168</v>
      </c>
      <c r="J20" s="641"/>
      <c r="K20" s="641"/>
      <c r="L20" s="53">
        <f t="shared" si="4"/>
        <v>0</v>
      </c>
      <c r="M20" s="641"/>
      <c r="N20" s="27"/>
      <c r="O20" s="53">
        <f t="shared" si="5"/>
        <v>0</v>
      </c>
      <c r="P20" s="27"/>
      <c r="Q20" s="27"/>
      <c r="R20" s="27"/>
      <c r="S20" s="27"/>
      <c r="T20" s="27"/>
      <c r="U20" s="27"/>
      <c r="V20" s="27"/>
      <c r="W20" s="27"/>
      <c r="X20" s="53">
        <f t="shared" si="6"/>
        <v>0</v>
      </c>
      <c r="Y20" s="27"/>
      <c r="Z20" s="27"/>
      <c r="AA20" s="53">
        <f t="shared" si="7"/>
        <v>0</v>
      </c>
      <c r="AB20" s="456"/>
      <c r="AC20" s="456"/>
      <c r="AD20" s="765">
        <f t="shared" si="8"/>
        <v>0</v>
      </c>
      <c r="AE20" s="456"/>
      <c r="AF20" s="456"/>
      <c r="AG20" s="765">
        <f t="shared" si="27"/>
        <v>0</v>
      </c>
      <c r="AH20" s="27"/>
      <c r="AI20" s="27"/>
      <c r="AJ20" s="514">
        <f t="shared" si="10"/>
        <v>0</v>
      </c>
    </row>
    <row r="21" spans="1:36" ht="12.95" customHeight="1" x14ac:dyDescent="0.25">
      <c r="A21" s="516" t="s">
        <v>59</v>
      </c>
      <c r="B21" s="1211" t="s">
        <v>58</v>
      </c>
      <c r="C21" s="1210"/>
      <c r="D21" s="575">
        <f t="shared" si="24"/>
        <v>420</v>
      </c>
      <c r="E21" s="575">
        <f t="shared" si="25"/>
        <v>100</v>
      </c>
      <c r="F21" s="514">
        <f t="shared" si="26"/>
        <v>520</v>
      </c>
      <c r="G21" s="29">
        <v>420</v>
      </c>
      <c r="H21" s="27">
        <v>100</v>
      </c>
      <c r="I21" s="53">
        <f t="shared" si="3"/>
        <v>520</v>
      </c>
      <c r="J21" s="641"/>
      <c r="K21" s="641"/>
      <c r="L21" s="53">
        <f t="shared" si="4"/>
        <v>0</v>
      </c>
      <c r="M21" s="641"/>
      <c r="N21" s="27"/>
      <c r="O21" s="53">
        <f t="shared" si="5"/>
        <v>0</v>
      </c>
      <c r="P21" s="27"/>
      <c r="Q21" s="27"/>
      <c r="R21" s="27"/>
      <c r="S21" s="27"/>
      <c r="T21" s="27"/>
      <c r="U21" s="27"/>
      <c r="V21" s="27"/>
      <c r="W21" s="27"/>
      <c r="X21" s="53">
        <f t="shared" si="6"/>
        <v>0</v>
      </c>
      <c r="Y21" s="27"/>
      <c r="Z21" s="27"/>
      <c r="AA21" s="53">
        <f t="shared" si="7"/>
        <v>0</v>
      </c>
      <c r="AB21" s="456"/>
      <c r="AC21" s="456"/>
      <c r="AD21" s="765">
        <f t="shared" si="8"/>
        <v>0</v>
      </c>
      <c r="AE21" s="456"/>
      <c r="AF21" s="456"/>
      <c r="AG21" s="765">
        <f t="shared" si="27"/>
        <v>0</v>
      </c>
      <c r="AH21" s="27"/>
      <c r="AI21" s="27"/>
      <c r="AJ21" s="514">
        <f t="shared" si="10"/>
        <v>0</v>
      </c>
    </row>
    <row r="22" spans="1:36" ht="12.95" customHeight="1" x14ac:dyDescent="0.25">
      <c r="A22" s="516" t="s">
        <v>60</v>
      </c>
      <c r="B22" s="1211" t="s">
        <v>165</v>
      </c>
      <c r="C22" s="1210"/>
      <c r="D22" s="575">
        <f t="shared" si="24"/>
        <v>500</v>
      </c>
      <c r="E22" s="575">
        <f t="shared" si="25"/>
        <v>0</v>
      </c>
      <c r="F22" s="514">
        <f t="shared" si="26"/>
        <v>500</v>
      </c>
      <c r="G22" s="29">
        <v>500</v>
      </c>
      <c r="H22" s="27"/>
      <c r="I22" s="53">
        <f t="shared" si="3"/>
        <v>500</v>
      </c>
      <c r="J22" s="641"/>
      <c r="K22" s="641"/>
      <c r="L22" s="53">
        <f t="shared" si="4"/>
        <v>0</v>
      </c>
      <c r="M22" s="641"/>
      <c r="N22" s="27"/>
      <c r="O22" s="53">
        <f t="shared" si="5"/>
        <v>0</v>
      </c>
      <c r="P22" s="27"/>
      <c r="Q22" s="27"/>
      <c r="R22" s="27"/>
      <c r="S22" s="27"/>
      <c r="T22" s="27"/>
      <c r="U22" s="27"/>
      <c r="V22" s="27"/>
      <c r="W22" s="27"/>
      <c r="X22" s="53">
        <f t="shared" si="6"/>
        <v>0</v>
      </c>
      <c r="Y22" s="27"/>
      <c r="Z22" s="27"/>
      <c r="AA22" s="53">
        <f t="shared" si="7"/>
        <v>0</v>
      </c>
      <c r="AB22" s="456"/>
      <c r="AC22" s="456"/>
      <c r="AD22" s="765">
        <f t="shared" si="8"/>
        <v>0</v>
      </c>
      <c r="AE22" s="456"/>
      <c r="AF22" s="456"/>
      <c r="AG22" s="765">
        <f t="shared" si="27"/>
        <v>0</v>
      </c>
      <c r="AH22" s="27"/>
      <c r="AI22" s="27"/>
      <c r="AJ22" s="514">
        <f t="shared" si="10"/>
        <v>0</v>
      </c>
    </row>
    <row r="23" spans="1:36" ht="12.95" customHeight="1" x14ac:dyDescent="0.25">
      <c r="A23" s="516" t="s">
        <v>63</v>
      </c>
      <c r="B23" s="1211" t="s">
        <v>62</v>
      </c>
      <c r="C23" s="1210"/>
      <c r="D23" s="575">
        <f t="shared" si="24"/>
        <v>315</v>
      </c>
      <c r="E23" s="575">
        <f t="shared" si="25"/>
        <v>0</v>
      </c>
      <c r="F23" s="514">
        <f t="shared" si="26"/>
        <v>315</v>
      </c>
      <c r="G23" s="29">
        <v>315</v>
      </c>
      <c r="H23" s="27"/>
      <c r="I23" s="53">
        <f t="shared" si="3"/>
        <v>315</v>
      </c>
      <c r="J23" s="641"/>
      <c r="K23" s="641"/>
      <c r="L23" s="53">
        <f t="shared" si="4"/>
        <v>0</v>
      </c>
      <c r="M23" s="641"/>
      <c r="N23" s="27"/>
      <c r="O23" s="53">
        <f t="shared" si="5"/>
        <v>0</v>
      </c>
      <c r="P23" s="27"/>
      <c r="Q23" s="27"/>
      <c r="R23" s="27"/>
      <c r="S23" s="27"/>
      <c r="T23" s="27"/>
      <c r="U23" s="27"/>
      <c r="V23" s="27"/>
      <c r="W23" s="27"/>
      <c r="X23" s="53">
        <f t="shared" si="6"/>
        <v>0</v>
      </c>
      <c r="Y23" s="27"/>
      <c r="Z23" s="27"/>
      <c r="AA23" s="53">
        <f t="shared" si="7"/>
        <v>0</v>
      </c>
      <c r="AB23" s="456"/>
      <c r="AC23" s="456"/>
      <c r="AD23" s="765">
        <f t="shared" si="8"/>
        <v>0</v>
      </c>
      <c r="AE23" s="456"/>
      <c r="AF23" s="456"/>
      <c r="AG23" s="765">
        <f t="shared" si="27"/>
        <v>0</v>
      </c>
      <c r="AH23" s="27"/>
      <c r="AI23" s="27"/>
      <c r="AJ23" s="514">
        <f t="shared" si="10"/>
        <v>0</v>
      </c>
    </row>
    <row r="24" spans="1:36" ht="12.95" customHeight="1" x14ac:dyDescent="0.25">
      <c r="A24" s="516" t="s">
        <v>65</v>
      </c>
      <c r="B24" s="1211" t="s">
        <v>64</v>
      </c>
      <c r="C24" s="1210"/>
      <c r="D24" s="575">
        <f t="shared" si="24"/>
        <v>11529</v>
      </c>
      <c r="E24" s="575">
        <f t="shared" si="25"/>
        <v>1415</v>
      </c>
      <c r="F24" s="514">
        <f t="shared" si="26"/>
        <v>12944</v>
      </c>
      <c r="G24" s="29">
        <v>5684</v>
      </c>
      <c r="H24" s="27">
        <f>108-79+110+300+54</f>
        <v>493</v>
      </c>
      <c r="I24" s="53">
        <f t="shared" si="3"/>
        <v>6177</v>
      </c>
      <c r="J24" s="641"/>
      <c r="K24" s="641">
        <v>922</v>
      </c>
      <c r="L24" s="53">
        <f t="shared" si="4"/>
        <v>922</v>
      </c>
      <c r="M24" s="641"/>
      <c r="N24" s="27"/>
      <c r="O24" s="53">
        <f t="shared" si="5"/>
        <v>0</v>
      </c>
      <c r="P24" s="27"/>
      <c r="Q24" s="27"/>
      <c r="R24" s="27"/>
      <c r="S24" s="27"/>
      <c r="T24" s="27"/>
      <c r="U24" s="27"/>
      <c r="V24" s="27"/>
      <c r="W24" s="27"/>
      <c r="X24" s="53">
        <f t="shared" si="6"/>
        <v>0</v>
      </c>
      <c r="Y24" s="27">
        <v>5844</v>
      </c>
      <c r="Z24" s="27"/>
      <c r="AA24" s="53">
        <f t="shared" si="7"/>
        <v>5844</v>
      </c>
      <c r="AB24" s="456">
        <v>1</v>
      </c>
      <c r="AC24" s="456"/>
      <c r="AD24" s="765">
        <f t="shared" si="8"/>
        <v>1</v>
      </c>
      <c r="AE24" s="456"/>
      <c r="AF24" s="456"/>
      <c r="AG24" s="765">
        <f t="shared" si="27"/>
        <v>0</v>
      </c>
      <c r="AH24" s="27"/>
      <c r="AI24" s="27"/>
      <c r="AJ24" s="514">
        <f t="shared" si="10"/>
        <v>0</v>
      </c>
    </row>
    <row r="25" spans="1:36" s="42" customFormat="1" ht="12.95" customHeight="1" x14ac:dyDescent="0.2">
      <c r="A25" s="513" t="s">
        <v>66</v>
      </c>
      <c r="B25" s="1215" t="s">
        <v>155</v>
      </c>
      <c r="C25" s="1200"/>
      <c r="D25" s="575">
        <f t="shared" si="24"/>
        <v>78067</v>
      </c>
      <c r="E25" s="575">
        <f t="shared" si="25"/>
        <v>-5875</v>
      </c>
      <c r="F25" s="514">
        <f t="shared" si="26"/>
        <v>72192</v>
      </c>
      <c r="G25" s="575">
        <f>+G24+G23+G22+G21+G20+G19+G18</f>
        <v>7087</v>
      </c>
      <c r="H25" s="53">
        <f t="shared" ref="H25:AI25" si="40">+H24+H23+H22+H21+H20+H19+H18</f>
        <v>593</v>
      </c>
      <c r="I25" s="53">
        <f t="shared" si="3"/>
        <v>7680</v>
      </c>
      <c r="J25" s="53">
        <f t="shared" ref="J25" si="41">+J24+J23+J22+J21+J20+J19+J18</f>
        <v>49259</v>
      </c>
      <c r="K25" s="642">
        <f t="shared" si="40"/>
        <v>-6468</v>
      </c>
      <c r="L25" s="53">
        <f t="shared" si="4"/>
        <v>42791</v>
      </c>
      <c r="M25" s="642">
        <f t="shared" si="40"/>
        <v>15876</v>
      </c>
      <c r="N25" s="53">
        <f t="shared" si="40"/>
        <v>0</v>
      </c>
      <c r="O25" s="53">
        <f t="shared" si="5"/>
        <v>15876</v>
      </c>
      <c r="P25" s="53">
        <f t="shared" si="40"/>
        <v>0</v>
      </c>
      <c r="Q25" s="53">
        <f t="shared" si="40"/>
        <v>0</v>
      </c>
      <c r="R25" s="53">
        <f t="shared" si="40"/>
        <v>0</v>
      </c>
      <c r="S25" s="53">
        <f t="shared" si="40"/>
        <v>0</v>
      </c>
      <c r="T25" s="53">
        <f t="shared" si="40"/>
        <v>0</v>
      </c>
      <c r="U25" s="53">
        <f t="shared" si="40"/>
        <v>0</v>
      </c>
      <c r="V25" s="53">
        <f t="shared" si="40"/>
        <v>0</v>
      </c>
      <c r="W25" s="53">
        <f t="shared" si="40"/>
        <v>0</v>
      </c>
      <c r="X25" s="53">
        <f t="shared" si="6"/>
        <v>0</v>
      </c>
      <c r="Y25" s="53">
        <f>+Y24+Y23+Y22+Y21+Y20+Y19+Y18</f>
        <v>5844</v>
      </c>
      <c r="Z25" s="53">
        <f t="shared" si="40"/>
        <v>0</v>
      </c>
      <c r="AA25" s="53">
        <f t="shared" si="7"/>
        <v>5844</v>
      </c>
      <c r="AB25" s="765">
        <f t="shared" si="40"/>
        <v>1</v>
      </c>
      <c r="AC25" s="765">
        <f t="shared" si="40"/>
        <v>0</v>
      </c>
      <c r="AD25" s="765">
        <f t="shared" si="8"/>
        <v>1</v>
      </c>
      <c r="AE25" s="765">
        <f t="shared" ref="AE25:AF25" si="42">+AE24+AE23+AE22+AE21+AE20+AE19+AE18</f>
        <v>0</v>
      </c>
      <c r="AF25" s="765">
        <f t="shared" si="42"/>
        <v>0</v>
      </c>
      <c r="AG25" s="765">
        <f t="shared" si="27"/>
        <v>0</v>
      </c>
      <c r="AH25" s="53">
        <f t="shared" si="40"/>
        <v>0</v>
      </c>
      <c r="AI25" s="53">
        <f t="shared" si="40"/>
        <v>0</v>
      </c>
      <c r="AJ25" s="514">
        <f t="shared" si="10"/>
        <v>0</v>
      </c>
    </row>
    <row r="26" spans="1:36" ht="12.95" customHeight="1" x14ac:dyDescent="0.25">
      <c r="A26" s="516" t="s">
        <v>68</v>
      </c>
      <c r="B26" s="1211" t="s">
        <v>67</v>
      </c>
      <c r="C26" s="1210"/>
      <c r="D26" s="575">
        <f t="shared" si="24"/>
        <v>78</v>
      </c>
      <c r="E26" s="575">
        <f t="shared" si="25"/>
        <v>0</v>
      </c>
      <c r="F26" s="514">
        <f t="shared" si="26"/>
        <v>78</v>
      </c>
      <c r="G26" s="29"/>
      <c r="H26" s="27"/>
      <c r="I26" s="53">
        <f t="shared" si="3"/>
        <v>0</v>
      </c>
      <c r="J26" s="641"/>
      <c r="K26" s="641"/>
      <c r="L26" s="53">
        <f t="shared" si="4"/>
        <v>0</v>
      </c>
      <c r="M26" s="641"/>
      <c r="N26" s="27"/>
      <c r="O26" s="53">
        <f t="shared" si="5"/>
        <v>0</v>
      </c>
      <c r="P26" s="27"/>
      <c r="Q26" s="27"/>
      <c r="R26" s="27"/>
      <c r="S26" s="27"/>
      <c r="T26" s="27"/>
      <c r="U26" s="27"/>
      <c r="V26" s="27"/>
      <c r="W26" s="27"/>
      <c r="X26" s="53">
        <f t="shared" si="6"/>
        <v>0</v>
      </c>
      <c r="Y26" s="27"/>
      <c r="Z26" s="27"/>
      <c r="AA26" s="53">
        <f t="shared" si="7"/>
        <v>0</v>
      </c>
      <c r="AB26" s="456">
        <v>78</v>
      </c>
      <c r="AC26" s="456"/>
      <c r="AD26" s="765">
        <f t="shared" si="8"/>
        <v>78</v>
      </c>
      <c r="AE26" s="456"/>
      <c r="AF26" s="456"/>
      <c r="AG26" s="765">
        <f t="shared" si="27"/>
        <v>0</v>
      </c>
      <c r="AH26" s="27"/>
      <c r="AI26" s="27"/>
      <c r="AJ26" s="514">
        <f t="shared" si="10"/>
        <v>0</v>
      </c>
    </row>
    <row r="27" spans="1:36" ht="12.95" customHeight="1" x14ac:dyDescent="0.25">
      <c r="A27" s="516" t="s">
        <v>70</v>
      </c>
      <c r="B27" s="1211" t="s">
        <v>69</v>
      </c>
      <c r="C27" s="1210"/>
      <c r="D27" s="575">
        <f t="shared" si="24"/>
        <v>0</v>
      </c>
      <c r="E27" s="575">
        <f t="shared" si="25"/>
        <v>0</v>
      </c>
      <c r="F27" s="514">
        <f t="shared" si="26"/>
        <v>0</v>
      </c>
      <c r="G27" s="29"/>
      <c r="H27" s="27"/>
      <c r="I27" s="53">
        <f t="shared" si="3"/>
        <v>0</v>
      </c>
      <c r="J27" s="641"/>
      <c r="K27" s="641"/>
      <c r="L27" s="53">
        <f t="shared" si="4"/>
        <v>0</v>
      </c>
      <c r="M27" s="641"/>
      <c r="N27" s="27"/>
      <c r="O27" s="53">
        <f t="shared" si="5"/>
        <v>0</v>
      </c>
      <c r="P27" s="27"/>
      <c r="Q27" s="27"/>
      <c r="R27" s="27"/>
      <c r="S27" s="27"/>
      <c r="T27" s="27"/>
      <c r="U27" s="27"/>
      <c r="V27" s="27"/>
      <c r="W27" s="27"/>
      <c r="X27" s="53">
        <f t="shared" si="6"/>
        <v>0</v>
      </c>
      <c r="Y27" s="27"/>
      <c r="Z27" s="27"/>
      <c r="AA27" s="53">
        <f t="shared" si="7"/>
        <v>0</v>
      </c>
      <c r="AB27" s="456"/>
      <c r="AC27" s="456"/>
      <c r="AD27" s="765">
        <f t="shared" si="8"/>
        <v>0</v>
      </c>
      <c r="AE27" s="456"/>
      <c r="AF27" s="456"/>
      <c r="AG27" s="765">
        <f t="shared" si="27"/>
        <v>0</v>
      </c>
      <c r="AH27" s="27"/>
      <c r="AI27" s="27"/>
      <c r="AJ27" s="514">
        <f t="shared" si="10"/>
        <v>0</v>
      </c>
    </row>
    <row r="28" spans="1:36" s="42" customFormat="1" ht="12.95" customHeight="1" x14ac:dyDescent="0.2">
      <c r="A28" s="513" t="s">
        <v>71</v>
      </c>
      <c r="B28" s="1215" t="s">
        <v>154</v>
      </c>
      <c r="C28" s="1200"/>
      <c r="D28" s="575">
        <f t="shared" si="24"/>
        <v>78</v>
      </c>
      <c r="E28" s="575">
        <f t="shared" si="25"/>
        <v>0</v>
      </c>
      <c r="F28" s="514">
        <f t="shared" si="26"/>
        <v>78</v>
      </c>
      <c r="G28" s="575">
        <f t="shared" ref="G28" si="43">+G26+G27</f>
        <v>0</v>
      </c>
      <c r="H28" s="53">
        <f t="shared" ref="H28" si="44">+H26+H27</f>
        <v>0</v>
      </c>
      <c r="I28" s="53">
        <f>+H28+G28</f>
        <v>0</v>
      </c>
      <c r="J28" s="642">
        <f>SUM(J26:J27)</f>
        <v>0</v>
      </c>
      <c r="K28" s="642"/>
      <c r="L28" s="53">
        <f t="shared" si="4"/>
        <v>0</v>
      </c>
      <c r="M28" s="642">
        <f>+M26+M27</f>
        <v>0</v>
      </c>
      <c r="N28" s="53">
        <f>+N26+N27</f>
        <v>0</v>
      </c>
      <c r="O28" s="53">
        <f t="shared" si="5"/>
        <v>0</v>
      </c>
      <c r="P28" s="53">
        <f t="shared" ref="P28:AC28" si="45">+P26+P27</f>
        <v>0</v>
      </c>
      <c r="Q28" s="53">
        <f t="shared" si="45"/>
        <v>0</v>
      </c>
      <c r="R28" s="53">
        <f t="shared" si="45"/>
        <v>0</v>
      </c>
      <c r="S28" s="53">
        <f t="shared" si="45"/>
        <v>0</v>
      </c>
      <c r="T28" s="53">
        <f t="shared" si="45"/>
        <v>0</v>
      </c>
      <c r="U28" s="53">
        <f t="shared" si="45"/>
        <v>0</v>
      </c>
      <c r="V28" s="53">
        <f t="shared" si="45"/>
        <v>0</v>
      </c>
      <c r="W28" s="53">
        <f t="shared" si="45"/>
        <v>0</v>
      </c>
      <c r="X28" s="53">
        <f t="shared" si="6"/>
        <v>0</v>
      </c>
      <c r="Y28" s="53">
        <f t="shared" si="45"/>
        <v>0</v>
      </c>
      <c r="Z28" s="53">
        <f t="shared" si="45"/>
        <v>0</v>
      </c>
      <c r="AA28" s="53">
        <f t="shared" si="7"/>
        <v>0</v>
      </c>
      <c r="AB28" s="765">
        <f t="shared" si="45"/>
        <v>78</v>
      </c>
      <c r="AC28" s="765">
        <f t="shared" si="45"/>
        <v>0</v>
      </c>
      <c r="AD28" s="765">
        <f t="shared" si="8"/>
        <v>78</v>
      </c>
      <c r="AE28" s="765">
        <f t="shared" ref="AE28:AF28" si="46">+AE26+AE27</f>
        <v>0</v>
      </c>
      <c r="AF28" s="765">
        <f t="shared" si="46"/>
        <v>0</v>
      </c>
      <c r="AG28" s="765">
        <f t="shared" si="27"/>
        <v>0</v>
      </c>
      <c r="AH28" s="53">
        <f>+AH26+AH27</f>
        <v>0</v>
      </c>
      <c r="AI28" s="53">
        <f>+AI26+AI27</f>
        <v>0</v>
      </c>
      <c r="AJ28" s="514">
        <f t="shared" si="10"/>
        <v>0</v>
      </c>
    </row>
    <row r="29" spans="1:36" ht="12.95" customHeight="1" x14ac:dyDescent="0.25">
      <c r="A29" s="516" t="s">
        <v>73</v>
      </c>
      <c r="B29" s="1211" t="s">
        <v>72</v>
      </c>
      <c r="C29" s="1210"/>
      <c r="D29" s="575">
        <f t="shared" si="24"/>
        <v>19292</v>
      </c>
      <c r="E29" s="575">
        <f t="shared" si="25"/>
        <v>-1577</v>
      </c>
      <c r="F29" s="514">
        <f t="shared" si="26"/>
        <v>17715</v>
      </c>
      <c r="G29" s="853">
        <v>1429</v>
      </c>
      <c r="H29" s="27">
        <f>29+81</f>
        <v>110</v>
      </c>
      <c r="I29" s="53">
        <f t="shared" si="3"/>
        <v>1539</v>
      </c>
      <c r="J29" s="130">
        <v>13300</v>
      </c>
      <c r="K29" s="641">
        <v>-1746</v>
      </c>
      <c r="L29" s="53">
        <f t="shared" si="4"/>
        <v>11554</v>
      </c>
      <c r="M29" s="641">
        <v>4287</v>
      </c>
      <c r="N29" s="27"/>
      <c r="O29" s="53">
        <f t="shared" si="5"/>
        <v>4287</v>
      </c>
      <c r="P29" s="456">
        <v>160</v>
      </c>
      <c r="Q29" s="27">
        <v>23</v>
      </c>
      <c r="R29" s="27">
        <f>+P29+Q29</f>
        <v>183</v>
      </c>
      <c r="S29" s="27"/>
      <c r="T29" s="27"/>
      <c r="U29" s="27"/>
      <c r="V29" s="27"/>
      <c r="W29" s="27"/>
      <c r="X29" s="53">
        <f t="shared" si="6"/>
        <v>0</v>
      </c>
      <c r="Y29" s="27">
        <v>111</v>
      </c>
      <c r="Z29" s="27"/>
      <c r="AA29" s="53">
        <f t="shared" si="7"/>
        <v>111</v>
      </c>
      <c r="AB29" s="456">
        <v>5</v>
      </c>
      <c r="AC29" s="456"/>
      <c r="AD29" s="765">
        <f t="shared" si="8"/>
        <v>5</v>
      </c>
      <c r="AE29" s="456"/>
      <c r="AF29" s="456">
        <v>36</v>
      </c>
      <c r="AG29" s="765">
        <f t="shared" si="27"/>
        <v>36</v>
      </c>
      <c r="AH29" s="27"/>
      <c r="AI29" s="27"/>
      <c r="AJ29" s="514">
        <f t="shared" si="10"/>
        <v>0</v>
      </c>
    </row>
    <row r="30" spans="1:36" ht="12.95" customHeight="1" x14ac:dyDescent="0.25">
      <c r="A30" s="516" t="s">
        <v>75</v>
      </c>
      <c r="B30" s="1211" t="s">
        <v>74</v>
      </c>
      <c r="C30" s="1210"/>
      <c r="D30" s="575">
        <f t="shared" si="24"/>
        <v>10957</v>
      </c>
      <c r="E30" s="575">
        <f t="shared" si="25"/>
        <v>0</v>
      </c>
      <c r="F30" s="514">
        <f t="shared" si="26"/>
        <v>10957</v>
      </c>
      <c r="G30" s="853">
        <v>135</v>
      </c>
      <c r="H30" s="27"/>
      <c r="I30" s="53">
        <f t="shared" si="3"/>
        <v>135</v>
      </c>
      <c r="J30" s="641">
        <v>5160</v>
      </c>
      <c r="K30" s="641"/>
      <c r="L30" s="53">
        <f t="shared" si="4"/>
        <v>5160</v>
      </c>
      <c r="M30" s="641">
        <v>660</v>
      </c>
      <c r="N30" s="27"/>
      <c r="O30" s="53">
        <f t="shared" si="5"/>
        <v>660</v>
      </c>
      <c r="P30" s="27"/>
      <c r="Q30" s="27"/>
      <c r="R30" s="27"/>
      <c r="S30" s="27"/>
      <c r="T30" s="27"/>
      <c r="U30" s="27"/>
      <c r="V30" s="27"/>
      <c r="W30" s="27"/>
      <c r="X30" s="53">
        <f t="shared" si="6"/>
        <v>0</v>
      </c>
      <c r="Y30" s="456">
        <v>75</v>
      </c>
      <c r="Z30" s="27"/>
      <c r="AA30" s="53">
        <f t="shared" si="7"/>
        <v>75</v>
      </c>
      <c r="AB30" s="456"/>
      <c r="AC30" s="456"/>
      <c r="AD30" s="765">
        <f t="shared" si="8"/>
        <v>0</v>
      </c>
      <c r="AE30" s="456"/>
      <c r="AF30" s="456"/>
      <c r="AG30" s="765">
        <f t="shared" si="27"/>
        <v>0</v>
      </c>
      <c r="AH30" s="456">
        <v>4927</v>
      </c>
      <c r="AI30" s="27"/>
      <c r="AJ30" s="514">
        <f t="shared" si="10"/>
        <v>4927</v>
      </c>
    </row>
    <row r="31" spans="1:36" ht="12.95" customHeight="1" x14ac:dyDescent="0.25">
      <c r="A31" s="516" t="s">
        <v>76</v>
      </c>
      <c r="B31" s="1211" t="s">
        <v>153</v>
      </c>
      <c r="C31" s="1210"/>
      <c r="D31" s="575">
        <f t="shared" si="24"/>
        <v>0</v>
      </c>
      <c r="E31" s="575">
        <f t="shared" si="25"/>
        <v>0</v>
      </c>
      <c r="F31" s="514">
        <f t="shared" si="26"/>
        <v>0</v>
      </c>
      <c r="G31" s="29"/>
      <c r="H31" s="27"/>
      <c r="I31" s="53">
        <f t="shared" si="3"/>
        <v>0</v>
      </c>
      <c r="J31" s="641"/>
      <c r="K31" s="641"/>
      <c r="L31" s="53">
        <f t="shared" si="4"/>
        <v>0</v>
      </c>
      <c r="M31" s="641"/>
      <c r="N31" s="27"/>
      <c r="O31" s="53">
        <f t="shared" si="5"/>
        <v>0</v>
      </c>
      <c r="P31" s="27"/>
      <c r="Q31" s="27"/>
      <c r="R31" s="27"/>
      <c r="S31" s="27"/>
      <c r="T31" s="27"/>
      <c r="U31" s="27"/>
      <c r="V31" s="27"/>
      <c r="W31" s="27"/>
      <c r="X31" s="53">
        <f t="shared" si="6"/>
        <v>0</v>
      </c>
      <c r="Y31" s="27"/>
      <c r="Z31" s="27"/>
      <c r="AA31" s="53">
        <f t="shared" si="7"/>
        <v>0</v>
      </c>
      <c r="AB31" s="456"/>
      <c r="AC31" s="456"/>
      <c r="AD31" s="765">
        <f t="shared" si="8"/>
        <v>0</v>
      </c>
      <c r="AE31" s="456"/>
      <c r="AF31" s="456"/>
      <c r="AG31" s="765">
        <f t="shared" si="27"/>
        <v>0</v>
      </c>
      <c r="AH31" s="27"/>
      <c r="AI31" s="27"/>
      <c r="AJ31" s="514">
        <f t="shared" si="10"/>
        <v>0</v>
      </c>
    </row>
    <row r="32" spans="1:36" ht="12.95" customHeight="1" x14ac:dyDescent="0.25">
      <c r="A32" s="516" t="s">
        <v>77</v>
      </c>
      <c r="B32" s="1211" t="s">
        <v>152</v>
      </c>
      <c r="C32" s="1210"/>
      <c r="D32" s="575">
        <f t="shared" si="24"/>
        <v>0</v>
      </c>
      <c r="E32" s="575">
        <f t="shared" si="25"/>
        <v>0</v>
      </c>
      <c r="F32" s="514">
        <f t="shared" si="26"/>
        <v>0</v>
      </c>
      <c r="G32" s="29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27"/>
      <c r="S32" s="27"/>
      <c r="T32" s="27"/>
      <c r="U32" s="27"/>
      <c r="V32" s="27"/>
      <c r="W32" s="27"/>
      <c r="X32" s="53">
        <f t="shared" si="6"/>
        <v>0</v>
      </c>
      <c r="Y32" s="27"/>
      <c r="Z32" s="27"/>
      <c r="AA32" s="53">
        <f t="shared" si="7"/>
        <v>0</v>
      </c>
      <c r="AB32" s="456"/>
      <c r="AC32" s="456"/>
      <c r="AD32" s="765">
        <f t="shared" si="8"/>
        <v>0</v>
      </c>
      <c r="AE32" s="456"/>
      <c r="AF32" s="456"/>
      <c r="AG32" s="765">
        <f t="shared" si="27"/>
        <v>0</v>
      </c>
      <c r="AH32" s="27"/>
      <c r="AI32" s="27"/>
      <c r="AJ32" s="514">
        <f t="shared" si="10"/>
        <v>0</v>
      </c>
    </row>
    <row r="33" spans="1:36" ht="12.95" customHeight="1" x14ac:dyDescent="0.25">
      <c r="A33" s="516" t="s">
        <v>79</v>
      </c>
      <c r="B33" s="1211" t="s">
        <v>78</v>
      </c>
      <c r="C33" s="1210"/>
      <c r="D33" s="575">
        <f t="shared" si="24"/>
        <v>1007</v>
      </c>
      <c r="E33" s="575">
        <f t="shared" si="25"/>
        <v>6</v>
      </c>
      <c r="F33" s="514">
        <f t="shared" si="26"/>
        <v>1013</v>
      </c>
      <c r="G33" s="29">
        <v>1000</v>
      </c>
      <c r="H33" s="27">
        <f>-94+100</f>
        <v>6</v>
      </c>
      <c r="I33" s="53">
        <f t="shared" si="3"/>
        <v>1006</v>
      </c>
      <c r="J33" s="27"/>
      <c r="K33" s="27"/>
      <c r="L33" s="53">
        <f t="shared" si="4"/>
        <v>0</v>
      </c>
      <c r="M33" s="27"/>
      <c r="N33" s="27"/>
      <c r="O33" s="53">
        <f t="shared" si="5"/>
        <v>0</v>
      </c>
      <c r="P33" s="27"/>
      <c r="Q33" s="27"/>
      <c r="R33" s="27"/>
      <c r="S33" s="27"/>
      <c r="T33" s="27"/>
      <c r="U33" s="27"/>
      <c r="V33" s="27"/>
      <c r="W33" s="27"/>
      <c r="X33" s="53">
        <f t="shared" si="6"/>
        <v>0</v>
      </c>
      <c r="Y33" s="27"/>
      <c r="Z33" s="27"/>
      <c r="AA33" s="53">
        <f t="shared" si="7"/>
        <v>0</v>
      </c>
      <c r="AB33" s="456"/>
      <c r="AC33" s="456"/>
      <c r="AD33" s="765">
        <f t="shared" si="8"/>
        <v>0</v>
      </c>
      <c r="AE33" s="456"/>
      <c r="AF33" s="456"/>
      <c r="AG33" s="765">
        <f t="shared" si="27"/>
        <v>0</v>
      </c>
      <c r="AH33" s="27">
        <v>7</v>
      </c>
      <c r="AI33" s="27"/>
      <c r="AJ33" s="514">
        <f t="shared" si="10"/>
        <v>7</v>
      </c>
    </row>
    <row r="34" spans="1:36" s="42" customFormat="1" ht="12.95" customHeight="1" x14ac:dyDescent="0.2">
      <c r="A34" s="513" t="s">
        <v>80</v>
      </c>
      <c r="B34" s="1215" t="s">
        <v>151</v>
      </c>
      <c r="C34" s="1200"/>
      <c r="D34" s="575">
        <f t="shared" si="24"/>
        <v>31256</v>
      </c>
      <c r="E34" s="575">
        <f t="shared" si="25"/>
        <v>-1571</v>
      </c>
      <c r="F34" s="514">
        <f t="shared" si="26"/>
        <v>29685</v>
      </c>
      <c r="G34" s="575">
        <f>SUM(G29:G33)</f>
        <v>2564</v>
      </c>
      <c r="H34" s="53">
        <f t="shared" ref="H34:M34" si="47">SUM(H29:H33)</f>
        <v>116</v>
      </c>
      <c r="I34" s="53">
        <f t="shared" si="3"/>
        <v>2680</v>
      </c>
      <c r="J34" s="53">
        <f t="shared" ref="J34" si="48">SUM(J29:J33)</f>
        <v>18460</v>
      </c>
      <c r="K34" s="53">
        <f t="shared" si="47"/>
        <v>-1746</v>
      </c>
      <c r="L34" s="53">
        <f t="shared" si="4"/>
        <v>16714</v>
      </c>
      <c r="M34" s="53">
        <f t="shared" si="47"/>
        <v>4947</v>
      </c>
      <c r="N34" s="53">
        <f>SUM(N29:N33)</f>
        <v>0</v>
      </c>
      <c r="O34" s="53">
        <f t="shared" si="5"/>
        <v>4947</v>
      </c>
      <c r="P34" s="53">
        <f t="shared" ref="P34:Z34" si="49">SUM(P29:P33)</f>
        <v>160</v>
      </c>
      <c r="Q34" s="53">
        <f t="shared" si="49"/>
        <v>23</v>
      </c>
      <c r="R34" s="53">
        <f t="shared" si="49"/>
        <v>183</v>
      </c>
      <c r="S34" s="53">
        <f t="shared" si="49"/>
        <v>0</v>
      </c>
      <c r="T34" s="53">
        <f t="shared" si="49"/>
        <v>0</v>
      </c>
      <c r="U34" s="53">
        <f t="shared" si="49"/>
        <v>0</v>
      </c>
      <c r="V34" s="53">
        <f t="shared" si="49"/>
        <v>0</v>
      </c>
      <c r="W34" s="53">
        <f t="shared" si="49"/>
        <v>0</v>
      </c>
      <c r="X34" s="53">
        <f t="shared" si="6"/>
        <v>0</v>
      </c>
      <c r="Y34" s="53">
        <f t="shared" si="49"/>
        <v>186</v>
      </c>
      <c r="Z34" s="53">
        <f t="shared" si="49"/>
        <v>0</v>
      </c>
      <c r="AA34" s="53">
        <f t="shared" si="7"/>
        <v>186</v>
      </c>
      <c r="AB34" s="765">
        <f t="shared" ref="AB34:AC34" si="50">SUM(AB29:AB33)</f>
        <v>5</v>
      </c>
      <c r="AC34" s="765">
        <f t="shared" si="50"/>
        <v>0</v>
      </c>
      <c r="AD34" s="765">
        <f t="shared" si="8"/>
        <v>5</v>
      </c>
      <c r="AE34" s="765">
        <f t="shared" ref="AE34:AF34" si="51">SUM(AE29:AE33)</f>
        <v>0</v>
      </c>
      <c r="AF34" s="765">
        <f t="shared" si="51"/>
        <v>36</v>
      </c>
      <c r="AG34" s="765">
        <f t="shared" si="27"/>
        <v>36</v>
      </c>
      <c r="AH34" s="53">
        <f>SUM(AH29:AH33)</f>
        <v>4934</v>
      </c>
      <c r="AI34" s="53">
        <f>SUM(AI29:AI33)</f>
        <v>0</v>
      </c>
      <c r="AJ34" s="514">
        <f t="shared" si="10"/>
        <v>4934</v>
      </c>
    </row>
    <row r="35" spans="1:36" s="42" customFormat="1" ht="12.95" customHeight="1" x14ac:dyDescent="0.2">
      <c r="A35" s="513" t="s">
        <v>81</v>
      </c>
      <c r="B35" s="1215" t="s">
        <v>150</v>
      </c>
      <c r="C35" s="1200"/>
      <c r="D35" s="575">
        <f t="shared" si="24"/>
        <v>113009</v>
      </c>
      <c r="E35" s="575">
        <f t="shared" si="25"/>
        <v>-6569</v>
      </c>
      <c r="F35" s="514">
        <f t="shared" si="26"/>
        <v>106440</v>
      </c>
      <c r="G35" s="575">
        <f>+G34+G28+G25+G17+G14</f>
        <v>12652</v>
      </c>
      <c r="H35" s="53">
        <f t="shared" ref="H35:AI35" si="52">+H34+H28+H25+H17+H14</f>
        <v>788</v>
      </c>
      <c r="I35" s="53">
        <f t="shared" si="3"/>
        <v>13440</v>
      </c>
      <c r="J35" s="53">
        <f t="shared" ref="J35" si="53">+J34+J28+J25+J17+J14</f>
        <v>67719</v>
      </c>
      <c r="K35" s="53">
        <f t="shared" si="52"/>
        <v>-8214</v>
      </c>
      <c r="L35" s="53">
        <f t="shared" si="4"/>
        <v>59505</v>
      </c>
      <c r="M35" s="53">
        <f t="shared" si="52"/>
        <v>20823</v>
      </c>
      <c r="N35" s="53">
        <f t="shared" si="52"/>
        <v>0</v>
      </c>
      <c r="O35" s="53">
        <f t="shared" si="5"/>
        <v>20823</v>
      </c>
      <c r="P35" s="53">
        <f t="shared" si="52"/>
        <v>753</v>
      </c>
      <c r="Q35" s="53">
        <f t="shared" si="52"/>
        <v>111</v>
      </c>
      <c r="R35" s="53">
        <f t="shared" si="52"/>
        <v>864</v>
      </c>
      <c r="S35" s="53">
        <f t="shared" si="52"/>
        <v>0</v>
      </c>
      <c r="T35" s="53">
        <f t="shared" si="52"/>
        <v>0</v>
      </c>
      <c r="U35" s="53">
        <f t="shared" si="52"/>
        <v>0</v>
      </c>
      <c r="V35" s="53">
        <f t="shared" si="52"/>
        <v>0</v>
      </c>
      <c r="W35" s="53">
        <f t="shared" si="52"/>
        <v>0</v>
      </c>
      <c r="X35" s="53">
        <f t="shared" si="6"/>
        <v>0</v>
      </c>
      <c r="Y35" s="53">
        <f t="shared" si="52"/>
        <v>6030</v>
      </c>
      <c r="Z35" s="53">
        <f t="shared" si="52"/>
        <v>0</v>
      </c>
      <c r="AA35" s="53">
        <f t="shared" si="7"/>
        <v>6030</v>
      </c>
      <c r="AB35" s="765">
        <f t="shared" ref="AB35:AC35" si="54">+AB34+AB28+AB25+AB17+AB14</f>
        <v>98</v>
      </c>
      <c r="AC35" s="765">
        <f t="shared" si="54"/>
        <v>0</v>
      </c>
      <c r="AD35" s="765">
        <f t="shared" si="8"/>
        <v>98</v>
      </c>
      <c r="AE35" s="765">
        <f t="shared" ref="AE35:AF35" si="55">+AE34+AE28+AE25+AE17+AE14</f>
        <v>0</v>
      </c>
      <c r="AF35" s="765">
        <f t="shared" si="55"/>
        <v>746</v>
      </c>
      <c r="AG35" s="765">
        <f t="shared" si="27"/>
        <v>746</v>
      </c>
      <c r="AH35" s="53">
        <f t="shared" si="52"/>
        <v>4934</v>
      </c>
      <c r="AI35" s="53">
        <f t="shared" si="52"/>
        <v>0</v>
      </c>
      <c r="AJ35" s="514">
        <f t="shared" si="10"/>
        <v>4934</v>
      </c>
    </row>
    <row r="36" spans="1:36" ht="8.25" customHeight="1" x14ac:dyDescent="0.25">
      <c r="A36" s="515"/>
      <c r="B36" s="751"/>
      <c r="C36" s="308"/>
      <c r="D36" s="199"/>
      <c r="E36" s="199"/>
      <c r="F36" s="577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56"/>
      <c r="S36" s="56"/>
      <c r="T36" s="56"/>
      <c r="U36" s="56"/>
      <c r="V36" s="56"/>
      <c r="W36" s="56"/>
      <c r="X36" s="199"/>
      <c r="Y36" s="56"/>
      <c r="Z36" s="56"/>
      <c r="AA36" s="199"/>
      <c r="AB36" s="617"/>
      <c r="AC36" s="617"/>
      <c r="AD36" s="933"/>
      <c r="AE36" s="617"/>
      <c r="AF36" s="617"/>
      <c r="AG36" s="933"/>
      <c r="AH36" s="56"/>
      <c r="AI36" s="56"/>
      <c r="AJ36" s="577"/>
    </row>
    <row r="37" spans="1:36" ht="12.95" hidden="1" customHeight="1" x14ac:dyDescent="0.25">
      <c r="A37" s="96" t="s">
        <v>83</v>
      </c>
      <c r="B37" s="1234" t="s">
        <v>82</v>
      </c>
      <c r="C37" s="1235"/>
      <c r="D37" s="199">
        <f t="shared" ref="D37:D56" si="56">+G37+M37+P37+S37+V37+AH37+J37+Y37+AB37</f>
        <v>0</v>
      </c>
      <c r="E37" s="199">
        <f t="shared" ref="E37:E56" si="57">+H37+N37+Q37+T37+W37+AI37+K37+Z37+AC37</f>
        <v>0</v>
      </c>
      <c r="F37" s="577">
        <f t="shared" ref="F37:F56" si="58">+I37+O37+R37+U37+X37+AJ37+L37+AA37+AD37</f>
        <v>0</v>
      </c>
      <c r="G37" s="56"/>
      <c r="H37" s="56"/>
      <c r="I37" s="199">
        <f t="shared" si="3"/>
        <v>0</v>
      </c>
      <c r="J37" s="56"/>
      <c r="K37" s="56"/>
      <c r="L37" s="199">
        <f t="shared" si="4"/>
        <v>0</v>
      </c>
      <c r="M37" s="56"/>
      <c r="N37" s="56"/>
      <c r="O37" s="199">
        <f t="shared" si="5"/>
        <v>0</v>
      </c>
      <c r="P37" s="56"/>
      <c r="Q37" s="56"/>
      <c r="R37" s="56"/>
      <c r="S37" s="56"/>
      <c r="T37" s="56"/>
      <c r="U37" s="56"/>
      <c r="V37" s="56"/>
      <c r="W37" s="56"/>
      <c r="X37" s="199">
        <f t="shared" si="6"/>
        <v>0</v>
      </c>
      <c r="Y37" s="56"/>
      <c r="Z37" s="56"/>
      <c r="AA37" s="199">
        <f t="shared" si="7"/>
        <v>0</v>
      </c>
      <c r="AB37" s="617"/>
      <c r="AC37" s="617"/>
      <c r="AD37" s="933">
        <f t="shared" si="8"/>
        <v>0</v>
      </c>
      <c r="AE37" s="617"/>
      <c r="AF37" s="617"/>
      <c r="AG37" s="933">
        <f t="shared" ref="AG37:AG67" si="59">+AF37+AE37</f>
        <v>0</v>
      </c>
      <c r="AH37" s="56"/>
      <c r="AI37" s="56"/>
      <c r="AJ37" s="577">
        <f t="shared" si="10"/>
        <v>0</v>
      </c>
    </row>
    <row r="38" spans="1:36" ht="12.95" hidden="1" customHeight="1" x14ac:dyDescent="0.25">
      <c r="A38" s="846" t="s">
        <v>84</v>
      </c>
      <c r="B38" s="1234" t="s">
        <v>135</v>
      </c>
      <c r="C38" s="1235"/>
      <c r="D38" s="199">
        <f t="shared" si="56"/>
        <v>0</v>
      </c>
      <c r="E38" s="199">
        <f t="shared" si="57"/>
        <v>0</v>
      </c>
      <c r="F38" s="577">
        <f t="shared" si="58"/>
        <v>0</v>
      </c>
      <c r="G38" s="56"/>
      <c r="H38" s="56"/>
      <c r="I38" s="199">
        <f t="shared" si="3"/>
        <v>0</v>
      </c>
      <c r="J38" s="56"/>
      <c r="K38" s="56"/>
      <c r="L38" s="199">
        <f t="shared" si="4"/>
        <v>0</v>
      </c>
      <c r="M38" s="56"/>
      <c r="N38" s="56"/>
      <c r="O38" s="199">
        <f t="shared" si="5"/>
        <v>0</v>
      </c>
      <c r="P38" s="56"/>
      <c r="Q38" s="56"/>
      <c r="R38" s="56"/>
      <c r="S38" s="56"/>
      <c r="T38" s="56"/>
      <c r="U38" s="56"/>
      <c r="V38" s="56"/>
      <c r="W38" s="56"/>
      <c r="X38" s="199">
        <f t="shared" si="6"/>
        <v>0</v>
      </c>
      <c r="Y38" s="56"/>
      <c r="Z38" s="56"/>
      <c r="AA38" s="199">
        <f t="shared" si="7"/>
        <v>0</v>
      </c>
      <c r="AB38" s="617"/>
      <c r="AC38" s="617"/>
      <c r="AD38" s="933">
        <f t="shared" si="8"/>
        <v>0</v>
      </c>
      <c r="AE38" s="617"/>
      <c r="AF38" s="617"/>
      <c r="AG38" s="933">
        <f t="shared" si="59"/>
        <v>0</v>
      </c>
      <c r="AH38" s="56"/>
      <c r="AI38" s="56"/>
      <c r="AJ38" s="577">
        <f t="shared" si="10"/>
        <v>0</v>
      </c>
    </row>
    <row r="39" spans="1:36" s="38" customFormat="1" ht="12.95" hidden="1" customHeight="1" x14ac:dyDescent="0.2">
      <c r="A39" s="847" t="s">
        <v>84</v>
      </c>
      <c r="B39" s="842"/>
      <c r="C39" s="856" t="s">
        <v>137</v>
      </c>
      <c r="D39" s="199">
        <f t="shared" si="56"/>
        <v>0</v>
      </c>
      <c r="E39" s="199">
        <f t="shared" si="57"/>
        <v>0</v>
      </c>
      <c r="F39" s="577">
        <f t="shared" si="58"/>
        <v>0</v>
      </c>
      <c r="G39" s="843"/>
      <c r="H39" s="843"/>
      <c r="I39" s="199">
        <f t="shared" si="3"/>
        <v>0</v>
      </c>
      <c r="J39" s="843"/>
      <c r="K39" s="843"/>
      <c r="L39" s="199">
        <f t="shared" si="4"/>
        <v>0</v>
      </c>
      <c r="M39" s="843"/>
      <c r="N39" s="843"/>
      <c r="O39" s="199">
        <f t="shared" si="5"/>
        <v>0</v>
      </c>
      <c r="P39" s="843"/>
      <c r="Q39" s="843"/>
      <c r="R39" s="843"/>
      <c r="S39" s="843"/>
      <c r="T39" s="843"/>
      <c r="U39" s="843"/>
      <c r="V39" s="843"/>
      <c r="W39" s="843"/>
      <c r="X39" s="199">
        <f t="shared" si="6"/>
        <v>0</v>
      </c>
      <c r="Y39" s="843"/>
      <c r="Z39" s="843"/>
      <c r="AA39" s="199">
        <f t="shared" si="7"/>
        <v>0</v>
      </c>
      <c r="AB39" s="934"/>
      <c r="AC39" s="934"/>
      <c r="AD39" s="933">
        <f t="shared" si="8"/>
        <v>0</v>
      </c>
      <c r="AE39" s="934"/>
      <c r="AF39" s="934"/>
      <c r="AG39" s="933">
        <f t="shared" si="59"/>
        <v>0</v>
      </c>
      <c r="AH39" s="843"/>
      <c r="AI39" s="843"/>
      <c r="AJ39" s="577">
        <f t="shared" si="10"/>
        <v>0</v>
      </c>
    </row>
    <row r="40" spans="1:36" ht="12.95" hidden="1" customHeight="1" x14ac:dyDescent="0.25">
      <c r="A40" s="96" t="s">
        <v>86</v>
      </c>
      <c r="B40" s="1234" t="s">
        <v>85</v>
      </c>
      <c r="C40" s="1235"/>
      <c r="D40" s="199">
        <f t="shared" si="56"/>
        <v>0</v>
      </c>
      <c r="E40" s="199">
        <f t="shared" si="57"/>
        <v>0</v>
      </c>
      <c r="F40" s="577">
        <f t="shared" si="58"/>
        <v>0</v>
      </c>
      <c r="G40" s="56"/>
      <c r="H40" s="56"/>
      <c r="I40" s="199">
        <f t="shared" si="3"/>
        <v>0</v>
      </c>
      <c r="J40" s="56"/>
      <c r="K40" s="56"/>
      <c r="L40" s="199">
        <f t="shared" si="4"/>
        <v>0</v>
      </c>
      <c r="M40" s="56"/>
      <c r="N40" s="56"/>
      <c r="O40" s="199">
        <f t="shared" si="5"/>
        <v>0</v>
      </c>
      <c r="P40" s="56"/>
      <c r="Q40" s="56"/>
      <c r="R40" s="56"/>
      <c r="S40" s="56"/>
      <c r="T40" s="56"/>
      <c r="U40" s="56"/>
      <c r="V40" s="56"/>
      <c r="W40" s="56"/>
      <c r="X40" s="199">
        <f t="shared" si="6"/>
        <v>0</v>
      </c>
      <c r="Y40" s="56"/>
      <c r="Z40" s="56"/>
      <c r="AA40" s="199">
        <f t="shared" si="7"/>
        <v>0</v>
      </c>
      <c r="AB40" s="617"/>
      <c r="AC40" s="617"/>
      <c r="AD40" s="933">
        <f t="shared" si="8"/>
        <v>0</v>
      </c>
      <c r="AE40" s="617"/>
      <c r="AF40" s="617"/>
      <c r="AG40" s="933">
        <f t="shared" si="59"/>
        <v>0</v>
      </c>
      <c r="AH40" s="56"/>
      <c r="AI40" s="56"/>
      <c r="AJ40" s="577">
        <f t="shared" si="10"/>
        <v>0</v>
      </c>
    </row>
    <row r="41" spans="1:36" ht="12.95" hidden="1" customHeight="1" x14ac:dyDescent="0.25">
      <c r="A41" s="846" t="s">
        <v>87</v>
      </c>
      <c r="B41" s="1234" t="s">
        <v>138</v>
      </c>
      <c r="C41" s="1235"/>
      <c r="D41" s="199">
        <f t="shared" si="56"/>
        <v>0</v>
      </c>
      <c r="E41" s="199">
        <f t="shared" si="57"/>
        <v>0</v>
      </c>
      <c r="F41" s="577">
        <f t="shared" si="58"/>
        <v>0</v>
      </c>
      <c r="G41" s="56"/>
      <c r="H41" s="56"/>
      <c r="I41" s="199">
        <f t="shared" si="3"/>
        <v>0</v>
      </c>
      <c r="J41" s="56"/>
      <c r="K41" s="56"/>
      <c r="L41" s="199">
        <f t="shared" si="4"/>
        <v>0</v>
      </c>
      <c r="M41" s="56"/>
      <c r="N41" s="56"/>
      <c r="O41" s="199">
        <f t="shared" si="5"/>
        <v>0</v>
      </c>
      <c r="P41" s="56"/>
      <c r="Q41" s="56"/>
      <c r="R41" s="56"/>
      <c r="S41" s="56"/>
      <c r="T41" s="56"/>
      <c r="U41" s="56"/>
      <c r="V41" s="56"/>
      <c r="W41" s="56"/>
      <c r="X41" s="199">
        <f t="shared" si="6"/>
        <v>0</v>
      </c>
      <c r="Y41" s="56"/>
      <c r="Z41" s="56"/>
      <c r="AA41" s="199">
        <f t="shared" si="7"/>
        <v>0</v>
      </c>
      <c r="AB41" s="617"/>
      <c r="AC41" s="617"/>
      <c r="AD41" s="933">
        <f t="shared" si="8"/>
        <v>0</v>
      </c>
      <c r="AE41" s="617"/>
      <c r="AF41" s="617"/>
      <c r="AG41" s="933">
        <f t="shared" si="59"/>
        <v>0</v>
      </c>
      <c r="AH41" s="56"/>
      <c r="AI41" s="56"/>
      <c r="AJ41" s="577">
        <f t="shared" si="10"/>
        <v>0</v>
      </c>
    </row>
    <row r="42" spans="1:36" s="38" customFormat="1" ht="12.95" hidden="1" customHeight="1" x14ac:dyDescent="0.2">
      <c r="A42" s="847" t="s">
        <v>87</v>
      </c>
      <c r="B42" s="842"/>
      <c r="C42" s="857" t="s">
        <v>88</v>
      </c>
      <c r="D42" s="199">
        <f t="shared" si="56"/>
        <v>0</v>
      </c>
      <c r="E42" s="199">
        <f t="shared" si="57"/>
        <v>0</v>
      </c>
      <c r="F42" s="577">
        <f t="shared" si="58"/>
        <v>0</v>
      </c>
      <c r="G42" s="843"/>
      <c r="H42" s="843"/>
      <c r="I42" s="199">
        <f t="shared" si="3"/>
        <v>0</v>
      </c>
      <c r="J42" s="843"/>
      <c r="K42" s="843"/>
      <c r="L42" s="199">
        <f t="shared" si="4"/>
        <v>0</v>
      </c>
      <c r="M42" s="843"/>
      <c r="N42" s="843"/>
      <c r="O42" s="199">
        <f t="shared" si="5"/>
        <v>0</v>
      </c>
      <c r="P42" s="843"/>
      <c r="Q42" s="843"/>
      <c r="R42" s="843"/>
      <c r="S42" s="843"/>
      <c r="T42" s="843"/>
      <c r="U42" s="843"/>
      <c r="V42" s="843"/>
      <c r="W42" s="843"/>
      <c r="X42" s="199">
        <f t="shared" si="6"/>
        <v>0</v>
      </c>
      <c r="Y42" s="843"/>
      <c r="Z42" s="843"/>
      <c r="AA42" s="199">
        <f t="shared" si="7"/>
        <v>0</v>
      </c>
      <c r="AB42" s="934"/>
      <c r="AC42" s="934"/>
      <c r="AD42" s="933">
        <f t="shared" si="8"/>
        <v>0</v>
      </c>
      <c r="AE42" s="934"/>
      <c r="AF42" s="934"/>
      <c r="AG42" s="933">
        <f t="shared" si="59"/>
        <v>0</v>
      </c>
      <c r="AH42" s="843"/>
      <c r="AI42" s="843"/>
      <c r="AJ42" s="577">
        <f t="shared" si="10"/>
        <v>0</v>
      </c>
    </row>
    <row r="43" spans="1:36" s="38" customFormat="1" ht="12.95" hidden="1" customHeight="1" x14ac:dyDescent="0.2">
      <c r="A43" s="847" t="s">
        <v>87</v>
      </c>
      <c r="B43" s="842"/>
      <c r="C43" s="856" t="s">
        <v>139</v>
      </c>
      <c r="D43" s="199">
        <f t="shared" si="56"/>
        <v>0</v>
      </c>
      <c r="E43" s="199">
        <f t="shared" si="57"/>
        <v>0</v>
      </c>
      <c r="F43" s="577">
        <f t="shared" si="58"/>
        <v>0</v>
      </c>
      <c r="G43" s="843"/>
      <c r="H43" s="843"/>
      <c r="I43" s="199">
        <f t="shared" si="3"/>
        <v>0</v>
      </c>
      <c r="J43" s="843"/>
      <c r="K43" s="843"/>
      <c r="L43" s="199">
        <f t="shared" si="4"/>
        <v>0</v>
      </c>
      <c r="M43" s="843"/>
      <c r="N43" s="843"/>
      <c r="O43" s="199">
        <f t="shared" si="5"/>
        <v>0</v>
      </c>
      <c r="P43" s="843"/>
      <c r="Q43" s="843"/>
      <c r="R43" s="843"/>
      <c r="S43" s="843"/>
      <c r="T43" s="843"/>
      <c r="U43" s="843"/>
      <c r="V43" s="843"/>
      <c r="W43" s="843"/>
      <c r="X43" s="199">
        <f t="shared" si="6"/>
        <v>0</v>
      </c>
      <c r="Y43" s="843"/>
      <c r="Z43" s="843"/>
      <c r="AA43" s="199">
        <f t="shared" si="7"/>
        <v>0</v>
      </c>
      <c r="AB43" s="934"/>
      <c r="AC43" s="934"/>
      <c r="AD43" s="933">
        <f t="shared" si="8"/>
        <v>0</v>
      </c>
      <c r="AE43" s="934"/>
      <c r="AF43" s="934"/>
      <c r="AG43" s="933">
        <f t="shared" si="59"/>
        <v>0</v>
      </c>
      <c r="AH43" s="843"/>
      <c r="AI43" s="843"/>
      <c r="AJ43" s="577">
        <f t="shared" si="10"/>
        <v>0</v>
      </c>
    </row>
    <row r="44" spans="1:36" ht="12.95" hidden="1" customHeight="1" x14ac:dyDescent="0.25">
      <c r="A44" s="846" t="s">
        <v>89</v>
      </c>
      <c r="B44" s="1250" t="s">
        <v>140</v>
      </c>
      <c r="C44" s="1204"/>
      <c r="D44" s="199">
        <f t="shared" si="56"/>
        <v>0</v>
      </c>
      <c r="E44" s="199">
        <f t="shared" si="57"/>
        <v>0</v>
      </c>
      <c r="F44" s="577">
        <f t="shared" si="58"/>
        <v>0</v>
      </c>
      <c r="G44" s="56"/>
      <c r="H44" s="56"/>
      <c r="I44" s="199">
        <f t="shared" si="3"/>
        <v>0</v>
      </c>
      <c r="J44" s="56"/>
      <c r="K44" s="56"/>
      <c r="L44" s="199">
        <f t="shared" si="4"/>
        <v>0</v>
      </c>
      <c r="M44" s="56"/>
      <c r="N44" s="56"/>
      <c r="O44" s="199">
        <f t="shared" si="5"/>
        <v>0</v>
      </c>
      <c r="P44" s="56"/>
      <c r="Q44" s="56"/>
      <c r="R44" s="56"/>
      <c r="S44" s="56"/>
      <c r="T44" s="56"/>
      <c r="U44" s="56"/>
      <c r="V44" s="56"/>
      <c r="W44" s="56"/>
      <c r="X44" s="199">
        <f t="shared" si="6"/>
        <v>0</v>
      </c>
      <c r="Y44" s="56"/>
      <c r="Z44" s="56"/>
      <c r="AA44" s="199">
        <f t="shared" si="7"/>
        <v>0</v>
      </c>
      <c r="AB44" s="617"/>
      <c r="AC44" s="617"/>
      <c r="AD44" s="933">
        <f t="shared" si="8"/>
        <v>0</v>
      </c>
      <c r="AE44" s="617"/>
      <c r="AF44" s="617"/>
      <c r="AG44" s="933">
        <f t="shared" si="59"/>
        <v>0</v>
      </c>
      <c r="AH44" s="56"/>
      <c r="AI44" s="56"/>
      <c r="AJ44" s="577">
        <f t="shared" si="10"/>
        <v>0</v>
      </c>
    </row>
    <row r="45" spans="1:36" s="38" customFormat="1" ht="12.95" hidden="1" customHeight="1" x14ac:dyDescent="0.2">
      <c r="A45" s="847" t="s">
        <v>89</v>
      </c>
      <c r="B45" s="842"/>
      <c r="C45" s="856" t="s">
        <v>141</v>
      </c>
      <c r="D45" s="199">
        <f t="shared" si="56"/>
        <v>0</v>
      </c>
      <c r="E45" s="199">
        <f t="shared" si="57"/>
        <v>0</v>
      </c>
      <c r="F45" s="577">
        <f t="shared" si="58"/>
        <v>0</v>
      </c>
      <c r="G45" s="843"/>
      <c r="H45" s="843"/>
      <c r="I45" s="199">
        <f t="shared" si="3"/>
        <v>0</v>
      </c>
      <c r="J45" s="843"/>
      <c r="K45" s="843"/>
      <c r="L45" s="199">
        <f t="shared" si="4"/>
        <v>0</v>
      </c>
      <c r="M45" s="843"/>
      <c r="N45" s="843"/>
      <c r="O45" s="199">
        <f t="shared" si="5"/>
        <v>0</v>
      </c>
      <c r="P45" s="843"/>
      <c r="Q45" s="843"/>
      <c r="R45" s="843"/>
      <c r="S45" s="843"/>
      <c r="T45" s="843"/>
      <c r="U45" s="843"/>
      <c r="V45" s="843"/>
      <c r="W45" s="843"/>
      <c r="X45" s="199">
        <f t="shared" si="6"/>
        <v>0</v>
      </c>
      <c r="Y45" s="843"/>
      <c r="Z45" s="843"/>
      <c r="AA45" s="199">
        <f t="shared" si="7"/>
        <v>0</v>
      </c>
      <c r="AB45" s="934"/>
      <c r="AC45" s="934"/>
      <c r="AD45" s="933">
        <f t="shared" si="8"/>
        <v>0</v>
      </c>
      <c r="AE45" s="934"/>
      <c r="AF45" s="934"/>
      <c r="AG45" s="933">
        <f t="shared" si="59"/>
        <v>0</v>
      </c>
      <c r="AH45" s="843"/>
      <c r="AI45" s="843"/>
      <c r="AJ45" s="577">
        <f t="shared" si="10"/>
        <v>0</v>
      </c>
    </row>
    <row r="46" spans="1:36" ht="12.95" hidden="1" customHeight="1" x14ac:dyDescent="0.25">
      <c r="A46" s="846" t="s">
        <v>90</v>
      </c>
      <c r="B46" s="1250" t="s">
        <v>142</v>
      </c>
      <c r="C46" s="1204"/>
      <c r="D46" s="199">
        <f t="shared" si="56"/>
        <v>0</v>
      </c>
      <c r="E46" s="199">
        <f t="shared" si="57"/>
        <v>0</v>
      </c>
      <c r="F46" s="577">
        <f t="shared" si="58"/>
        <v>0</v>
      </c>
      <c r="G46" s="56"/>
      <c r="H46" s="56"/>
      <c r="I46" s="199">
        <f t="shared" si="3"/>
        <v>0</v>
      </c>
      <c r="J46" s="56"/>
      <c r="K46" s="56"/>
      <c r="L46" s="199">
        <f t="shared" si="4"/>
        <v>0</v>
      </c>
      <c r="M46" s="56"/>
      <c r="N46" s="56"/>
      <c r="O46" s="199">
        <f t="shared" si="5"/>
        <v>0</v>
      </c>
      <c r="P46" s="56"/>
      <c r="Q46" s="56"/>
      <c r="R46" s="56"/>
      <c r="S46" s="56"/>
      <c r="T46" s="56"/>
      <c r="U46" s="56"/>
      <c r="V46" s="56"/>
      <c r="W46" s="56"/>
      <c r="X46" s="199">
        <f t="shared" si="6"/>
        <v>0</v>
      </c>
      <c r="Y46" s="56"/>
      <c r="Z46" s="56"/>
      <c r="AA46" s="199">
        <f t="shared" si="7"/>
        <v>0</v>
      </c>
      <c r="AB46" s="617"/>
      <c r="AC46" s="617"/>
      <c r="AD46" s="933">
        <f t="shared" si="8"/>
        <v>0</v>
      </c>
      <c r="AE46" s="617"/>
      <c r="AF46" s="617"/>
      <c r="AG46" s="933">
        <f t="shared" si="59"/>
        <v>0</v>
      </c>
      <c r="AH46" s="56"/>
      <c r="AI46" s="56"/>
      <c r="AJ46" s="577">
        <f t="shared" si="10"/>
        <v>0</v>
      </c>
    </row>
    <row r="47" spans="1:36" s="38" customFormat="1" ht="12.95" hidden="1" customHeight="1" x14ac:dyDescent="0.2">
      <c r="A47" s="847" t="s">
        <v>90</v>
      </c>
      <c r="B47" s="842"/>
      <c r="C47" s="856" t="s">
        <v>143</v>
      </c>
      <c r="D47" s="199">
        <f t="shared" si="56"/>
        <v>0</v>
      </c>
      <c r="E47" s="199">
        <f t="shared" si="57"/>
        <v>0</v>
      </c>
      <c r="F47" s="577">
        <f t="shared" si="58"/>
        <v>0</v>
      </c>
      <c r="G47" s="843"/>
      <c r="H47" s="843"/>
      <c r="I47" s="199">
        <f t="shared" si="3"/>
        <v>0</v>
      </c>
      <c r="J47" s="843"/>
      <c r="K47" s="843"/>
      <c r="L47" s="199">
        <f t="shared" si="4"/>
        <v>0</v>
      </c>
      <c r="M47" s="843"/>
      <c r="N47" s="843"/>
      <c r="O47" s="199">
        <f t="shared" si="5"/>
        <v>0</v>
      </c>
      <c r="P47" s="843"/>
      <c r="Q47" s="843"/>
      <c r="R47" s="843"/>
      <c r="S47" s="843"/>
      <c r="T47" s="843"/>
      <c r="U47" s="843"/>
      <c r="V47" s="843"/>
      <c r="W47" s="843"/>
      <c r="X47" s="199">
        <f t="shared" si="6"/>
        <v>0</v>
      </c>
      <c r="Y47" s="843"/>
      <c r="Z47" s="843"/>
      <c r="AA47" s="199">
        <f t="shared" si="7"/>
        <v>0</v>
      </c>
      <c r="AB47" s="934"/>
      <c r="AC47" s="934"/>
      <c r="AD47" s="933">
        <f t="shared" si="8"/>
        <v>0</v>
      </c>
      <c r="AE47" s="934"/>
      <c r="AF47" s="934"/>
      <c r="AG47" s="933">
        <f t="shared" si="59"/>
        <v>0</v>
      </c>
      <c r="AH47" s="843"/>
      <c r="AI47" s="843"/>
      <c r="AJ47" s="577">
        <f t="shared" si="10"/>
        <v>0</v>
      </c>
    </row>
    <row r="48" spans="1:36" ht="12.95" hidden="1" customHeight="1" x14ac:dyDescent="0.25">
      <c r="A48" s="96" t="s">
        <v>91</v>
      </c>
      <c r="B48" s="1250" t="s">
        <v>144</v>
      </c>
      <c r="C48" s="1204"/>
      <c r="D48" s="199">
        <f t="shared" si="56"/>
        <v>0</v>
      </c>
      <c r="E48" s="199">
        <f t="shared" si="57"/>
        <v>0</v>
      </c>
      <c r="F48" s="577">
        <f t="shared" si="58"/>
        <v>0</v>
      </c>
      <c r="G48" s="56"/>
      <c r="H48" s="56"/>
      <c r="I48" s="199">
        <f t="shared" si="3"/>
        <v>0</v>
      </c>
      <c r="J48" s="56"/>
      <c r="K48" s="56"/>
      <c r="L48" s="199">
        <f t="shared" si="4"/>
        <v>0</v>
      </c>
      <c r="M48" s="56"/>
      <c r="N48" s="56"/>
      <c r="O48" s="199">
        <f t="shared" si="5"/>
        <v>0</v>
      </c>
      <c r="P48" s="56"/>
      <c r="Q48" s="56"/>
      <c r="R48" s="56"/>
      <c r="S48" s="56"/>
      <c r="T48" s="56"/>
      <c r="U48" s="56"/>
      <c r="V48" s="56"/>
      <c r="W48" s="56"/>
      <c r="X48" s="199">
        <f t="shared" si="6"/>
        <v>0</v>
      </c>
      <c r="Y48" s="56"/>
      <c r="Z48" s="56"/>
      <c r="AA48" s="199">
        <f t="shared" si="7"/>
        <v>0</v>
      </c>
      <c r="AB48" s="617"/>
      <c r="AC48" s="617"/>
      <c r="AD48" s="933">
        <f t="shared" si="8"/>
        <v>0</v>
      </c>
      <c r="AE48" s="617"/>
      <c r="AF48" s="617"/>
      <c r="AG48" s="933">
        <f t="shared" si="59"/>
        <v>0</v>
      </c>
      <c r="AH48" s="56"/>
      <c r="AI48" s="56"/>
      <c r="AJ48" s="577">
        <f t="shared" si="10"/>
        <v>0</v>
      </c>
    </row>
    <row r="49" spans="1:36" s="38" customFormat="1" ht="12.95" hidden="1" customHeight="1" x14ac:dyDescent="0.2">
      <c r="A49" s="847" t="s">
        <v>91</v>
      </c>
      <c r="B49" s="842"/>
      <c r="C49" s="856" t="s">
        <v>92</v>
      </c>
      <c r="D49" s="199">
        <f t="shared" si="56"/>
        <v>0</v>
      </c>
      <c r="E49" s="199">
        <f t="shared" si="57"/>
        <v>0</v>
      </c>
      <c r="F49" s="577">
        <f t="shared" si="58"/>
        <v>0</v>
      </c>
      <c r="G49" s="843"/>
      <c r="H49" s="843"/>
      <c r="I49" s="199">
        <f t="shared" si="3"/>
        <v>0</v>
      </c>
      <c r="J49" s="843"/>
      <c r="K49" s="843"/>
      <c r="L49" s="199">
        <f t="shared" si="4"/>
        <v>0</v>
      </c>
      <c r="M49" s="843"/>
      <c r="N49" s="843"/>
      <c r="O49" s="199">
        <f t="shared" si="5"/>
        <v>0</v>
      </c>
      <c r="P49" s="843"/>
      <c r="Q49" s="843"/>
      <c r="R49" s="843"/>
      <c r="S49" s="843"/>
      <c r="T49" s="843"/>
      <c r="U49" s="843"/>
      <c r="V49" s="843"/>
      <c r="W49" s="843"/>
      <c r="X49" s="199">
        <f t="shared" si="6"/>
        <v>0</v>
      </c>
      <c r="Y49" s="843"/>
      <c r="Z49" s="843"/>
      <c r="AA49" s="199">
        <f t="shared" si="7"/>
        <v>0</v>
      </c>
      <c r="AB49" s="934"/>
      <c r="AC49" s="934"/>
      <c r="AD49" s="933">
        <f t="shared" si="8"/>
        <v>0</v>
      </c>
      <c r="AE49" s="934"/>
      <c r="AF49" s="934"/>
      <c r="AG49" s="933">
        <f t="shared" si="59"/>
        <v>0</v>
      </c>
      <c r="AH49" s="843"/>
      <c r="AI49" s="843"/>
      <c r="AJ49" s="577">
        <f t="shared" si="10"/>
        <v>0</v>
      </c>
    </row>
    <row r="50" spans="1:36" ht="12.95" hidden="1" customHeight="1" x14ac:dyDescent="0.25">
      <c r="A50" s="846" t="s">
        <v>93</v>
      </c>
      <c r="B50" s="1250" t="s">
        <v>145</v>
      </c>
      <c r="C50" s="1204"/>
      <c r="D50" s="199">
        <f t="shared" si="56"/>
        <v>0</v>
      </c>
      <c r="E50" s="199">
        <f t="shared" si="57"/>
        <v>0</v>
      </c>
      <c r="F50" s="577">
        <f t="shared" si="58"/>
        <v>0</v>
      </c>
      <c r="G50" s="56"/>
      <c r="H50" s="56"/>
      <c r="I50" s="199">
        <f t="shared" si="3"/>
        <v>0</v>
      </c>
      <c r="J50" s="56"/>
      <c r="K50" s="56"/>
      <c r="L50" s="199">
        <f t="shared" si="4"/>
        <v>0</v>
      </c>
      <c r="M50" s="56"/>
      <c r="N50" s="56"/>
      <c r="O50" s="199">
        <f t="shared" si="5"/>
        <v>0</v>
      </c>
      <c r="P50" s="56"/>
      <c r="Q50" s="56"/>
      <c r="R50" s="56"/>
      <c r="S50" s="56"/>
      <c r="T50" s="56"/>
      <c r="U50" s="56"/>
      <c r="V50" s="56"/>
      <c r="W50" s="56"/>
      <c r="X50" s="199">
        <f t="shared" si="6"/>
        <v>0</v>
      </c>
      <c r="Y50" s="56"/>
      <c r="Z50" s="56"/>
      <c r="AA50" s="199">
        <f t="shared" si="7"/>
        <v>0</v>
      </c>
      <c r="AB50" s="617"/>
      <c r="AC50" s="617"/>
      <c r="AD50" s="933">
        <f t="shared" si="8"/>
        <v>0</v>
      </c>
      <c r="AE50" s="617"/>
      <c r="AF50" s="617"/>
      <c r="AG50" s="933">
        <f t="shared" si="59"/>
        <v>0</v>
      </c>
      <c r="AH50" s="56"/>
      <c r="AI50" s="56"/>
      <c r="AJ50" s="577">
        <f t="shared" si="10"/>
        <v>0</v>
      </c>
    </row>
    <row r="51" spans="1:36" s="38" customFormat="1" ht="12.95" hidden="1" customHeight="1" x14ac:dyDescent="0.2">
      <c r="A51" s="847" t="s">
        <v>93</v>
      </c>
      <c r="B51" s="842"/>
      <c r="C51" s="856" t="s">
        <v>146</v>
      </c>
      <c r="D51" s="199">
        <f t="shared" si="56"/>
        <v>0</v>
      </c>
      <c r="E51" s="199">
        <f t="shared" si="57"/>
        <v>0</v>
      </c>
      <c r="F51" s="577">
        <f t="shared" si="58"/>
        <v>0</v>
      </c>
      <c r="G51" s="843"/>
      <c r="H51" s="843"/>
      <c r="I51" s="199">
        <f t="shared" si="3"/>
        <v>0</v>
      </c>
      <c r="J51" s="843"/>
      <c r="K51" s="843"/>
      <c r="L51" s="199">
        <f t="shared" si="4"/>
        <v>0</v>
      </c>
      <c r="M51" s="843"/>
      <c r="N51" s="843"/>
      <c r="O51" s="199">
        <f t="shared" si="5"/>
        <v>0</v>
      </c>
      <c r="P51" s="843"/>
      <c r="Q51" s="843"/>
      <c r="R51" s="843"/>
      <c r="S51" s="843"/>
      <c r="T51" s="843"/>
      <c r="U51" s="843"/>
      <c r="V51" s="843"/>
      <c r="W51" s="843"/>
      <c r="X51" s="199">
        <f t="shared" si="6"/>
        <v>0</v>
      </c>
      <c r="Y51" s="843"/>
      <c r="Z51" s="843"/>
      <c r="AA51" s="199">
        <f t="shared" si="7"/>
        <v>0</v>
      </c>
      <c r="AB51" s="934"/>
      <c r="AC51" s="934"/>
      <c r="AD51" s="933">
        <f t="shared" si="8"/>
        <v>0</v>
      </c>
      <c r="AE51" s="934"/>
      <c r="AF51" s="934"/>
      <c r="AG51" s="933">
        <f t="shared" si="59"/>
        <v>0</v>
      </c>
      <c r="AH51" s="843"/>
      <c r="AI51" s="843"/>
      <c r="AJ51" s="577">
        <f t="shared" si="10"/>
        <v>0</v>
      </c>
    </row>
    <row r="52" spans="1:36" s="38" customFormat="1" ht="12.95" hidden="1" customHeight="1" x14ac:dyDescent="0.2">
      <c r="A52" s="847" t="s">
        <v>93</v>
      </c>
      <c r="B52" s="842"/>
      <c r="C52" s="856" t="s">
        <v>136</v>
      </c>
      <c r="D52" s="199">
        <f t="shared" si="56"/>
        <v>0</v>
      </c>
      <c r="E52" s="199">
        <f t="shared" si="57"/>
        <v>0</v>
      </c>
      <c r="F52" s="577">
        <f t="shared" si="58"/>
        <v>0</v>
      </c>
      <c r="G52" s="843"/>
      <c r="H52" s="843"/>
      <c r="I52" s="199">
        <f t="shared" si="3"/>
        <v>0</v>
      </c>
      <c r="J52" s="843"/>
      <c r="K52" s="843"/>
      <c r="L52" s="199">
        <f t="shared" si="4"/>
        <v>0</v>
      </c>
      <c r="M52" s="843"/>
      <c r="N52" s="843"/>
      <c r="O52" s="199">
        <f t="shared" si="5"/>
        <v>0</v>
      </c>
      <c r="P52" s="843"/>
      <c r="Q52" s="843"/>
      <c r="R52" s="843"/>
      <c r="S52" s="843"/>
      <c r="T52" s="843"/>
      <c r="U52" s="843"/>
      <c r="V52" s="843"/>
      <c r="W52" s="843"/>
      <c r="X52" s="199">
        <f t="shared" si="6"/>
        <v>0</v>
      </c>
      <c r="Y52" s="843"/>
      <c r="Z52" s="843"/>
      <c r="AA52" s="199">
        <f t="shared" si="7"/>
        <v>0</v>
      </c>
      <c r="AB52" s="934"/>
      <c r="AC52" s="934"/>
      <c r="AD52" s="933">
        <f t="shared" si="8"/>
        <v>0</v>
      </c>
      <c r="AE52" s="934"/>
      <c r="AF52" s="934"/>
      <c r="AG52" s="933">
        <f t="shared" si="59"/>
        <v>0</v>
      </c>
      <c r="AH52" s="843"/>
      <c r="AI52" s="843"/>
      <c r="AJ52" s="577">
        <f t="shared" si="10"/>
        <v>0</v>
      </c>
    </row>
    <row r="53" spans="1:36" s="38" customFormat="1" ht="12.95" hidden="1" customHeight="1" x14ac:dyDescent="0.2">
      <c r="A53" s="848" t="s">
        <v>93</v>
      </c>
      <c r="B53" s="842"/>
      <c r="C53" s="856" t="s">
        <v>147</v>
      </c>
      <c r="D53" s="199">
        <f t="shared" si="56"/>
        <v>0</v>
      </c>
      <c r="E53" s="199">
        <f t="shared" si="57"/>
        <v>0</v>
      </c>
      <c r="F53" s="577">
        <f t="shared" si="58"/>
        <v>0</v>
      </c>
      <c r="G53" s="844"/>
      <c r="H53" s="844"/>
      <c r="I53" s="199">
        <f t="shared" si="3"/>
        <v>0</v>
      </c>
      <c r="J53" s="844"/>
      <c r="K53" s="844"/>
      <c r="L53" s="199">
        <f t="shared" si="4"/>
        <v>0</v>
      </c>
      <c r="M53" s="844"/>
      <c r="N53" s="844"/>
      <c r="O53" s="199">
        <f t="shared" si="5"/>
        <v>0</v>
      </c>
      <c r="P53" s="844"/>
      <c r="Q53" s="844"/>
      <c r="R53" s="844"/>
      <c r="S53" s="844"/>
      <c r="T53" s="844"/>
      <c r="U53" s="844"/>
      <c r="V53" s="844"/>
      <c r="W53" s="844"/>
      <c r="X53" s="199">
        <f t="shared" si="6"/>
        <v>0</v>
      </c>
      <c r="Y53" s="844"/>
      <c r="Z53" s="844"/>
      <c r="AA53" s="199">
        <f t="shared" si="7"/>
        <v>0</v>
      </c>
      <c r="AB53" s="844"/>
      <c r="AC53" s="844"/>
      <c r="AD53" s="933">
        <f t="shared" si="8"/>
        <v>0</v>
      </c>
      <c r="AE53" s="844"/>
      <c r="AF53" s="844"/>
      <c r="AG53" s="933">
        <f t="shared" si="59"/>
        <v>0</v>
      </c>
      <c r="AH53" s="844"/>
      <c r="AI53" s="844"/>
      <c r="AJ53" s="577">
        <f t="shared" si="10"/>
        <v>0</v>
      </c>
    </row>
    <row r="54" spans="1:36" s="38" customFormat="1" ht="12.95" hidden="1" customHeight="1" x14ac:dyDescent="0.2">
      <c r="A54" s="847" t="s">
        <v>93</v>
      </c>
      <c r="B54" s="842"/>
      <c r="C54" s="856" t="s">
        <v>148</v>
      </c>
      <c r="D54" s="199">
        <f t="shared" si="56"/>
        <v>0</v>
      </c>
      <c r="E54" s="199">
        <f t="shared" si="57"/>
        <v>0</v>
      </c>
      <c r="F54" s="577">
        <f t="shared" si="58"/>
        <v>0</v>
      </c>
      <c r="G54" s="843"/>
      <c r="H54" s="843"/>
      <c r="I54" s="199">
        <f t="shared" si="3"/>
        <v>0</v>
      </c>
      <c r="J54" s="843"/>
      <c r="K54" s="843"/>
      <c r="L54" s="199">
        <f t="shared" si="4"/>
        <v>0</v>
      </c>
      <c r="M54" s="843"/>
      <c r="N54" s="843"/>
      <c r="O54" s="199">
        <f t="shared" si="5"/>
        <v>0</v>
      </c>
      <c r="P54" s="843"/>
      <c r="Q54" s="843"/>
      <c r="R54" s="843"/>
      <c r="S54" s="843"/>
      <c r="T54" s="843"/>
      <c r="U54" s="843"/>
      <c r="V54" s="843"/>
      <c r="W54" s="843"/>
      <c r="X54" s="199">
        <f t="shared" si="6"/>
        <v>0</v>
      </c>
      <c r="Y54" s="843"/>
      <c r="Z54" s="843"/>
      <c r="AA54" s="199">
        <f t="shared" si="7"/>
        <v>0</v>
      </c>
      <c r="AB54" s="934"/>
      <c r="AC54" s="934"/>
      <c r="AD54" s="933">
        <f t="shared" si="8"/>
        <v>0</v>
      </c>
      <c r="AE54" s="934"/>
      <c r="AF54" s="934"/>
      <c r="AG54" s="933">
        <f t="shared" si="59"/>
        <v>0</v>
      </c>
      <c r="AH54" s="843"/>
      <c r="AI54" s="843"/>
      <c r="AJ54" s="577">
        <f t="shared" si="10"/>
        <v>0</v>
      </c>
    </row>
    <row r="55" spans="1:36" s="42" customFormat="1" ht="12.95" hidden="1" customHeight="1" x14ac:dyDescent="0.2">
      <c r="A55" s="515" t="s">
        <v>94</v>
      </c>
      <c r="B55" s="1248" t="s">
        <v>149</v>
      </c>
      <c r="C55" s="1249"/>
      <c r="D55" s="199">
        <f t="shared" si="56"/>
        <v>0</v>
      </c>
      <c r="E55" s="199">
        <f t="shared" si="57"/>
        <v>0</v>
      </c>
      <c r="F55" s="577">
        <f t="shared" si="58"/>
        <v>0</v>
      </c>
      <c r="G55" s="199"/>
      <c r="H55" s="199"/>
      <c r="I55" s="199">
        <f t="shared" si="3"/>
        <v>0</v>
      </c>
      <c r="J55" s="199"/>
      <c r="K55" s="199"/>
      <c r="L55" s="199">
        <f t="shared" si="4"/>
        <v>0</v>
      </c>
      <c r="M55" s="199"/>
      <c r="N55" s="199"/>
      <c r="O55" s="199">
        <f t="shared" si="5"/>
        <v>0</v>
      </c>
      <c r="P55" s="199"/>
      <c r="Q55" s="199"/>
      <c r="R55" s="199"/>
      <c r="S55" s="199"/>
      <c r="T55" s="199"/>
      <c r="U55" s="199"/>
      <c r="V55" s="199"/>
      <c r="W55" s="199"/>
      <c r="X55" s="199">
        <f t="shared" si="6"/>
        <v>0</v>
      </c>
      <c r="Y55" s="199"/>
      <c r="Z55" s="199"/>
      <c r="AA55" s="199">
        <f t="shared" si="7"/>
        <v>0</v>
      </c>
      <c r="AB55" s="933"/>
      <c r="AC55" s="933"/>
      <c r="AD55" s="933">
        <f t="shared" si="8"/>
        <v>0</v>
      </c>
      <c r="AE55" s="933"/>
      <c r="AF55" s="933"/>
      <c r="AG55" s="933">
        <f t="shared" si="59"/>
        <v>0</v>
      </c>
      <c r="AH55" s="199"/>
      <c r="AI55" s="199"/>
      <c r="AJ55" s="577">
        <f t="shared" si="10"/>
        <v>0</v>
      </c>
    </row>
    <row r="56" spans="1:36" ht="7.5" hidden="1" customHeight="1" x14ac:dyDescent="0.25">
      <c r="A56" s="515"/>
      <c r="B56" s="1248"/>
      <c r="C56" s="1249"/>
      <c r="D56" s="199">
        <f t="shared" si="56"/>
        <v>0</v>
      </c>
      <c r="E56" s="199">
        <f t="shared" si="57"/>
        <v>0</v>
      </c>
      <c r="F56" s="577">
        <f t="shared" si="58"/>
        <v>0</v>
      </c>
      <c r="G56" s="199"/>
      <c r="H56" s="199"/>
      <c r="I56" s="199">
        <f t="shared" si="3"/>
        <v>0</v>
      </c>
      <c r="J56" s="199"/>
      <c r="K56" s="199"/>
      <c r="L56" s="199">
        <f t="shared" si="4"/>
        <v>0</v>
      </c>
      <c r="M56" s="199"/>
      <c r="N56" s="199"/>
      <c r="O56" s="199">
        <f t="shared" si="5"/>
        <v>0</v>
      </c>
      <c r="P56" s="56"/>
      <c r="Q56" s="56"/>
      <c r="R56" s="56"/>
      <c r="S56" s="56"/>
      <c r="T56" s="56"/>
      <c r="U56" s="56"/>
      <c r="V56" s="56"/>
      <c r="W56" s="56"/>
      <c r="X56" s="199">
        <f t="shared" si="6"/>
        <v>0</v>
      </c>
      <c r="Y56" s="56"/>
      <c r="Z56" s="56"/>
      <c r="AA56" s="199">
        <f t="shared" si="7"/>
        <v>0</v>
      </c>
      <c r="AB56" s="617"/>
      <c r="AC56" s="617"/>
      <c r="AD56" s="933">
        <f t="shared" si="8"/>
        <v>0</v>
      </c>
      <c r="AE56" s="617"/>
      <c r="AF56" s="617"/>
      <c r="AG56" s="933">
        <f t="shared" si="59"/>
        <v>0</v>
      </c>
      <c r="AH56" s="56"/>
      <c r="AI56" s="56"/>
      <c r="AJ56" s="577">
        <f t="shared" si="10"/>
        <v>0</v>
      </c>
    </row>
    <row r="57" spans="1:36" ht="12.95" customHeight="1" x14ac:dyDescent="0.25">
      <c r="A57" s="516" t="s">
        <v>96</v>
      </c>
      <c r="B57" s="1220" t="s">
        <v>95</v>
      </c>
      <c r="C57" s="1255"/>
      <c r="D57" s="575">
        <f t="shared" ref="D57:D71" si="60">+G57+M57+P57+S57+V57+AH57+J57+Y57+AB57+AE57</f>
        <v>1135</v>
      </c>
      <c r="E57" s="575">
        <f t="shared" ref="E57:E71" si="61">+H57+N57+Q57+T57+W57+AI57+K57+Z57+AC57+AF57</f>
        <v>2</v>
      </c>
      <c r="F57" s="514">
        <f t="shared" ref="F57:F71" si="62">+I57+O57+R57+U57+X57+AJ57+L57+AA57+AD57+AG57</f>
        <v>1137</v>
      </c>
      <c r="G57" s="29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27"/>
      <c r="S57" s="27"/>
      <c r="T57" s="27"/>
      <c r="U57" s="27"/>
      <c r="V57" s="27"/>
      <c r="W57" s="27"/>
      <c r="X57" s="53">
        <f t="shared" si="6"/>
        <v>0</v>
      </c>
      <c r="Y57" s="27"/>
      <c r="Z57" s="27"/>
      <c r="AA57" s="53">
        <f t="shared" si="7"/>
        <v>0</v>
      </c>
      <c r="AB57" s="456"/>
      <c r="AC57" s="456"/>
      <c r="AD57" s="765">
        <f t="shared" si="8"/>
        <v>0</v>
      </c>
      <c r="AE57" s="456"/>
      <c r="AF57" s="456"/>
      <c r="AG57" s="765">
        <f t="shared" si="59"/>
        <v>0</v>
      </c>
      <c r="AH57" s="27">
        <v>1135</v>
      </c>
      <c r="AI57" s="27">
        <v>2</v>
      </c>
      <c r="AJ57" s="514">
        <f t="shared" si="10"/>
        <v>1137</v>
      </c>
    </row>
    <row r="58" spans="1:36" ht="12.95" customHeight="1" x14ac:dyDescent="0.25">
      <c r="A58" s="516" t="s">
        <v>98</v>
      </c>
      <c r="B58" s="1220" t="s">
        <v>97</v>
      </c>
      <c r="C58" s="1255"/>
      <c r="D58" s="575">
        <f t="shared" si="60"/>
        <v>0</v>
      </c>
      <c r="E58" s="575">
        <f t="shared" si="61"/>
        <v>0</v>
      </c>
      <c r="F58" s="514">
        <f t="shared" si="62"/>
        <v>0</v>
      </c>
      <c r="G58" s="29"/>
      <c r="H58" s="27"/>
      <c r="I58" s="53">
        <f t="shared" si="3"/>
        <v>0</v>
      </c>
      <c r="J58" s="27"/>
      <c r="K58" s="27"/>
      <c r="L58" s="53">
        <f t="shared" si="4"/>
        <v>0</v>
      </c>
      <c r="M58" s="27"/>
      <c r="N58" s="27"/>
      <c r="O58" s="53">
        <f t="shared" si="5"/>
        <v>0</v>
      </c>
      <c r="P58" s="27"/>
      <c r="Q58" s="27"/>
      <c r="R58" s="27"/>
      <c r="S58" s="27"/>
      <c r="T58" s="27"/>
      <c r="U58" s="27"/>
      <c r="V58" s="27"/>
      <c r="W58" s="27"/>
      <c r="X58" s="53">
        <f t="shared" si="6"/>
        <v>0</v>
      </c>
      <c r="Y58" s="27"/>
      <c r="Z58" s="27"/>
      <c r="AA58" s="53">
        <f t="shared" si="7"/>
        <v>0</v>
      </c>
      <c r="AB58" s="456"/>
      <c r="AC58" s="456"/>
      <c r="AD58" s="765">
        <f t="shared" si="8"/>
        <v>0</v>
      </c>
      <c r="AE58" s="456"/>
      <c r="AF58" s="456"/>
      <c r="AG58" s="765">
        <f t="shared" si="59"/>
        <v>0</v>
      </c>
      <c r="AH58" s="27"/>
      <c r="AI58" s="27"/>
      <c r="AJ58" s="514">
        <f t="shared" si="10"/>
        <v>0</v>
      </c>
    </row>
    <row r="59" spans="1:36" ht="12.95" customHeight="1" x14ac:dyDescent="0.25">
      <c r="A59" s="516" t="s">
        <v>101</v>
      </c>
      <c r="B59" s="1220" t="s">
        <v>164</v>
      </c>
      <c r="C59" s="1255"/>
      <c r="D59" s="575">
        <f t="shared" si="60"/>
        <v>0</v>
      </c>
      <c r="E59" s="575">
        <f t="shared" si="61"/>
        <v>0</v>
      </c>
      <c r="F59" s="514">
        <f t="shared" si="62"/>
        <v>0</v>
      </c>
      <c r="G59" s="29"/>
      <c r="H59" s="27"/>
      <c r="I59" s="53">
        <f t="shared" si="3"/>
        <v>0</v>
      </c>
      <c r="J59" s="27"/>
      <c r="K59" s="27"/>
      <c r="L59" s="53">
        <f t="shared" si="4"/>
        <v>0</v>
      </c>
      <c r="M59" s="27"/>
      <c r="N59" s="27"/>
      <c r="O59" s="53">
        <f t="shared" si="5"/>
        <v>0</v>
      </c>
      <c r="P59" s="27"/>
      <c r="Q59" s="27"/>
      <c r="R59" s="27"/>
      <c r="S59" s="27"/>
      <c r="T59" s="27"/>
      <c r="U59" s="27"/>
      <c r="V59" s="27"/>
      <c r="W59" s="27"/>
      <c r="X59" s="53">
        <f t="shared" si="6"/>
        <v>0</v>
      </c>
      <c r="Y59" s="27"/>
      <c r="Z59" s="27"/>
      <c r="AA59" s="53">
        <f t="shared" si="7"/>
        <v>0</v>
      </c>
      <c r="AB59" s="456"/>
      <c r="AC59" s="456"/>
      <c r="AD59" s="765">
        <f t="shared" si="8"/>
        <v>0</v>
      </c>
      <c r="AE59" s="456"/>
      <c r="AF59" s="456"/>
      <c r="AG59" s="765">
        <f t="shared" si="59"/>
        <v>0</v>
      </c>
      <c r="AH59" s="27"/>
      <c r="AI59" s="27"/>
      <c r="AJ59" s="514">
        <f t="shared" si="10"/>
        <v>0</v>
      </c>
    </row>
    <row r="60" spans="1:36" ht="12.95" customHeight="1" x14ac:dyDescent="0.25">
      <c r="A60" s="516" t="s">
        <v>103</v>
      </c>
      <c r="B60" s="1220" t="s">
        <v>102</v>
      </c>
      <c r="C60" s="1255"/>
      <c r="D60" s="575">
        <f t="shared" si="60"/>
        <v>0</v>
      </c>
      <c r="E60" s="575">
        <f t="shared" si="61"/>
        <v>0</v>
      </c>
      <c r="F60" s="514">
        <f t="shared" si="62"/>
        <v>0</v>
      </c>
      <c r="G60" s="29"/>
      <c r="H60" s="27"/>
      <c r="I60" s="53">
        <f t="shared" si="3"/>
        <v>0</v>
      </c>
      <c r="J60" s="27"/>
      <c r="K60" s="27"/>
      <c r="L60" s="53">
        <f t="shared" si="4"/>
        <v>0</v>
      </c>
      <c r="M60" s="27"/>
      <c r="N60" s="27"/>
      <c r="O60" s="53">
        <f t="shared" si="5"/>
        <v>0</v>
      </c>
      <c r="P60" s="27"/>
      <c r="Q60" s="27"/>
      <c r="R60" s="27"/>
      <c r="S60" s="27"/>
      <c r="T60" s="27"/>
      <c r="U60" s="27"/>
      <c r="V60" s="27"/>
      <c r="W60" s="27"/>
      <c r="X60" s="53">
        <f t="shared" si="6"/>
        <v>0</v>
      </c>
      <c r="Y60" s="27"/>
      <c r="Z60" s="27"/>
      <c r="AA60" s="53">
        <f t="shared" si="7"/>
        <v>0</v>
      </c>
      <c r="AB60" s="456"/>
      <c r="AC60" s="456"/>
      <c r="AD60" s="765">
        <f t="shared" si="8"/>
        <v>0</v>
      </c>
      <c r="AE60" s="456"/>
      <c r="AF60" s="456"/>
      <c r="AG60" s="765">
        <f t="shared" si="59"/>
        <v>0</v>
      </c>
      <c r="AH60" s="27"/>
      <c r="AI60" s="27"/>
      <c r="AJ60" s="514">
        <f t="shared" si="10"/>
        <v>0</v>
      </c>
    </row>
    <row r="61" spans="1:36" ht="12.95" customHeight="1" x14ac:dyDescent="0.25">
      <c r="A61" s="516" t="s">
        <v>106</v>
      </c>
      <c r="B61" s="1220" t="s">
        <v>163</v>
      </c>
      <c r="C61" s="1255"/>
      <c r="D61" s="575">
        <f t="shared" si="60"/>
        <v>0</v>
      </c>
      <c r="E61" s="575">
        <f t="shared" si="61"/>
        <v>0</v>
      </c>
      <c r="F61" s="514">
        <f t="shared" si="62"/>
        <v>0</v>
      </c>
      <c r="G61" s="29"/>
      <c r="H61" s="27"/>
      <c r="I61" s="53">
        <f t="shared" si="3"/>
        <v>0</v>
      </c>
      <c r="J61" s="27"/>
      <c r="K61" s="27"/>
      <c r="L61" s="53">
        <f t="shared" si="4"/>
        <v>0</v>
      </c>
      <c r="M61" s="27"/>
      <c r="N61" s="27"/>
      <c r="O61" s="53">
        <f t="shared" si="5"/>
        <v>0</v>
      </c>
      <c r="P61" s="27"/>
      <c r="Q61" s="27"/>
      <c r="R61" s="27"/>
      <c r="S61" s="27"/>
      <c r="T61" s="27"/>
      <c r="U61" s="27"/>
      <c r="V61" s="27"/>
      <c r="W61" s="27"/>
      <c r="X61" s="53">
        <f t="shared" si="6"/>
        <v>0</v>
      </c>
      <c r="Y61" s="27"/>
      <c r="Z61" s="27"/>
      <c r="AA61" s="53">
        <f t="shared" si="7"/>
        <v>0</v>
      </c>
      <c r="AB61" s="456">
        <v>0</v>
      </c>
      <c r="AC61" s="456"/>
      <c r="AD61" s="765">
        <f t="shared" si="8"/>
        <v>0</v>
      </c>
      <c r="AE61" s="456">
        <v>0</v>
      </c>
      <c r="AF61" s="456"/>
      <c r="AG61" s="765">
        <f t="shared" si="59"/>
        <v>0</v>
      </c>
      <c r="AH61" s="27"/>
      <c r="AI61" s="27"/>
      <c r="AJ61" s="514">
        <f t="shared" si="10"/>
        <v>0</v>
      </c>
    </row>
    <row r="62" spans="1:36" ht="12.95" customHeight="1" x14ac:dyDescent="0.25">
      <c r="A62" s="516" t="s">
        <v>606</v>
      </c>
      <c r="B62" s="1211" t="s">
        <v>105</v>
      </c>
      <c r="C62" s="1210"/>
      <c r="D62" s="575">
        <f t="shared" si="60"/>
        <v>247990</v>
      </c>
      <c r="E62" s="575">
        <f t="shared" si="61"/>
        <v>17405</v>
      </c>
      <c r="F62" s="514">
        <f t="shared" si="62"/>
        <v>265395</v>
      </c>
      <c r="G62" s="29"/>
      <c r="H62" s="27"/>
      <c r="I62" s="53">
        <f t="shared" si="3"/>
        <v>0</v>
      </c>
      <c r="J62" s="27"/>
      <c r="K62" s="27"/>
      <c r="L62" s="53">
        <f t="shared" si="4"/>
        <v>0</v>
      </c>
      <c r="M62" s="27"/>
      <c r="N62" s="27"/>
      <c r="O62" s="53">
        <f t="shared" si="5"/>
        <v>0</v>
      </c>
      <c r="P62" s="27"/>
      <c r="Q62" s="27"/>
      <c r="R62" s="27"/>
      <c r="S62" s="27"/>
      <c r="T62" s="27"/>
      <c r="U62" s="27"/>
      <c r="V62" s="27"/>
      <c r="W62" s="27"/>
      <c r="X62" s="53">
        <f t="shared" si="6"/>
        <v>0</v>
      </c>
      <c r="Y62" s="27"/>
      <c r="Z62" s="27"/>
      <c r="AA62" s="53">
        <f t="shared" si="7"/>
        <v>0</v>
      </c>
      <c r="AB62" s="456"/>
      <c r="AC62" s="456"/>
      <c r="AD62" s="765">
        <f t="shared" si="8"/>
        <v>0</v>
      </c>
      <c r="AE62" s="456"/>
      <c r="AF62" s="456"/>
      <c r="AG62" s="765">
        <f t="shared" si="59"/>
        <v>0</v>
      </c>
      <c r="AH62" s="27">
        <v>247990</v>
      </c>
      <c r="AI62" s="27">
        <f>SUM(AI63:AI70)</f>
        <v>17405</v>
      </c>
      <c r="AJ62" s="514">
        <f>+AI62+AH62</f>
        <v>265395</v>
      </c>
    </row>
    <row r="63" spans="1:36" ht="12.95" customHeight="1" x14ac:dyDescent="0.25">
      <c r="A63" s="516"/>
      <c r="B63" s="749"/>
      <c r="C63" s="808" t="s">
        <v>893</v>
      </c>
      <c r="D63" s="29">
        <f t="shared" si="60"/>
        <v>588</v>
      </c>
      <c r="E63" s="29">
        <f t="shared" si="61"/>
        <v>-588</v>
      </c>
      <c r="F63" s="517">
        <f t="shared" si="62"/>
        <v>0</v>
      </c>
      <c r="G63" s="29"/>
      <c r="H63" s="27"/>
      <c r="I63" s="53">
        <f t="shared" si="3"/>
        <v>0</v>
      </c>
      <c r="J63" s="27"/>
      <c r="K63" s="27"/>
      <c r="L63" s="53">
        <f t="shared" si="4"/>
        <v>0</v>
      </c>
      <c r="M63" s="27"/>
      <c r="N63" s="27"/>
      <c r="O63" s="53">
        <f t="shared" si="5"/>
        <v>0</v>
      </c>
      <c r="P63" s="27"/>
      <c r="Q63" s="27"/>
      <c r="R63" s="27"/>
      <c r="S63" s="27"/>
      <c r="T63" s="27"/>
      <c r="U63" s="27"/>
      <c r="V63" s="27"/>
      <c r="W63" s="27"/>
      <c r="X63" s="53">
        <f t="shared" si="6"/>
        <v>0</v>
      </c>
      <c r="Y63" s="27"/>
      <c r="Z63" s="27"/>
      <c r="AA63" s="53">
        <f t="shared" si="7"/>
        <v>0</v>
      </c>
      <c r="AB63" s="456"/>
      <c r="AC63" s="456"/>
      <c r="AD63" s="765">
        <f t="shared" si="8"/>
        <v>0</v>
      </c>
      <c r="AE63" s="456"/>
      <c r="AF63" s="456"/>
      <c r="AG63" s="765">
        <f t="shared" si="59"/>
        <v>0</v>
      </c>
      <c r="AH63" s="456">
        <v>588</v>
      </c>
      <c r="AI63" s="27">
        <v>-588</v>
      </c>
      <c r="AJ63" s="514">
        <f t="shared" si="10"/>
        <v>0</v>
      </c>
    </row>
    <row r="64" spans="1:36" ht="12.95" customHeight="1" x14ac:dyDescent="0.25">
      <c r="A64" s="516"/>
      <c r="B64" s="749"/>
      <c r="C64" s="808" t="s">
        <v>638</v>
      </c>
      <c r="D64" s="29">
        <f t="shared" si="60"/>
        <v>0</v>
      </c>
      <c r="E64" s="29">
        <f t="shared" si="61"/>
        <v>0</v>
      </c>
      <c r="F64" s="517">
        <f t="shared" si="62"/>
        <v>0</v>
      </c>
      <c r="G64" s="29"/>
      <c r="H64" s="27"/>
      <c r="I64" s="53">
        <f t="shared" si="3"/>
        <v>0</v>
      </c>
      <c r="J64" s="27"/>
      <c r="K64" s="27"/>
      <c r="L64" s="53">
        <f t="shared" si="4"/>
        <v>0</v>
      </c>
      <c r="M64" s="27"/>
      <c r="N64" s="27"/>
      <c r="O64" s="53">
        <f t="shared" si="5"/>
        <v>0</v>
      </c>
      <c r="P64" s="27"/>
      <c r="Q64" s="27"/>
      <c r="R64" s="27"/>
      <c r="S64" s="27"/>
      <c r="T64" s="27"/>
      <c r="U64" s="27"/>
      <c r="V64" s="27"/>
      <c r="W64" s="27"/>
      <c r="X64" s="53">
        <f t="shared" si="6"/>
        <v>0</v>
      </c>
      <c r="Y64" s="27"/>
      <c r="Z64" s="27"/>
      <c r="AA64" s="53">
        <f t="shared" si="7"/>
        <v>0</v>
      </c>
      <c r="AB64" s="456"/>
      <c r="AC64" s="456"/>
      <c r="AD64" s="765">
        <f t="shared" si="8"/>
        <v>0</v>
      </c>
      <c r="AE64" s="456"/>
      <c r="AF64" s="456"/>
      <c r="AG64" s="765">
        <f t="shared" si="59"/>
        <v>0</v>
      </c>
      <c r="AH64" s="456"/>
      <c r="AI64" s="27"/>
      <c r="AJ64" s="514">
        <f t="shared" si="10"/>
        <v>0</v>
      </c>
    </row>
    <row r="65" spans="1:39" ht="12.95" customHeight="1" x14ac:dyDescent="0.25">
      <c r="A65" s="516"/>
      <c r="B65" s="749"/>
      <c r="C65" s="989" t="s">
        <v>867</v>
      </c>
      <c r="D65" s="29">
        <f t="shared" si="60"/>
        <v>11200</v>
      </c>
      <c r="E65" s="29">
        <f t="shared" si="61"/>
        <v>0</v>
      </c>
      <c r="F65" s="517">
        <f t="shared" si="62"/>
        <v>11200</v>
      </c>
      <c r="G65" s="29"/>
      <c r="H65" s="27"/>
      <c r="I65" s="53">
        <f t="shared" si="3"/>
        <v>0</v>
      </c>
      <c r="J65" s="27"/>
      <c r="K65" s="27"/>
      <c r="L65" s="53">
        <f t="shared" si="4"/>
        <v>0</v>
      </c>
      <c r="M65" s="27"/>
      <c r="N65" s="27"/>
      <c r="O65" s="53">
        <f t="shared" si="5"/>
        <v>0</v>
      </c>
      <c r="P65" s="27"/>
      <c r="Q65" s="27"/>
      <c r="R65" s="27"/>
      <c r="S65" s="27"/>
      <c r="T65" s="27"/>
      <c r="U65" s="27"/>
      <c r="V65" s="27"/>
      <c r="W65" s="27"/>
      <c r="X65" s="53">
        <f t="shared" si="6"/>
        <v>0</v>
      </c>
      <c r="Y65" s="27"/>
      <c r="Z65" s="27"/>
      <c r="AA65" s="53">
        <f t="shared" si="7"/>
        <v>0</v>
      </c>
      <c r="AB65" s="456"/>
      <c r="AC65" s="456"/>
      <c r="AD65" s="765">
        <f t="shared" si="8"/>
        <v>0</v>
      </c>
      <c r="AE65" s="456"/>
      <c r="AF65" s="456"/>
      <c r="AG65" s="765">
        <f t="shared" si="59"/>
        <v>0</v>
      </c>
      <c r="AH65" s="456">
        <v>11200</v>
      </c>
      <c r="AI65" s="27"/>
      <c r="AJ65" s="514">
        <f t="shared" si="10"/>
        <v>11200</v>
      </c>
    </row>
    <row r="66" spans="1:39" ht="12.95" customHeight="1" x14ac:dyDescent="0.25">
      <c r="A66" s="516"/>
      <c r="B66" s="749"/>
      <c r="C66" s="808" t="s">
        <v>707</v>
      </c>
      <c r="D66" s="29">
        <f t="shared" si="60"/>
        <v>100375</v>
      </c>
      <c r="E66" s="29">
        <f t="shared" si="61"/>
        <v>9776</v>
      </c>
      <c r="F66" s="517">
        <f t="shared" si="62"/>
        <v>110151</v>
      </c>
      <c r="G66" s="29"/>
      <c r="H66" s="27"/>
      <c r="I66" s="53">
        <f t="shared" si="3"/>
        <v>0</v>
      </c>
      <c r="J66" s="27"/>
      <c r="K66" s="27"/>
      <c r="L66" s="53">
        <f t="shared" si="4"/>
        <v>0</v>
      </c>
      <c r="M66" s="27"/>
      <c r="N66" s="27"/>
      <c r="O66" s="53">
        <f t="shared" si="5"/>
        <v>0</v>
      </c>
      <c r="P66" s="27"/>
      <c r="Q66" s="27"/>
      <c r="R66" s="27"/>
      <c r="S66" s="27"/>
      <c r="T66" s="27"/>
      <c r="U66" s="27"/>
      <c r="V66" s="27"/>
      <c r="W66" s="27"/>
      <c r="X66" s="53">
        <f t="shared" si="6"/>
        <v>0</v>
      </c>
      <c r="Y66" s="27"/>
      <c r="Z66" s="27"/>
      <c r="AA66" s="53">
        <f t="shared" si="7"/>
        <v>0</v>
      </c>
      <c r="AB66" s="456"/>
      <c r="AC66" s="456"/>
      <c r="AD66" s="765">
        <f t="shared" si="8"/>
        <v>0</v>
      </c>
      <c r="AE66" s="456"/>
      <c r="AF66" s="456"/>
      <c r="AG66" s="765">
        <f t="shared" si="59"/>
        <v>0</v>
      </c>
      <c r="AH66" s="27">
        <v>100375</v>
      </c>
      <c r="AI66" s="27">
        <f>-850-137-100+12000-55-110-381-54-100-1397+960</f>
        <v>9776</v>
      </c>
      <c r="AJ66" s="514">
        <f t="shared" si="10"/>
        <v>110151</v>
      </c>
    </row>
    <row r="67" spans="1:39" ht="12.95" customHeight="1" x14ac:dyDescent="0.25">
      <c r="A67" s="516"/>
      <c r="B67" s="749"/>
      <c r="C67" s="808" t="s">
        <v>1005</v>
      </c>
      <c r="D67" s="29">
        <f t="shared" si="60"/>
        <v>0</v>
      </c>
      <c r="E67" s="29">
        <f t="shared" si="61"/>
        <v>8214</v>
      </c>
      <c r="F67" s="517">
        <f t="shared" si="62"/>
        <v>8214</v>
      </c>
      <c r="G67" s="853"/>
      <c r="H67" s="27"/>
      <c r="I67" s="53">
        <f t="shared" si="3"/>
        <v>0</v>
      </c>
      <c r="J67" s="456"/>
      <c r="K67" s="27"/>
      <c r="L67" s="53">
        <f t="shared" si="4"/>
        <v>0</v>
      </c>
      <c r="M67" s="27"/>
      <c r="N67" s="27"/>
      <c r="O67" s="53">
        <f t="shared" si="5"/>
        <v>0</v>
      </c>
      <c r="P67" s="27"/>
      <c r="Q67" s="27"/>
      <c r="R67" s="27"/>
      <c r="S67" s="27"/>
      <c r="T67" s="27"/>
      <c r="U67" s="27"/>
      <c r="V67" s="27"/>
      <c r="W67" s="27"/>
      <c r="X67" s="53">
        <f t="shared" si="6"/>
        <v>0</v>
      </c>
      <c r="Y67" s="27"/>
      <c r="Z67" s="27"/>
      <c r="AA67" s="53">
        <f t="shared" si="7"/>
        <v>0</v>
      </c>
      <c r="AB67" s="456"/>
      <c r="AC67" s="456"/>
      <c r="AD67" s="765">
        <f t="shared" si="8"/>
        <v>0</v>
      </c>
      <c r="AE67" s="456"/>
      <c r="AF67" s="456"/>
      <c r="AG67" s="765">
        <f t="shared" si="59"/>
        <v>0</v>
      </c>
      <c r="AH67" s="27"/>
      <c r="AI67" s="27">
        <v>8214</v>
      </c>
      <c r="AJ67" s="514">
        <f t="shared" si="10"/>
        <v>8214</v>
      </c>
    </row>
    <row r="68" spans="1:39" s="633" customFormat="1" ht="12.95" customHeight="1" x14ac:dyDescent="0.25">
      <c r="A68" s="516"/>
      <c r="B68" s="859"/>
      <c r="C68" s="860" t="s">
        <v>902</v>
      </c>
      <c r="D68" s="29">
        <f t="shared" si="60"/>
        <v>112753</v>
      </c>
      <c r="E68" s="29">
        <f t="shared" si="61"/>
        <v>2414</v>
      </c>
      <c r="F68" s="517">
        <f t="shared" si="62"/>
        <v>115167</v>
      </c>
      <c r="G68" s="29"/>
      <c r="H68" s="456"/>
      <c r="I68" s="53"/>
      <c r="J68" s="27"/>
      <c r="K68" s="456"/>
      <c r="L68" s="53"/>
      <c r="M68" s="456"/>
      <c r="N68" s="456"/>
      <c r="O68" s="53"/>
      <c r="P68" s="456"/>
      <c r="Q68" s="456"/>
      <c r="R68" s="456"/>
      <c r="S68" s="456"/>
      <c r="T68" s="456"/>
      <c r="U68" s="456"/>
      <c r="V68" s="456"/>
      <c r="W68" s="456"/>
      <c r="X68" s="53"/>
      <c r="Y68" s="456"/>
      <c r="Z68" s="456"/>
      <c r="AA68" s="53"/>
      <c r="AB68" s="456"/>
      <c r="AC68" s="456"/>
      <c r="AD68" s="765"/>
      <c r="AE68" s="456"/>
      <c r="AF68" s="456"/>
      <c r="AG68" s="765"/>
      <c r="AH68" s="456">
        <v>112753</v>
      </c>
      <c r="AI68" s="456">
        <f>-111+2525</f>
        <v>2414</v>
      </c>
      <c r="AJ68" s="514">
        <f t="shared" si="10"/>
        <v>115167</v>
      </c>
      <c r="AK68" s="845"/>
      <c r="AL68" s="845"/>
      <c r="AM68" s="845"/>
    </row>
    <row r="69" spans="1:39" ht="12.95" customHeight="1" x14ac:dyDescent="0.25">
      <c r="A69" s="516"/>
      <c r="B69" s="749"/>
      <c r="C69" s="808" t="s">
        <v>605</v>
      </c>
      <c r="D69" s="29">
        <f t="shared" si="60"/>
        <v>9187</v>
      </c>
      <c r="E69" s="29">
        <f t="shared" si="61"/>
        <v>-2411</v>
      </c>
      <c r="F69" s="517">
        <f t="shared" si="62"/>
        <v>6776</v>
      </c>
      <c r="G69" s="575"/>
      <c r="H69" s="27"/>
      <c r="I69" s="53">
        <f t="shared" ref="I69:I100" si="63">+H69+G69</f>
        <v>0</v>
      </c>
      <c r="J69" s="53"/>
      <c r="K69" s="27"/>
      <c r="L69" s="53">
        <f t="shared" ref="L69:L100" si="64">+K69+J69</f>
        <v>0</v>
      </c>
      <c r="M69" s="27"/>
      <c r="N69" s="27"/>
      <c r="O69" s="53">
        <f t="shared" ref="O69:O100" si="65">+N69+M69</f>
        <v>0</v>
      </c>
      <c r="P69" s="27"/>
      <c r="Q69" s="27"/>
      <c r="R69" s="27"/>
      <c r="S69" s="27"/>
      <c r="T69" s="27"/>
      <c r="U69" s="27"/>
      <c r="V69" s="27"/>
      <c r="W69" s="27"/>
      <c r="X69" s="53">
        <f t="shared" ref="X69:X100" si="66">+W69+V69</f>
        <v>0</v>
      </c>
      <c r="Y69" s="27"/>
      <c r="Z69" s="27"/>
      <c r="AA69" s="53">
        <f t="shared" ref="AA69:AA100" si="67">+Z69+Y69</f>
        <v>0</v>
      </c>
      <c r="AB69" s="456"/>
      <c r="AC69" s="456"/>
      <c r="AD69" s="765">
        <f t="shared" ref="AD69:AD100" si="68">+AC69+AB69</f>
        <v>0</v>
      </c>
      <c r="AE69" s="456"/>
      <c r="AF69" s="456"/>
      <c r="AG69" s="765">
        <f t="shared" ref="AG69:AG71" si="69">+AF69+AE69</f>
        <v>0</v>
      </c>
      <c r="AH69" s="456">
        <v>9187</v>
      </c>
      <c r="AI69" s="27">
        <f>-900-153+28-1257-129</f>
        <v>-2411</v>
      </c>
      <c r="AJ69" s="514">
        <f t="shared" ref="AJ69:AJ99" si="70">+AI69+AH69</f>
        <v>6776</v>
      </c>
    </row>
    <row r="70" spans="1:39" ht="12.95" customHeight="1" x14ac:dyDescent="0.25">
      <c r="A70" s="516"/>
      <c r="B70" s="749"/>
      <c r="C70" s="808" t="s">
        <v>900</v>
      </c>
      <c r="D70" s="29">
        <f t="shared" si="60"/>
        <v>13887</v>
      </c>
      <c r="E70" s="29">
        <f t="shared" si="61"/>
        <v>0</v>
      </c>
      <c r="F70" s="517">
        <f t="shared" si="62"/>
        <v>13887</v>
      </c>
      <c r="G70" s="29"/>
      <c r="H70" s="27"/>
      <c r="I70" s="53">
        <f t="shared" si="63"/>
        <v>0</v>
      </c>
      <c r="J70" s="27"/>
      <c r="K70" s="27"/>
      <c r="L70" s="53">
        <f t="shared" si="64"/>
        <v>0</v>
      </c>
      <c r="M70" s="27"/>
      <c r="N70" s="27"/>
      <c r="O70" s="53">
        <f t="shared" si="65"/>
        <v>0</v>
      </c>
      <c r="P70" s="27"/>
      <c r="Q70" s="27"/>
      <c r="R70" s="27"/>
      <c r="S70" s="27"/>
      <c r="T70" s="27"/>
      <c r="U70" s="27"/>
      <c r="V70" s="27"/>
      <c r="W70" s="27"/>
      <c r="X70" s="53">
        <f t="shared" si="66"/>
        <v>0</v>
      </c>
      <c r="Y70" s="27"/>
      <c r="Z70" s="27"/>
      <c r="AA70" s="53">
        <f t="shared" si="67"/>
        <v>0</v>
      </c>
      <c r="AB70" s="456"/>
      <c r="AC70" s="456"/>
      <c r="AD70" s="765">
        <f t="shared" si="68"/>
        <v>0</v>
      </c>
      <c r="AE70" s="456"/>
      <c r="AF70" s="456"/>
      <c r="AG70" s="765">
        <f t="shared" si="69"/>
        <v>0</v>
      </c>
      <c r="AH70" s="27">
        <v>13887</v>
      </c>
      <c r="AI70" s="27"/>
      <c r="AJ70" s="514">
        <f t="shared" si="70"/>
        <v>13887</v>
      </c>
    </row>
    <row r="71" spans="1:39" s="42" customFormat="1" ht="12.95" customHeight="1" x14ac:dyDescent="0.2">
      <c r="A71" s="513" t="s">
        <v>107</v>
      </c>
      <c r="B71" s="1215" t="s">
        <v>162</v>
      </c>
      <c r="C71" s="1200"/>
      <c r="D71" s="575">
        <f t="shared" si="60"/>
        <v>249125</v>
      </c>
      <c r="E71" s="575">
        <f t="shared" si="61"/>
        <v>17407</v>
      </c>
      <c r="F71" s="514">
        <f t="shared" si="62"/>
        <v>266532</v>
      </c>
      <c r="G71" s="29"/>
      <c r="H71" s="53">
        <f>+H62+H61+H60+H59+H58+H57</f>
        <v>0</v>
      </c>
      <c r="I71" s="53">
        <f t="shared" si="63"/>
        <v>0</v>
      </c>
      <c r="J71" s="27"/>
      <c r="K71" s="53"/>
      <c r="L71" s="53">
        <f t="shared" si="64"/>
        <v>0</v>
      </c>
      <c r="M71" s="53"/>
      <c r="N71" s="53"/>
      <c r="O71" s="53">
        <f t="shared" si="65"/>
        <v>0</v>
      </c>
      <c r="P71" s="53">
        <f t="shared" ref="P71:W71" si="71">+P62+P61+P60+P59+P58+P57</f>
        <v>0</v>
      </c>
      <c r="Q71" s="53">
        <f t="shared" si="71"/>
        <v>0</v>
      </c>
      <c r="R71" s="53">
        <f t="shared" si="71"/>
        <v>0</v>
      </c>
      <c r="S71" s="53">
        <f t="shared" si="71"/>
        <v>0</v>
      </c>
      <c r="T71" s="53">
        <f t="shared" si="71"/>
        <v>0</v>
      </c>
      <c r="U71" s="53">
        <f t="shared" si="71"/>
        <v>0</v>
      </c>
      <c r="V71" s="53">
        <f t="shared" si="71"/>
        <v>0</v>
      </c>
      <c r="W71" s="53">
        <f t="shared" si="71"/>
        <v>0</v>
      </c>
      <c r="X71" s="53">
        <f t="shared" si="66"/>
        <v>0</v>
      </c>
      <c r="Y71" s="53">
        <f>+Y62+Y61+Y60+Y59+Y58+Y57</f>
        <v>0</v>
      </c>
      <c r="Z71" s="53">
        <f>+Z62+Z61+Z60+Z59+Z58+Z57</f>
        <v>0</v>
      </c>
      <c r="AA71" s="53">
        <f t="shared" si="67"/>
        <v>0</v>
      </c>
      <c r="AB71" s="765">
        <f>+AB62+AB61+AB60+AB59+AB58+AB57</f>
        <v>0</v>
      </c>
      <c r="AC71" s="765"/>
      <c r="AD71" s="765">
        <f t="shared" si="68"/>
        <v>0</v>
      </c>
      <c r="AE71" s="765">
        <f>+AE62+AE61+AE60+AE59+AE58+AE57</f>
        <v>0</v>
      </c>
      <c r="AF71" s="765"/>
      <c r="AG71" s="765">
        <f t="shared" si="69"/>
        <v>0</v>
      </c>
      <c r="AH71" s="53">
        <f>+AH62+AH61+AH60+AH59+AH58+AH57</f>
        <v>249125</v>
      </c>
      <c r="AI71" s="53">
        <f>+AI62+AI61+AI60+AI59+AI58+AI57</f>
        <v>17407</v>
      </c>
      <c r="AJ71" s="514">
        <f>+AI71+AH71</f>
        <v>266532</v>
      </c>
    </row>
    <row r="72" spans="1:39" ht="11.25" customHeight="1" x14ac:dyDescent="0.25">
      <c r="A72" s="515"/>
      <c r="B72" s="751"/>
      <c r="C72" s="308"/>
      <c r="D72" s="199"/>
      <c r="E72" s="199"/>
      <c r="F72" s="577"/>
      <c r="G72" s="56"/>
      <c r="H72" s="56"/>
      <c r="I72" s="199"/>
      <c r="J72" s="56"/>
      <c r="K72" s="56"/>
      <c r="L72" s="199"/>
      <c r="M72" s="56"/>
      <c r="N72" s="56"/>
      <c r="O72" s="199"/>
      <c r="P72" s="56"/>
      <c r="Q72" s="56"/>
      <c r="R72" s="56"/>
      <c r="S72" s="56"/>
      <c r="T72" s="56"/>
      <c r="U72" s="56"/>
      <c r="V72" s="56"/>
      <c r="W72" s="56"/>
      <c r="X72" s="199"/>
      <c r="Y72" s="56"/>
      <c r="Z72" s="56"/>
      <c r="AA72" s="199"/>
      <c r="AB72" s="617"/>
      <c r="AC72" s="617"/>
      <c r="AD72" s="933"/>
      <c r="AE72" s="617"/>
      <c r="AF72" s="617"/>
      <c r="AG72" s="933"/>
      <c r="AH72" s="56"/>
      <c r="AI72" s="56"/>
      <c r="AJ72" s="577"/>
    </row>
    <row r="73" spans="1:39" ht="12.95" customHeight="1" x14ac:dyDescent="0.25">
      <c r="A73" s="4" t="s">
        <v>109</v>
      </c>
      <c r="B73" s="1211" t="s">
        <v>108</v>
      </c>
      <c r="C73" s="1211"/>
      <c r="D73" s="575">
        <f t="shared" ref="D73:D81" si="72">+G73+M73+P73+S73+V73+AH73+J73+Y73+AB73+AE73</f>
        <v>0</v>
      </c>
      <c r="E73" s="575">
        <f t="shared" ref="E73:E81" si="73">+H73+N73+Q73+T73+W73+AI73+K73+Z73+AC73+AF73</f>
        <v>0</v>
      </c>
      <c r="F73" s="514">
        <f t="shared" ref="F73:F81" si="74">+I73+O73+R73+U73+X73+AJ73+L73+AA73+AD73+AG73</f>
        <v>0</v>
      </c>
      <c r="G73" s="27"/>
      <c r="H73" s="27"/>
      <c r="I73" s="53">
        <f t="shared" si="63"/>
        <v>0</v>
      </c>
      <c r="J73" s="48"/>
      <c r="K73" s="27"/>
      <c r="L73" s="53">
        <f t="shared" si="64"/>
        <v>0</v>
      </c>
      <c r="M73" s="27"/>
      <c r="N73" s="27"/>
      <c r="O73" s="53">
        <f t="shared" si="65"/>
        <v>0</v>
      </c>
      <c r="P73" s="27"/>
      <c r="Q73" s="27"/>
      <c r="R73" s="27"/>
      <c r="S73" s="27"/>
      <c r="T73" s="27"/>
      <c r="U73" s="27"/>
      <c r="V73" s="27"/>
      <c r="W73" s="27"/>
      <c r="X73" s="53">
        <f t="shared" si="66"/>
        <v>0</v>
      </c>
      <c r="Y73" s="27"/>
      <c r="Z73" s="27"/>
      <c r="AA73" s="53">
        <f t="shared" si="67"/>
        <v>0</v>
      </c>
      <c r="AB73" s="456"/>
      <c r="AC73" s="456"/>
      <c r="AD73" s="765">
        <f t="shared" si="68"/>
        <v>0</v>
      </c>
      <c r="AE73" s="456"/>
      <c r="AF73" s="456"/>
      <c r="AG73" s="765">
        <f t="shared" ref="AG73:AG80" si="75">+AF73+AE73</f>
        <v>0</v>
      </c>
      <c r="AH73" s="27"/>
      <c r="AI73" s="27"/>
      <c r="AJ73" s="514">
        <f t="shared" si="70"/>
        <v>0</v>
      </c>
    </row>
    <row r="74" spans="1:39" ht="12.95" customHeight="1" x14ac:dyDescent="0.25">
      <c r="A74" s="4" t="s">
        <v>110</v>
      </c>
      <c r="B74" s="1211" t="s">
        <v>161</v>
      </c>
      <c r="C74" s="1211"/>
      <c r="D74" s="575">
        <f t="shared" si="72"/>
        <v>0</v>
      </c>
      <c r="E74" s="575">
        <f t="shared" si="73"/>
        <v>0</v>
      </c>
      <c r="F74" s="514">
        <f t="shared" si="74"/>
        <v>0</v>
      </c>
      <c r="G74" s="27"/>
      <c r="H74" s="27"/>
      <c r="I74" s="53">
        <f t="shared" si="63"/>
        <v>0</v>
      </c>
      <c r="J74" s="27"/>
      <c r="K74" s="27"/>
      <c r="L74" s="53">
        <f t="shared" si="64"/>
        <v>0</v>
      </c>
      <c r="M74" s="27"/>
      <c r="N74" s="27"/>
      <c r="O74" s="53">
        <f t="shared" si="65"/>
        <v>0</v>
      </c>
      <c r="P74" s="27"/>
      <c r="Q74" s="27"/>
      <c r="R74" s="27"/>
      <c r="S74" s="27"/>
      <c r="T74" s="27"/>
      <c r="U74" s="27"/>
      <c r="V74" s="27"/>
      <c r="W74" s="27"/>
      <c r="X74" s="53">
        <f t="shared" si="66"/>
        <v>0</v>
      </c>
      <c r="Y74" s="27"/>
      <c r="Z74" s="27"/>
      <c r="AA74" s="53">
        <f t="shared" si="67"/>
        <v>0</v>
      </c>
      <c r="AB74" s="456"/>
      <c r="AC74" s="456"/>
      <c r="AD74" s="765">
        <f t="shared" si="68"/>
        <v>0</v>
      </c>
      <c r="AE74" s="456"/>
      <c r="AF74" s="456"/>
      <c r="AG74" s="765">
        <f t="shared" si="75"/>
        <v>0</v>
      </c>
      <c r="AH74" s="27"/>
      <c r="AI74" s="27"/>
      <c r="AJ74" s="514">
        <f t="shared" si="70"/>
        <v>0</v>
      </c>
    </row>
    <row r="75" spans="1:39" s="38" customFormat="1" ht="12.95" customHeight="1" x14ac:dyDescent="0.2">
      <c r="A75" s="36" t="s">
        <v>110</v>
      </c>
      <c r="B75" s="970"/>
      <c r="C75" s="971" t="s">
        <v>111</v>
      </c>
      <c r="D75" s="575">
        <f t="shared" si="72"/>
        <v>0</v>
      </c>
      <c r="E75" s="575">
        <f t="shared" si="73"/>
        <v>0</v>
      </c>
      <c r="F75" s="514">
        <f t="shared" si="74"/>
        <v>0</v>
      </c>
      <c r="G75" s="27"/>
      <c r="H75" s="48"/>
      <c r="I75" s="53">
        <f t="shared" si="63"/>
        <v>0</v>
      </c>
      <c r="J75" s="27"/>
      <c r="K75" s="48"/>
      <c r="L75" s="53">
        <f t="shared" si="64"/>
        <v>0</v>
      </c>
      <c r="M75" s="48"/>
      <c r="N75" s="48"/>
      <c r="O75" s="53">
        <f t="shared" si="65"/>
        <v>0</v>
      </c>
      <c r="P75" s="48"/>
      <c r="Q75" s="48"/>
      <c r="R75" s="48"/>
      <c r="S75" s="48"/>
      <c r="T75" s="48"/>
      <c r="U75" s="48"/>
      <c r="V75" s="48"/>
      <c r="W75" s="48"/>
      <c r="X75" s="53">
        <f t="shared" si="66"/>
        <v>0</v>
      </c>
      <c r="Y75" s="48"/>
      <c r="Z75" s="48"/>
      <c r="AA75" s="53">
        <f t="shared" si="67"/>
        <v>0</v>
      </c>
      <c r="AB75" s="972"/>
      <c r="AC75" s="972"/>
      <c r="AD75" s="765">
        <f t="shared" si="68"/>
        <v>0</v>
      </c>
      <c r="AE75" s="972"/>
      <c r="AF75" s="972"/>
      <c r="AG75" s="765">
        <f t="shared" si="75"/>
        <v>0</v>
      </c>
      <c r="AH75" s="48"/>
      <c r="AI75" s="48"/>
      <c r="AJ75" s="514">
        <f t="shared" si="70"/>
        <v>0</v>
      </c>
    </row>
    <row r="76" spans="1:39" ht="12.95" customHeight="1" x14ac:dyDescent="0.25">
      <c r="A76" s="4" t="s">
        <v>113</v>
      </c>
      <c r="B76" s="1211" t="s">
        <v>112</v>
      </c>
      <c r="C76" s="1211"/>
      <c r="D76" s="575">
        <f t="shared" si="72"/>
        <v>0</v>
      </c>
      <c r="E76" s="575">
        <f t="shared" si="73"/>
        <v>0</v>
      </c>
      <c r="F76" s="514">
        <f t="shared" si="74"/>
        <v>0</v>
      </c>
      <c r="G76" s="27"/>
      <c r="H76" s="27"/>
      <c r="I76" s="53">
        <f t="shared" si="63"/>
        <v>0</v>
      </c>
      <c r="J76" s="27"/>
      <c r="K76" s="27"/>
      <c r="L76" s="53">
        <f t="shared" si="64"/>
        <v>0</v>
      </c>
      <c r="M76" s="27"/>
      <c r="N76" s="27"/>
      <c r="O76" s="53">
        <f t="shared" si="65"/>
        <v>0</v>
      </c>
      <c r="P76" s="27"/>
      <c r="Q76" s="27"/>
      <c r="R76" s="27"/>
      <c r="S76" s="27"/>
      <c r="T76" s="27"/>
      <c r="U76" s="27"/>
      <c r="V76" s="27"/>
      <c r="W76" s="27"/>
      <c r="X76" s="53">
        <f t="shared" si="66"/>
        <v>0</v>
      </c>
      <c r="Y76" s="27"/>
      <c r="Z76" s="27"/>
      <c r="AA76" s="53">
        <f t="shared" si="67"/>
        <v>0</v>
      </c>
      <c r="AB76" s="456"/>
      <c r="AC76" s="456"/>
      <c r="AD76" s="765">
        <f t="shared" si="68"/>
        <v>0</v>
      </c>
      <c r="AE76" s="456"/>
      <c r="AF76" s="456"/>
      <c r="AG76" s="765">
        <f t="shared" si="75"/>
        <v>0</v>
      </c>
      <c r="AH76" s="27"/>
      <c r="AI76" s="27"/>
      <c r="AJ76" s="514">
        <f t="shared" si="70"/>
        <v>0</v>
      </c>
    </row>
    <row r="77" spans="1:39" ht="12.95" customHeight="1" x14ac:dyDescent="0.25">
      <c r="A77" s="4" t="s">
        <v>115</v>
      </c>
      <c r="B77" s="1211" t="s">
        <v>114</v>
      </c>
      <c r="C77" s="1211"/>
      <c r="D77" s="575">
        <f t="shared" si="72"/>
        <v>47</v>
      </c>
      <c r="E77" s="575">
        <f t="shared" si="73"/>
        <v>0</v>
      </c>
      <c r="F77" s="514">
        <f t="shared" si="74"/>
        <v>47</v>
      </c>
      <c r="G77" s="27"/>
      <c r="H77" s="27"/>
      <c r="I77" s="53">
        <f t="shared" si="63"/>
        <v>0</v>
      </c>
      <c r="J77" s="27"/>
      <c r="K77" s="27"/>
      <c r="L77" s="53">
        <f t="shared" si="64"/>
        <v>0</v>
      </c>
      <c r="M77" s="27"/>
      <c r="N77" s="27"/>
      <c r="O77" s="53">
        <f t="shared" si="65"/>
        <v>0</v>
      </c>
      <c r="P77" s="27">
        <v>47</v>
      </c>
      <c r="Q77" s="27"/>
      <c r="R77" s="27">
        <f>+P77+Q77</f>
        <v>47</v>
      </c>
      <c r="S77" s="27"/>
      <c r="T77" s="27"/>
      <c r="U77" s="27"/>
      <c r="V77" s="27"/>
      <c r="W77" s="27"/>
      <c r="X77" s="53">
        <f t="shared" si="66"/>
        <v>0</v>
      </c>
      <c r="Y77" s="27"/>
      <c r="Z77" s="27"/>
      <c r="AA77" s="53">
        <f t="shared" si="67"/>
        <v>0</v>
      </c>
      <c r="AB77" s="456"/>
      <c r="AC77" s="456"/>
      <c r="AD77" s="765">
        <f t="shared" si="68"/>
        <v>0</v>
      </c>
      <c r="AE77" s="456"/>
      <c r="AF77" s="456"/>
      <c r="AG77" s="765">
        <f t="shared" si="75"/>
        <v>0</v>
      </c>
      <c r="AH77" s="27"/>
      <c r="AI77" s="27"/>
      <c r="AJ77" s="514">
        <f t="shared" si="70"/>
        <v>0</v>
      </c>
    </row>
    <row r="78" spans="1:39" ht="12.95" customHeight="1" x14ac:dyDescent="0.25">
      <c r="A78" s="4" t="s">
        <v>117</v>
      </c>
      <c r="B78" s="1211" t="s">
        <v>116</v>
      </c>
      <c r="C78" s="1211"/>
      <c r="D78" s="575">
        <f t="shared" si="72"/>
        <v>0</v>
      </c>
      <c r="E78" s="575">
        <f t="shared" si="73"/>
        <v>0</v>
      </c>
      <c r="F78" s="514">
        <f t="shared" si="74"/>
        <v>0</v>
      </c>
      <c r="G78" s="27"/>
      <c r="H78" s="27"/>
      <c r="I78" s="53">
        <f t="shared" si="63"/>
        <v>0</v>
      </c>
      <c r="J78" s="27"/>
      <c r="K78" s="27"/>
      <c r="L78" s="53">
        <f t="shared" si="64"/>
        <v>0</v>
      </c>
      <c r="M78" s="27"/>
      <c r="N78" s="27"/>
      <c r="O78" s="53">
        <f t="shared" si="65"/>
        <v>0</v>
      </c>
      <c r="P78" s="27"/>
      <c r="Q78" s="27"/>
      <c r="R78" s="27"/>
      <c r="S78" s="27"/>
      <c r="T78" s="27"/>
      <c r="U78" s="27"/>
      <c r="V78" s="27"/>
      <c r="W78" s="27"/>
      <c r="X78" s="53">
        <f t="shared" si="66"/>
        <v>0</v>
      </c>
      <c r="Y78" s="27"/>
      <c r="Z78" s="27"/>
      <c r="AA78" s="53">
        <f t="shared" si="67"/>
        <v>0</v>
      </c>
      <c r="AB78" s="456"/>
      <c r="AC78" s="456"/>
      <c r="AD78" s="765">
        <f t="shared" si="68"/>
        <v>0</v>
      </c>
      <c r="AE78" s="456"/>
      <c r="AF78" s="456"/>
      <c r="AG78" s="765">
        <f t="shared" si="75"/>
        <v>0</v>
      </c>
      <c r="AH78" s="27"/>
      <c r="AI78" s="27"/>
      <c r="AJ78" s="514">
        <f t="shared" si="70"/>
        <v>0</v>
      </c>
    </row>
    <row r="79" spans="1:39" ht="12.95" customHeight="1" x14ac:dyDescent="0.25">
      <c r="A79" s="4" t="s">
        <v>119</v>
      </c>
      <c r="B79" s="1211" t="s">
        <v>118</v>
      </c>
      <c r="C79" s="1211"/>
      <c r="D79" s="575">
        <f t="shared" si="72"/>
        <v>0</v>
      </c>
      <c r="E79" s="575">
        <f t="shared" si="73"/>
        <v>0</v>
      </c>
      <c r="F79" s="514">
        <f t="shared" si="74"/>
        <v>0</v>
      </c>
      <c r="G79" s="53"/>
      <c r="H79" s="27"/>
      <c r="I79" s="53">
        <f t="shared" si="63"/>
        <v>0</v>
      </c>
      <c r="J79" s="53"/>
      <c r="K79" s="27"/>
      <c r="L79" s="53">
        <f t="shared" si="64"/>
        <v>0</v>
      </c>
      <c r="M79" s="27"/>
      <c r="N79" s="27"/>
      <c r="O79" s="53">
        <f t="shared" si="65"/>
        <v>0</v>
      </c>
      <c r="P79" s="27"/>
      <c r="Q79" s="27"/>
      <c r="R79" s="27"/>
      <c r="S79" s="27"/>
      <c r="T79" s="27"/>
      <c r="U79" s="27"/>
      <c r="V79" s="27"/>
      <c r="W79" s="27"/>
      <c r="X79" s="53">
        <f t="shared" si="66"/>
        <v>0</v>
      </c>
      <c r="Y79" s="27"/>
      <c r="Z79" s="27"/>
      <c r="AA79" s="53">
        <f t="shared" si="67"/>
        <v>0</v>
      </c>
      <c r="AB79" s="456"/>
      <c r="AC79" s="456"/>
      <c r="AD79" s="765">
        <f t="shared" si="68"/>
        <v>0</v>
      </c>
      <c r="AE79" s="456"/>
      <c r="AF79" s="456"/>
      <c r="AG79" s="765">
        <f t="shared" si="75"/>
        <v>0</v>
      </c>
      <c r="AH79" s="27"/>
      <c r="AI79" s="27"/>
      <c r="AJ79" s="514">
        <f t="shared" si="70"/>
        <v>0</v>
      </c>
    </row>
    <row r="80" spans="1:39" ht="12.95" customHeight="1" x14ac:dyDescent="0.25">
      <c r="A80" s="4" t="s">
        <v>121</v>
      </c>
      <c r="B80" s="1211" t="s">
        <v>120</v>
      </c>
      <c r="C80" s="1211"/>
      <c r="D80" s="575">
        <f t="shared" si="72"/>
        <v>13</v>
      </c>
      <c r="E80" s="575">
        <f t="shared" si="73"/>
        <v>0</v>
      </c>
      <c r="F80" s="514">
        <f t="shared" si="74"/>
        <v>13</v>
      </c>
      <c r="G80" s="27"/>
      <c r="H80" s="27"/>
      <c r="I80" s="53">
        <f t="shared" si="63"/>
        <v>0</v>
      </c>
      <c r="J80" s="27"/>
      <c r="K80" s="27"/>
      <c r="L80" s="53">
        <f t="shared" si="64"/>
        <v>0</v>
      </c>
      <c r="M80" s="27"/>
      <c r="N80" s="27"/>
      <c r="O80" s="53">
        <f t="shared" si="65"/>
        <v>0</v>
      </c>
      <c r="P80" s="27">
        <v>13</v>
      </c>
      <c r="Q80" s="27"/>
      <c r="R80" s="27">
        <f>+P80+Q80</f>
        <v>13</v>
      </c>
      <c r="S80" s="27"/>
      <c r="T80" s="27"/>
      <c r="U80" s="27"/>
      <c r="V80" s="27"/>
      <c r="W80" s="27"/>
      <c r="X80" s="53">
        <f t="shared" si="66"/>
        <v>0</v>
      </c>
      <c r="Y80" s="27"/>
      <c r="Z80" s="27"/>
      <c r="AA80" s="53">
        <f t="shared" si="67"/>
        <v>0</v>
      </c>
      <c r="AB80" s="456"/>
      <c r="AC80" s="456"/>
      <c r="AD80" s="765">
        <f t="shared" si="68"/>
        <v>0</v>
      </c>
      <c r="AE80" s="456"/>
      <c r="AF80" s="456"/>
      <c r="AG80" s="765">
        <f t="shared" si="75"/>
        <v>0</v>
      </c>
      <c r="AH80" s="27"/>
      <c r="AI80" s="27"/>
      <c r="AJ80" s="514">
        <f t="shared" si="70"/>
        <v>0</v>
      </c>
    </row>
    <row r="81" spans="1:36" s="42" customFormat="1" ht="12.95" customHeight="1" x14ac:dyDescent="0.2">
      <c r="A81" s="5" t="s">
        <v>122</v>
      </c>
      <c r="B81" s="1215" t="s">
        <v>160</v>
      </c>
      <c r="C81" s="1215"/>
      <c r="D81" s="575">
        <f t="shared" si="72"/>
        <v>60</v>
      </c>
      <c r="E81" s="575">
        <f t="shared" si="73"/>
        <v>0</v>
      </c>
      <c r="F81" s="514">
        <f t="shared" si="74"/>
        <v>60</v>
      </c>
      <c r="G81" s="575">
        <f t="shared" ref="G81:H81" si="76">G73+G74+G76+G77+G78+G79+G80</f>
        <v>0</v>
      </c>
      <c r="H81" s="575">
        <f t="shared" si="76"/>
        <v>0</v>
      </c>
      <c r="I81" s="575">
        <f>G81+H81</f>
        <v>0</v>
      </c>
      <c r="J81" s="29"/>
      <c r="K81" s="575">
        <f t="shared" ref="K81" si="77">K73+K74+K76+K77+K78+K79+K80</f>
        <v>0</v>
      </c>
      <c r="L81" s="575">
        <f>J81+K81</f>
        <v>0</v>
      </c>
      <c r="M81" s="575">
        <f>M73+M74+M76+M77+M78+M79+M80</f>
        <v>0</v>
      </c>
      <c r="N81" s="575">
        <f t="shared" ref="N81" si="78">N73+N74+N76+N77+N78+N79+N80</f>
        <v>0</v>
      </c>
      <c r="O81" s="575">
        <f>M81+N81</f>
        <v>0</v>
      </c>
      <c r="P81" s="575">
        <f>P73+P74+P76+P77+P78+P79+P80</f>
        <v>60</v>
      </c>
      <c r="Q81" s="575">
        <f t="shared" ref="Q81" si="79">Q73+Q74+Q76+Q77+Q78+Q79+Q80</f>
        <v>0</v>
      </c>
      <c r="R81" s="575">
        <f t="shared" ref="R81" si="80">R73+R74+R76+R77+R78+R79+R80</f>
        <v>60</v>
      </c>
      <c r="S81" s="575">
        <f>S73+S74+S76+S77+S78+S79+S80</f>
        <v>0</v>
      </c>
      <c r="T81" s="575">
        <f t="shared" ref="T81" si="81">T73+T74+T76+T77+T78+T79+T80</f>
        <v>0</v>
      </c>
      <c r="U81" s="575">
        <f t="shared" ref="U81" si="82">U73+U74+U76+U77+U78+U79+U80</f>
        <v>0</v>
      </c>
      <c r="V81" s="575">
        <f>V73+V74+V76+V77+V78+V79+V80</f>
        <v>0</v>
      </c>
      <c r="W81" s="575">
        <f t="shared" ref="W81" si="83">W73+W74+W76+W77+W78+W79+W80</f>
        <v>0</v>
      </c>
      <c r="X81" s="575">
        <f>V81+W81</f>
        <v>0</v>
      </c>
      <c r="Y81" s="575">
        <f>Y73+Y74+Y76+Y77+Y78+Y79+Y80</f>
        <v>0</v>
      </c>
      <c r="Z81" s="575">
        <f t="shared" ref="Z81" si="84">Z73+Z74+Z76+Z77+Z78+Z79+Z80</f>
        <v>0</v>
      </c>
      <c r="AA81" s="575">
        <f>Y81+Z81</f>
        <v>0</v>
      </c>
      <c r="AB81" s="575">
        <f>AB73+AB74+AB76+AB77+AB78+AB79+AB80</f>
        <v>0</v>
      </c>
      <c r="AC81" s="575">
        <f t="shared" ref="AC81" si="85">AC73+AC74+AC76+AC77+AC78+AC79+AC80</f>
        <v>0</v>
      </c>
      <c r="AD81" s="575">
        <f>AB81+AC81</f>
        <v>0</v>
      </c>
      <c r="AE81" s="575">
        <f>AE73+AE74+AE76+AE77+AE78+AE79+AE80</f>
        <v>0</v>
      </c>
      <c r="AF81" s="575">
        <f t="shared" ref="AF81" si="86">AF73+AF74+AF76+AF77+AF78+AF79+AF80</f>
        <v>0</v>
      </c>
      <c r="AG81" s="575">
        <f>AE81+AF81</f>
        <v>0</v>
      </c>
      <c r="AH81" s="575">
        <f>AH73+AH74+AH76+AH77+AH78+AH79+AH80</f>
        <v>0</v>
      </c>
      <c r="AI81" s="575">
        <f t="shared" ref="AI81" si="87">AI73+AI74+AI76+AI77+AI78+AI79+AI80</f>
        <v>0</v>
      </c>
      <c r="AJ81" s="1004">
        <f>AH81+AI81</f>
        <v>0</v>
      </c>
    </row>
    <row r="82" spans="1:36" x14ac:dyDescent="0.25">
      <c r="A82" s="515"/>
      <c r="B82" s="751"/>
      <c r="C82" s="308"/>
      <c r="D82" s="199"/>
      <c r="E82" s="199"/>
      <c r="F82" s="577"/>
      <c r="G82" s="56"/>
      <c r="H82" s="56"/>
      <c r="I82" s="199">
        <f t="shared" si="63"/>
        <v>0</v>
      </c>
      <c r="J82" s="56"/>
      <c r="K82" s="56"/>
      <c r="L82" s="199">
        <f t="shared" si="64"/>
        <v>0</v>
      </c>
      <c r="M82" s="56"/>
      <c r="N82" s="56"/>
      <c r="O82" s="199">
        <f t="shared" si="65"/>
        <v>0</v>
      </c>
      <c r="P82" s="56"/>
      <c r="Q82" s="56"/>
      <c r="R82" s="56"/>
      <c r="S82" s="56"/>
      <c r="T82" s="56"/>
      <c r="U82" s="56"/>
      <c r="V82" s="56"/>
      <c r="W82" s="56"/>
      <c r="X82" s="199">
        <f t="shared" si="66"/>
        <v>0</v>
      </c>
      <c r="Y82" s="56"/>
      <c r="Z82" s="56"/>
      <c r="AA82" s="199">
        <f t="shared" si="67"/>
        <v>0</v>
      </c>
      <c r="AB82" s="617"/>
      <c r="AC82" s="617"/>
      <c r="AD82" s="933">
        <f t="shared" si="68"/>
        <v>0</v>
      </c>
      <c r="AE82" s="617"/>
      <c r="AF82" s="617"/>
      <c r="AG82" s="933">
        <f t="shared" ref="AG82:AG86" si="88">+AF82+AE82</f>
        <v>0</v>
      </c>
      <c r="AH82" s="56"/>
      <c r="AI82" s="56"/>
      <c r="AJ82" s="577">
        <f t="shared" si="70"/>
        <v>0</v>
      </c>
    </row>
    <row r="83" spans="1:36" ht="12.95" customHeight="1" x14ac:dyDescent="0.25">
      <c r="A83" s="4" t="s">
        <v>124</v>
      </c>
      <c r="B83" s="1211" t="s">
        <v>123</v>
      </c>
      <c r="C83" s="1211"/>
      <c r="D83" s="575">
        <f t="shared" ref="D83:D87" si="89">+G83+M83+P83+S83+V83+AH83+J83+Y83+AB83+AE83</f>
        <v>0</v>
      </c>
      <c r="E83" s="575">
        <f t="shared" ref="E83:E87" si="90">+H83+N83+Q83+T83+W83+AI83+K83+Z83+AC83+AF83</f>
        <v>0</v>
      </c>
      <c r="F83" s="514">
        <f t="shared" ref="F83:F87" si="91">+I83+O83+R83+U83+X83+AJ83+L83+AA83+AD83+AG83</f>
        <v>0</v>
      </c>
      <c r="G83" s="27"/>
      <c r="H83" s="27"/>
      <c r="I83" s="53">
        <f t="shared" si="63"/>
        <v>0</v>
      </c>
      <c r="J83" s="27"/>
      <c r="K83" s="27"/>
      <c r="L83" s="53">
        <f t="shared" si="64"/>
        <v>0</v>
      </c>
      <c r="M83" s="27"/>
      <c r="N83" s="27"/>
      <c r="O83" s="53">
        <f t="shared" si="65"/>
        <v>0</v>
      </c>
      <c r="P83" s="27"/>
      <c r="Q83" s="27"/>
      <c r="R83" s="27"/>
      <c r="S83" s="27"/>
      <c r="T83" s="27"/>
      <c r="U83" s="27"/>
      <c r="V83" s="27"/>
      <c r="W83" s="27"/>
      <c r="X83" s="53">
        <f t="shared" si="66"/>
        <v>0</v>
      </c>
      <c r="Y83" s="27"/>
      <c r="Z83" s="27"/>
      <c r="AA83" s="53">
        <f t="shared" si="67"/>
        <v>0</v>
      </c>
      <c r="AB83" s="456"/>
      <c r="AC83" s="456"/>
      <c r="AD83" s="765">
        <f t="shared" si="68"/>
        <v>0</v>
      </c>
      <c r="AE83" s="456"/>
      <c r="AF83" s="456"/>
      <c r="AG83" s="765">
        <f t="shared" si="88"/>
        <v>0</v>
      </c>
      <c r="AH83" s="27"/>
      <c r="AI83" s="27"/>
      <c r="AJ83" s="514">
        <f t="shared" si="70"/>
        <v>0</v>
      </c>
    </row>
    <row r="84" spans="1:36" ht="12.95" customHeight="1" x14ac:dyDescent="0.25">
      <c r="A84" s="4" t="s">
        <v>126</v>
      </c>
      <c r="B84" s="1211" t="s">
        <v>125</v>
      </c>
      <c r="C84" s="1211"/>
      <c r="D84" s="575">
        <f t="shared" si="89"/>
        <v>0</v>
      </c>
      <c r="E84" s="575">
        <f t="shared" si="90"/>
        <v>0</v>
      </c>
      <c r="F84" s="514">
        <f t="shared" si="91"/>
        <v>0</v>
      </c>
      <c r="G84" s="27"/>
      <c r="H84" s="27"/>
      <c r="I84" s="53">
        <f t="shared" si="63"/>
        <v>0</v>
      </c>
      <c r="J84" s="27"/>
      <c r="K84" s="27"/>
      <c r="L84" s="53">
        <f t="shared" si="64"/>
        <v>0</v>
      </c>
      <c r="M84" s="27"/>
      <c r="N84" s="27"/>
      <c r="O84" s="53">
        <f t="shared" si="65"/>
        <v>0</v>
      </c>
      <c r="P84" s="27"/>
      <c r="Q84" s="27"/>
      <c r="R84" s="27"/>
      <c r="S84" s="27"/>
      <c r="T84" s="27"/>
      <c r="U84" s="27"/>
      <c r="V84" s="27"/>
      <c r="W84" s="27"/>
      <c r="X84" s="53">
        <f t="shared" si="66"/>
        <v>0</v>
      </c>
      <c r="Y84" s="27"/>
      <c r="Z84" s="27"/>
      <c r="AA84" s="53">
        <f t="shared" si="67"/>
        <v>0</v>
      </c>
      <c r="AB84" s="456"/>
      <c r="AC84" s="456"/>
      <c r="AD84" s="765">
        <f t="shared" si="68"/>
        <v>0</v>
      </c>
      <c r="AE84" s="456"/>
      <c r="AF84" s="456"/>
      <c r="AG84" s="765">
        <f t="shared" si="88"/>
        <v>0</v>
      </c>
      <c r="AH84" s="27"/>
      <c r="AI84" s="27"/>
      <c r="AJ84" s="514">
        <f t="shared" si="70"/>
        <v>0</v>
      </c>
    </row>
    <row r="85" spans="1:36" ht="12.95" customHeight="1" x14ac:dyDescent="0.25">
      <c r="A85" s="4" t="s">
        <v>128</v>
      </c>
      <c r="B85" s="1211" t="s">
        <v>127</v>
      </c>
      <c r="C85" s="1211"/>
      <c r="D85" s="575">
        <f t="shared" si="89"/>
        <v>0</v>
      </c>
      <c r="E85" s="575">
        <f t="shared" si="90"/>
        <v>0</v>
      </c>
      <c r="F85" s="514">
        <f t="shared" si="91"/>
        <v>0</v>
      </c>
      <c r="G85" s="53"/>
      <c r="H85" s="27"/>
      <c r="I85" s="53">
        <f t="shared" si="63"/>
        <v>0</v>
      </c>
      <c r="J85" s="27"/>
      <c r="K85" s="27"/>
      <c r="L85" s="53">
        <f t="shared" si="64"/>
        <v>0</v>
      </c>
      <c r="M85" s="27"/>
      <c r="N85" s="27"/>
      <c r="O85" s="53">
        <f t="shared" si="65"/>
        <v>0</v>
      </c>
      <c r="P85" s="27"/>
      <c r="Q85" s="27"/>
      <c r="R85" s="27"/>
      <c r="S85" s="27"/>
      <c r="T85" s="27"/>
      <c r="U85" s="27"/>
      <c r="V85" s="27"/>
      <c r="W85" s="27"/>
      <c r="X85" s="53">
        <f t="shared" si="66"/>
        <v>0</v>
      </c>
      <c r="Y85" s="27"/>
      <c r="Z85" s="27"/>
      <c r="AA85" s="53">
        <f t="shared" si="67"/>
        <v>0</v>
      </c>
      <c r="AB85" s="456"/>
      <c r="AC85" s="456"/>
      <c r="AD85" s="765">
        <f t="shared" si="68"/>
        <v>0</v>
      </c>
      <c r="AE85" s="456"/>
      <c r="AF85" s="456"/>
      <c r="AG85" s="765">
        <f t="shared" si="88"/>
        <v>0</v>
      </c>
      <c r="AH85" s="27"/>
      <c r="AI85" s="27"/>
      <c r="AJ85" s="514">
        <f t="shared" si="70"/>
        <v>0</v>
      </c>
    </row>
    <row r="86" spans="1:36" ht="12.95" customHeight="1" x14ac:dyDescent="0.25">
      <c r="A86" s="4" t="s">
        <v>130</v>
      </c>
      <c r="B86" s="1211" t="s">
        <v>129</v>
      </c>
      <c r="C86" s="1211"/>
      <c r="D86" s="575">
        <f t="shared" si="89"/>
        <v>0</v>
      </c>
      <c r="E86" s="575">
        <f t="shared" si="90"/>
        <v>0</v>
      </c>
      <c r="F86" s="514">
        <f t="shared" si="91"/>
        <v>0</v>
      </c>
      <c r="G86" s="27"/>
      <c r="H86" s="27"/>
      <c r="I86" s="53">
        <f t="shared" si="63"/>
        <v>0</v>
      </c>
      <c r="J86" s="27"/>
      <c r="K86" s="27"/>
      <c r="L86" s="53">
        <f t="shared" si="64"/>
        <v>0</v>
      </c>
      <c r="M86" s="27"/>
      <c r="N86" s="27"/>
      <c r="O86" s="53">
        <f t="shared" si="65"/>
        <v>0</v>
      </c>
      <c r="P86" s="27"/>
      <c r="Q86" s="27"/>
      <c r="R86" s="27"/>
      <c r="S86" s="27"/>
      <c r="T86" s="27"/>
      <c r="U86" s="27"/>
      <c r="V86" s="27"/>
      <c r="W86" s="27"/>
      <c r="X86" s="53">
        <f t="shared" si="66"/>
        <v>0</v>
      </c>
      <c r="Y86" s="27"/>
      <c r="Z86" s="27"/>
      <c r="AA86" s="53">
        <f t="shared" si="67"/>
        <v>0</v>
      </c>
      <c r="AB86" s="456"/>
      <c r="AC86" s="456"/>
      <c r="AD86" s="765">
        <f t="shared" si="68"/>
        <v>0</v>
      </c>
      <c r="AE86" s="456"/>
      <c r="AF86" s="456"/>
      <c r="AG86" s="765">
        <f t="shared" si="88"/>
        <v>0</v>
      </c>
      <c r="AH86" s="27"/>
      <c r="AI86" s="27"/>
      <c r="AJ86" s="514">
        <f t="shared" si="70"/>
        <v>0</v>
      </c>
    </row>
    <row r="87" spans="1:36" s="42" customFormat="1" ht="12.95" customHeight="1" x14ac:dyDescent="0.2">
      <c r="A87" s="5" t="s">
        <v>131</v>
      </c>
      <c r="B87" s="1215" t="s">
        <v>159</v>
      </c>
      <c r="C87" s="1215"/>
      <c r="D87" s="575">
        <f t="shared" si="89"/>
        <v>0</v>
      </c>
      <c r="E87" s="575">
        <f t="shared" si="90"/>
        <v>0</v>
      </c>
      <c r="F87" s="514">
        <f t="shared" si="91"/>
        <v>0</v>
      </c>
      <c r="G87" s="53">
        <f>SUM(G83:G86)</f>
        <v>0</v>
      </c>
      <c r="H87" s="53">
        <f>SUM(H83:H86)</f>
        <v>0</v>
      </c>
      <c r="I87" s="53">
        <f>G87+H87</f>
        <v>0</v>
      </c>
      <c r="J87" s="53"/>
      <c r="K87" s="53">
        <f t="shared" ref="K87" si="92">SUM(K83:K86)</f>
        <v>0</v>
      </c>
      <c r="L87" s="53">
        <f t="shared" ref="L87" si="93">J87+K87</f>
        <v>0</v>
      </c>
      <c r="M87" s="53">
        <f t="shared" ref="M87:N87" si="94">SUM(M83:M86)</f>
        <v>0</v>
      </c>
      <c r="N87" s="53">
        <f t="shared" si="94"/>
        <v>0</v>
      </c>
      <c r="O87" s="53">
        <f t="shared" ref="O87" si="95">M87+N87</f>
        <v>0</v>
      </c>
      <c r="P87" s="53">
        <f t="shared" ref="P87:Q87" si="96">SUM(P83:P86)</f>
        <v>0</v>
      </c>
      <c r="Q87" s="53">
        <f t="shared" si="96"/>
        <v>0</v>
      </c>
      <c r="R87" s="53">
        <f t="shared" ref="R87" si="97">P87+Q87</f>
        <v>0</v>
      </c>
      <c r="S87" s="53">
        <f t="shared" ref="S87:T87" si="98">SUM(S83:S86)</f>
        <v>0</v>
      </c>
      <c r="T87" s="53">
        <f t="shared" si="98"/>
        <v>0</v>
      </c>
      <c r="U87" s="53">
        <f t="shared" ref="U87" si="99">S87+T87</f>
        <v>0</v>
      </c>
      <c r="V87" s="53">
        <f t="shared" ref="V87:W87" si="100">SUM(V83:V86)</f>
        <v>0</v>
      </c>
      <c r="W87" s="53">
        <f t="shared" si="100"/>
        <v>0</v>
      </c>
      <c r="X87" s="53">
        <f t="shared" ref="X87" si="101">V87+W87</f>
        <v>0</v>
      </c>
      <c r="Y87" s="53">
        <f t="shared" ref="Y87:Z87" si="102">SUM(Y83:Y86)</f>
        <v>0</v>
      </c>
      <c r="Z87" s="53">
        <f t="shared" si="102"/>
        <v>0</v>
      </c>
      <c r="AA87" s="53">
        <f t="shared" ref="AA87" si="103">Y87+Z87</f>
        <v>0</v>
      </c>
      <c r="AB87" s="53">
        <f t="shared" ref="AB87:AC87" si="104">SUM(AB83:AB86)</f>
        <v>0</v>
      </c>
      <c r="AC87" s="53">
        <f t="shared" si="104"/>
        <v>0</v>
      </c>
      <c r="AD87" s="53">
        <f t="shared" ref="AD87" si="105">AB87+AC87</f>
        <v>0</v>
      </c>
      <c r="AE87" s="53">
        <f t="shared" ref="AE87:AF87" si="106">SUM(AE83:AE86)</f>
        <v>0</v>
      </c>
      <c r="AF87" s="53">
        <f t="shared" si="106"/>
        <v>0</v>
      </c>
      <c r="AG87" s="53">
        <f t="shared" ref="AG87" si="107">AE87+AF87</f>
        <v>0</v>
      </c>
      <c r="AH87" s="53">
        <f t="shared" ref="AH87:AI87" si="108">SUM(AH83:AH86)</f>
        <v>0</v>
      </c>
      <c r="AI87" s="53">
        <f t="shared" si="108"/>
        <v>0</v>
      </c>
      <c r="AJ87" s="514">
        <f t="shared" ref="AJ87" si="109">AH87+AI87</f>
        <v>0</v>
      </c>
    </row>
    <row r="88" spans="1:36" ht="12.95" hidden="1" customHeight="1" x14ac:dyDescent="0.25">
      <c r="A88" s="515"/>
      <c r="B88" s="751"/>
      <c r="C88" s="308"/>
      <c r="D88" s="199">
        <f t="shared" ref="D88:D92" si="110">+G88+M88+P88+S88+V88+AH88+J88+Y88+AB88</f>
        <v>0</v>
      </c>
      <c r="E88" s="199">
        <f t="shared" ref="E88:E92" si="111">+H88+N88+Q88+T88+W88+AI88+K88+Z88+AC88</f>
        <v>0</v>
      </c>
      <c r="F88" s="577">
        <f t="shared" ref="F88:F92" si="112">+I88+O88+R88+U88+X88+AJ88+L88+AA88+AD88</f>
        <v>0</v>
      </c>
      <c r="G88" s="56"/>
      <c r="H88" s="56"/>
      <c r="I88" s="199">
        <f t="shared" si="63"/>
        <v>0</v>
      </c>
      <c r="J88" s="56"/>
      <c r="K88" s="56"/>
      <c r="L88" s="199">
        <f t="shared" si="64"/>
        <v>0</v>
      </c>
      <c r="M88" s="56"/>
      <c r="N88" s="56"/>
      <c r="O88" s="199">
        <f t="shared" si="65"/>
        <v>0</v>
      </c>
      <c r="P88" s="56"/>
      <c r="Q88" s="56"/>
      <c r="R88" s="56"/>
      <c r="S88" s="56"/>
      <c r="T88" s="56"/>
      <c r="U88" s="56"/>
      <c r="V88" s="56"/>
      <c r="W88" s="56"/>
      <c r="X88" s="199">
        <f t="shared" si="66"/>
        <v>0</v>
      </c>
      <c r="Y88" s="56"/>
      <c r="Z88" s="56"/>
      <c r="AA88" s="199">
        <f t="shared" si="67"/>
        <v>0</v>
      </c>
      <c r="AB88" s="617"/>
      <c r="AC88" s="617"/>
      <c r="AD88" s="933">
        <f t="shared" si="68"/>
        <v>0</v>
      </c>
      <c r="AE88" s="617"/>
      <c r="AF88" s="617"/>
      <c r="AG88" s="933">
        <f t="shared" ref="AG88:AG94" si="113">+AF88+AE88</f>
        <v>0</v>
      </c>
      <c r="AH88" s="56"/>
      <c r="AI88" s="56"/>
      <c r="AJ88" s="577">
        <f t="shared" si="70"/>
        <v>0</v>
      </c>
    </row>
    <row r="89" spans="1:36" ht="12.95" hidden="1" customHeight="1" x14ac:dyDescent="0.25">
      <c r="A89" s="96" t="s">
        <v>371</v>
      </c>
      <c r="B89" s="1234" t="s">
        <v>372</v>
      </c>
      <c r="C89" s="1235"/>
      <c r="D89" s="199">
        <f t="shared" si="110"/>
        <v>0</v>
      </c>
      <c r="E89" s="199">
        <f t="shared" si="111"/>
        <v>0</v>
      </c>
      <c r="F89" s="577">
        <f t="shared" si="112"/>
        <v>0</v>
      </c>
      <c r="G89" s="56"/>
      <c r="H89" s="56"/>
      <c r="I89" s="199">
        <f t="shared" si="63"/>
        <v>0</v>
      </c>
      <c r="J89" s="56"/>
      <c r="K89" s="56"/>
      <c r="L89" s="199">
        <f t="shared" si="64"/>
        <v>0</v>
      </c>
      <c r="M89" s="56"/>
      <c r="N89" s="56"/>
      <c r="O89" s="199">
        <f t="shared" si="65"/>
        <v>0</v>
      </c>
      <c r="P89" s="56"/>
      <c r="Q89" s="56"/>
      <c r="R89" s="56"/>
      <c r="S89" s="56"/>
      <c r="T89" s="56"/>
      <c r="U89" s="56"/>
      <c r="V89" s="56"/>
      <c r="W89" s="56"/>
      <c r="X89" s="199">
        <f t="shared" si="66"/>
        <v>0</v>
      </c>
      <c r="Y89" s="56"/>
      <c r="Z89" s="56"/>
      <c r="AA89" s="199">
        <f t="shared" si="67"/>
        <v>0</v>
      </c>
      <c r="AB89" s="617"/>
      <c r="AC89" s="617"/>
      <c r="AD89" s="933">
        <f t="shared" si="68"/>
        <v>0</v>
      </c>
      <c r="AE89" s="617"/>
      <c r="AF89" s="617"/>
      <c r="AG89" s="933">
        <f t="shared" si="113"/>
        <v>0</v>
      </c>
      <c r="AH89" s="56"/>
      <c r="AI89" s="56"/>
      <c r="AJ89" s="577">
        <f t="shared" si="70"/>
        <v>0</v>
      </c>
    </row>
    <row r="90" spans="1:36" ht="12.95" hidden="1" customHeight="1" x14ac:dyDescent="0.25">
      <c r="A90" s="96" t="s">
        <v>384</v>
      </c>
      <c r="B90" s="1234" t="s">
        <v>385</v>
      </c>
      <c r="C90" s="1235"/>
      <c r="D90" s="199">
        <f t="shared" si="110"/>
        <v>0</v>
      </c>
      <c r="E90" s="199">
        <f t="shared" si="111"/>
        <v>0</v>
      </c>
      <c r="F90" s="577">
        <f t="shared" si="112"/>
        <v>0</v>
      </c>
      <c r="G90" s="199"/>
      <c r="H90" s="56"/>
      <c r="I90" s="199">
        <f t="shared" si="63"/>
        <v>0</v>
      </c>
      <c r="J90" s="56"/>
      <c r="K90" s="56"/>
      <c r="L90" s="199">
        <f t="shared" si="64"/>
        <v>0</v>
      </c>
      <c r="M90" s="56"/>
      <c r="N90" s="56"/>
      <c r="O90" s="199">
        <f t="shared" si="65"/>
        <v>0</v>
      </c>
      <c r="P90" s="56"/>
      <c r="Q90" s="56"/>
      <c r="R90" s="56"/>
      <c r="S90" s="56"/>
      <c r="T90" s="56"/>
      <c r="U90" s="56"/>
      <c r="V90" s="56"/>
      <c r="W90" s="56"/>
      <c r="X90" s="199">
        <f t="shared" si="66"/>
        <v>0</v>
      </c>
      <c r="Y90" s="56"/>
      <c r="Z90" s="56"/>
      <c r="AA90" s="199">
        <f t="shared" si="67"/>
        <v>0</v>
      </c>
      <c r="AB90" s="617"/>
      <c r="AC90" s="617"/>
      <c r="AD90" s="933">
        <f t="shared" si="68"/>
        <v>0</v>
      </c>
      <c r="AE90" s="617"/>
      <c r="AF90" s="617"/>
      <c r="AG90" s="933">
        <f t="shared" si="113"/>
        <v>0</v>
      </c>
      <c r="AH90" s="56"/>
      <c r="AI90" s="56"/>
      <c r="AJ90" s="577">
        <f t="shared" si="70"/>
        <v>0</v>
      </c>
    </row>
    <row r="91" spans="1:36" ht="12.95" hidden="1" customHeight="1" x14ac:dyDescent="0.25">
      <c r="A91" s="96" t="s">
        <v>132</v>
      </c>
      <c r="B91" s="1234" t="s">
        <v>158</v>
      </c>
      <c r="C91" s="1235"/>
      <c r="D91" s="199">
        <f t="shared" si="110"/>
        <v>0</v>
      </c>
      <c r="E91" s="199">
        <f t="shared" si="111"/>
        <v>0</v>
      </c>
      <c r="F91" s="577">
        <f t="shared" si="112"/>
        <v>0</v>
      </c>
      <c r="G91" s="56"/>
      <c r="H91" s="56"/>
      <c r="I91" s="199">
        <f t="shared" si="63"/>
        <v>0</v>
      </c>
      <c r="J91" s="56"/>
      <c r="K91" s="56"/>
      <c r="L91" s="199">
        <f t="shared" si="64"/>
        <v>0</v>
      </c>
      <c r="M91" s="56"/>
      <c r="N91" s="56"/>
      <c r="O91" s="199">
        <f t="shared" si="65"/>
        <v>0</v>
      </c>
      <c r="P91" s="56"/>
      <c r="Q91" s="56"/>
      <c r="R91" s="56"/>
      <c r="S91" s="56"/>
      <c r="T91" s="56"/>
      <c r="U91" s="56"/>
      <c r="V91" s="56"/>
      <c r="W91" s="56"/>
      <c r="X91" s="199">
        <f t="shared" si="66"/>
        <v>0</v>
      </c>
      <c r="Y91" s="56"/>
      <c r="Z91" s="56"/>
      <c r="AA91" s="199">
        <f t="shared" si="67"/>
        <v>0</v>
      </c>
      <c r="AB91" s="617"/>
      <c r="AC91" s="617"/>
      <c r="AD91" s="933">
        <f t="shared" si="68"/>
        <v>0</v>
      </c>
      <c r="AE91" s="617"/>
      <c r="AF91" s="617"/>
      <c r="AG91" s="933">
        <f t="shared" si="113"/>
        <v>0</v>
      </c>
      <c r="AH91" s="56"/>
      <c r="AI91" s="56"/>
      <c r="AJ91" s="577">
        <f t="shared" si="70"/>
        <v>0</v>
      </c>
    </row>
    <row r="92" spans="1:36" s="42" customFormat="1" ht="12.95" hidden="1" customHeight="1" x14ac:dyDescent="0.2">
      <c r="A92" s="515" t="s">
        <v>133</v>
      </c>
      <c r="B92" s="1325" t="s">
        <v>157</v>
      </c>
      <c r="C92" s="1326"/>
      <c r="D92" s="199">
        <f t="shared" si="110"/>
        <v>0</v>
      </c>
      <c r="E92" s="199">
        <f t="shared" si="111"/>
        <v>0</v>
      </c>
      <c r="F92" s="577">
        <f t="shared" si="112"/>
        <v>0</v>
      </c>
      <c r="G92" s="199"/>
      <c r="H92" s="199"/>
      <c r="I92" s="199">
        <f t="shared" si="63"/>
        <v>0</v>
      </c>
      <c r="J92" s="199"/>
      <c r="K92" s="199"/>
      <c r="L92" s="199">
        <f t="shared" si="64"/>
        <v>0</v>
      </c>
      <c r="M92" s="199"/>
      <c r="N92" s="199"/>
      <c r="O92" s="199">
        <f t="shared" si="65"/>
        <v>0</v>
      </c>
      <c r="P92" s="199"/>
      <c r="Q92" s="199"/>
      <c r="R92" s="199"/>
      <c r="S92" s="199"/>
      <c r="T92" s="199"/>
      <c r="U92" s="199"/>
      <c r="V92" s="199"/>
      <c r="W92" s="199"/>
      <c r="X92" s="199">
        <f t="shared" si="66"/>
        <v>0</v>
      </c>
      <c r="Y92" s="199"/>
      <c r="Z92" s="199"/>
      <c r="AA92" s="199">
        <f t="shared" si="67"/>
        <v>0</v>
      </c>
      <c r="AB92" s="933"/>
      <c r="AC92" s="933"/>
      <c r="AD92" s="933">
        <f t="shared" si="68"/>
        <v>0</v>
      </c>
      <c r="AE92" s="933"/>
      <c r="AF92" s="933"/>
      <c r="AG92" s="933">
        <f t="shared" si="113"/>
        <v>0</v>
      </c>
      <c r="AH92" s="199"/>
      <c r="AI92" s="199"/>
      <c r="AJ92" s="577">
        <f t="shared" si="70"/>
        <v>0</v>
      </c>
    </row>
    <row r="93" spans="1:36" ht="12.95" customHeight="1" x14ac:dyDescent="0.25">
      <c r="A93" s="515"/>
      <c r="B93" s="512"/>
      <c r="C93" s="776"/>
      <c r="D93" s="199"/>
      <c r="E93" s="199"/>
      <c r="F93" s="577"/>
      <c r="H93" s="56"/>
      <c r="I93" s="199"/>
      <c r="J93" s="56"/>
      <c r="K93" s="56"/>
      <c r="L93" s="199">
        <f t="shared" si="64"/>
        <v>0</v>
      </c>
      <c r="M93" s="56"/>
      <c r="N93" s="56"/>
      <c r="O93" s="199">
        <f t="shared" si="65"/>
        <v>0</v>
      </c>
      <c r="P93" s="56"/>
      <c r="Q93" s="56"/>
      <c r="R93" s="56"/>
      <c r="S93" s="56"/>
      <c r="T93" s="56"/>
      <c r="U93" s="56"/>
      <c r="V93" s="56"/>
      <c r="W93" s="56"/>
      <c r="X93" s="199">
        <f t="shared" si="66"/>
        <v>0</v>
      </c>
      <c r="Y93" s="56"/>
      <c r="Z93" s="56"/>
      <c r="AA93" s="199">
        <f t="shared" si="67"/>
        <v>0</v>
      </c>
      <c r="AB93" s="617"/>
      <c r="AC93" s="617"/>
      <c r="AD93" s="933">
        <f t="shared" si="68"/>
        <v>0</v>
      </c>
      <c r="AE93" s="617"/>
      <c r="AF93" s="617"/>
      <c r="AG93" s="933">
        <f t="shared" si="113"/>
        <v>0</v>
      </c>
      <c r="AH93" s="56"/>
      <c r="AI93" s="56"/>
      <c r="AJ93" s="577">
        <f t="shared" si="70"/>
        <v>0</v>
      </c>
    </row>
    <row r="94" spans="1:36" s="42" customFormat="1" ht="12.95" customHeight="1" x14ac:dyDescent="0.2">
      <c r="A94" s="767" t="s">
        <v>134</v>
      </c>
      <c r="B94" s="1215" t="s">
        <v>156</v>
      </c>
      <c r="C94" s="1200"/>
      <c r="D94" s="575">
        <f>+G94+M94+P94+S94+V94+AH94+J94+Y94+AB94+AE94</f>
        <v>362879</v>
      </c>
      <c r="E94" s="575">
        <f>+H94+N94+Q94+T94+W94+AI94+K94+Z94+AC94+AF94</f>
        <v>10861</v>
      </c>
      <c r="F94" s="514">
        <f>+I94+O94+R94+U94+X94+AJ94+L94+AA94+AD94+AG94</f>
        <v>373740</v>
      </c>
      <c r="G94" s="53">
        <f>+G92+G87+G81+G71+G55+G35+G9+G7</f>
        <v>12652</v>
      </c>
      <c r="H94" s="53">
        <f>+H92+H87+H81+H71+H55+H35+H9+H7</f>
        <v>788</v>
      </c>
      <c r="I94" s="53">
        <f>+H94+G94</f>
        <v>13440</v>
      </c>
      <c r="J94" s="53">
        <f>+J92+J87+J81+J71+J55+J35+J9+J7</f>
        <v>68142</v>
      </c>
      <c r="K94" s="53">
        <f>+K92+K87+K81+K71+K55+K35+K9+K7</f>
        <v>-8214</v>
      </c>
      <c r="L94" s="53">
        <f t="shared" si="64"/>
        <v>59928</v>
      </c>
      <c r="M94" s="575">
        <f>+M92+M87+M81+M71+M55+M35+M9+M7</f>
        <v>20823</v>
      </c>
      <c r="N94" s="53">
        <f>+N92+N87+N81+N71+N55+N35+N9+N7</f>
        <v>0</v>
      </c>
      <c r="O94" s="53">
        <f t="shared" si="65"/>
        <v>20823</v>
      </c>
      <c r="P94" s="53">
        <f t="shared" ref="P94:W94" si="114">+P92+P87+P81+P71+P55+P35+P9+P7</f>
        <v>813</v>
      </c>
      <c r="Q94" s="53">
        <f t="shared" si="114"/>
        <v>111</v>
      </c>
      <c r="R94" s="53">
        <f t="shared" si="114"/>
        <v>924</v>
      </c>
      <c r="S94" s="53">
        <f t="shared" si="114"/>
        <v>0</v>
      </c>
      <c r="T94" s="53">
        <f t="shared" si="114"/>
        <v>0</v>
      </c>
      <c r="U94" s="53">
        <f t="shared" si="114"/>
        <v>0</v>
      </c>
      <c r="V94" s="575">
        <f t="shared" si="114"/>
        <v>254</v>
      </c>
      <c r="W94" s="53">
        <f t="shared" si="114"/>
        <v>23</v>
      </c>
      <c r="X94" s="53">
        <f t="shared" si="66"/>
        <v>277</v>
      </c>
      <c r="Y94" s="575">
        <f>+Y92+Y87+Y81+Y71+Y55+Y35+Y9+Y7</f>
        <v>6030</v>
      </c>
      <c r="Z94" s="53">
        <f>+Z92+Z87+Z81+Z71+Z55+Z35+Z9+Z7</f>
        <v>0</v>
      </c>
      <c r="AA94" s="53">
        <f t="shared" si="67"/>
        <v>6030</v>
      </c>
      <c r="AB94" s="575">
        <f>+AB92+AB87+AB81+AB71+AB55+AB35+AB9+AB7</f>
        <v>106</v>
      </c>
      <c r="AC94" s="53">
        <f>+AC92+AC87+AC81+AC71+AC55+AC35+AC9+AC7</f>
        <v>0</v>
      </c>
      <c r="AD94" s="765">
        <f t="shared" si="68"/>
        <v>106</v>
      </c>
      <c r="AE94" s="575">
        <f>+AE92+AE87+AE81+AE71+AE55+AE35+AE9+AE7</f>
        <v>0</v>
      </c>
      <c r="AF94" s="53">
        <f>+AF92+AF87+AF81+AF71+AF55+AF35+AF9+AF7</f>
        <v>746</v>
      </c>
      <c r="AG94" s="765">
        <f t="shared" si="113"/>
        <v>746</v>
      </c>
      <c r="AH94" s="575">
        <f>+AH92+AH87+AH81+AH71+AH55+AH35+AH9+AH7</f>
        <v>254059</v>
      </c>
      <c r="AI94" s="53">
        <f>+AI92+AI87+AI81+AI71+AI55+AI35+AI9+AI7</f>
        <v>17407</v>
      </c>
      <c r="AJ94" s="514">
        <f t="shared" si="70"/>
        <v>271466</v>
      </c>
    </row>
    <row r="95" spans="1:36" ht="12.95" customHeight="1" x14ac:dyDescent="0.25">
      <c r="A95" s="97"/>
      <c r="C95" s="777"/>
      <c r="D95" s="199"/>
      <c r="E95" s="199"/>
      <c r="F95" s="577"/>
      <c r="I95" s="199"/>
      <c r="L95" s="199"/>
      <c r="O95" s="199"/>
      <c r="X95" s="199"/>
      <c r="AA95" s="199"/>
      <c r="AD95" s="933"/>
      <c r="AG95" s="933"/>
      <c r="AJ95" s="577"/>
    </row>
    <row r="96" spans="1:36" s="42" customFormat="1" ht="12.95" customHeight="1" x14ac:dyDescent="0.2">
      <c r="A96" s="849" t="s">
        <v>266</v>
      </c>
      <c r="B96" s="1327" t="s">
        <v>265</v>
      </c>
      <c r="C96" s="1328"/>
      <c r="D96" s="575">
        <f t="shared" ref="D96:D100" si="115">+G96+M96+P96+S96+V96+AH96+J96+Y96+AB96+AE96</f>
        <v>0</v>
      </c>
      <c r="E96" s="575">
        <f t="shared" ref="E96:E100" si="116">+H96+N96+Q96+T96+W96+AI96+K96+Z96+AC96+AF96</f>
        <v>0</v>
      </c>
      <c r="F96" s="514">
        <f t="shared" ref="F96:F100" si="117">+I96+O96+R96+U96+X96+AJ96+L96+AA96+AD96+AG96</f>
        <v>0</v>
      </c>
      <c r="G96" s="854"/>
      <c r="H96" s="43"/>
      <c r="I96" s="53">
        <f t="shared" si="63"/>
        <v>0</v>
      </c>
      <c r="J96" s="43"/>
      <c r="K96" s="43"/>
      <c r="L96" s="53">
        <f t="shared" si="64"/>
        <v>0</v>
      </c>
      <c r="M96" s="43"/>
      <c r="N96" s="43"/>
      <c r="O96" s="53">
        <f t="shared" si="65"/>
        <v>0</v>
      </c>
      <c r="P96" s="43"/>
      <c r="Q96" s="43"/>
      <c r="R96" s="43"/>
      <c r="S96" s="43"/>
      <c r="T96" s="43"/>
      <c r="U96" s="43"/>
      <c r="V96" s="43"/>
      <c r="W96" s="43"/>
      <c r="X96" s="53"/>
      <c r="Y96" s="43"/>
      <c r="Z96" s="43"/>
      <c r="AA96" s="53">
        <f t="shared" si="67"/>
        <v>0</v>
      </c>
      <c r="AB96" s="935"/>
      <c r="AC96" s="935"/>
      <c r="AD96" s="765">
        <f t="shared" si="68"/>
        <v>0</v>
      </c>
      <c r="AE96" s="935"/>
      <c r="AF96" s="935"/>
      <c r="AG96" s="765">
        <f t="shared" ref="AG96:AG100" si="118">+AF96+AE96</f>
        <v>0</v>
      </c>
      <c r="AH96" s="43"/>
      <c r="AI96" s="43"/>
      <c r="AJ96" s="514"/>
    </row>
    <row r="97" spans="1:36" s="42" customFormat="1" ht="12.95" customHeight="1" x14ac:dyDescent="0.2">
      <c r="A97" s="849" t="s">
        <v>740</v>
      </c>
      <c r="B97" s="1327" t="s">
        <v>741</v>
      </c>
      <c r="C97" s="1328"/>
      <c r="D97" s="575">
        <f t="shared" si="115"/>
        <v>0</v>
      </c>
      <c r="E97" s="575">
        <f t="shared" si="116"/>
        <v>0</v>
      </c>
      <c r="F97" s="514">
        <f t="shared" si="117"/>
        <v>0</v>
      </c>
      <c r="G97" s="854"/>
      <c r="H97" s="43"/>
      <c r="I97" s="53">
        <f t="shared" si="63"/>
        <v>0</v>
      </c>
      <c r="J97" s="43"/>
      <c r="K97" s="43"/>
      <c r="L97" s="53">
        <f t="shared" si="64"/>
        <v>0</v>
      </c>
      <c r="M97" s="43"/>
      <c r="N97" s="43"/>
      <c r="O97" s="53">
        <f t="shared" si="65"/>
        <v>0</v>
      </c>
      <c r="P97" s="43"/>
      <c r="Q97" s="43"/>
      <c r="R97" s="43"/>
      <c r="S97" s="43"/>
      <c r="T97" s="43"/>
      <c r="U97" s="43"/>
      <c r="V97" s="43"/>
      <c r="W97" s="43"/>
      <c r="X97" s="53">
        <f t="shared" si="66"/>
        <v>0</v>
      </c>
      <c r="Y97" s="43"/>
      <c r="Z97" s="43"/>
      <c r="AA97" s="53">
        <f t="shared" si="67"/>
        <v>0</v>
      </c>
      <c r="AB97" s="935"/>
      <c r="AC97" s="935"/>
      <c r="AD97" s="765">
        <f t="shared" si="68"/>
        <v>0</v>
      </c>
      <c r="AE97" s="935"/>
      <c r="AF97" s="935"/>
      <c r="AG97" s="765">
        <f t="shared" si="118"/>
        <v>0</v>
      </c>
      <c r="AH97" s="43"/>
      <c r="AI97" s="43"/>
      <c r="AJ97" s="514">
        <f t="shared" si="70"/>
        <v>0</v>
      </c>
    </row>
    <row r="98" spans="1:36" s="42" customFormat="1" ht="12.95" customHeight="1" x14ac:dyDescent="0.2">
      <c r="A98" s="849" t="s">
        <v>738</v>
      </c>
      <c r="B98" s="1327" t="s">
        <v>739</v>
      </c>
      <c r="C98" s="1328"/>
      <c r="D98" s="575">
        <f t="shared" si="115"/>
        <v>19296</v>
      </c>
      <c r="E98" s="575">
        <f t="shared" si="116"/>
        <v>0</v>
      </c>
      <c r="F98" s="514">
        <f t="shared" si="117"/>
        <v>19296</v>
      </c>
      <c r="G98" s="854"/>
      <c r="H98" s="43"/>
      <c r="I98" s="53">
        <f t="shared" si="63"/>
        <v>0</v>
      </c>
      <c r="J98" s="43"/>
      <c r="K98" s="43"/>
      <c r="L98" s="53">
        <f t="shared" si="64"/>
        <v>0</v>
      </c>
      <c r="M98" s="43"/>
      <c r="N98" s="43"/>
      <c r="O98" s="53">
        <f t="shared" si="65"/>
        <v>0</v>
      </c>
      <c r="P98" s="43"/>
      <c r="Q98" s="43"/>
      <c r="R98" s="43"/>
      <c r="S98" s="43"/>
      <c r="T98" s="43"/>
      <c r="U98" s="43"/>
      <c r="V98" s="43"/>
      <c r="W98" s="43"/>
      <c r="X98" s="53">
        <f t="shared" si="66"/>
        <v>0</v>
      </c>
      <c r="Y98" s="43"/>
      <c r="Z98" s="43"/>
      <c r="AA98" s="53">
        <f t="shared" si="67"/>
        <v>0</v>
      </c>
      <c r="AB98" s="935"/>
      <c r="AC98" s="935"/>
      <c r="AD98" s="765">
        <f t="shared" si="68"/>
        <v>0</v>
      </c>
      <c r="AE98" s="935"/>
      <c r="AF98" s="935"/>
      <c r="AG98" s="765">
        <f t="shared" si="118"/>
        <v>0</v>
      </c>
      <c r="AH98" s="43">
        <v>19296</v>
      </c>
      <c r="AI98" s="43"/>
      <c r="AJ98" s="514">
        <f t="shared" si="70"/>
        <v>19296</v>
      </c>
    </row>
    <row r="99" spans="1:36" s="42" customFormat="1" ht="12.95" customHeight="1" x14ac:dyDescent="0.2">
      <c r="A99" s="849" t="s">
        <v>368</v>
      </c>
      <c r="B99" s="1327" t="s">
        <v>369</v>
      </c>
      <c r="C99" s="1328"/>
      <c r="D99" s="575">
        <f t="shared" si="115"/>
        <v>423532</v>
      </c>
      <c r="E99" s="575">
        <f t="shared" si="116"/>
        <v>-23553</v>
      </c>
      <c r="F99" s="514">
        <f t="shared" si="117"/>
        <v>399979</v>
      </c>
      <c r="G99" s="854"/>
      <c r="H99" s="43"/>
      <c r="I99" s="53">
        <f t="shared" si="63"/>
        <v>0</v>
      </c>
      <c r="J99" s="43"/>
      <c r="K99" s="43"/>
      <c r="L99" s="53">
        <f t="shared" si="64"/>
        <v>0</v>
      </c>
      <c r="M99" s="43"/>
      <c r="N99" s="43"/>
      <c r="O99" s="53">
        <f t="shared" si="65"/>
        <v>0</v>
      </c>
      <c r="P99" s="43"/>
      <c r="Q99" s="43"/>
      <c r="R99" s="43"/>
      <c r="S99" s="43"/>
      <c r="T99" s="43"/>
      <c r="U99" s="43"/>
      <c r="V99" s="43"/>
      <c r="W99" s="43"/>
      <c r="X99" s="53">
        <f t="shared" si="66"/>
        <v>0</v>
      </c>
      <c r="Y99" s="43"/>
      <c r="Z99" s="43"/>
      <c r="AA99" s="53">
        <f t="shared" si="67"/>
        <v>0</v>
      </c>
      <c r="AB99" s="935"/>
      <c r="AC99" s="935"/>
      <c r="AD99" s="765">
        <f t="shared" si="68"/>
        <v>0</v>
      </c>
      <c r="AE99" s="935"/>
      <c r="AF99" s="935"/>
      <c r="AG99" s="765">
        <f t="shared" si="118"/>
        <v>0</v>
      </c>
      <c r="AH99" s="53">
        <v>423532</v>
      </c>
      <c r="AI99" s="53">
        <f>+'6.mell Int.összesen'!E47</f>
        <v>-23553</v>
      </c>
      <c r="AJ99" s="514">
        <f t="shared" si="70"/>
        <v>399979</v>
      </c>
    </row>
    <row r="100" spans="1:36" s="42" customFormat="1" ht="12.95" customHeight="1" thickBot="1" x14ac:dyDescent="0.25">
      <c r="A100" s="850" t="s">
        <v>267</v>
      </c>
      <c r="B100" s="851" t="s">
        <v>273</v>
      </c>
      <c r="C100" s="858"/>
      <c r="D100" s="1123">
        <f t="shared" si="115"/>
        <v>442828</v>
      </c>
      <c r="E100" s="778">
        <f t="shared" si="116"/>
        <v>-23553</v>
      </c>
      <c r="F100" s="772">
        <f t="shared" si="117"/>
        <v>419275</v>
      </c>
      <c r="G100" s="855"/>
      <c r="H100" s="852"/>
      <c r="I100" s="770">
        <f t="shared" si="63"/>
        <v>0</v>
      </c>
      <c r="J100" s="852"/>
      <c r="K100" s="852"/>
      <c r="L100" s="770">
        <f t="shared" si="64"/>
        <v>0</v>
      </c>
      <c r="M100" s="852"/>
      <c r="N100" s="852"/>
      <c r="O100" s="770">
        <f t="shared" si="65"/>
        <v>0</v>
      </c>
      <c r="P100" s="852">
        <f t="shared" ref="P100:Z100" si="119">+P99+P96</f>
        <v>0</v>
      </c>
      <c r="Q100" s="852">
        <f t="shared" si="119"/>
        <v>0</v>
      </c>
      <c r="R100" s="852">
        <f t="shared" si="119"/>
        <v>0</v>
      </c>
      <c r="S100" s="852">
        <f t="shared" si="119"/>
        <v>0</v>
      </c>
      <c r="T100" s="852">
        <f t="shared" si="119"/>
        <v>0</v>
      </c>
      <c r="U100" s="852">
        <f t="shared" si="119"/>
        <v>0</v>
      </c>
      <c r="V100" s="852">
        <f t="shared" si="119"/>
        <v>0</v>
      </c>
      <c r="W100" s="852">
        <f t="shared" si="119"/>
        <v>0</v>
      </c>
      <c r="X100" s="770">
        <f t="shared" si="66"/>
        <v>0</v>
      </c>
      <c r="Y100" s="852">
        <f t="shared" si="119"/>
        <v>0</v>
      </c>
      <c r="Z100" s="852">
        <f t="shared" si="119"/>
        <v>0</v>
      </c>
      <c r="AA100" s="770">
        <f t="shared" si="67"/>
        <v>0</v>
      </c>
      <c r="AB100" s="936"/>
      <c r="AC100" s="936"/>
      <c r="AD100" s="771">
        <f t="shared" si="68"/>
        <v>0</v>
      </c>
      <c r="AE100" s="936"/>
      <c r="AF100" s="936"/>
      <c r="AG100" s="771">
        <f t="shared" si="118"/>
        <v>0</v>
      </c>
      <c r="AH100" s="770">
        <f>+AH99+AH96+AH97+AH98</f>
        <v>442828</v>
      </c>
      <c r="AI100" s="53">
        <f>+AI99+AI96+AI97+AI98</f>
        <v>-23553</v>
      </c>
      <c r="AJ100" s="772">
        <f t="shared" ref="AJ100" si="120">+AJ99+AJ96+AJ97+AJ98</f>
        <v>419275</v>
      </c>
    </row>
  </sheetData>
  <mergeCells count="93">
    <mergeCell ref="AE3:AG3"/>
    <mergeCell ref="B99:C99"/>
    <mergeCell ref="B89:C89"/>
    <mergeCell ref="B94:C94"/>
    <mergeCell ref="B96:C96"/>
    <mergeCell ref="B90:C90"/>
    <mergeCell ref="B98:C98"/>
    <mergeCell ref="B97:C97"/>
    <mergeCell ref="B22:C22"/>
    <mergeCell ref="B76:C76"/>
    <mergeCell ref="B60:C60"/>
    <mergeCell ref="B61:C61"/>
    <mergeCell ref="B62:C62"/>
    <mergeCell ref="B71:C71"/>
    <mergeCell ref="B73:C73"/>
    <mergeCell ref="B74:C74"/>
    <mergeCell ref="B58:C58"/>
    <mergeCell ref="B59:C59"/>
    <mergeCell ref="B38:C38"/>
    <mergeCell ref="B35:C35"/>
    <mergeCell ref="B50:C50"/>
    <mergeCell ref="B44:C44"/>
    <mergeCell ref="B46:C46"/>
    <mergeCell ref="B48:C48"/>
    <mergeCell ref="B57:C57"/>
    <mergeCell ref="B40:C40"/>
    <mergeCell ref="B41:C41"/>
    <mergeCell ref="B21:C21"/>
    <mergeCell ref="B37:C37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55:C55"/>
    <mergeCell ref="B56:C56"/>
    <mergeCell ref="B26:C26"/>
    <mergeCell ref="B23:C23"/>
    <mergeCell ref="B24:C24"/>
    <mergeCell ref="B33:C33"/>
    <mergeCell ref="B34:C34"/>
    <mergeCell ref="B27:C27"/>
    <mergeCell ref="B25:C25"/>
    <mergeCell ref="B32:C32"/>
    <mergeCell ref="B28:C28"/>
    <mergeCell ref="B29:C29"/>
    <mergeCell ref="B30:C30"/>
    <mergeCell ref="B31:C31"/>
    <mergeCell ref="B12:C12"/>
    <mergeCell ref="B14:C14"/>
    <mergeCell ref="B15:C15"/>
    <mergeCell ref="S3:U3"/>
    <mergeCell ref="V3:X3"/>
    <mergeCell ref="B2:C4"/>
    <mergeCell ref="P2:R2"/>
    <mergeCell ref="P3:R3"/>
    <mergeCell ref="S2:U2"/>
    <mergeCell ref="V2:X2"/>
    <mergeCell ref="B5:C5"/>
    <mergeCell ref="B6:C6"/>
    <mergeCell ref="B7:C7"/>
    <mergeCell ref="J2:L2"/>
    <mergeCell ref="B9:C9"/>
    <mergeCell ref="B11:C11"/>
    <mergeCell ref="B19:C19"/>
    <mergeCell ref="B20:C20"/>
    <mergeCell ref="B16:C16"/>
    <mergeCell ref="B17:C17"/>
    <mergeCell ref="B13:C13"/>
    <mergeCell ref="B18:C18"/>
    <mergeCell ref="AH3:AJ3"/>
    <mergeCell ref="AB3:AD3"/>
    <mergeCell ref="A1:AJ1"/>
    <mergeCell ref="G2:I2"/>
    <mergeCell ref="M2:O2"/>
    <mergeCell ref="G3:I3"/>
    <mergeCell ref="M3:O3"/>
    <mergeCell ref="AH2:AJ2"/>
    <mergeCell ref="D2:F2"/>
    <mergeCell ref="D3:F3"/>
    <mergeCell ref="A2:A4"/>
    <mergeCell ref="J3:L3"/>
    <mergeCell ref="Y2:AA2"/>
    <mergeCell ref="Y3:AA3"/>
    <mergeCell ref="AB2:AD2"/>
    <mergeCell ref="AE2:AG2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9" fitToWidth="2" orientation="landscape" r:id="rId1"/>
  <headerFooter>
    <oddHeader>&amp;C&amp;"Times New Roman,Félkövér"&amp;12Martonvásár Város Önkormányzatának kiadásai 2020.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>
      <pane xSplit="3" ySplit="3" topLeftCell="D39" activePane="bottomRight" state="frozen"/>
      <selection pane="topRight" activeCell="D1" sqref="D1"/>
      <selection pane="bottomLeft" activeCell="A4" sqref="A4"/>
      <selection pane="bottomRight" activeCell="F66" sqref="F66"/>
    </sheetView>
  </sheetViews>
  <sheetFormatPr defaultRowHeight="15" x14ac:dyDescent="0.25"/>
  <cols>
    <col min="1" max="1" width="6.85546875" customWidth="1"/>
    <col min="2" max="2" width="5" customWidth="1"/>
    <col min="3" max="3" width="37" customWidth="1"/>
  </cols>
  <sheetData>
    <row r="2" spans="1:15" ht="29.25" customHeight="1" x14ac:dyDescent="0.25">
      <c r="A2" s="1221" t="s">
        <v>0</v>
      </c>
      <c r="B2" s="1357" t="s">
        <v>278</v>
      </c>
      <c r="C2" s="1358"/>
      <c r="D2" s="1361" t="s">
        <v>296</v>
      </c>
      <c r="E2" s="1361"/>
      <c r="F2" s="1361"/>
      <c r="G2" s="1334" t="s">
        <v>287</v>
      </c>
      <c r="H2" s="1335"/>
      <c r="I2" s="1336"/>
      <c r="J2" s="1334" t="s">
        <v>288</v>
      </c>
      <c r="K2" s="1335"/>
      <c r="L2" s="1336"/>
      <c r="M2" s="1334" t="s">
        <v>289</v>
      </c>
      <c r="N2" s="1335"/>
      <c r="O2" s="1336"/>
    </row>
    <row r="3" spans="1:15" x14ac:dyDescent="0.25">
      <c r="A3" s="1221"/>
      <c r="B3" s="1359"/>
      <c r="C3" s="1360"/>
      <c r="D3" s="1067" t="s">
        <v>947</v>
      </c>
      <c r="E3" s="759" t="s">
        <v>694</v>
      </c>
      <c r="F3" s="759" t="s">
        <v>948</v>
      </c>
      <c r="G3" s="1109" t="s">
        <v>947</v>
      </c>
      <c r="H3" s="1109" t="s">
        <v>694</v>
      </c>
      <c r="I3" s="1109" t="s">
        <v>948</v>
      </c>
      <c r="J3" s="1109" t="s">
        <v>947</v>
      </c>
      <c r="K3" s="1109" t="s">
        <v>694</v>
      </c>
      <c r="L3" s="1109" t="s">
        <v>948</v>
      </c>
      <c r="M3" s="1109" t="s">
        <v>947</v>
      </c>
      <c r="N3" s="1109" t="s">
        <v>694</v>
      </c>
      <c r="O3" s="1109" t="s">
        <v>948</v>
      </c>
    </row>
    <row r="4" spans="1:15" s="156" customFormat="1" ht="24" customHeight="1" x14ac:dyDescent="0.25">
      <c r="A4" s="331" t="s">
        <v>204</v>
      </c>
      <c r="B4" s="1342" t="s">
        <v>203</v>
      </c>
      <c r="C4" s="1343"/>
      <c r="D4" s="451">
        <f>+G4+J4+M4</f>
        <v>0</v>
      </c>
      <c r="E4" s="451">
        <f t="shared" ref="E4:F19" si="0">+H4+K4+N4</f>
        <v>0</v>
      </c>
      <c r="F4" s="451">
        <f t="shared" si="0"/>
        <v>0</v>
      </c>
      <c r="G4" s="451"/>
      <c r="H4" s="451"/>
      <c r="I4" s="451">
        <f>+H4+G4</f>
        <v>0</v>
      </c>
      <c r="J4" s="451">
        <f>SUM(J5:J14)</f>
        <v>0</v>
      </c>
      <c r="K4" s="451"/>
      <c r="L4" s="451">
        <f>+K4+J4</f>
        <v>0</v>
      </c>
      <c r="M4" s="451">
        <f>SUM(M5:M14)</f>
        <v>0</v>
      </c>
      <c r="N4" s="451"/>
      <c r="O4" s="451">
        <f>+N4+M4</f>
        <v>0</v>
      </c>
    </row>
    <row r="5" spans="1:15" s="877" customFormat="1" ht="14.45" hidden="1" customHeight="1" x14ac:dyDescent="0.25">
      <c r="A5" s="90"/>
      <c r="B5" s="1351" t="s">
        <v>328</v>
      </c>
      <c r="C5" s="1352"/>
      <c r="D5" s="875">
        <f t="shared" ref="D5:F49" si="1">+G5+J5+M5</f>
        <v>0</v>
      </c>
      <c r="E5" s="876">
        <f t="shared" si="0"/>
        <v>0</v>
      </c>
      <c r="F5" s="876">
        <f t="shared" si="0"/>
        <v>0</v>
      </c>
      <c r="G5" s="876"/>
      <c r="H5" s="876"/>
      <c r="I5" s="876"/>
      <c r="J5" s="876"/>
      <c r="K5" s="876"/>
      <c r="L5" s="876">
        <f t="shared" ref="L5:L49" si="2">+K5+J5</f>
        <v>0</v>
      </c>
      <c r="M5" s="876"/>
      <c r="N5" s="876"/>
      <c r="O5" s="875">
        <f t="shared" ref="O5:O41" si="3">+N5+M5</f>
        <v>0</v>
      </c>
    </row>
    <row r="6" spans="1:15" s="877" customFormat="1" ht="14.45" hidden="1" customHeight="1" x14ac:dyDescent="0.25">
      <c r="A6" s="90"/>
      <c r="B6" s="1351" t="s">
        <v>318</v>
      </c>
      <c r="C6" s="1352"/>
      <c r="D6" s="875">
        <f t="shared" si="1"/>
        <v>0</v>
      </c>
      <c r="E6" s="876">
        <f t="shared" si="0"/>
        <v>0</v>
      </c>
      <c r="F6" s="876">
        <f t="shared" si="0"/>
        <v>0</v>
      </c>
      <c r="G6" s="876"/>
      <c r="H6" s="876"/>
      <c r="I6" s="876"/>
      <c r="J6" s="876"/>
      <c r="K6" s="876"/>
      <c r="L6" s="876">
        <f t="shared" si="2"/>
        <v>0</v>
      </c>
      <c r="M6" s="876"/>
      <c r="N6" s="876"/>
      <c r="O6" s="875">
        <f t="shared" si="3"/>
        <v>0</v>
      </c>
    </row>
    <row r="7" spans="1:15" s="877" customFormat="1" ht="14.45" hidden="1" customHeight="1" x14ac:dyDescent="0.25">
      <c r="A7" s="90"/>
      <c r="B7" s="1351" t="s">
        <v>319</v>
      </c>
      <c r="C7" s="1352"/>
      <c r="D7" s="875">
        <f t="shared" si="1"/>
        <v>0</v>
      </c>
      <c r="E7" s="876">
        <f t="shared" si="0"/>
        <v>0</v>
      </c>
      <c r="F7" s="876">
        <f t="shared" si="0"/>
        <v>0</v>
      </c>
      <c r="G7" s="876"/>
      <c r="H7" s="876"/>
      <c r="I7" s="876"/>
      <c r="J7" s="876"/>
      <c r="K7" s="876"/>
      <c r="L7" s="876">
        <f t="shared" si="2"/>
        <v>0</v>
      </c>
      <c r="M7" s="876"/>
      <c r="N7" s="876"/>
      <c r="O7" s="875">
        <f t="shared" si="3"/>
        <v>0</v>
      </c>
    </row>
    <row r="8" spans="1:15" s="877" customFormat="1" ht="14.45" hidden="1" customHeight="1" x14ac:dyDescent="0.25">
      <c r="A8" s="90"/>
      <c r="B8" s="1351" t="s">
        <v>320</v>
      </c>
      <c r="C8" s="1352"/>
      <c r="D8" s="875">
        <f t="shared" si="1"/>
        <v>0</v>
      </c>
      <c r="E8" s="876">
        <f t="shared" si="0"/>
        <v>0</v>
      </c>
      <c r="F8" s="876">
        <f t="shared" si="0"/>
        <v>0</v>
      </c>
      <c r="G8" s="876"/>
      <c r="H8" s="876"/>
      <c r="I8" s="876"/>
      <c r="J8" s="876"/>
      <c r="K8" s="876"/>
      <c r="L8" s="876">
        <f t="shared" si="2"/>
        <v>0</v>
      </c>
      <c r="M8" s="876"/>
      <c r="N8" s="876"/>
      <c r="O8" s="875">
        <f t="shared" si="3"/>
        <v>0</v>
      </c>
    </row>
    <row r="9" spans="1:15" s="877" customFormat="1" ht="14.45" hidden="1" customHeight="1" x14ac:dyDescent="0.25">
      <c r="A9" s="90"/>
      <c r="B9" s="1351" t="s">
        <v>321</v>
      </c>
      <c r="C9" s="1352"/>
      <c r="D9" s="875">
        <f t="shared" si="1"/>
        <v>0</v>
      </c>
      <c r="E9" s="876">
        <f t="shared" si="0"/>
        <v>0</v>
      </c>
      <c r="F9" s="876">
        <f t="shared" si="0"/>
        <v>0</v>
      </c>
      <c r="G9" s="876"/>
      <c r="H9" s="876"/>
      <c r="I9" s="876"/>
      <c r="J9" s="876"/>
      <c r="K9" s="876"/>
      <c r="L9" s="876">
        <f t="shared" si="2"/>
        <v>0</v>
      </c>
      <c r="M9" s="876"/>
      <c r="N9" s="876"/>
      <c r="O9" s="875">
        <f t="shared" si="3"/>
        <v>0</v>
      </c>
    </row>
    <row r="10" spans="1:15" s="877" customFormat="1" ht="14.45" hidden="1" customHeight="1" x14ac:dyDescent="0.25">
      <c r="A10" s="90"/>
      <c r="B10" s="1351" t="s">
        <v>322</v>
      </c>
      <c r="C10" s="1352"/>
      <c r="D10" s="875">
        <f t="shared" si="1"/>
        <v>0</v>
      </c>
      <c r="E10" s="876">
        <f t="shared" si="0"/>
        <v>0</v>
      </c>
      <c r="F10" s="876">
        <f t="shared" si="0"/>
        <v>0</v>
      </c>
      <c r="G10" s="876"/>
      <c r="H10" s="876"/>
      <c r="I10" s="876"/>
      <c r="J10" s="876"/>
      <c r="K10" s="876"/>
      <c r="L10" s="876">
        <f t="shared" si="2"/>
        <v>0</v>
      </c>
      <c r="M10" s="876"/>
      <c r="N10" s="876"/>
      <c r="O10" s="875">
        <f t="shared" si="3"/>
        <v>0</v>
      </c>
    </row>
    <row r="11" spans="1:15" s="877" customFormat="1" ht="14.45" hidden="1" customHeight="1" x14ac:dyDescent="0.25">
      <c r="A11" s="90"/>
      <c r="B11" s="1351" t="s">
        <v>99</v>
      </c>
      <c r="C11" s="1352"/>
      <c r="D11" s="875">
        <f t="shared" si="1"/>
        <v>0</v>
      </c>
      <c r="E11" s="876">
        <f t="shared" si="0"/>
        <v>0</v>
      </c>
      <c r="F11" s="876">
        <f t="shared" si="0"/>
        <v>0</v>
      </c>
      <c r="G11" s="876"/>
      <c r="H11" s="876"/>
      <c r="I11" s="876"/>
      <c r="J11" s="876"/>
      <c r="K11" s="876"/>
      <c r="L11" s="876">
        <f t="shared" si="2"/>
        <v>0</v>
      </c>
      <c r="M11" s="876"/>
      <c r="N11" s="876"/>
      <c r="O11" s="875">
        <f t="shared" si="3"/>
        <v>0</v>
      </c>
    </row>
    <row r="12" spans="1:15" s="877" customFormat="1" ht="14.45" hidden="1" customHeight="1" x14ac:dyDescent="0.25">
      <c r="A12" s="90"/>
      <c r="B12" s="1351" t="s">
        <v>100</v>
      </c>
      <c r="C12" s="1352"/>
      <c r="D12" s="875">
        <f t="shared" si="1"/>
        <v>0</v>
      </c>
      <c r="E12" s="876">
        <f t="shared" si="0"/>
        <v>0</v>
      </c>
      <c r="F12" s="876">
        <f t="shared" si="0"/>
        <v>0</v>
      </c>
      <c r="G12" s="876"/>
      <c r="H12" s="876"/>
      <c r="I12" s="876"/>
      <c r="J12" s="876"/>
      <c r="K12" s="876"/>
      <c r="L12" s="876">
        <f t="shared" si="2"/>
        <v>0</v>
      </c>
      <c r="M12" s="876"/>
      <c r="N12" s="876"/>
      <c r="O12" s="875">
        <f t="shared" si="3"/>
        <v>0</v>
      </c>
    </row>
    <row r="13" spans="1:15" s="877" customFormat="1" ht="14.45" hidden="1" customHeight="1" x14ac:dyDescent="0.25">
      <c r="A13" s="90"/>
      <c r="B13" s="1351" t="s">
        <v>323</v>
      </c>
      <c r="C13" s="1352"/>
      <c r="D13" s="875">
        <f t="shared" si="1"/>
        <v>0</v>
      </c>
      <c r="E13" s="876">
        <f t="shared" si="0"/>
        <v>0</v>
      </c>
      <c r="F13" s="876">
        <f t="shared" si="0"/>
        <v>0</v>
      </c>
      <c r="G13" s="876"/>
      <c r="H13" s="876"/>
      <c r="I13" s="876"/>
      <c r="J13" s="876"/>
      <c r="K13" s="876"/>
      <c r="L13" s="876">
        <f t="shared" si="2"/>
        <v>0</v>
      </c>
      <c r="M13" s="876"/>
      <c r="N13" s="876"/>
      <c r="O13" s="875">
        <f t="shared" si="3"/>
        <v>0</v>
      </c>
    </row>
    <row r="14" spans="1:15" s="877" customFormat="1" ht="14.45" hidden="1" customHeight="1" x14ac:dyDescent="0.25">
      <c r="A14" s="90"/>
      <c r="B14" s="1351" t="s">
        <v>324</v>
      </c>
      <c r="C14" s="1352"/>
      <c r="D14" s="875">
        <f t="shared" si="1"/>
        <v>0</v>
      </c>
      <c r="E14" s="876">
        <f t="shared" si="0"/>
        <v>0</v>
      </c>
      <c r="F14" s="876">
        <f t="shared" si="0"/>
        <v>0</v>
      </c>
      <c r="G14" s="876"/>
      <c r="H14" s="876"/>
      <c r="I14" s="876"/>
      <c r="J14" s="876"/>
      <c r="K14" s="876"/>
      <c r="L14" s="876">
        <f t="shared" si="2"/>
        <v>0</v>
      </c>
      <c r="M14" s="876"/>
      <c r="N14" s="876"/>
      <c r="O14" s="875">
        <f t="shared" si="3"/>
        <v>0</v>
      </c>
    </row>
    <row r="15" spans="1:15" s="877" customFormat="1" x14ac:dyDescent="0.25">
      <c r="A15" s="63" t="s">
        <v>205</v>
      </c>
      <c r="B15" s="1353" t="s">
        <v>400</v>
      </c>
      <c r="C15" s="1354"/>
      <c r="D15" s="878">
        <f t="shared" si="1"/>
        <v>0</v>
      </c>
      <c r="E15" s="878">
        <f t="shared" si="0"/>
        <v>0</v>
      </c>
      <c r="F15" s="878">
        <f t="shared" si="0"/>
        <v>0</v>
      </c>
      <c r="G15" s="878">
        <f>+G4</f>
        <v>0</v>
      </c>
      <c r="H15" s="878">
        <f t="shared" ref="H15:I15" si="4">+H4</f>
        <v>0</v>
      </c>
      <c r="I15" s="878">
        <f t="shared" si="4"/>
        <v>0</v>
      </c>
      <c r="J15" s="878">
        <f>+J4</f>
        <v>0</v>
      </c>
      <c r="K15" s="878"/>
      <c r="L15" s="878">
        <f t="shared" si="2"/>
        <v>0</v>
      </c>
      <c r="M15" s="878">
        <f>+M4</f>
        <v>0</v>
      </c>
      <c r="N15" s="878"/>
      <c r="O15" s="875">
        <f t="shared" si="3"/>
        <v>0</v>
      </c>
    </row>
    <row r="16" spans="1:15" s="877" customFormat="1" x14ac:dyDescent="0.25">
      <c r="A16" s="62" t="s">
        <v>207</v>
      </c>
      <c r="B16" s="1355" t="s">
        <v>206</v>
      </c>
      <c r="C16" s="1356"/>
      <c r="D16" s="875">
        <f t="shared" si="1"/>
        <v>0</v>
      </c>
      <c r="E16" s="875">
        <f t="shared" si="0"/>
        <v>0</v>
      </c>
      <c r="F16" s="875">
        <f t="shared" si="0"/>
        <v>0</v>
      </c>
      <c r="G16" s="875">
        <v>0</v>
      </c>
      <c r="H16" s="875"/>
      <c r="I16" s="875">
        <f>+H16+G16</f>
        <v>0</v>
      </c>
      <c r="J16" s="875">
        <f>+J19</f>
        <v>0</v>
      </c>
      <c r="K16" s="875"/>
      <c r="L16" s="875">
        <f t="shared" si="2"/>
        <v>0</v>
      </c>
      <c r="M16" s="875">
        <f>+M19</f>
        <v>0</v>
      </c>
      <c r="N16" s="875"/>
      <c r="O16" s="875">
        <f t="shared" si="3"/>
        <v>0</v>
      </c>
    </row>
    <row r="17" spans="1:15" s="877" customFormat="1" ht="14.45" hidden="1" customHeight="1" x14ac:dyDescent="0.25">
      <c r="A17" s="90"/>
      <c r="B17" s="1351" t="s">
        <v>328</v>
      </c>
      <c r="C17" s="1352"/>
      <c r="D17" s="875">
        <f t="shared" si="1"/>
        <v>0</v>
      </c>
      <c r="E17" s="876">
        <f t="shared" si="0"/>
        <v>0</v>
      </c>
      <c r="F17" s="876">
        <f t="shared" si="0"/>
        <v>0</v>
      </c>
      <c r="G17" s="876"/>
      <c r="H17" s="876"/>
      <c r="I17" s="875">
        <f t="shared" ref="I17:I41" si="5">+H17+G17</f>
        <v>0</v>
      </c>
      <c r="J17" s="876"/>
      <c r="K17" s="876"/>
      <c r="L17" s="876">
        <f t="shared" si="2"/>
        <v>0</v>
      </c>
      <c r="M17" s="876"/>
      <c r="N17" s="876"/>
      <c r="O17" s="875">
        <f t="shared" si="3"/>
        <v>0</v>
      </c>
    </row>
    <row r="18" spans="1:15" s="877" customFormat="1" ht="14.45" hidden="1" customHeight="1" x14ac:dyDescent="0.25">
      <c r="A18" s="90"/>
      <c r="B18" s="1351" t="s">
        <v>318</v>
      </c>
      <c r="C18" s="1352"/>
      <c r="D18" s="875">
        <f t="shared" si="1"/>
        <v>0</v>
      </c>
      <c r="E18" s="876">
        <f t="shared" si="0"/>
        <v>0</v>
      </c>
      <c r="F18" s="876">
        <f t="shared" si="0"/>
        <v>0</v>
      </c>
      <c r="G18" s="876"/>
      <c r="H18" s="876"/>
      <c r="I18" s="875">
        <f t="shared" si="5"/>
        <v>0</v>
      </c>
      <c r="J18" s="876"/>
      <c r="K18" s="876"/>
      <c r="L18" s="876">
        <f t="shared" si="2"/>
        <v>0</v>
      </c>
      <c r="M18" s="876"/>
      <c r="N18" s="876"/>
      <c r="O18" s="875">
        <f t="shared" si="3"/>
        <v>0</v>
      </c>
    </row>
    <row r="19" spans="1:15" s="877" customFormat="1" ht="14.45" hidden="1" customHeight="1" x14ac:dyDescent="0.25">
      <c r="A19" s="90"/>
      <c r="B19" s="1351" t="s">
        <v>319</v>
      </c>
      <c r="C19" s="1352"/>
      <c r="D19" s="875">
        <f t="shared" si="1"/>
        <v>0</v>
      </c>
      <c r="E19" s="876">
        <f t="shared" si="0"/>
        <v>0</v>
      </c>
      <c r="F19" s="876">
        <f t="shared" si="0"/>
        <v>0</v>
      </c>
      <c r="G19" s="876"/>
      <c r="H19" s="876"/>
      <c r="I19" s="875">
        <f t="shared" si="5"/>
        <v>0</v>
      </c>
      <c r="J19" s="876"/>
      <c r="K19" s="876"/>
      <c r="L19" s="876">
        <f t="shared" si="2"/>
        <v>0</v>
      </c>
      <c r="M19" s="876"/>
      <c r="N19" s="876"/>
      <c r="O19" s="875">
        <f t="shared" si="3"/>
        <v>0</v>
      </c>
    </row>
    <row r="20" spans="1:15" s="877" customFormat="1" ht="14.45" hidden="1" customHeight="1" x14ac:dyDescent="0.25">
      <c r="A20" s="90"/>
      <c r="B20" s="1351" t="s">
        <v>320</v>
      </c>
      <c r="C20" s="1352"/>
      <c r="D20" s="875">
        <f t="shared" si="1"/>
        <v>0</v>
      </c>
      <c r="E20" s="876">
        <f t="shared" si="1"/>
        <v>0</v>
      </c>
      <c r="F20" s="876">
        <f t="shared" si="1"/>
        <v>0</v>
      </c>
      <c r="G20" s="876"/>
      <c r="H20" s="876"/>
      <c r="I20" s="875">
        <f t="shared" si="5"/>
        <v>0</v>
      </c>
      <c r="J20" s="876"/>
      <c r="K20" s="876"/>
      <c r="L20" s="876">
        <f t="shared" si="2"/>
        <v>0</v>
      </c>
      <c r="M20" s="876"/>
      <c r="N20" s="876"/>
      <c r="O20" s="875">
        <f t="shared" si="3"/>
        <v>0</v>
      </c>
    </row>
    <row r="21" spans="1:15" s="877" customFormat="1" ht="14.45" hidden="1" customHeight="1" x14ac:dyDescent="0.25">
      <c r="A21" s="90"/>
      <c r="B21" s="1351" t="s">
        <v>321</v>
      </c>
      <c r="C21" s="1352"/>
      <c r="D21" s="875">
        <f t="shared" si="1"/>
        <v>0</v>
      </c>
      <c r="E21" s="876">
        <f t="shared" si="1"/>
        <v>0</v>
      </c>
      <c r="F21" s="876">
        <f t="shared" si="1"/>
        <v>0</v>
      </c>
      <c r="G21" s="876"/>
      <c r="H21" s="876"/>
      <c r="I21" s="875">
        <f t="shared" si="5"/>
        <v>0</v>
      </c>
      <c r="J21" s="876"/>
      <c r="K21" s="876"/>
      <c r="L21" s="876">
        <f t="shared" si="2"/>
        <v>0</v>
      </c>
      <c r="M21" s="876"/>
      <c r="N21" s="876"/>
      <c r="O21" s="875">
        <f t="shared" si="3"/>
        <v>0</v>
      </c>
    </row>
    <row r="22" spans="1:15" s="877" customFormat="1" ht="14.45" hidden="1" customHeight="1" x14ac:dyDescent="0.25">
      <c r="A22" s="90"/>
      <c r="B22" s="1351" t="s">
        <v>322</v>
      </c>
      <c r="C22" s="1352"/>
      <c r="D22" s="875">
        <f t="shared" si="1"/>
        <v>0</v>
      </c>
      <c r="E22" s="876">
        <f t="shared" si="1"/>
        <v>0</v>
      </c>
      <c r="F22" s="876">
        <f t="shared" si="1"/>
        <v>0</v>
      </c>
      <c r="G22" s="876"/>
      <c r="H22" s="876"/>
      <c r="I22" s="875">
        <f t="shared" si="5"/>
        <v>0</v>
      </c>
      <c r="J22" s="876"/>
      <c r="K22" s="876"/>
      <c r="L22" s="876">
        <f t="shared" si="2"/>
        <v>0</v>
      </c>
      <c r="M22" s="876"/>
      <c r="N22" s="876"/>
      <c r="O22" s="875">
        <f t="shared" si="3"/>
        <v>0</v>
      </c>
    </row>
    <row r="23" spans="1:15" s="877" customFormat="1" ht="14.45" hidden="1" customHeight="1" x14ac:dyDescent="0.25">
      <c r="A23" s="90"/>
      <c r="B23" s="1351" t="s">
        <v>99</v>
      </c>
      <c r="C23" s="1352"/>
      <c r="D23" s="875">
        <f t="shared" si="1"/>
        <v>0</v>
      </c>
      <c r="E23" s="876">
        <f t="shared" si="1"/>
        <v>0</v>
      </c>
      <c r="F23" s="876">
        <f t="shared" si="1"/>
        <v>0</v>
      </c>
      <c r="G23" s="876"/>
      <c r="H23" s="876"/>
      <c r="I23" s="875">
        <f t="shared" si="5"/>
        <v>0</v>
      </c>
      <c r="J23" s="876"/>
      <c r="K23" s="876"/>
      <c r="L23" s="876">
        <f t="shared" si="2"/>
        <v>0</v>
      </c>
      <c r="M23" s="876"/>
      <c r="N23" s="876"/>
      <c r="O23" s="875">
        <f t="shared" si="3"/>
        <v>0</v>
      </c>
    </row>
    <row r="24" spans="1:15" s="877" customFormat="1" ht="14.45" hidden="1" customHeight="1" x14ac:dyDescent="0.25">
      <c r="A24" s="90"/>
      <c r="B24" s="1351" t="s">
        <v>100</v>
      </c>
      <c r="C24" s="1352"/>
      <c r="D24" s="875">
        <f t="shared" si="1"/>
        <v>0</v>
      </c>
      <c r="E24" s="876">
        <f t="shared" si="1"/>
        <v>0</v>
      </c>
      <c r="F24" s="876">
        <f t="shared" si="1"/>
        <v>0</v>
      </c>
      <c r="G24" s="876"/>
      <c r="H24" s="876"/>
      <c r="I24" s="875">
        <f t="shared" si="5"/>
        <v>0</v>
      </c>
      <c r="J24" s="876"/>
      <c r="K24" s="876"/>
      <c r="L24" s="876">
        <f t="shared" si="2"/>
        <v>0</v>
      </c>
      <c r="M24" s="876"/>
      <c r="N24" s="876"/>
      <c r="O24" s="875">
        <f t="shared" si="3"/>
        <v>0</v>
      </c>
    </row>
    <row r="25" spans="1:15" s="877" customFormat="1" ht="14.45" hidden="1" customHeight="1" x14ac:dyDescent="0.25">
      <c r="A25" s="90"/>
      <c r="B25" s="1351" t="s">
        <v>323</v>
      </c>
      <c r="C25" s="1352"/>
      <c r="D25" s="875">
        <f t="shared" si="1"/>
        <v>0</v>
      </c>
      <c r="E25" s="876">
        <f t="shared" si="1"/>
        <v>0</v>
      </c>
      <c r="F25" s="876">
        <f t="shared" si="1"/>
        <v>0</v>
      </c>
      <c r="G25" s="876"/>
      <c r="H25" s="876"/>
      <c r="I25" s="875">
        <f t="shared" si="5"/>
        <v>0</v>
      </c>
      <c r="J25" s="876"/>
      <c r="K25" s="876"/>
      <c r="L25" s="876">
        <f t="shared" si="2"/>
        <v>0</v>
      </c>
      <c r="M25" s="876"/>
      <c r="N25" s="876"/>
      <c r="O25" s="875">
        <f t="shared" si="3"/>
        <v>0</v>
      </c>
    </row>
    <row r="26" spans="1:15" s="877" customFormat="1" ht="14.45" hidden="1" customHeight="1" x14ac:dyDescent="0.25">
      <c r="A26" s="90"/>
      <c r="B26" s="1351" t="s">
        <v>324</v>
      </c>
      <c r="C26" s="1352"/>
      <c r="D26" s="875">
        <f t="shared" si="1"/>
        <v>0</v>
      </c>
      <c r="E26" s="876">
        <f t="shared" si="1"/>
        <v>0</v>
      </c>
      <c r="F26" s="876">
        <f t="shared" si="1"/>
        <v>0</v>
      </c>
      <c r="G26" s="876"/>
      <c r="H26" s="876"/>
      <c r="I26" s="875">
        <f t="shared" si="5"/>
        <v>0</v>
      </c>
      <c r="J26" s="876"/>
      <c r="K26" s="876"/>
      <c r="L26" s="876">
        <f t="shared" si="2"/>
        <v>0</v>
      </c>
      <c r="M26" s="876"/>
      <c r="N26" s="876"/>
      <c r="O26" s="875">
        <f t="shared" si="3"/>
        <v>0</v>
      </c>
    </row>
    <row r="27" spans="1:15" s="877" customFormat="1" x14ac:dyDescent="0.25">
      <c r="A27" s="63" t="s">
        <v>208</v>
      </c>
      <c r="B27" s="1353" t="s">
        <v>326</v>
      </c>
      <c r="C27" s="1354"/>
      <c r="D27" s="878">
        <f t="shared" si="1"/>
        <v>0</v>
      </c>
      <c r="E27" s="878">
        <f t="shared" si="1"/>
        <v>0</v>
      </c>
      <c r="F27" s="878">
        <f t="shared" si="1"/>
        <v>0</v>
      </c>
      <c r="G27" s="878">
        <v>0</v>
      </c>
      <c r="H27" s="878"/>
      <c r="I27" s="878">
        <f t="shared" si="5"/>
        <v>0</v>
      </c>
      <c r="J27" s="878">
        <f>+J16</f>
        <v>0</v>
      </c>
      <c r="K27" s="878"/>
      <c r="L27" s="878">
        <f t="shared" si="2"/>
        <v>0</v>
      </c>
      <c r="M27" s="878">
        <f>+M16</f>
        <v>0</v>
      </c>
      <c r="N27" s="878"/>
      <c r="O27" s="875">
        <f t="shared" si="3"/>
        <v>0</v>
      </c>
    </row>
    <row r="28" spans="1:15" s="156" customFormat="1" x14ac:dyDescent="0.25">
      <c r="A28" s="862" t="s">
        <v>233</v>
      </c>
      <c r="B28" s="1347" t="s">
        <v>331</v>
      </c>
      <c r="C28" s="1348"/>
      <c r="D28" s="141">
        <f t="shared" si="1"/>
        <v>0</v>
      </c>
      <c r="E28" s="141">
        <f t="shared" si="1"/>
        <v>0</v>
      </c>
      <c r="F28" s="141">
        <f t="shared" si="1"/>
        <v>0</v>
      </c>
      <c r="G28" s="141">
        <v>0</v>
      </c>
      <c r="H28" s="141"/>
      <c r="I28" s="141">
        <f t="shared" si="5"/>
        <v>0</v>
      </c>
      <c r="J28" s="141">
        <v>0</v>
      </c>
      <c r="K28" s="141"/>
      <c r="L28" s="141">
        <f t="shared" si="2"/>
        <v>0</v>
      </c>
      <c r="M28" s="141">
        <v>0</v>
      </c>
      <c r="N28" s="141"/>
      <c r="O28" s="451">
        <f t="shared" si="3"/>
        <v>0</v>
      </c>
    </row>
    <row r="29" spans="1:15" s="156" customFormat="1" x14ac:dyDescent="0.25">
      <c r="A29" s="331" t="s">
        <v>237</v>
      </c>
      <c r="B29" s="1345" t="s">
        <v>236</v>
      </c>
      <c r="C29" s="1345"/>
      <c r="D29" s="863">
        <f t="shared" si="1"/>
        <v>3915</v>
      </c>
      <c r="E29" s="863">
        <f t="shared" si="1"/>
        <v>329</v>
      </c>
      <c r="F29" s="864">
        <f t="shared" si="1"/>
        <v>4244</v>
      </c>
      <c r="G29" s="863">
        <v>40</v>
      </c>
      <c r="H29" s="863">
        <v>329</v>
      </c>
      <c r="I29" s="451">
        <f t="shared" si="5"/>
        <v>369</v>
      </c>
      <c r="J29" s="863">
        <v>3775</v>
      </c>
      <c r="K29" s="863"/>
      <c r="L29" s="864">
        <f t="shared" si="2"/>
        <v>3775</v>
      </c>
      <c r="M29" s="863">
        <v>100</v>
      </c>
      <c r="N29" s="863"/>
      <c r="O29" s="451">
        <f t="shared" si="3"/>
        <v>100</v>
      </c>
    </row>
    <row r="30" spans="1:15" s="156" customFormat="1" x14ac:dyDescent="0.25">
      <c r="A30" s="865" t="s">
        <v>239</v>
      </c>
      <c r="B30" s="1345" t="s">
        <v>238</v>
      </c>
      <c r="C30" s="1345"/>
      <c r="D30" s="863">
        <f t="shared" si="1"/>
        <v>806</v>
      </c>
      <c r="E30" s="863">
        <f t="shared" si="1"/>
        <v>0</v>
      </c>
      <c r="F30" s="864">
        <f t="shared" si="1"/>
        <v>806</v>
      </c>
      <c r="G30" s="863">
        <v>736</v>
      </c>
      <c r="H30" s="863"/>
      <c r="I30" s="451">
        <f t="shared" si="5"/>
        <v>736</v>
      </c>
      <c r="J30" s="863"/>
      <c r="K30" s="863"/>
      <c r="L30" s="864">
        <f t="shared" si="2"/>
        <v>0</v>
      </c>
      <c r="M30" s="863">
        <v>70</v>
      </c>
      <c r="N30" s="863"/>
      <c r="O30" s="451">
        <f t="shared" si="3"/>
        <v>70</v>
      </c>
    </row>
    <row r="31" spans="1:15" s="156" customFormat="1" x14ac:dyDescent="0.25">
      <c r="A31" s="865" t="s">
        <v>241</v>
      </c>
      <c r="B31" s="1345" t="s">
        <v>240</v>
      </c>
      <c r="C31" s="1345"/>
      <c r="D31" s="863">
        <f t="shared" si="1"/>
        <v>600</v>
      </c>
      <c r="E31" s="863">
        <f t="shared" si="1"/>
        <v>-373</v>
      </c>
      <c r="F31" s="864">
        <f t="shared" si="1"/>
        <v>227</v>
      </c>
      <c r="G31" s="863"/>
      <c r="H31" s="863"/>
      <c r="I31" s="451">
        <f t="shared" si="5"/>
        <v>0</v>
      </c>
      <c r="J31" s="863"/>
      <c r="K31" s="863">
        <v>10</v>
      </c>
      <c r="L31" s="864">
        <f t="shared" si="2"/>
        <v>10</v>
      </c>
      <c r="M31" s="863">
        <v>600</v>
      </c>
      <c r="N31" s="863">
        <v>-383</v>
      </c>
      <c r="O31" s="451">
        <f t="shared" si="3"/>
        <v>217</v>
      </c>
    </row>
    <row r="32" spans="1:15" s="156" customFormat="1" x14ac:dyDescent="0.25">
      <c r="A32" s="331" t="s">
        <v>245</v>
      </c>
      <c r="B32" s="1349" t="s">
        <v>244</v>
      </c>
      <c r="C32" s="1350"/>
      <c r="D32" s="863">
        <f t="shared" si="1"/>
        <v>1415</v>
      </c>
      <c r="E32" s="863">
        <f t="shared" si="1"/>
        <v>0</v>
      </c>
      <c r="F32" s="864">
        <f t="shared" si="1"/>
        <v>1415</v>
      </c>
      <c r="G32" s="863"/>
      <c r="H32" s="863"/>
      <c r="I32" s="451">
        <f t="shared" si="5"/>
        <v>0</v>
      </c>
      <c r="J32" s="863">
        <v>1019</v>
      </c>
      <c r="K32" s="863"/>
      <c r="L32" s="864">
        <f t="shared" si="2"/>
        <v>1019</v>
      </c>
      <c r="M32" s="863">
        <v>396</v>
      </c>
      <c r="N32" s="863"/>
      <c r="O32" s="451">
        <f t="shared" si="3"/>
        <v>396</v>
      </c>
    </row>
    <row r="33" spans="1:15" s="156" customFormat="1" x14ac:dyDescent="0.25">
      <c r="A33" s="331" t="s">
        <v>247</v>
      </c>
      <c r="B33" s="1349" t="s">
        <v>246</v>
      </c>
      <c r="C33" s="1350"/>
      <c r="D33" s="863">
        <f t="shared" si="1"/>
        <v>674</v>
      </c>
      <c r="E33" s="863">
        <f t="shared" si="1"/>
        <v>0</v>
      </c>
      <c r="F33" s="864">
        <f t="shared" si="1"/>
        <v>674</v>
      </c>
      <c r="G33" s="863"/>
      <c r="H33" s="863"/>
      <c r="I33" s="451">
        <f t="shared" si="5"/>
        <v>0</v>
      </c>
      <c r="J33" s="863">
        <v>674</v>
      </c>
      <c r="K33" s="863"/>
      <c r="L33" s="864">
        <f t="shared" si="2"/>
        <v>674</v>
      </c>
      <c r="M33" s="863"/>
      <c r="N33" s="863"/>
      <c r="O33" s="451">
        <f t="shared" si="3"/>
        <v>0</v>
      </c>
    </row>
    <row r="34" spans="1:15" s="156" customFormat="1" x14ac:dyDescent="0.25">
      <c r="A34" s="331" t="s">
        <v>249</v>
      </c>
      <c r="B34" s="1342" t="s">
        <v>248</v>
      </c>
      <c r="C34" s="1343"/>
      <c r="D34" s="863">
        <f t="shared" si="1"/>
        <v>0</v>
      </c>
      <c r="E34" s="863">
        <f t="shared" si="1"/>
        <v>0</v>
      </c>
      <c r="F34" s="864">
        <f t="shared" si="1"/>
        <v>0</v>
      </c>
      <c r="G34" s="863"/>
      <c r="H34" s="863"/>
      <c r="I34" s="451">
        <f t="shared" si="5"/>
        <v>0</v>
      </c>
      <c r="J34" s="863"/>
      <c r="K34" s="863"/>
      <c r="L34" s="864">
        <f t="shared" si="2"/>
        <v>0</v>
      </c>
      <c r="M34" s="863"/>
      <c r="N34" s="863"/>
      <c r="O34" s="451">
        <f t="shared" si="3"/>
        <v>0</v>
      </c>
    </row>
    <row r="35" spans="1:15" s="156" customFormat="1" x14ac:dyDescent="0.25">
      <c r="A35" s="331" t="s">
        <v>608</v>
      </c>
      <c r="B35" s="1342" t="s">
        <v>252</v>
      </c>
      <c r="C35" s="1343"/>
      <c r="D35" s="863">
        <f t="shared" si="1"/>
        <v>0</v>
      </c>
      <c r="E35" s="863">
        <f t="shared" si="1"/>
        <v>0</v>
      </c>
      <c r="F35" s="864">
        <f t="shared" si="1"/>
        <v>0</v>
      </c>
      <c r="G35" s="863"/>
      <c r="H35" s="863"/>
      <c r="I35" s="451">
        <f t="shared" si="5"/>
        <v>0</v>
      </c>
      <c r="J35" s="863"/>
      <c r="K35" s="863"/>
      <c r="L35" s="864">
        <f t="shared" si="2"/>
        <v>0</v>
      </c>
      <c r="M35" s="863"/>
      <c r="N35" s="863"/>
      <c r="O35" s="451">
        <f t="shared" si="3"/>
        <v>0</v>
      </c>
    </row>
    <row r="36" spans="1:15" s="156" customFormat="1" x14ac:dyDescent="0.25">
      <c r="A36" s="862" t="s">
        <v>253</v>
      </c>
      <c r="B36" s="1344" t="s">
        <v>276</v>
      </c>
      <c r="C36" s="1344"/>
      <c r="D36" s="866">
        <f t="shared" si="1"/>
        <v>7410</v>
      </c>
      <c r="E36" s="866">
        <f t="shared" si="1"/>
        <v>-44</v>
      </c>
      <c r="F36" s="867">
        <f t="shared" si="1"/>
        <v>7366</v>
      </c>
      <c r="G36" s="866">
        <f>SUM(G29:G35)</f>
        <v>776</v>
      </c>
      <c r="H36" s="866">
        <f t="shared" ref="H36:I36" si="6">SUM(H29:H35)</f>
        <v>329</v>
      </c>
      <c r="I36" s="866">
        <f t="shared" si="6"/>
        <v>1105</v>
      </c>
      <c r="J36" s="866">
        <f>SUM(J29:J35)</f>
        <v>5468</v>
      </c>
      <c r="K36" s="866">
        <f t="shared" ref="K36:L36" si="7">SUM(K29:K35)</f>
        <v>10</v>
      </c>
      <c r="L36" s="866">
        <f t="shared" si="7"/>
        <v>5478</v>
      </c>
      <c r="M36" s="866">
        <f>SUM(M29:M35)</f>
        <v>1166</v>
      </c>
      <c r="N36" s="866">
        <f t="shared" ref="N36:O36" si="8">SUM(N29:N35)</f>
        <v>-383</v>
      </c>
      <c r="O36" s="866">
        <f t="shared" si="8"/>
        <v>783</v>
      </c>
    </row>
    <row r="37" spans="1:15" s="156" customFormat="1" x14ac:dyDescent="0.25">
      <c r="A37" s="862" t="s">
        <v>254</v>
      </c>
      <c r="B37" s="1344" t="s">
        <v>275</v>
      </c>
      <c r="C37" s="1344">
        <v>0</v>
      </c>
      <c r="D37" s="866">
        <f t="shared" si="1"/>
        <v>0</v>
      </c>
      <c r="E37" s="866">
        <f t="shared" si="1"/>
        <v>0</v>
      </c>
      <c r="F37" s="867">
        <f t="shared" si="1"/>
        <v>0</v>
      </c>
      <c r="G37" s="866"/>
      <c r="H37" s="866"/>
      <c r="I37" s="451">
        <f t="shared" si="5"/>
        <v>0</v>
      </c>
      <c r="J37" s="866">
        <v>0</v>
      </c>
      <c r="K37" s="866"/>
      <c r="L37" s="867">
        <f t="shared" si="2"/>
        <v>0</v>
      </c>
      <c r="M37" s="866">
        <v>0</v>
      </c>
      <c r="N37" s="866">
        <v>0</v>
      </c>
      <c r="O37" s="866">
        <v>0</v>
      </c>
    </row>
    <row r="38" spans="1:15" s="156" customFormat="1" x14ac:dyDescent="0.25">
      <c r="A38" s="331" t="s">
        <v>256</v>
      </c>
      <c r="B38" s="1345" t="s">
        <v>255</v>
      </c>
      <c r="C38" s="1345">
        <v>42</v>
      </c>
      <c r="D38" s="863">
        <f t="shared" si="1"/>
        <v>700</v>
      </c>
      <c r="E38" s="863">
        <f t="shared" si="1"/>
        <v>0</v>
      </c>
      <c r="F38" s="864">
        <f t="shared" si="1"/>
        <v>700</v>
      </c>
      <c r="G38" s="863">
        <v>700</v>
      </c>
      <c r="H38" s="863"/>
      <c r="I38" s="451">
        <f t="shared" si="5"/>
        <v>700</v>
      </c>
      <c r="J38" s="863">
        <v>0</v>
      </c>
      <c r="K38" s="863"/>
      <c r="L38" s="864">
        <f t="shared" si="2"/>
        <v>0</v>
      </c>
      <c r="M38" s="863">
        <v>0</v>
      </c>
      <c r="N38" s="863"/>
      <c r="O38" s="143">
        <f t="shared" si="3"/>
        <v>0</v>
      </c>
    </row>
    <row r="39" spans="1:15" s="156" customFormat="1" x14ac:dyDescent="0.25">
      <c r="A39" s="862" t="s">
        <v>257</v>
      </c>
      <c r="B39" s="1344" t="s">
        <v>274</v>
      </c>
      <c r="C39" s="1344">
        <f>+C38</f>
        <v>42</v>
      </c>
      <c r="D39" s="866">
        <f t="shared" si="1"/>
        <v>700</v>
      </c>
      <c r="E39" s="866">
        <f t="shared" si="1"/>
        <v>0</v>
      </c>
      <c r="F39" s="867">
        <f t="shared" si="1"/>
        <v>700</v>
      </c>
      <c r="G39" s="866">
        <f>+G38</f>
        <v>700</v>
      </c>
      <c r="H39" s="866"/>
      <c r="I39" s="451">
        <f t="shared" si="5"/>
        <v>700</v>
      </c>
      <c r="J39" s="866">
        <f>+J38</f>
        <v>0</v>
      </c>
      <c r="K39" s="866"/>
      <c r="L39" s="867">
        <f t="shared" si="2"/>
        <v>0</v>
      </c>
      <c r="M39" s="866">
        <f>+M38</f>
        <v>0</v>
      </c>
      <c r="N39" s="866"/>
      <c r="O39" s="143">
        <f t="shared" si="3"/>
        <v>0</v>
      </c>
    </row>
    <row r="40" spans="1:15" s="156" customFormat="1" x14ac:dyDescent="0.25">
      <c r="A40" s="331" t="s">
        <v>259</v>
      </c>
      <c r="B40" s="1345" t="s">
        <v>258</v>
      </c>
      <c r="C40" s="1345"/>
      <c r="D40" s="863">
        <f t="shared" si="1"/>
        <v>0</v>
      </c>
      <c r="E40" s="863">
        <f t="shared" si="1"/>
        <v>0</v>
      </c>
      <c r="F40" s="864">
        <f t="shared" si="1"/>
        <v>0</v>
      </c>
      <c r="G40" s="863"/>
      <c r="H40" s="863"/>
      <c r="I40" s="451">
        <f t="shared" si="5"/>
        <v>0</v>
      </c>
      <c r="J40" s="863">
        <v>0</v>
      </c>
      <c r="K40" s="863"/>
      <c r="L40" s="864">
        <f t="shared" si="2"/>
        <v>0</v>
      </c>
      <c r="M40" s="863">
        <v>0</v>
      </c>
      <c r="N40" s="863"/>
      <c r="O40" s="143">
        <f t="shared" si="3"/>
        <v>0</v>
      </c>
    </row>
    <row r="41" spans="1:15" s="156" customFormat="1" x14ac:dyDescent="0.25">
      <c r="A41" s="862" t="s">
        <v>260</v>
      </c>
      <c r="B41" s="1344" t="s">
        <v>279</v>
      </c>
      <c r="C41" s="1344"/>
      <c r="D41" s="866">
        <f t="shared" si="1"/>
        <v>0</v>
      </c>
      <c r="E41" s="866">
        <f t="shared" si="1"/>
        <v>0</v>
      </c>
      <c r="F41" s="867">
        <f t="shared" si="1"/>
        <v>0</v>
      </c>
      <c r="G41" s="866">
        <f>+G40</f>
        <v>0</v>
      </c>
      <c r="H41" s="866"/>
      <c r="I41" s="451">
        <f t="shared" si="5"/>
        <v>0</v>
      </c>
      <c r="J41" s="866">
        <f>+J40</f>
        <v>0</v>
      </c>
      <c r="K41" s="866"/>
      <c r="L41" s="867">
        <f t="shared" si="2"/>
        <v>0</v>
      </c>
      <c r="M41" s="866">
        <f>+M40</f>
        <v>0</v>
      </c>
      <c r="N41" s="866"/>
      <c r="O41" s="143">
        <f t="shared" si="3"/>
        <v>0</v>
      </c>
    </row>
    <row r="42" spans="1:15" s="156" customFormat="1" x14ac:dyDescent="0.25">
      <c r="A42" s="862" t="s">
        <v>261</v>
      </c>
      <c r="B42" s="1344" t="s">
        <v>272</v>
      </c>
      <c r="C42" s="1344"/>
      <c r="D42" s="866">
        <f t="shared" si="1"/>
        <v>8110</v>
      </c>
      <c r="E42" s="866">
        <f t="shared" si="1"/>
        <v>-44</v>
      </c>
      <c r="F42" s="866">
        <f t="shared" si="1"/>
        <v>8066</v>
      </c>
      <c r="G42" s="866">
        <f t="shared" ref="G42:O42" si="9">+G41+G39+G37+G36+G27+G15</f>
        <v>1476</v>
      </c>
      <c r="H42" s="866">
        <f t="shared" si="9"/>
        <v>329</v>
      </c>
      <c r="I42" s="866">
        <f t="shared" si="9"/>
        <v>1805</v>
      </c>
      <c r="J42" s="866">
        <f t="shared" si="9"/>
        <v>5468</v>
      </c>
      <c r="K42" s="866">
        <f t="shared" si="9"/>
        <v>10</v>
      </c>
      <c r="L42" s="866">
        <f t="shared" si="2"/>
        <v>5478</v>
      </c>
      <c r="M42" s="866">
        <f t="shared" si="9"/>
        <v>1166</v>
      </c>
      <c r="N42" s="866">
        <f t="shared" si="9"/>
        <v>-383</v>
      </c>
      <c r="O42" s="866">
        <f t="shared" si="9"/>
        <v>783</v>
      </c>
    </row>
    <row r="43" spans="1:15" s="156" customFormat="1" x14ac:dyDescent="0.25">
      <c r="A43" s="331" t="s">
        <v>269</v>
      </c>
      <c r="B43" s="1346" t="s">
        <v>268</v>
      </c>
      <c r="C43" s="1346"/>
      <c r="D43" s="863">
        <f t="shared" si="1"/>
        <v>33553</v>
      </c>
      <c r="E43" s="863">
        <f t="shared" si="1"/>
        <v>0</v>
      </c>
      <c r="F43" s="863">
        <f t="shared" si="1"/>
        <v>33553</v>
      </c>
      <c r="G43" s="863">
        <v>14001</v>
      </c>
      <c r="H43" s="863"/>
      <c r="I43" s="863">
        <f>+H43+G43</f>
        <v>14001</v>
      </c>
      <c r="J43" s="863">
        <v>4664</v>
      </c>
      <c r="K43" s="863"/>
      <c r="L43" s="863">
        <f t="shared" si="2"/>
        <v>4664</v>
      </c>
      <c r="M43" s="863">
        <v>14888</v>
      </c>
      <c r="N43" s="863"/>
      <c r="O43" s="863">
        <f>+N43+M43</f>
        <v>14888</v>
      </c>
    </row>
    <row r="44" spans="1:15" s="156" customFormat="1" ht="14.45" hidden="1" customHeight="1" x14ac:dyDescent="0.25">
      <c r="A44" s="332"/>
      <c r="B44" s="452"/>
      <c r="C44" s="453" t="s">
        <v>387</v>
      </c>
      <c r="D44" s="868">
        <f t="shared" si="1"/>
        <v>0</v>
      </c>
      <c r="E44" s="868">
        <f t="shared" si="1"/>
        <v>0</v>
      </c>
      <c r="F44" s="868">
        <f t="shared" si="1"/>
        <v>0</v>
      </c>
      <c r="G44" s="868"/>
      <c r="H44" s="868"/>
      <c r="I44" s="863">
        <f t="shared" ref="I44:I45" si="10">+H44+G44</f>
        <v>0</v>
      </c>
      <c r="J44" s="868"/>
      <c r="K44" s="868"/>
      <c r="L44" s="868">
        <f t="shared" si="2"/>
        <v>0</v>
      </c>
      <c r="M44" s="868"/>
      <c r="N44" s="868"/>
      <c r="O44" s="868"/>
    </row>
    <row r="45" spans="1:15" s="156" customFormat="1" ht="14.45" hidden="1" customHeight="1" x14ac:dyDescent="0.25">
      <c r="A45" s="332"/>
      <c r="B45" s="452"/>
      <c r="C45" s="453" t="s">
        <v>388</v>
      </c>
      <c r="D45" s="868">
        <f t="shared" si="1"/>
        <v>0</v>
      </c>
      <c r="E45" s="868">
        <f t="shared" si="1"/>
        <v>0</v>
      </c>
      <c r="F45" s="868">
        <f t="shared" si="1"/>
        <v>0</v>
      </c>
      <c r="G45" s="868"/>
      <c r="H45" s="868"/>
      <c r="I45" s="863">
        <f t="shared" si="10"/>
        <v>0</v>
      </c>
      <c r="J45" s="868"/>
      <c r="K45" s="868"/>
      <c r="L45" s="868">
        <f t="shared" si="2"/>
        <v>0</v>
      </c>
      <c r="M45" s="868"/>
      <c r="N45" s="868"/>
      <c r="O45" s="868"/>
    </row>
    <row r="46" spans="1:15" s="156" customFormat="1" x14ac:dyDescent="0.25">
      <c r="A46" s="133" t="s">
        <v>270</v>
      </c>
      <c r="B46" s="1347" t="s">
        <v>332</v>
      </c>
      <c r="C46" s="1348"/>
      <c r="D46" s="866">
        <f t="shared" si="1"/>
        <v>33553</v>
      </c>
      <c r="E46" s="866">
        <f t="shared" si="1"/>
        <v>0</v>
      </c>
      <c r="F46" s="866">
        <f t="shared" si="1"/>
        <v>33553</v>
      </c>
      <c r="G46" s="866">
        <f t="shared" ref="G46:O46" si="11">+G43</f>
        <v>14001</v>
      </c>
      <c r="H46" s="866">
        <f t="shared" si="11"/>
        <v>0</v>
      </c>
      <c r="I46" s="866">
        <f t="shared" si="11"/>
        <v>14001</v>
      </c>
      <c r="J46" s="866">
        <f t="shared" si="11"/>
        <v>4664</v>
      </c>
      <c r="K46" s="866">
        <f t="shared" si="11"/>
        <v>0</v>
      </c>
      <c r="L46" s="866">
        <f t="shared" si="2"/>
        <v>4664</v>
      </c>
      <c r="M46" s="866">
        <f t="shared" si="11"/>
        <v>14888</v>
      </c>
      <c r="N46" s="866">
        <f t="shared" si="11"/>
        <v>0</v>
      </c>
      <c r="O46" s="866">
        <f t="shared" si="11"/>
        <v>14888</v>
      </c>
    </row>
    <row r="47" spans="1:15" s="156" customFormat="1" x14ac:dyDescent="0.25">
      <c r="A47" s="331" t="s">
        <v>280</v>
      </c>
      <c r="B47" s="1341" t="s">
        <v>281</v>
      </c>
      <c r="C47" s="1341"/>
      <c r="D47" s="863">
        <f t="shared" si="1"/>
        <v>423532</v>
      </c>
      <c r="E47" s="866">
        <f t="shared" si="1"/>
        <v>-23553</v>
      </c>
      <c r="F47" s="867">
        <f t="shared" si="1"/>
        <v>399979</v>
      </c>
      <c r="G47" s="863">
        <f>194281-257+12</f>
        <v>194036</v>
      </c>
      <c r="H47" s="863">
        <f>-3604+257-12</f>
        <v>-3359</v>
      </c>
      <c r="I47" s="864">
        <f>+H47+G47</f>
        <v>190677</v>
      </c>
      <c r="J47" s="863">
        <v>182227</v>
      </c>
      <c r="K47" s="863">
        <v>-96</v>
      </c>
      <c r="L47" s="864">
        <f t="shared" si="2"/>
        <v>182131</v>
      </c>
      <c r="M47" s="863">
        <v>47269</v>
      </c>
      <c r="N47" s="863">
        <f>85+1257-21273-746+149+151+149-216-32+383-1-4</f>
        <v>-20098</v>
      </c>
      <c r="O47" s="864">
        <f>+N47+M47</f>
        <v>27171</v>
      </c>
    </row>
    <row r="48" spans="1:15" s="156" customFormat="1" x14ac:dyDescent="0.25">
      <c r="A48" s="862" t="s">
        <v>271</v>
      </c>
      <c r="B48" s="1338" t="s">
        <v>282</v>
      </c>
      <c r="C48" s="1339"/>
      <c r="D48" s="866">
        <f t="shared" si="1"/>
        <v>457085</v>
      </c>
      <c r="E48" s="866">
        <f t="shared" si="1"/>
        <v>-23553</v>
      </c>
      <c r="F48" s="866">
        <f t="shared" si="1"/>
        <v>433532</v>
      </c>
      <c r="G48" s="866">
        <f t="shared" ref="G48:O48" si="12">+G47+G46</f>
        <v>208037</v>
      </c>
      <c r="H48" s="866">
        <f t="shared" si="12"/>
        <v>-3359</v>
      </c>
      <c r="I48" s="866">
        <f t="shared" si="12"/>
        <v>204678</v>
      </c>
      <c r="J48" s="866">
        <f t="shared" si="12"/>
        <v>186891</v>
      </c>
      <c r="K48" s="866">
        <f t="shared" si="12"/>
        <v>-96</v>
      </c>
      <c r="L48" s="866">
        <f t="shared" si="2"/>
        <v>186795</v>
      </c>
      <c r="M48" s="866">
        <f t="shared" si="12"/>
        <v>62157</v>
      </c>
      <c r="N48" s="866">
        <f t="shared" si="12"/>
        <v>-20098</v>
      </c>
      <c r="O48" s="866">
        <f t="shared" si="12"/>
        <v>42059</v>
      </c>
    </row>
    <row r="49" spans="1:15" s="156" customFormat="1" x14ac:dyDescent="0.25">
      <c r="A49" s="1327" t="s">
        <v>283</v>
      </c>
      <c r="B49" s="1327"/>
      <c r="C49" s="1327"/>
      <c r="D49" s="866">
        <f t="shared" si="1"/>
        <v>465195</v>
      </c>
      <c r="E49" s="866">
        <f t="shared" si="1"/>
        <v>-23597</v>
      </c>
      <c r="F49" s="866">
        <f t="shared" si="1"/>
        <v>441598</v>
      </c>
      <c r="G49" s="866">
        <f t="shared" ref="G49:O49" si="13">+G48+G42</f>
        <v>209513</v>
      </c>
      <c r="H49" s="866">
        <f>+H48+H42</f>
        <v>-3030</v>
      </c>
      <c r="I49" s="866">
        <f t="shared" si="13"/>
        <v>206483</v>
      </c>
      <c r="J49" s="866">
        <f t="shared" si="13"/>
        <v>192359</v>
      </c>
      <c r="K49" s="866">
        <f t="shared" si="13"/>
        <v>-86</v>
      </c>
      <c r="L49" s="866">
        <f t="shared" si="2"/>
        <v>192273</v>
      </c>
      <c r="M49" s="866">
        <f t="shared" si="13"/>
        <v>63323</v>
      </c>
      <c r="N49" s="866">
        <f t="shared" si="13"/>
        <v>-20481</v>
      </c>
      <c r="O49" s="866">
        <f t="shared" si="13"/>
        <v>42842</v>
      </c>
    </row>
    <row r="50" spans="1:15" s="156" customFormat="1" x14ac:dyDescent="0.25">
      <c r="A50" s="869"/>
      <c r="B50" s="870"/>
      <c r="C50" s="870"/>
      <c r="D50" s="871"/>
      <c r="E50" s="871"/>
      <c r="F50" s="871"/>
      <c r="G50" s="870"/>
      <c r="H50" s="870"/>
      <c r="I50" s="870"/>
      <c r="J50" s="870"/>
      <c r="K50" s="870"/>
      <c r="L50" s="870"/>
      <c r="M50" s="870"/>
      <c r="N50" s="870"/>
      <c r="O50" s="870"/>
    </row>
    <row r="51" spans="1:15" s="156" customFormat="1" ht="25.5" customHeight="1" x14ac:dyDescent="0.25">
      <c r="A51" s="1221" t="s">
        <v>0</v>
      </c>
      <c r="B51" s="1340" t="s">
        <v>181</v>
      </c>
      <c r="C51" s="1340"/>
      <c r="D51" s="1337" t="s">
        <v>179</v>
      </c>
      <c r="E51" s="1337"/>
      <c r="F51" s="1337"/>
      <c r="G51" s="1334" t="s">
        <v>287</v>
      </c>
      <c r="H51" s="1335"/>
      <c r="I51" s="1336"/>
      <c r="J51" s="1334" t="s">
        <v>288</v>
      </c>
      <c r="K51" s="1335"/>
      <c r="L51" s="1336"/>
      <c r="M51" s="1334" t="s">
        <v>289</v>
      </c>
      <c r="N51" s="1335"/>
      <c r="O51" s="1336"/>
    </row>
    <row r="52" spans="1:15" s="156" customFormat="1" x14ac:dyDescent="0.25">
      <c r="A52" s="1221"/>
      <c r="B52" s="1340"/>
      <c r="C52" s="1340"/>
      <c r="D52" s="1109" t="s">
        <v>947</v>
      </c>
      <c r="E52" s="1109" t="s">
        <v>694</v>
      </c>
      <c r="F52" s="1109" t="s">
        <v>948</v>
      </c>
      <c r="G52" s="1109" t="s">
        <v>947</v>
      </c>
      <c r="H52" s="1109" t="s">
        <v>694</v>
      </c>
      <c r="I52" s="1109" t="s">
        <v>948</v>
      </c>
      <c r="J52" s="1109" t="s">
        <v>947</v>
      </c>
      <c r="K52" s="1109" t="s">
        <v>694</v>
      </c>
      <c r="L52" s="1109" t="s">
        <v>948</v>
      </c>
      <c r="M52" s="1109" t="s">
        <v>947</v>
      </c>
      <c r="N52" s="1109" t="s">
        <v>694</v>
      </c>
      <c r="O52" s="1109" t="s">
        <v>948</v>
      </c>
    </row>
    <row r="53" spans="1:15" s="156" customFormat="1" x14ac:dyDescent="0.25">
      <c r="A53" s="4" t="s">
        <v>27</v>
      </c>
      <c r="B53" s="1332" t="s">
        <v>173</v>
      </c>
      <c r="C53" s="1332"/>
      <c r="D53" s="872">
        <f>+G53+J53+M53</f>
        <v>297316</v>
      </c>
      <c r="E53" s="872">
        <f t="shared" ref="E53:F56" si="14">+H53+K53+N53</f>
        <v>-9511</v>
      </c>
      <c r="F53" s="872">
        <f t="shared" si="14"/>
        <v>287805</v>
      </c>
      <c r="G53" s="872">
        <f>+'6.a. mell. PH'!D19</f>
        <v>155933</v>
      </c>
      <c r="H53" s="872">
        <f>+'6.a. mell. PH'!E19</f>
        <v>355</v>
      </c>
      <c r="I53" s="872">
        <f>+'6.a. mell. PH'!F19</f>
        <v>156288</v>
      </c>
      <c r="J53" s="872">
        <f>+'6.b. mell. Óvoda'!D19</f>
        <v>116076</v>
      </c>
      <c r="K53" s="872">
        <f>+'6.b. mell. Óvoda'!E19</f>
        <v>-4</v>
      </c>
      <c r="L53" s="872">
        <f>+'6.b. mell. Óvoda'!F19</f>
        <v>116072</v>
      </c>
      <c r="M53" s="872">
        <f>+'6.c. mell. BBKP'!D19</f>
        <v>25307</v>
      </c>
      <c r="N53" s="872">
        <f>+'6.c. mell. BBKP'!E19</f>
        <v>-9862</v>
      </c>
      <c r="O53" s="872">
        <f>+'6.c. mell. BBKP'!F19</f>
        <v>15445</v>
      </c>
    </row>
    <row r="54" spans="1:15" s="156" customFormat="1" x14ac:dyDescent="0.25">
      <c r="A54" s="4" t="s">
        <v>33</v>
      </c>
      <c r="B54" s="1332" t="s">
        <v>172</v>
      </c>
      <c r="C54" s="1332"/>
      <c r="D54" s="872">
        <f t="shared" ref="D54:F77" si="15">+G54+J54+M54</f>
        <v>4051</v>
      </c>
      <c r="E54" s="872">
        <f t="shared" si="14"/>
        <v>-608</v>
      </c>
      <c r="F54" s="872">
        <f t="shared" si="14"/>
        <v>3443</v>
      </c>
      <c r="G54" s="872">
        <f>+'6.a. mell. PH'!D23</f>
        <v>30</v>
      </c>
      <c r="H54" s="872">
        <f>+'6.a. mell. PH'!E23</f>
        <v>0</v>
      </c>
      <c r="I54" s="872">
        <f>+'6.a. mell. PH'!F23</f>
        <v>30</v>
      </c>
      <c r="J54" s="872">
        <f>+'6.b. mell. Óvoda'!D23</f>
        <v>1110</v>
      </c>
      <c r="K54" s="872">
        <f>+'6.b. mell. Óvoda'!E23</f>
        <v>41</v>
      </c>
      <c r="L54" s="872">
        <f>+'6.b. mell. Óvoda'!F23</f>
        <v>1151</v>
      </c>
      <c r="M54" s="872">
        <f>+'6.c. mell. BBKP'!D23</f>
        <v>2911</v>
      </c>
      <c r="N54" s="872">
        <f>+'6.c. mell. BBKP'!E23</f>
        <v>-649</v>
      </c>
      <c r="O54" s="872">
        <f>+'6.c. mell. BBKP'!F23</f>
        <v>2262</v>
      </c>
    </row>
    <row r="55" spans="1:15" s="156" customFormat="1" x14ac:dyDescent="0.25">
      <c r="A55" s="5" t="s">
        <v>34</v>
      </c>
      <c r="B55" s="1329" t="s">
        <v>171</v>
      </c>
      <c r="C55" s="1329"/>
      <c r="D55" s="873">
        <f t="shared" si="15"/>
        <v>301367</v>
      </c>
      <c r="E55" s="873">
        <f t="shared" si="14"/>
        <v>-10119</v>
      </c>
      <c r="F55" s="873">
        <f t="shared" si="14"/>
        <v>291248</v>
      </c>
      <c r="G55" s="873">
        <f>SUM(G53:G54)</f>
        <v>155963</v>
      </c>
      <c r="H55" s="873">
        <f t="shared" ref="H55:I55" si="16">SUM(H53:H54)</f>
        <v>355</v>
      </c>
      <c r="I55" s="873">
        <f t="shared" si="16"/>
        <v>156318</v>
      </c>
      <c r="J55" s="873">
        <f>+J54+J53</f>
        <v>117186</v>
      </c>
      <c r="K55" s="873">
        <f t="shared" ref="K55:L55" si="17">+K54+K53</f>
        <v>37</v>
      </c>
      <c r="L55" s="873">
        <f t="shared" si="17"/>
        <v>117223</v>
      </c>
      <c r="M55" s="873">
        <f>+M54+M53</f>
        <v>28218</v>
      </c>
      <c r="N55" s="873">
        <f t="shared" ref="N55:O55" si="18">+N54+N53</f>
        <v>-10511</v>
      </c>
      <c r="O55" s="873">
        <f t="shared" si="18"/>
        <v>17707</v>
      </c>
    </row>
    <row r="56" spans="1:15" s="156" customFormat="1" x14ac:dyDescent="0.25">
      <c r="A56" s="5" t="s">
        <v>35</v>
      </c>
      <c r="B56" s="1329" t="s">
        <v>170</v>
      </c>
      <c r="C56" s="1329"/>
      <c r="D56" s="873">
        <f t="shared" si="15"/>
        <v>59513</v>
      </c>
      <c r="E56" s="873">
        <f t="shared" si="14"/>
        <v>-2052</v>
      </c>
      <c r="F56" s="873">
        <f t="shared" si="14"/>
        <v>57461</v>
      </c>
      <c r="G56" s="873">
        <f>+'6.a. mell. PH'!D26</f>
        <v>30775</v>
      </c>
      <c r="H56" s="873">
        <f>+'6.a. mell. PH'!E26</f>
        <v>-107</v>
      </c>
      <c r="I56" s="873">
        <f>+'6.a. mell. PH'!F26</f>
        <v>30668</v>
      </c>
      <c r="J56" s="873">
        <f>+'6.b. mell. Óvoda'!D26</f>
        <v>23655</v>
      </c>
      <c r="K56" s="873">
        <f>+'6.b. mell. Óvoda'!E26</f>
        <v>-40</v>
      </c>
      <c r="L56" s="873">
        <f>+'6.b. mell. Óvoda'!F26</f>
        <v>23615</v>
      </c>
      <c r="M56" s="873">
        <f>+'6.c. mell. BBKP'!D26</f>
        <v>5083</v>
      </c>
      <c r="N56" s="873">
        <f>+'6.c. mell. BBKP'!E26</f>
        <v>-1905</v>
      </c>
      <c r="O56" s="873">
        <f>+'6.c. mell. BBKP'!F26</f>
        <v>3178</v>
      </c>
    </row>
    <row r="57" spans="1:15" s="156" customFormat="1" ht="12.75" customHeight="1" x14ac:dyDescent="0.25">
      <c r="A57" s="1330"/>
      <c r="B57" s="1330"/>
      <c r="C57" s="1330"/>
      <c r="D57" s="874"/>
      <c r="E57" s="874"/>
      <c r="F57" s="874"/>
      <c r="G57" s="874"/>
      <c r="H57" s="874"/>
      <c r="I57" s="874"/>
      <c r="J57" s="874"/>
      <c r="K57" s="874"/>
      <c r="L57" s="874"/>
      <c r="M57" s="874"/>
      <c r="N57" s="874"/>
      <c r="O57" s="874"/>
    </row>
    <row r="58" spans="1:15" s="156" customFormat="1" x14ac:dyDescent="0.25">
      <c r="A58" s="4" t="s">
        <v>47</v>
      </c>
      <c r="B58" s="1332" t="s">
        <v>169</v>
      </c>
      <c r="C58" s="1332"/>
      <c r="D58" s="872">
        <f t="shared" si="15"/>
        <v>3651</v>
      </c>
      <c r="E58" s="872">
        <f t="shared" si="15"/>
        <v>-933</v>
      </c>
      <c r="F58" s="872">
        <f t="shared" si="15"/>
        <v>2718</v>
      </c>
      <c r="G58" s="872">
        <f>+'6.a. mell. PH'!D36</f>
        <v>1726</v>
      </c>
      <c r="H58" s="872">
        <f>+'6.a. mell. PH'!E36</f>
        <v>0</v>
      </c>
      <c r="I58" s="872">
        <f>+'6.a. mell. PH'!F36</f>
        <v>1726</v>
      </c>
      <c r="J58" s="872">
        <f>+'6.b. mell. Óvoda'!D36</f>
        <v>526</v>
      </c>
      <c r="K58" s="872">
        <f>+'6.b. mell. Óvoda'!E36</f>
        <v>-31</v>
      </c>
      <c r="L58" s="872">
        <f>+'6.b. mell. Óvoda'!F36</f>
        <v>495</v>
      </c>
      <c r="M58" s="872">
        <f>+'6.c. mell. BBKP'!D36</f>
        <v>1399</v>
      </c>
      <c r="N58" s="872">
        <f>+'6.c. mell. BBKP'!E36</f>
        <v>-902</v>
      </c>
      <c r="O58" s="872">
        <f>+'6.c. mell. BBKP'!F36</f>
        <v>497</v>
      </c>
    </row>
    <row r="59" spans="1:15" s="156" customFormat="1" x14ac:dyDescent="0.25">
      <c r="A59" s="4" t="s">
        <v>52</v>
      </c>
      <c r="B59" s="1332" t="s">
        <v>168</v>
      </c>
      <c r="C59" s="1332"/>
      <c r="D59" s="872">
        <f t="shared" si="15"/>
        <v>2767</v>
      </c>
      <c r="E59" s="872">
        <f t="shared" si="15"/>
        <v>-349</v>
      </c>
      <c r="F59" s="872">
        <f t="shared" si="15"/>
        <v>2418</v>
      </c>
      <c r="G59" s="872">
        <f>+'6.a. mell. PH'!D39</f>
        <v>1947</v>
      </c>
      <c r="H59" s="872">
        <f>+'6.a. mell. PH'!E39</f>
        <v>0</v>
      </c>
      <c r="I59" s="872">
        <f>+'6.a. mell. PH'!F39</f>
        <v>1947</v>
      </c>
      <c r="J59" s="872">
        <f>+'6.b. mell. Óvoda'!D39</f>
        <v>130</v>
      </c>
      <c r="K59" s="872">
        <f>+'6.b. mell. Óvoda'!E39</f>
        <v>0</v>
      </c>
      <c r="L59" s="872">
        <f>+'6.b. mell. Óvoda'!F39</f>
        <v>130</v>
      </c>
      <c r="M59" s="872">
        <f>+'6.c. mell. BBKP'!D39</f>
        <v>690</v>
      </c>
      <c r="N59" s="872">
        <f>+'6.c. mell. BBKP'!E39</f>
        <v>-349</v>
      </c>
      <c r="O59" s="872">
        <f>+'6.c. mell. BBKP'!F39</f>
        <v>341</v>
      </c>
    </row>
    <row r="60" spans="1:15" s="156" customFormat="1" x14ac:dyDescent="0.25">
      <c r="A60" s="4" t="s">
        <v>66</v>
      </c>
      <c r="B60" s="1332" t="s">
        <v>155</v>
      </c>
      <c r="C60" s="1332"/>
      <c r="D60" s="872">
        <f t="shared" si="15"/>
        <v>40539</v>
      </c>
      <c r="E60" s="872">
        <f t="shared" si="15"/>
        <v>-2811</v>
      </c>
      <c r="F60" s="872">
        <f t="shared" si="15"/>
        <v>37728</v>
      </c>
      <c r="G60" s="872">
        <f>+'6.a. mell. PH'!D49</f>
        <v>7972</v>
      </c>
      <c r="H60" s="872">
        <f>+'6.a. mell. PH'!E49</f>
        <v>0</v>
      </c>
      <c r="I60" s="872">
        <f>+'6.a. mell. PH'!F49</f>
        <v>7972</v>
      </c>
      <c r="J60" s="872">
        <f>+'6.b. mell. Óvoda'!D49</f>
        <v>27686</v>
      </c>
      <c r="K60" s="872">
        <f>+'6.b. mell. Óvoda'!E49</f>
        <v>51</v>
      </c>
      <c r="L60" s="872">
        <f>+'6.b. mell. Óvoda'!F49</f>
        <v>27737</v>
      </c>
      <c r="M60" s="872">
        <f>+'6.c. mell. BBKP'!D49</f>
        <v>4881</v>
      </c>
      <c r="N60" s="872">
        <f>+'6.c. mell. BBKP'!E49</f>
        <v>-2862</v>
      </c>
      <c r="O60" s="872">
        <f>+'6.c. mell. BBKP'!F49</f>
        <v>2019</v>
      </c>
    </row>
    <row r="61" spans="1:15" s="156" customFormat="1" x14ac:dyDescent="0.25">
      <c r="A61" s="4" t="s">
        <v>71</v>
      </c>
      <c r="B61" s="1332" t="s">
        <v>154</v>
      </c>
      <c r="C61" s="1332"/>
      <c r="D61" s="872">
        <f t="shared" si="15"/>
        <v>519</v>
      </c>
      <c r="E61" s="872">
        <f t="shared" si="15"/>
        <v>-294</v>
      </c>
      <c r="F61" s="872">
        <f t="shared" si="15"/>
        <v>225</v>
      </c>
      <c r="G61" s="872">
        <f>+'6.a. mell. PH'!D52</f>
        <v>200</v>
      </c>
      <c r="H61" s="872">
        <f>+'6.a. mell. PH'!E52</f>
        <v>0</v>
      </c>
      <c r="I61" s="872">
        <f>+'6.a. mell. PH'!F52</f>
        <v>200</v>
      </c>
      <c r="J61" s="872">
        <f>+'6.b. mell. Óvoda'!D52</f>
        <v>0</v>
      </c>
      <c r="K61" s="872">
        <f>+'6.b. mell. Óvoda'!E52</f>
        <v>0</v>
      </c>
      <c r="L61" s="872">
        <f>+'6.b. mell. Óvoda'!F52</f>
        <v>0</v>
      </c>
      <c r="M61" s="872">
        <f>+'6.c. mell. BBKP'!D52</f>
        <v>319</v>
      </c>
      <c r="N61" s="872">
        <f>+'6.c. mell. BBKP'!E52</f>
        <v>-294</v>
      </c>
      <c r="O61" s="872">
        <f>+'6.c. mell. BBKP'!F52</f>
        <v>25</v>
      </c>
    </row>
    <row r="62" spans="1:15" s="156" customFormat="1" x14ac:dyDescent="0.25">
      <c r="A62" s="4" t="s">
        <v>80</v>
      </c>
      <c r="B62" s="1332" t="s">
        <v>151</v>
      </c>
      <c r="C62" s="1332"/>
      <c r="D62" s="872">
        <f t="shared" si="15"/>
        <v>15721.77</v>
      </c>
      <c r="E62" s="872">
        <f t="shared" si="15"/>
        <v>-4981</v>
      </c>
      <c r="F62" s="872">
        <f t="shared" si="15"/>
        <v>10740.77</v>
      </c>
      <c r="G62" s="872">
        <f>+'6.a. mell. PH'!D58</f>
        <v>1756</v>
      </c>
      <c r="H62" s="872">
        <f>+'6.a. mell. PH'!E58</f>
        <v>160</v>
      </c>
      <c r="I62" s="872">
        <f>+'6.a. mell. PH'!F58</f>
        <v>1916</v>
      </c>
      <c r="J62" s="872">
        <f>+'6.b. mell. Óvoda'!D58</f>
        <v>8451.77</v>
      </c>
      <c r="K62" s="872">
        <f>+'6.b. mell. Óvoda'!E58</f>
        <v>0</v>
      </c>
      <c r="L62" s="872">
        <f>+'6.b. mell. Óvoda'!F58</f>
        <v>8451.77</v>
      </c>
      <c r="M62" s="872">
        <f>+'6.c. mell. BBKP'!D58</f>
        <v>5514</v>
      </c>
      <c r="N62" s="872">
        <f>+'6.c. mell. BBKP'!E58</f>
        <v>-5141</v>
      </c>
      <c r="O62" s="872">
        <f>+'6.c. mell. BBKP'!F58</f>
        <v>373</v>
      </c>
    </row>
    <row r="63" spans="1:15" s="156" customFormat="1" x14ac:dyDescent="0.25">
      <c r="A63" s="5" t="s">
        <v>81</v>
      </c>
      <c r="B63" s="1329" t="s">
        <v>150</v>
      </c>
      <c r="C63" s="1329"/>
      <c r="D63" s="873">
        <f t="shared" si="15"/>
        <v>63197.770000000004</v>
      </c>
      <c r="E63" s="873">
        <f t="shared" si="15"/>
        <v>-9368</v>
      </c>
      <c r="F63" s="873">
        <f t="shared" si="15"/>
        <v>53829.770000000004</v>
      </c>
      <c r="G63" s="873">
        <f>SUM(G58:G62)</f>
        <v>13601</v>
      </c>
      <c r="H63" s="873">
        <f t="shared" ref="H63:I63" si="19">SUM(H58:H62)</f>
        <v>160</v>
      </c>
      <c r="I63" s="873">
        <f t="shared" si="19"/>
        <v>13761</v>
      </c>
      <c r="J63" s="873">
        <f>SUM(J58:J62)</f>
        <v>36793.770000000004</v>
      </c>
      <c r="K63" s="873">
        <f t="shared" ref="K63:L63" si="20">SUM(K58:K62)</f>
        <v>20</v>
      </c>
      <c r="L63" s="873">
        <f t="shared" si="20"/>
        <v>36813.770000000004</v>
      </c>
      <c r="M63" s="873">
        <f>SUM(M58:M62)</f>
        <v>12803</v>
      </c>
      <c r="N63" s="873">
        <f t="shared" ref="N63:O63" si="21">SUM(N58:N62)</f>
        <v>-9548</v>
      </c>
      <c r="O63" s="873">
        <f t="shared" si="21"/>
        <v>3255</v>
      </c>
    </row>
    <row r="64" spans="1:15" s="156" customFormat="1" ht="11.25" customHeight="1" x14ac:dyDescent="0.25">
      <c r="A64" s="1330"/>
      <c r="B64" s="1330"/>
      <c r="C64" s="1330"/>
      <c r="D64" s="874"/>
      <c r="E64" s="874"/>
      <c r="F64" s="874"/>
      <c r="G64" s="874"/>
      <c r="H64" s="874"/>
      <c r="I64" s="874"/>
      <c r="J64" s="874"/>
      <c r="K64" s="874"/>
      <c r="L64" s="874"/>
      <c r="M64" s="874"/>
      <c r="N64" s="874"/>
      <c r="O64" s="874"/>
    </row>
    <row r="65" spans="1:15" s="156" customFormat="1" x14ac:dyDescent="0.25">
      <c r="A65" s="4" t="s">
        <v>101</v>
      </c>
      <c r="B65" s="1333" t="s">
        <v>735</v>
      </c>
      <c r="C65" s="1333"/>
      <c r="D65" s="872">
        <f>+G65+J65+M65</f>
        <v>0</v>
      </c>
      <c r="E65" s="872">
        <f t="shared" ref="E65:F65" si="22">+H65+K65+N65</f>
        <v>8758</v>
      </c>
      <c r="F65" s="872">
        <f t="shared" si="22"/>
        <v>8758</v>
      </c>
      <c r="G65" s="872">
        <f>+'6.a. mell. PH'!D61</f>
        <v>0</v>
      </c>
      <c r="H65" s="872">
        <f>+'6.a. mell. PH'!E61</f>
        <v>0</v>
      </c>
      <c r="I65" s="872">
        <f>+'6.a. mell. PH'!F61</f>
        <v>0</v>
      </c>
      <c r="J65" s="872"/>
      <c r="K65" s="872"/>
      <c r="L65" s="872"/>
      <c r="M65" s="872">
        <f>+'6.c. mell. BBKP'!D61</f>
        <v>0</v>
      </c>
      <c r="N65" s="872">
        <f>+'6.c. mell. BBKP'!E61</f>
        <v>8758</v>
      </c>
      <c r="O65" s="872">
        <f>+'6.c. mell. BBKP'!F61</f>
        <v>8758</v>
      </c>
    </row>
    <row r="66" spans="1:15" s="156" customFormat="1" x14ac:dyDescent="0.25">
      <c r="A66" s="4" t="s">
        <v>106</v>
      </c>
      <c r="B66" s="1333" t="s">
        <v>163</v>
      </c>
      <c r="C66" s="1333"/>
      <c r="D66" s="872">
        <f t="shared" si="15"/>
        <v>40910</v>
      </c>
      <c r="E66" s="872">
        <f t="shared" si="15"/>
        <v>-10901</v>
      </c>
      <c r="F66" s="872">
        <f t="shared" si="15"/>
        <v>30009</v>
      </c>
      <c r="G66" s="872">
        <f>+'6.a. mell. PH'!D62</f>
        <v>8967</v>
      </c>
      <c r="H66" s="872">
        <f>+'6.a. mell. PH'!E62</f>
        <v>-3438</v>
      </c>
      <c r="I66" s="872">
        <f>+'6.a. mell. PH'!F62</f>
        <v>5529</v>
      </c>
      <c r="J66" s="872">
        <f>+'6.b. mell. Óvoda'!D62</f>
        <v>14724</v>
      </c>
      <c r="K66" s="872">
        <f>+'6.b. mell. Óvoda'!E62</f>
        <v>-103</v>
      </c>
      <c r="L66" s="872">
        <f>+'6.b. mell. Óvoda'!F62</f>
        <v>14621</v>
      </c>
      <c r="M66" s="872">
        <f>+'6.c. mell. BBKP'!D63</f>
        <v>17219</v>
      </c>
      <c r="N66" s="872">
        <f>+'6.c. mell. BBKP'!E63</f>
        <v>-7360</v>
      </c>
      <c r="O66" s="872">
        <f>+'6.c. mell. BBKP'!F63</f>
        <v>9859</v>
      </c>
    </row>
    <row r="67" spans="1:15" s="156" customFormat="1" x14ac:dyDescent="0.25">
      <c r="A67" s="5" t="s">
        <v>107</v>
      </c>
      <c r="B67" s="1329" t="s">
        <v>162</v>
      </c>
      <c r="C67" s="1329"/>
      <c r="D67" s="873">
        <f t="shared" si="15"/>
        <v>40910</v>
      </c>
      <c r="E67" s="873">
        <f t="shared" si="15"/>
        <v>-2143</v>
      </c>
      <c r="F67" s="873">
        <f t="shared" si="15"/>
        <v>38767</v>
      </c>
      <c r="G67" s="873">
        <f>+G66+G65</f>
        <v>8967</v>
      </c>
      <c r="H67" s="873">
        <f t="shared" ref="H67:I67" si="23">+H66+H65</f>
        <v>-3438</v>
      </c>
      <c r="I67" s="873">
        <f t="shared" si="23"/>
        <v>5529</v>
      </c>
      <c r="J67" s="873">
        <f>+J66+J65</f>
        <v>14724</v>
      </c>
      <c r="K67" s="873">
        <f t="shared" ref="K67:L67" si="24">+K66+K65</f>
        <v>-103</v>
      </c>
      <c r="L67" s="873">
        <f t="shared" si="24"/>
        <v>14621</v>
      </c>
      <c r="M67" s="873">
        <f>+M66+M65</f>
        <v>17219</v>
      </c>
      <c r="N67" s="873">
        <f t="shared" ref="N67:O67" si="25">+N66+N65</f>
        <v>1398</v>
      </c>
      <c r="O67" s="873">
        <f t="shared" si="25"/>
        <v>18617</v>
      </c>
    </row>
    <row r="68" spans="1:15" s="156" customFormat="1" x14ac:dyDescent="0.25">
      <c r="A68" s="1330"/>
      <c r="B68" s="1330"/>
      <c r="C68" s="1330"/>
      <c r="D68" s="874"/>
      <c r="E68" s="874"/>
      <c r="F68" s="874"/>
      <c r="G68" s="874"/>
      <c r="H68" s="874"/>
      <c r="I68" s="874"/>
      <c r="J68" s="874"/>
      <c r="K68" s="874"/>
      <c r="L68" s="874"/>
      <c r="M68" s="874"/>
      <c r="N68" s="874"/>
      <c r="O68" s="874"/>
    </row>
    <row r="69" spans="1:15" s="156" customFormat="1" x14ac:dyDescent="0.25">
      <c r="A69" s="5" t="s">
        <v>122</v>
      </c>
      <c r="B69" s="1329" t="s">
        <v>160</v>
      </c>
      <c r="C69" s="1329"/>
      <c r="D69" s="873">
        <f t="shared" si="15"/>
        <v>207</v>
      </c>
      <c r="E69" s="873">
        <f t="shared" si="15"/>
        <v>85</v>
      </c>
      <c r="F69" s="873">
        <f t="shared" si="15"/>
        <v>292</v>
      </c>
      <c r="G69" s="873">
        <f>+'6.a. mell. PH'!D74</f>
        <v>207</v>
      </c>
      <c r="H69" s="873">
        <f>+'6.a. mell. PH'!E74</f>
        <v>0</v>
      </c>
      <c r="I69" s="873">
        <f>+'6.a. mell. PH'!F74</f>
        <v>207</v>
      </c>
      <c r="J69" s="873">
        <f>+'6.b. mell. Óvoda'!D75</f>
        <v>0</v>
      </c>
      <c r="K69" s="873">
        <f>+'6.b. mell. Óvoda'!E75</f>
        <v>0</v>
      </c>
      <c r="L69" s="873">
        <f>+'6.b. mell. Óvoda'!F75</f>
        <v>0</v>
      </c>
      <c r="M69" s="873">
        <f>+'6.c. mell. BBKP'!D75</f>
        <v>0</v>
      </c>
      <c r="N69" s="873">
        <f>+'6.c. mell. BBKP'!E75</f>
        <v>85</v>
      </c>
      <c r="O69" s="873">
        <f>+'6.c. mell. BBKP'!F75</f>
        <v>85</v>
      </c>
    </row>
    <row r="70" spans="1:15" s="156" customFormat="1" x14ac:dyDescent="0.25">
      <c r="A70" s="1330"/>
      <c r="B70" s="1330"/>
      <c r="C70" s="1330"/>
      <c r="D70" s="874"/>
      <c r="E70" s="874"/>
      <c r="F70" s="874"/>
      <c r="G70" s="874"/>
      <c r="H70" s="874"/>
      <c r="I70" s="874"/>
      <c r="J70" s="874"/>
      <c r="K70" s="874"/>
      <c r="L70" s="874"/>
      <c r="M70" s="874"/>
      <c r="N70" s="874"/>
      <c r="O70" s="874"/>
    </row>
    <row r="71" spans="1:15" s="156" customFormat="1" x14ac:dyDescent="0.25">
      <c r="A71" s="5" t="s">
        <v>131</v>
      </c>
      <c r="B71" s="1329" t="s">
        <v>159</v>
      </c>
      <c r="C71" s="1329"/>
      <c r="D71" s="873">
        <f t="shared" si="15"/>
        <v>0</v>
      </c>
      <c r="E71" s="873">
        <f t="shared" si="15"/>
        <v>0</v>
      </c>
      <c r="F71" s="873">
        <f t="shared" si="15"/>
        <v>0</v>
      </c>
      <c r="G71" s="873">
        <f>+'6.a. mell. PH'!D80</f>
        <v>0</v>
      </c>
      <c r="H71" s="873">
        <f>+'6.a. mell. PH'!E80</f>
        <v>0</v>
      </c>
      <c r="I71" s="873">
        <f>+'6.a. mell. PH'!F80</f>
        <v>0</v>
      </c>
      <c r="J71" s="873">
        <f>+'6.b. mell. Óvoda'!D81</f>
        <v>0</v>
      </c>
      <c r="K71" s="873">
        <f>+'6.b. mell. Óvoda'!E81</f>
        <v>0</v>
      </c>
      <c r="L71" s="873">
        <f>+'6.b. mell. Óvoda'!F81</f>
        <v>0</v>
      </c>
      <c r="M71" s="873">
        <f>+'6.c. mell. BBKP'!D82</f>
        <v>0</v>
      </c>
      <c r="N71" s="873">
        <f>+'6.c. mell. BBKP'!E82</f>
        <v>0</v>
      </c>
      <c r="O71" s="873">
        <f>+'6.c. mell. BBKP'!F82</f>
        <v>0</v>
      </c>
    </row>
    <row r="72" spans="1:15" s="156" customFormat="1" x14ac:dyDescent="0.25">
      <c r="A72" s="1330"/>
      <c r="B72" s="1330"/>
      <c r="C72" s="1330"/>
      <c r="D72" s="874"/>
      <c r="E72" s="874"/>
      <c r="F72" s="874"/>
      <c r="G72" s="874"/>
      <c r="H72" s="874"/>
      <c r="I72" s="874"/>
      <c r="J72" s="874"/>
      <c r="K72" s="874"/>
      <c r="L72" s="874"/>
      <c r="M72" s="874"/>
      <c r="N72" s="874"/>
      <c r="O72" s="874"/>
    </row>
    <row r="73" spans="1:15" s="156" customFormat="1" x14ac:dyDescent="0.25">
      <c r="A73" s="5" t="s">
        <v>133</v>
      </c>
      <c r="B73" s="1329" t="s">
        <v>157</v>
      </c>
      <c r="C73" s="1329"/>
      <c r="D73" s="873">
        <f t="shared" si="15"/>
        <v>0</v>
      </c>
      <c r="E73" s="873">
        <f t="shared" si="15"/>
        <v>0</v>
      </c>
      <c r="F73" s="873">
        <f t="shared" si="15"/>
        <v>0</v>
      </c>
      <c r="G73" s="873">
        <f>+'6.a. mell. PH'!D82</f>
        <v>0</v>
      </c>
      <c r="H73" s="873">
        <f>+'6.a. mell. PH'!E82</f>
        <v>0</v>
      </c>
      <c r="I73" s="873">
        <f>+'6.a. mell. PH'!F82</f>
        <v>0</v>
      </c>
      <c r="J73" s="873">
        <f>+'6.b. mell. Óvoda'!D83</f>
        <v>0</v>
      </c>
      <c r="K73" s="873">
        <f>+'6.b. mell. Óvoda'!E83</f>
        <v>0</v>
      </c>
      <c r="L73" s="873">
        <f>+'6.b. mell. Óvoda'!F83</f>
        <v>0</v>
      </c>
      <c r="M73" s="873"/>
      <c r="N73" s="873"/>
      <c r="O73" s="873"/>
    </row>
    <row r="74" spans="1:15" s="156" customFormat="1" x14ac:dyDescent="0.25">
      <c r="A74" s="1330"/>
      <c r="B74" s="1330"/>
      <c r="C74" s="1330"/>
      <c r="D74" s="874"/>
      <c r="E74" s="874"/>
      <c r="F74" s="874"/>
      <c r="G74" s="874"/>
      <c r="H74" s="874"/>
      <c r="I74" s="874"/>
      <c r="J74" s="874"/>
      <c r="K74" s="874"/>
      <c r="L74" s="874"/>
      <c r="M74" s="874"/>
      <c r="N74" s="874"/>
      <c r="O74" s="874"/>
    </row>
    <row r="75" spans="1:15" s="156" customFormat="1" x14ac:dyDescent="0.25">
      <c r="A75" s="5" t="s">
        <v>134</v>
      </c>
      <c r="B75" s="1329" t="s">
        <v>156</v>
      </c>
      <c r="C75" s="1329"/>
      <c r="D75" s="873">
        <f t="shared" si="15"/>
        <v>465194.77</v>
      </c>
      <c r="E75" s="873">
        <f t="shared" si="15"/>
        <v>-23597</v>
      </c>
      <c r="F75" s="873">
        <f t="shared" si="15"/>
        <v>441597.77</v>
      </c>
      <c r="G75" s="873">
        <f>+G73+G71+G69+G67+G63+G56+G55</f>
        <v>209513</v>
      </c>
      <c r="H75" s="873">
        <f t="shared" ref="H75:I75" si="26">+H73+H71+H69+H67+H63+H56+H55</f>
        <v>-3030</v>
      </c>
      <c r="I75" s="873">
        <f t="shared" si="26"/>
        <v>206483</v>
      </c>
      <c r="J75" s="873">
        <f>+J73+J71+J69+J67+J63+J56+J55</f>
        <v>192358.77000000002</v>
      </c>
      <c r="K75" s="873">
        <f t="shared" ref="K75:L75" si="27">+K73+K71+K69+K67+K63+K56+K55</f>
        <v>-86</v>
      </c>
      <c r="L75" s="873">
        <f t="shared" si="27"/>
        <v>192272.77000000002</v>
      </c>
      <c r="M75" s="873">
        <f>+M73+M71+M69+M67+M63+M56+M55</f>
        <v>63323</v>
      </c>
      <c r="N75" s="873">
        <f t="shared" ref="N75:O75" si="28">+N73+N71+N69+N67+N63+N56+N55</f>
        <v>-20481</v>
      </c>
      <c r="O75" s="873">
        <f t="shared" si="28"/>
        <v>42842</v>
      </c>
    </row>
    <row r="76" spans="1:15" s="156" customFormat="1" x14ac:dyDescent="0.25">
      <c r="A76" s="1330"/>
      <c r="B76" s="1330"/>
      <c r="C76" s="1330"/>
      <c r="D76" s="874"/>
      <c r="E76" s="874"/>
      <c r="F76" s="874"/>
      <c r="G76" s="874"/>
      <c r="H76" s="874"/>
      <c r="I76" s="874"/>
      <c r="J76" s="874"/>
      <c r="K76" s="874"/>
      <c r="L76" s="874"/>
      <c r="M76" s="874"/>
      <c r="N76" s="874"/>
      <c r="O76" s="874"/>
    </row>
    <row r="77" spans="1:15" s="156" customFormat="1" x14ac:dyDescent="0.25">
      <c r="A77" s="67" t="s">
        <v>267</v>
      </c>
      <c r="B77" s="68" t="s">
        <v>273</v>
      </c>
      <c r="C77" s="68"/>
      <c r="D77" s="873">
        <f t="shared" si="15"/>
        <v>0</v>
      </c>
      <c r="E77" s="873">
        <f t="shared" si="15"/>
        <v>0</v>
      </c>
      <c r="F77" s="873">
        <f t="shared" si="15"/>
        <v>0</v>
      </c>
      <c r="G77" s="873">
        <v>0</v>
      </c>
      <c r="H77" s="873">
        <v>0</v>
      </c>
      <c r="I77" s="873">
        <v>0</v>
      </c>
      <c r="J77" s="873">
        <v>0</v>
      </c>
      <c r="K77" s="873">
        <v>0</v>
      </c>
      <c r="L77" s="873">
        <v>0</v>
      </c>
      <c r="M77" s="873">
        <v>0</v>
      </c>
      <c r="N77" s="873">
        <v>0</v>
      </c>
      <c r="O77" s="873">
        <v>0</v>
      </c>
    </row>
    <row r="78" spans="1:15" s="156" customFormat="1" x14ac:dyDescent="0.25">
      <c r="A78" s="1330"/>
      <c r="B78" s="1330"/>
      <c r="C78" s="1330"/>
      <c r="D78" s="874"/>
      <c r="E78" s="874"/>
      <c r="F78" s="874"/>
      <c r="G78" s="874"/>
      <c r="H78" s="874"/>
      <c r="I78" s="874"/>
      <c r="J78" s="874"/>
      <c r="K78" s="874"/>
      <c r="L78" s="874"/>
      <c r="M78" s="874"/>
      <c r="N78" s="874"/>
      <c r="O78" s="874"/>
    </row>
    <row r="79" spans="1:15" s="156" customFormat="1" x14ac:dyDescent="0.25">
      <c r="A79" s="1331" t="s">
        <v>284</v>
      </c>
      <c r="B79" s="1331"/>
      <c r="C79" s="1331"/>
      <c r="D79" s="873">
        <f>+G79+J79+M79</f>
        <v>465194.77</v>
      </c>
      <c r="E79" s="873">
        <f t="shared" ref="E79:F79" si="29">+H79+K79+N79</f>
        <v>-23597</v>
      </c>
      <c r="F79" s="873">
        <f t="shared" si="29"/>
        <v>441597.77</v>
      </c>
      <c r="G79" s="873">
        <f>+G77+G75</f>
        <v>209513</v>
      </c>
      <c r="H79" s="873">
        <f t="shared" ref="H79:I79" si="30">+H77+H75</f>
        <v>-3030</v>
      </c>
      <c r="I79" s="873">
        <f t="shared" si="30"/>
        <v>206483</v>
      </c>
      <c r="J79" s="873">
        <f>+J77+J75</f>
        <v>192358.77000000002</v>
      </c>
      <c r="K79" s="873">
        <f t="shared" ref="K79:L79" si="31">+K77+K75</f>
        <v>-86</v>
      </c>
      <c r="L79" s="873">
        <f t="shared" si="31"/>
        <v>192272.77000000002</v>
      </c>
      <c r="M79" s="873">
        <f>+M77+M75</f>
        <v>63323</v>
      </c>
      <c r="N79" s="873">
        <f t="shared" ref="N79:O79" si="32">+N77+N75</f>
        <v>-20481</v>
      </c>
      <c r="O79" s="873">
        <f t="shared" si="32"/>
        <v>42842</v>
      </c>
    </row>
    <row r="80" spans="1:15" s="156" customFormat="1" x14ac:dyDescent="0.25"/>
    <row r="81" s="156" customFormat="1" x14ac:dyDescent="0.25"/>
    <row r="82" s="156" customFormat="1" x14ac:dyDescent="0.25"/>
    <row r="83" s="156" customFormat="1" x14ac:dyDescent="0.25"/>
    <row r="84" s="156" customFormat="1" x14ac:dyDescent="0.25"/>
    <row r="85" s="156" customFormat="1" x14ac:dyDescent="0.25"/>
  </sheetData>
  <mergeCells count="82"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56:C56"/>
    <mergeCell ref="B48:C48"/>
    <mergeCell ref="A49:C49"/>
    <mergeCell ref="A51:A52"/>
    <mergeCell ref="B51:C52"/>
    <mergeCell ref="J51:L51"/>
    <mergeCell ref="M51:O51"/>
    <mergeCell ref="B53:C53"/>
    <mergeCell ref="B54:C54"/>
    <mergeCell ref="B55:C55"/>
    <mergeCell ref="D51:F51"/>
    <mergeCell ref="G51:I51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2020.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workbookViewId="0">
      <selection activeCell="D4" sqref="D4:F4"/>
    </sheetView>
  </sheetViews>
  <sheetFormatPr defaultColWidth="9.140625" defaultRowHeight="15" x14ac:dyDescent="0.25"/>
  <cols>
    <col min="1" max="1" width="9.140625" style="24"/>
    <col min="2" max="2" width="7.140625" style="25" customWidth="1"/>
    <col min="3" max="3" width="48.85546875" style="25" customWidth="1"/>
    <col min="4" max="4" width="12.140625" style="56" customWidth="1"/>
    <col min="5" max="5" width="9.5703125" style="56" bestFit="1" customWidth="1"/>
    <col min="6" max="6" width="10.85546875" style="56" customWidth="1"/>
    <col min="7" max="16384" width="9.140625" style="1"/>
  </cols>
  <sheetData>
    <row r="1" spans="1:6" ht="18.75" customHeight="1" x14ac:dyDescent="0.25">
      <c r="D1" s="1362" t="s">
        <v>383</v>
      </c>
      <c r="E1" s="1362"/>
      <c r="F1" s="1362"/>
    </row>
    <row r="2" spans="1:6" ht="39.75" customHeight="1" x14ac:dyDescent="0.25">
      <c r="A2" s="1364" t="s">
        <v>0</v>
      </c>
      <c r="B2" s="1358" t="s">
        <v>181</v>
      </c>
      <c r="C2" s="1368"/>
      <c r="D2" s="1372" t="s">
        <v>291</v>
      </c>
      <c r="E2" s="1372"/>
      <c r="F2" s="1372"/>
    </row>
    <row r="3" spans="1:6" s="2" customFormat="1" ht="11.25" customHeight="1" x14ac:dyDescent="0.25">
      <c r="A3" s="1365"/>
      <c r="B3" s="1369"/>
      <c r="C3" s="1370"/>
      <c r="D3" s="293" t="s">
        <v>947</v>
      </c>
      <c r="E3" s="293" t="s">
        <v>694</v>
      </c>
      <c r="F3" s="293" t="s">
        <v>948</v>
      </c>
    </row>
    <row r="4" spans="1:6" s="69" customFormat="1" ht="13.5" customHeight="1" x14ac:dyDescent="0.25">
      <c r="A4" s="1366"/>
      <c r="B4" s="1360"/>
      <c r="C4" s="1371"/>
      <c r="D4" s="1373" t="s">
        <v>188</v>
      </c>
      <c r="E4" s="1374"/>
      <c r="F4" s="1375"/>
    </row>
    <row r="5" spans="1:6" ht="12" customHeight="1" x14ac:dyDescent="0.25">
      <c r="A5" s="12" t="s">
        <v>2</v>
      </c>
      <c r="B5" s="1211" t="s">
        <v>1</v>
      </c>
      <c r="C5" s="1211"/>
      <c r="D5" s="27">
        <v>136926</v>
      </c>
      <c r="E5" s="26">
        <v>-4209</v>
      </c>
      <c r="F5" s="26">
        <f>+D5+E5</f>
        <v>132717</v>
      </c>
    </row>
    <row r="6" spans="1:6" ht="12" customHeight="1" x14ac:dyDescent="0.25">
      <c r="A6" s="4" t="s">
        <v>4</v>
      </c>
      <c r="B6" s="1211" t="s">
        <v>3</v>
      </c>
      <c r="C6" s="1211"/>
      <c r="D6" s="27"/>
      <c r="E6" s="26"/>
      <c r="F6" s="26">
        <f t="shared" ref="F6:F18" si="0">+D6+E6</f>
        <v>0</v>
      </c>
    </row>
    <row r="7" spans="1:6" ht="12" customHeight="1" x14ac:dyDescent="0.25">
      <c r="A7" s="4" t="s">
        <v>6</v>
      </c>
      <c r="B7" s="1211" t="s">
        <v>5</v>
      </c>
      <c r="C7" s="1211"/>
      <c r="D7" s="27">
        <v>4955</v>
      </c>
      <c r="E7" s="26">
        <f>2468+219</f>
        <v>2687</v>
      </c>
      <c r="F7" s="26">
        <f t="shared" si="0"/>
        <v>7642</v>
      </c>
    </row>
    <row r="8" spans="1:6" ht="12" customHeight="1" x14ac:dyDescent="0.25">
      <c r="A8" s="4" t="s">
        <v>8</v>
      </c>
      <c r="B8" s="1211" t="s">
        <v>7</v>
      </c>
      <c r="C8" s="1211"/>
      <c r="D8" s="27">
        <v>1214</v>
      </c>
      <c r="E8" s="26">
        <v>1403</v>
      </c>
      <c r="F8" s="26">
        <f t="shared" si="0"/>
        <v>2617</v>
      </c>
    </row>
    <row r="9" spans="1:6" ht="12" customHeight="1" x14ac:dyDescent="0.25">
      <c r="A9" s="4" t="s">
        <v>10</v>
      </c>
      <c r="B9" s="1211" t="s">
        <v>9</v>
      </c>
      <c r="C9" s="1211"/>
      <c r="D9" s="27"/>
      <c r="E9" s="26"/>
      <c r="F9" s="26">
        <f t="shared" si="0"/>
        <v>0</v>
      </c>
    </row>
    <row r="10" spans="1:6" ht="12" customHeight="1" x14ac:dyDescent="0.25">
      <c r="A10" s="4" t="s">
        <v>12</v>
      </c>
      <c r="B10" s="1211" t="s">
        <v>11</v>
      </c>
      <c r="C10" s="1211"/>
      <c r="D10" s="27"/>
      <c r="E10" s="27"/>
      <c r="F10" s="26">
        <f t="shared" si="0"/>
        <v>0</v>
      </c>
    </row>
    <row r="11" spans="1:6" ht="12" customHeight="1" x14ac:dyDescent="0.25">
      <c r="A11" s="4" t="s">
        <v>14</v>
      </c>
      <c r="B11" s="1211" t="s">
        <v>13</v>
      </c>
      <c r="C11" s="1211"/>
      <c r="D11" s="27">
        <v>5835</v>
      </c>
      <c r="E11" s="27"/>
      <c r="F11" s="26">
        <f t="shared" si="0"/>
        <v>5835</v>
      </c>
    </row>
    <row r="12" spans="1:6" ht="12" customHeight="1" x14ac:dyDescent="0.25">
      <c r="A12" s="4" t="s">
        <v>16</v>
      </c>
      <c r="B12" s="1211" t="s">
        <v>15</v>
      </c>
      <c r="C12" s="1211"/>
      <c r="D12" s="27"/>
      <c r="E12" s="27"/>
      <c r="F12" s="26">
        <f t="shared" si="0"/>
        <v>0</v>
      </c>
    </row>
    <row r="13" spans="1:6" ht="12" customHeight="1" x14ac:dyDescent="0.25">
      <c r="A13" s="4" t="s">
        <v>18</v>
      </c>
      <c r="B13" s="1211" t="s">
        <v>17</v>
      </c>
      <c r="C13" s="1211"/>
      <c r="D13" s="27">
        <v>2476</v>
      </c>
      <c r="E13" s="27"/>
      <c r="F13" s="26">
        <f t="shared" si="0"/>
        <v>2476</v>
      </c>
    </row>
    <row r="14" spans="1:6" ht="12" customHeight="1" x14ac:dyDescent="0.25">
      <c r="A14" s="4" t="s">
        <v>20</v>
      </c>
      <c r="B14" s="1211" t="s">
        <v>19</v>
      </c>
      <c r="C14" s="1211"/>
      <c r="D14" s="27">
        <v>155</v>
      </c>
      <c r="E14" s="27">
        <v>55</v>
      </c>
      <c r="F14" s="26">
        <f t="shared" si="0"/>
        <v>210</v>
      </c>
    </row>
    <row r="15" spans="1:6" ht="12" customHeight="1" x14ac:dyDescent="0.25">
      <c r="A15" s="4" t="s">
        <v>22</v>
      </c>
      <c r="B15" s="1211" t="s">
        <v>21</v>
      </c>
      <c r="C15" s="1211"/>
      <c r="D15" s="27">
        <v>1065</v>
      </c>
      <c r="E15" s="27"/>
      <c r="F15" s="26">
        <f t="shared" si="0"/>
        <v>1065</v>
      </c>
    </row>
    <row r="16" spans="1:6" ht="12" customHeight="1" x14ac:dyDescent="0.25">
      <c r="A16" s="4" t="s">
        <v>24</v>
      </c>
      <c r="B16" s="1211" t="s">
        <v>23</v>
      </c>
      <c r="C16" s="1211"/>
      <c r="D16" s="27">
        <v>540</v>
      </c>
      <c r="E16" s="27">
        <v>0</v>
      </c>
      <c r="F16" s="26">
        <f t="shared" si="0"/>
        <v>540</v>
      </c>
    </row>
    <row r="17" spans="1:6" ht="12" customHeight="1" x14ac:dyDescent="0.25">
      <c r="A17" s="4" t="s">
        <v>25</v>
      </c>
      <c r="B17" s="1211" t="s">
        <v>174</v>
      </c>
      <c r="C17" s="1211"/>
      <c r="D17" s="27">
        <f>2757+10</f>
        <v>2767</v>
      </c>
      <c r="E17" s="27">
        <f>429-10</f>
        <v>419</v>
      </c>
      <c r="F17" s="26">
        <f t="shared" si="0"/>
        <v>3186</v>
      </c>
    </row>
    <row r="18" spans="1:6" ht="12" customHeight="1" x14ac:dyDescent="0.25">
      <c r="A18" s="4" t="s">
        <v>25</v>
      </c>
      <c r="B18" s="1211" t="s">
        <v>26</v>
      </c>
      <c r="C18" s="1211"/>
      <c r="D18" s="27"/>
      <c r="E18" s="27"/>
      <c r="F18" s="26">
        <f t="shared" si="0"/>
        <v>0</v>
      </c>
    </row>
    <row r="19" spans="1:6" ht="12" customHeight="1" x14ac:dyDescent="0.25">
      <c r="A19" s="5" t="s">
        <v>27</v>
      </c>
      <c r="B19" s="1215" t="s">
        <v>173</v>
      </c>
      <c r="C19" s="1215"/>
      <c r="D19" s="53">
        <f>SUM(D5:D18)</f>
        <v>155933</v>
      </c>
      <c r="E19" s="53">
        <f>SUM(E5:E18)</f>
        <v>355</v>
      </c>
      <c r="F19" s="53">
        <f>SUM(F5:F18)</f>
        <v>156288</v>
      </c>
    </row>
    <row r="20" spans="1:6" ht="12" customHeight="1" x14ac:dyDescent="0.25">
      <c r="A20" s="4" t="s">
        <v>29</v>
      </c>
      <c r="B20" s="1211" t="s">
        <v>28</v>
      </c>
      <c r="C20" s="1211"/>
      <c r="D20" s="27"/>
      <c r="E20" s="27"/>
      <c r="F20" s="26">
        <f t="shared" ref="F20:F22" si="1">+D20+E20</f>
        <v>0</v>
      </c>
    </row>
    <row r="21" spans="1:6" ht="12" customHeight="1" x14ac:dyDescent="0.25">
      <c r="A21" s="4" t="s">
        <v>634</v>
      </c>
      <c r="B21" s="1211" t="s">
        <v>30</v>
      </c>
      <c r="C21" s="1211"/>
      <c r="D21" s="27">
        <v>0</v>
      </c>
      <c r="E21" s="27"/>
      <c r="F21" s="26">
        <f t="shared" si="1"/>
        <v>0</v>
      </c>
    </row>
    <row r="22" spans="1:6" ht="12" customHeight="1" x14ac:dyDescent="0.25">
      <c r="A22" s="4" t="s">
        <v>32</v>
      </c>
      <c r="B22" s="1211" t="s">
        <v>31</v>
      </c>
      <c r="C22" s="1211"/>
      <c r="D22" s="27">
        <v>30</v>
      </c>
      <c r="E22" s="27"/>
      <c r="F22" s="26">
        <f t="shared" si="1"/>
        <v>30</v>
      </c>
    </row>
    <row r="23" spans="1:6" ht="12" customHeight="1" x14ac:dyDescent="0.25">
      <c r="A23" s="5" t="s">
        <v>33</v>
      </c>
      <c r="B23" s="1215" t="s">
        <v>172</v>
      </c>
      <c r="C23" s="1215"/>
      <c r="D23" s="53">
        <f>SUM(D20:D22)</f>
        <v>30</v>
      </c>
      <c r="E23" s="53">
        <f>SUM(E20:E22)</f>
        <v>0</v>
      </c>
      <c r="F23" s="53">
        <f>SUM(F20:F22)</f>
        <v>30</v>
      </c>
    </row>
    <row r="24" spans="1:6" s="44" customFormat="1" ht="12" customHeight="1" x14ac:dyDescent="0.25">
      <c r="A24" s="6" t="s">
        <v>34</v>
      </c>
      <c r="B24" s="1214" t="s">
        <v>171</v>
      </c>
      <c r="C24" s="1214"/>
      <c r="D24" s="51">
        <f>+D23+D19</f>
        <v>155963</v>
      </c>
      <c r="E24" s="51">
        <f>+E23+E19</f>
        <v>355</v>
      </c>
      <c r="F24" s="51">
        <f>+F23+F19</f>
        <v>156318</v>
      </c>
    </row>
    <row r="25" spans="1:6" ht="10.5" customHeight="1" x14ac:dyDescent="0.25">
      <c r="A25" s="7"/>
      <c r="B25" s="8"/>
      <c r="C25" s="8"/>
      <c r="D25" s="28"/>
      <c r="E25" s="28"/>
      <c r="F25" s="28"/>
    </row>
    <row r="26" spans="1:6" s="44" customFormat="1" ht="12" customHeight="1" x14ac:dyDescent="0.25">
      <c r="A26" s="9" t="s">
        <v>35</v>
      </c>
      <c r="B26" s="1214" t="s">
        <v>170</v>
      </c>
      <c r="C26" s="1214"/>
      <c r="D26" s="50">
        <f>SUM(D27:D31)</f>
        <v>30775</v>
      </c>
      <c r="E26" s="50">
        <f>SUM(E27:E31)</f>
        <v>-107</v>
      </c>
      <c r="F26" s="50">
        <f>SUM(F27:F31)</f>
        <v>30668</v>
      </c>
    </row>
    <row r="27" spans="1:6" ht="12" customHeight="1" x14ac:dyDescent="0.25">
      <c r="A27" s="32" t="s">
        <v>35</v>
      </c>
      <c r="B27" s="37"/>
      <c r="C27" s="33" t="s">
        <v>36</v>
      </c>
      <c r="D27" s="27">
        <v>26856</v>
      </c>
      <c r="E27" s="27">
        <f>-143-176+38-2</f>
        <v>-283</v>
      </c>
      <c r="F27" s="26">
        <f t="shared" ref="F27:F31" si="2">+D27+E27</f>
        <v>26573</v>
      </c>
    </row>
    <row r="28" spans="1:6" ht="12" customHeight="1" x14ac:dyDescent="0.25">
      <c r="A28" s="32" t="s">
        <v>35</v>
      </c>
      <c r="B28" s="37"/>
      <c r="C28" s="33" t="s">
        <v>37</v>
      </c>
      <c r="D28" s="27">
        <v>2898</v>
      </c>
      <c r="E28" s="27"/>
      <c r="F28" s="26">
        <f t="shared" si="2"/>
        <v>2898</v>
      </c>
    </row>
    <row r="29" spans="1:6" ht="12" customHeight="1" x14ac:dyDescent="0.25">
      <c r="A29" s="32" t="s">
        <v>35</v>
      </c>
      <c r="B29" s="37"/>
      <c r="C29" s="33" t="s">
        <v>38</v>
      </c>
      <c r="D29" s="27">
        <v>8</v>
      </c>
      <c r="E29" s="27">
        <v>176</v>
      </c>
      <c r="F29" s="26">
        <f t="shared" si="2"/>
        <v>184</v>
      </c>
    </row>
    <row r="30" spans="1:6" ht="12" customHeight="1" x14ac:dyDescent="0.25">
      <c r="A30" s="32" t="s">
        <v>35</v>
      </c>
      <c r="B30" s="37"/>
      <c r="C30" s="33" t="s">
        <v>39</v>
      </c>
      <c r="D30" s="27"/>
      <c r="E30" s="27"/>
      <c r="F30" s="26">
        <f t="shared" si="2"/>
        <v>0</v>
      </c>
    </row>
    <row r="31" spans="1:6" ht="12" customHeight="1" x14ac:dyDescent="0.25">
      <c r="A31" s="34" t="s">
        <v>35</v>
      </c>
      <c r="B31" s="37"/>
      <c r="C31" s="33" t="s">
        <v>40</v>
      </c>
      <c r="D31" s="27">
        <v>1013</v>
      </c>
      <c r="E31" s="937"/>
      <c r="F31" s="26">
        <f t="shared" si="2"/>
        <v>1013</v>
      </c>
    </row>
    <row r="32" spans="1:6" ht="8.25" customHeight="1" x14ac:dyDescent="0.25">
      <c r="A32" s="10"/>
      <c r="B32" s="23"/>
      <c r="C32" s="11"/>
      <c r="D32" s="28"/>
      <c r="E32" s="28"/>
      <c r="F32" s="28"/>
    </row>
    <row r="33" spans="1:6" ht="12" customHeight="1" x14ac:dyDescent="0.25">
      <c r="A33" s="12" t="s">
        <v>42</v>
      </c>
      <c r="B33" s="1213" t="s">
        <v>41</v>
      </c>
      <c r="C33" s="1213"/>
      <c r="D33" s="27">
        <v>85</v>
      </c>
      <c r="E33" s="30"/>
      <c r="F33" s="26">
        <f t="shared" ref="F33:F35" si="3">+D33+E33</f>
        <v>85</v>
      </c>
    </row>
    <row r="34" spans="1:6" ht="12" customHeight="1" x14ac:dyDescent="0.25">
      <c r="A34" s="4" t="s">
        <v>44</v>
      </c>
      <c r="B34" s="1211" t="s">
        <v>43</v>
      </c>
      <c r="C34" s="1211"/>
      <c r="D34" s="27">
        <v>1641</v>
      </c>
      <c r="E34" s="27"/>
      <c r="F34" s="26">
        <f t="shared" si="3"/>
        <v>1641</v>
      </c>
    </row>
    <row r="35" spans="1:6" ht="12" customHeight="1" x14ac:dyDescent="0.25">
      <c r="A35" s="4" t="s">
        <v>46</v>
      </c>
      <c r="B35" s="1211" t="s">
        <v>45</v>
      </c>
      <c r="C35" s="1211"/>
      <c r="D35" s="27"/>
      <c r="E35" s="27"/>
      <c r="F35" s="26">
        <f t="shared" si="3"/>
        <v>0</v>
      </c>
    </row>
    <row r="36" spans="1:6" s="44" customFormat="1" ht="12" customHeight="1" x14ac:dyDescent="0.25">
      <c r="A36" s="5" t="s">
        <v>47</v>
      </c>
      <c r="B36" s="1215" t="s">
        <v>169</v>
      </c>
      <c r="C36" s="1215"/>
      <c r="D36" s="53">
        <f>SUM(D33:D35)</f>
        <v>1726</v>
      </c>
      <c r="E36" s="53">
        <f t="shared" ref="E36:F36" si="4">SUM(E33:E35)</f>
        <v>0</v>
      </c>
      <c r="F36" s="53">
        <f t="shared" si="4"/>
        <v>1726</v>
      </c>
    </row>
    <row r="37" spans="1:6" ht="12" customHeight="1" x14ac:dyDescent="0.25">
      <c r="A37" s="4" t="s">
        <v>49</v>
      </c>
      <c r="B37" s="1211" t="s">
        <v>48</v>
      </c>
      <c r="C37" s="1211"/>
      <c r="D37" s="27">
        <v>1047</v>
      </c>
      <c r="E37" s="27"/>
      <c r="F37" s="26">
        <f t="shared" ref="F37:F38" si="5">+D37+E37</f>
        <v>1047</v>
      </c>
    </row>
    <row r="38" spans="1:6" ht="12" customHeight="1" x14ac:dyDescent="0.25">
      <c r="A38" s="4" t="s">
        <v>51</v>
      </c>
      <c r="B38" s="1211" t="s">
        <v>50</v>
      </c>
      <c r="C38" s="1211"/>
      <c r="D38" s="27">
        <v>900</v>
      </c>
      <c r="E38" s="27"/>
      <c r="F38" s="26">
        <f t="shared" si="5"/>
        <v>900</v>
      </c>
    </row>
    <row r="39" spans="1:6" s="44" customFormat="1" ht="12" customHeight="1" x14ac:dyDescent="0.25">
      <c r="A39" s="5" t="s">
        <v>52</v>
      </c>
      <c r="B39" s="1215" t="s">
        <v>168</v>
      </c>
      <c r="C39" s="1215"/>
      <c r="D39" s="53">
        <f>SUM(D37:D38)</f>
        <v>1947</v>
      </c>
      <c r="E39" s="53">
        <f t="shared" ref="E39:F39" si="6">SUM(E37:E38)</f>
        <v>0</v>
      </c>
      <c r="F39" s="53">
        <f t="shared" si="6"/>
        <v>1947</v>
      </c>
    </row>
    <row r="40" spans="1:6" ht="12" customHeight="1" x14ac:dyDescent="0.25">
      <c r="A40" s="4" t="s">
        <v>54</v>
      </c>
      <c r="B40" s="1211" t="s">
        <v>53</v>
      </c>
      <c r="C40" s="1211"/>
      <c r="D40" s="27"/>
      <c r="E40" s="27"/>
      <c r="F40" s="26">
        <f t="shared" ref="F40:F44" si="7">+D40+E40</f>
        <v>0</v>
      </c>
    </row>
    <row r="41" spans="1:6" ht="12" customHeight="1" x14ac:dyDescent="0.25">
      <c r="A41" s="4" t="s">
        <v>56</v>
      </c>
      <c r="B41" s="1211" t="s">
        <v>55</v>
      </c>
      <c r="C41" s="1211"/>
      <c r="D41" s="27"/>
      <c r="E41" s="27"/>
      <c r="F41" s="26">
        <f t="shared" si="7"/>
        <v>0</v>
      </c>
    </row>
    <row r="42" spans="1:6" ht="12" customHeight="1" x14ac:dyDescent="0.25">
      <c r="A42" s="4" t="s">
        <v>57</v>
      </c>
      <c r="B42" s="1211" t="s">
        <v>166</v>
      </c>
      <c r="C42" s="1211"/>
      <c r="D42" s="27"/>
      <c r="E42" s="27"/>
      <c r="F42" s="26">
        <f t="shared" si="7"/>
        <v>0</v>
      </c>
    </row>
    <row r="43" spans="1:6" ht="12" customHeight="1" x14ac:dyDescent="0.25">
      <c r="A43" s="4" t="s">
        <v>59</v>
      </c>
      <c r="B43" s="1211" t="s">
        <v>58</v>
      </c>
      <c r="C43" s="1211"/>
      <c r="D43" s="27">
        <v>2550</v>
      </c>
      <c r="E43" s="27"/>
      <c r="F43" s="26">
        <f t="shared" si="7"/>
        <v>2550</v>
      </c>
    </row>
    <row r="44" spans="1:6" ht="12" customHeight="1" x14ac:dyDescent="0.25">
      <c r="A44" s="4" t="s">
        <v>60</v>
      </c>
      <c r="B44" s="1363" t="s">
        <v>165</v>
      </c>
      <c r="C44" s="1363"/>
      <c r="D44" s="27">
        <v>456</v>
      </c>
      <c r="E44" s="27"/>
      <c r="F44" s="26">
        <f t="shared" si="7"/>
        <v>456</v>
      </c>
    </row>
    <row r="45" spans="1:6" ht="12" customHeight="1" x14ac:dyDescent="0.25">
      <c r="A45" s="32" t="s">
        <v>60</v>
      </c>
      <c r="B45" s="37"/>
      <c r="C45" s="33" t="s">
        <v>61</v>
      </c>
      <c r="D45" s="29"/>
      <c r="E45" s="27"/>
      <c r="F45" s="27"/>
    </row>
    <row r="46" spans="1:6" ht="12" customHeight="1" x14ac:dyDescent="0.25">
      <c r="A46" s="32" t="s">
        <v>60</v>
      </c>
      <c r="B46" s="37"/>
      <c r="C46" s="33" t="s">
        <v>167</v>
      </c>
      <c r="D46" s="29"/>
      <c r="E46" s="27"/>
      <c r="F46" s="27"/>
    </row>
    <row r="47" spans="1:6" ht="12" customHeight="1" x14ac:dyDescent="0.25">
      <c r="A47" s="4" t="s">
        <v>63</v>
      </c>
      <c r="B47" s="1213" t="s">
        <v>62</v>
      </c>
      <c r="C47" s="1213"/>
      <c r="D47" s="27">
        <v>962</v>
      </c>
      <c r="E47" s="27"/>
      <c r="F47" s="26">
        <f t="shared" ref="F47:F48" si="8">+D47+E47</f>
        <v>962</v>
      </c>
    </row>
    <row r="48" spans="1:6" ht="12" customHeight="1" x14ac:dyDescent="0.25">
      <c r="A48" s="4" t="s">
        <v>65</v>
      </c>
      <c r="B48" s="1211" t="s">
        <v>64</v>
      </c>
      <c r="C48" s="1211"/>
      <c r="D48" s="456">
        <v>4004</v>
      </c>
      <c r="E48" s="27"/>
      <c r="F48" s="26">
        <f t="shared" si="8"/>
        <v>4004</v>
      </c>
    </row>
    <row r="49" spans="1:6" s="44" customFormat="1" ht="12" customHeight="1" x14ac:dyDescent="0.25">
      <c r="A49" s="5" t="s">
        <v>66</v>
      </c>
      <c r="B49" s="1215" t="s">
        <v>155</v>
      </c>
      <c r="C49" s="1215"/>
      <c r="D49" s="53">
        <f>D40+D41+D42+D43+D44+D47+D48</f>
        <v>7972</v>
      </c>
      <c r="E49" s="53">
        <f t="shared" ref="E49:F49" si="9">E40+E41+E42+E43+E44+E47+E48</f>
        <v>0</v>
      </c>
      <c r="F49" s="53">
        <f t="shared" si="9"/>
        <v>7972</v>
      </c>
    </row>
    <row r="50" spans="1:6" ht="12" customHeight="1" x14ac:dyDescent="0.25">
      <c r="A50" s="4" t="s">
        <v>68</v>
      </c>
      <c r="B50" s="1211" t="s">
        <v>67</v>
      </c>
      <c r="C50" s="1211"/>
      <c r="D50" s="56">
        <v>200</v>
      </c>
      <c r="E50" s="27"/>
      <c r="F50" s="26">
        <f t="shared" ref="F50:F51" si="10">+D50+E50</f>
        <v>200</v>
      </c>
    </row>
    <row r="51" spans="1:6" ht="12" customHeight="1" x14ac:dyDescent="0.25">
      <c r="A51" s="4" t="s">
        <v>70</v>
      </c>
      <c r="B51" s="1211" t="s">
        <v>69</v>
      </c>
      <c r="C51" s="1211"/>
      <c r="D51" s="27"/>
      <c r="E51" s="27"/>
      <c r="F51" s="26">
        <f t="shared" si="10"/>
        <v>0</v>
      </c>
    </row>
    <row r="52" spans="1:6" ht="12" customHeight="1" x14ac:dyDescent="0.25">
      <c r="A52" s="5" t="s">
        <v>71</v>
      </c>
      <c r="B52" s="1215" t="s">
        <v>154</v>
      </c>
      <c r="C52" s="1215"/>
      <c r="D52" s="53">
        <f>SUM(D50:D51)</f>
        <v>200</v>
      </c>
      <c r="E52" s="53">
        <f t="shared" ref="E52:F52" si="11">SUM(E50:E51)</f>
        <v>0</v>
      </c>
      <c r="F52" s="53">
        <f t="shared" si="11"/>
        <v>200</v>
      </c>
    </row>
    <row r="53" spans="1:6" ht="12" customHeight="1" x14ac:dyDescent="0.25">
      <c r="A53" s="4" t="s">
        <v>73</v>
      </c>
      <c r="B53" s="1211" t="s">
        <v>72</v>
      </c>
      <c r="C53" s="1211"/>
      <c r="D53" s="56">
        <v>1606</v>
      </c>
      <c r="E53" s="27"/>
      <c r="F53" s="26">
        <f t="shared" ref="F53:F57" si="12">+D53+E53</f>
        <v>1606</v>
      </c>
    </row>
    <row r="54" spans="1:6" ht="12" customHeight="1" x14ac:dyDescent="0.25">
      <c r="A54" s="4" t="s">
        <v>75</v>
      </c>
      <c r="B54" s="1211" t="s">
        <v>74</v>
      </c>
      <c r="C54" s="1211"/>
      <c r="D54" s="27"/>
      <c r="E54" s="27"/>
      <c r="F54" s="26">
        <f t="shared" si="12"/>
        <v>0</v>
      </c>
    </row>
    <row r="55" spans="1:6" ht="12" customHeight="1" x14ac:dyDescent="0.25">
      <c r="A55" s="4" t="s">
        <v>76</v>
      </c>
      <c r="B55" s="1211" t="s">
        <v>153</v>
      </c>
      <c r="C55" s="1211"/>
      <c r="D55" s="27"/>
      <c r="E55" s="27"/>
      <c r="F55" s="26">
        <f t="shared" si="12"/>
        <v>0</v>
      </c>
    </row>
    <row r="56" spans="1:6" ht="12" customHeight="1" x14ac:dyDescent="0.25">
      <c r="A56" s="4" t="s">
        <v>77</v>
      </c>
      <c r="B56" s="1211" t="s">
        <v>152</v>
      </c>
      <c r="C56" s="1211"/>
      <c r="D56" s="27"/>
      <c r="E56" s="27"/>
      <c r="F56" s="26">
        <f t="shared" si="12"/>
        <v>0</v>
      </c>
    </row>
    <row r="57" spans="1:6" ht="12" customHeight="1" x14ac:dyDescent="0.25">
      <c r="A57" s="4" t="s">
        <v>79</v>
      </c>
      <c r="B57" s="1211" t="s">
        <v>78</v>
      </c>
      <c r="C57" s="1211"/>
      <c r="D57" s="56">
        <v>150</v>
      </c>
      <c r="E57" s="27">
        <v>160</v>
      </c>
      <c r="F57" s="26">
        <f t="shared" si="12"/>
        <v>310</v>
      </c>
    </row>
    <row r="58" spans="1:6" ht="12" customHeight="1" x14ac:dyDescent="0.25">
      <c r="A58" s="5" t="s">
        <v>80</v>
      </c>
      <c r="B58" s="1215" t="s">
        <v>151</v>
      </c>
      <c r="C58" s="1215"/>
      <c r="D58" s="53">
        <f>SUM(D53:D57)</f>
        <v>1756</v>
      </c>
      <c r="E58" s="53">
        <f t="shared" ref="E58:F58" si="13">SUM(E53:E57)</f>
        <v>160</v>
      </c>
      <c r="F58" s="53">
        <f t="shared" si="13"/>
        <v>1916</v>
      </c>
    </row>
    <row r="59" spans="1:6" ht="12" customHeight="1" x14ac:dyDescent="0.25">
      <c r="A59" s="6" t="s">
        <v>81</v>
      </c>
      <c r="B59" s="1214" t="s">
        <v>150</v>
      </c>
      <c r="C59" s="1214"/>
      <c r="D59" s="51">
        <f>+D36+D39+D49+D52+D58</f>
        <v>13601</v>
      </c>
      <c r="E59" s="51">
        <f t="shared" ref="E59:F59" si="14">+E36+E39+E49+E52+E58</f>
        <v>160</v>
      </c>
      <c r="F59" s="51">
        <f t="shared" si="14"/>
        <v>13761</v>
      </c>
    </row>
    <row r="60" spans="1:6" ht="12" customHeight="1" x14ac:dyDescent="0.25">
      <c r="A60" s="7"/>
      <c r="B60" s="8"/>
      <c r="C60" s="8"/>
      <c r="D60" s="28"/>
      <c r="E60" s="28"/>
      <c r="F60" s="29"/>
    </row>
    <row r="61" spans="1:6" ht="12" customHeight="1" x14ac:dyDescent="0.25">
      <c r="A61" s="4" t="s">
        <v>101</v>
      </c>
      <c r="B61" s="1367" t="s">
        <v>735</v>
      </c>
      <c r="C61" s="1220"/>
      <c r="E61" s="27"/>
    </row>
    <row r="62" spans="1:6" ht="12" customHeight="1" x14ac:dyDescent="0.25">
      <c r="A62" s="4" t="s">
        <v>106</v>
      </c>
      <c r="B62" s="1367" t="s">
        <v>163</v>
      </c>
      <c r="C62" s="1220"/>
      <c r="D62" s="27">
        <v>8967</v>
      </c>
      <c r="E62" s="27">
        <v>-3438</v>
      </c>
      <c r="F62" s="26">
        <f>+D62+E62</f>
        <v>5529</v>
      </c>
    </row>
    <row r="63" spans="1:6" ht="12" customHeight="1" x14ac:dyDescent="0.25">
      <c r="A63" s="39" t="s">
        <v>106</v>
      </c>
      <c r="B63" s="37"/>
      <c r="C63" s="35" t="s">
        <v>104</v>
      </c>
      <c r="D63" s="27">
        <v>8967</v>
      </c>
      <c r="E63" s="27">
        <v>-3438</v>
      </c>
      <c r="F63" s="26">
        <f>+D63+E62</f>
        <v>5529</v>
      </c>
    </row>
    <row r="64" spans="1:6" ht="12" customHeight="1" x14ac:dyDescent="0.25">
      <c r="A64" s="6" t="s">
        <v>107</v>
      </c>
      <c r="B64" s="1214" t="s">
        <v>162</v>
      </c>
      <c r="C64" s="1214"/>
      <c r="D64" s="51">
        <f>+D62</f>
        <v>8967</v>
      </c>
      <c r="E64" s="51">
        <f t="shared" ref="E64" si="15">+E62</f>
        <v>-3438</v>
      </c>
      <c r="F64" s="51">
        <f>+F63</f>
        <v>5529</v>
      </c>
    </row>
    <row r="65" spans="1:6" ht="12" customHeight="1" x14ac:dyDescent="0.25">
      <c r="A65" s="7"/>
      <c r="B65" s="8"/>
      <c r="C65" s="8"/>
      <c r="D65" s="30"/>
      <c r="E65" s="30"/>
      <c r="F65" s="26">
        <f t="shared" ref="F65:F66" si="16">+D65+E65</f>
        <v>0</v>
      </c>
    </row>
    <row r="66" spans="1:6" ht="12" customHeight="1" x14ac:dyDescent="0.25">
      <c r="A66" s="12" t="s">
        <v>109</v>
      </c>
      <c r="B66" s="1213" t="s">
        <v>108</v>
      </c>
      <c r="C66" s="1213"/>
      <c r="D66" s="27"/>
      <c r="E66" s="27"/>
      <c r="F66" s="26">
        <f t="shared" si="16"/>
        <v>0</v>
      </c>
    </row>
    <row r="67" spans="1:6" ht="12" customHeight="1" x14ac:dyDescent="0.25">
      <c r="A67" s="4" t="s">
        <v>110</v>
      </c>
      <c r="B67" s="1211" t="s">
        <v>161</v>
      </c>
      <c r="C67" s="1211"/>
      <c r="D67" s="27"/>
      <c r="E67" s="27"/>
      <c r="F67" s="27"/>
    </row>
    <row r="68" spans="1:6" ht="12" customHeight="1" x14ac:dyDescent="0.25">
      <c r="A68" s="36" t="s">
        <v>110</v>
      </c>
      <c r="B68" s="37"/>
      <c r="C68" s="40" t="s">
        <v>111</v>
      </c>
      <c r="D68" s="27"/>
      <c r="E68" s="27"/>
      <c r="F68" s="26">
        <f>+D68+E68</f>
        <v>0</v>
      </c>
    </row>
    <row r="69" spans="1:6" ht="12" customHeight="1" x14ac:dyDescent="0.25">
      <c r="A69" s="4" t="s">
        <v>113</v>
      </c>
      <c r="B69" s="1211" t="s">
        <v>112</v>
      </c>
      <c r="C69" s="1211"/>
      <c r="D69" s="27">
        <v>163</v>
      </c>
      <c r="E69" s="27"/>
      <c r="F69" s="26">
        <f>+D69+E69</f>
        <v>163</v>
      </c>
    </row>
    <row r="70" spans="1:6" ht="12" customHeight="1" x14ac:dyDescent="0.25">
      <c r="A70" s="4" t="s">
        <v>115</v>
      </c>
      <c r="B70" s="1211" t="s">
        <v>114</v>
      </c>
      <c r="C70" s="1211"/>
      <c r="D70" s="27"/>
      <c r="E70" s="27"/>
      <c r="F70" s="26">
        <f t="shared" ref="F70:F73" si="17">+D70+E70</f>
        <v>0</v>
      </c>
    </row>
    <row r="71" spans="1:6" ht="12" customHeight="1" x14ac:dyDescent="0.25">
      <c r="A71" s="4" t="s">
        <v>117</v>
      </c>
      <c r="B71" s="1211" t="s">
        <v>116</v>
      </c>
      <c r="C71" s="1211"/>
      <c r="D71" s="27"/>
      <c r="E71" s="27"/>
      <c r="F71" s="26">
        <f t="shared" si="17"/>
        <v>0</v>
      </c>
    </row>
    <row r="72" spans="1:6" ht="12" customHeight="1" x14ac:dyDescent="0.25">
      <c r="A72" s="4" t="s">
        <v>119</v>
      </c>
      <c r="B72" s="1211" t="s">
        <v>118</v>
      </c>
      <c r="C72" s="1211"/>
      <c r="D72" s="27"/>
      <c r="E72" s="27"/>
      <c r="F72" s="26">
        <f t="shared" si="17"/>
        <v>0</v>
      </c>
    </row>
    <row r="73" spans="1:6" ht="12" customHeight="1" x14ac:dyDescent="0.25">
      <c r="A73" s="4" t="s">
        <v>121</v>
      </c>
      <c r="B73" s="1211" t="s">
        <v>120</v>
      </c>
      <c r="C73" s="1211"/>
      <c r="D73" s="56">
        <v>44</v>
      </c>
      <c r="E73" s="937"/>
      <c r="F73" s="26">
        <f t="shared" si="17"/>
        <v>44</v>
      </c>
    </row>
    <row r="74" spans="1:6" ht="12" customHeight="1" x14ac:dyDescent="0.25">
      <c r="A74" s="6" t="s">
        <v>122</v>
      </c>
      <c r="B74" s="1214" t="s">
        <v>160</v>
      </c>
      <c r="C74" s="1214"/>
      <c r="D74" s="51">
        <f>+D66+D67+D69+D70+D71+D72+D73</f>
        <v>207</v>
      </c>
      <c r="E74" s="51">
        <f t="shared" ref="E74:F74" si="18">+E66+E67+E69+E70+E71+E72+E73</f>
        <v>0</v>
      </c>
      <c r="F74" s="51">
        <f t="shared" si="18"/>
        <v>207</v>
      </c>
    </row>
    <row r="75" spans="1:6" ht="12" customHeight="1" x14ac:dyDescent="0.25">
      <c r="A75" s="7"/>
      <c r="B75" s="8"/>
      <c r="C75" s="8"/>
      <c r="D75" s="30"/>
      <c r="E75" s="30"/>
      <c r="F75" s="30"/>
    </row>
    <row r="76" spans="1:6" ht="12" hidden="1" customHeight="1" x14ac:dyDescent="0.25">
      <c r="A76" s="12" t="s">
        <v>124</v>
      </c>
      <c r="B76" s="1213" t="s">
        <v>123</v>
      </c>
      <c r="C76" s="1213"/>
      <c r="D76" s="27"/>
      <c r="E76" s="27"/>
      <c r="F76" s="27"/>
    </row>
    <row r="77" spans="1:6" ht="12" hidden="1" customHeight="1" x14ac:dyDescent="0.25">
      <c r="A77" s="4" t="s">
        <v>126</v>
      </c>
      <c r="B77" s="1211" t="s">
        <v>125</v>
      </c>
      <c r="C77" s="1211"/>
      <c r="D77" s="27"/>
      <c r="E77" s="27"/>
      <c r="F77" s="27"/>
    </row>
    <row r="78" spans="1:6" ht="12" hidden="1" customHeight="1" x14ac:dyDescent="0.25">
      <c r="A78" s="4" t="s">
        <v>128</v>
      </c>
      <c r="B78" s="1211" t="s">
        <v>127</v>
      </c>
      <c r="C78" s="1211"/>
      <c r="D78" s="27"/>
      <c r="E78" s="27"/>
      <c r="F78" s="27"/>
    </row>
    <row r="79" spans="1:6" ht="12" hidden="1" customHeight="1" x14ac:dyDescent="0.25">
      <c r="A79" s="4" t="s">
        <v>130</v>
      </c>
      <c r="B79" s="1211" t="s">
        <v>129</v>
      </c>
      <c r="C79" s="1211"/>
      <c r="D79" s="53">
        <f>SUM(D75:D78)</f>
        <v>0</v>
      </c>
      <c r="E79" s="53">
        <f>SUM(E75:E78)</f>
        <v>0</v>
      </c>
      <c r="F79" s="53">
        <f>SUM(F75:F78)</f>
        <v>0</v>
      </c>
    </row>
    <row r="80" spans="1:6" ht="12" customHeight="1" x14ac:dyDescent="0.25">
      <c r="A80" s="5" t="s">
        <v>131</v>
      </c>
      <c r="B80" s="1215" t="s">
        <v>159</v>
      </c>
      <c r="C80" s="1215"/>
      <c r="D80" s="28"/>
      <c r="E80" s="28"/>
      <c r="F80" s="28"/>
    </row>
    <row r="81" spans="1:6" ht="12" customHeight="1" x14ac:dyDescent="0.25">
      <c r="A81" s="7"/>
      <c r="B81" s="15"/>
      <c r="C81" s="15"/>
      <c r="D81" s="27"/>
      <c r="E81" s="27"/>
      <c r="F81" s="27"/>
    </row>
    <row r="82" spans="1:6" ht="12" customHeight="1" x14ac:dyDescent="0.25">
      <c r="A82" s="14" t="s">
        <v>133</v>
      </c>
      <c r="B82" s="1222" t="s">
        <v>157</v>
      </c>
      <c r="C82" s="1222"/>
      <c r="D82" s="200"/>
      <c r="E82" s="200"/>
      <c r="F82" s="200"/>
    </row>
    <row r="83" spans="1:6" ht="12" customHeight="1" thickBot="1" x14ac:dyDescent="0.3">
      <c r="A83" s="45"/>
      <c r="B83" s="46"/>
      <c r="C83" s="46"/>
    </row>
    <row r="84" spans="1:6" ht="12" customHeight="1" thickBot="1" x14ac:dyDescent="0.3">
      <c r="A84" s="47" t="s">
        <v>134</v>
      </c>
      <c r="B84" s="1223" t="s">
        <v>156</v>
      </c>
      <c r="C84" s="1223"/>
      <c r="D84" s="57">
        <f>+D81+D74+D64+D59+D26+D24</f>
        <v>209513</v>
      </c>
      <c r="E84" s="57">
        <f>+E81+E74+E64+E59+E26+E24</f>
        <v>-3030</v>
      </c>
      <c r="F84" s="57">
        <f>+F81+F74+F64+F59+F26+F24</f>
        <v>206483</v>
      </c>
    </row>
    <row r="85" spans="1:6" x14ac:dyDescent="0.25">
      <c r="D85" s="306"/>
      <c r="E85" s="306"/>
      <c r="F85" s="306"/>
    </row>
    <row r="86" spans="1:6" x14ac:dyDescent="0.25">
      <c r="D86" s="435"/>
      <c r="E86" s="435"/>
      <c r="F86" s="435"/>
    </row>
  </sheetData>
  <mergeCells count="69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3" orientation="portrait" r:id="rId1"/>
  <headerFooter>
    <oddHeader>&amp;C&amp;"Times New Roman,Félkövér"&amp;12Martonvásár Város Önkormányzatának kiadásai 2020.
Polgármesteri Hivatal&amp;R&amp;"Times New Roman,Félkövér"&amp;12 6.a melléklet</oddHeader>
  </headerFooter>
  <rowBreaks count="1" manualBreakCount="1">
    <brk id="5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topLeftCell="A10" zoomScaleNormal="100" workbookViewId="0">
      <selection activeCell="B22" sqref="B22"/>
    </sheetView>
  </sheetViews>
  <sheetFormatPr defaultColWidth="9.140625" defaultRowHeight="15.75" x14ac:dyDescent="0.25"/>
  <cols>
    <col min="1" max="1" width="5.42578125" style="124" customWidth="1"/>
    <col min="2" max="2" width="54.85546875" style="118" customWidth="1"/>
    <col min="3" max="3" width="10.42578125" style="118" customWidth="1"/>
    <col min="4" max="4" width="9.140625" style="118" customWidth="1"/>
    <col min="5" max="5" width="9" style="118" customWidth="1"/>
    <col min="6" max="20" width="9.140625" style="84"/>
    <col min="21" max="16384" width="9.140625" style="118"/>
  </cols>
  <sheetData>
    <row r="1" spans="1:20" ht="15.95" customHeight="1" x14ac:dyDescent="0.25">
      <c r="A1" s="78" t="s">
        <v>298</v>
      </c>
      <c r="B1" s="79"/>
      <c r="C1" s="79"/>
      <c r="D1" s="79"/>
      <c r="E1" s="79"/>
    </row>
    <row r="2" spans="1:20" ht="15.95" customHeight="1" x14ac:dyDescent="0.25">
      <c r="A2" s="1164" t="s">
        <v>299</v>
      </c>
      <c r="B2" s="1164"/>
      <c r="D2" s="469"/>
      <c r="E2" s="978" t="s">
        <v>380</v>
      </c>
    </row>
    <row r="3" spans="1:20" ht="35.25" customHeight="1" x14ac:dyDescent="0.25">
      <c r="A3" s="125"/>
      <c r="B3" s="125" t="s">
        <v>181</v>
      </c>
      <c r="C3" s="143" t="s">
        <v>942</v>
      </c>
      <c r="D3" s="60" t="s">
        <v>694</v>
      </c>
      <c r="E3" s="60" t="s">
        <v>943</v>
      </c>
      <c r="O3" s="118"/>
      <c r="P3" s="118"/>
      <c r="Q3" s="118"/>
      <c r="R3" s="118"/>
      <c r="S3" s="118"/>
      <c r="T3" s="118"/>
    </row>
    <row r="4" spans="1:20" s="137" customFormat="1" x14ac:dyDescent="0.25">
      <c r="A4" s="135" t="s">
        <v>392</v>
      </c>
      <c r="B4" s="129" t="s">
        <v>391</v>
      </c>
      <c r="C4" s="141">
        <f>+C7+C8+C13+C14</f>
        <v>963708</v>
      </c>
      <c r="D4" s="141">
        <f t="shared" ref="D4:E4" si="0">+D7+D8+D13+D14</f>
        <v>27971</v>
      </c>
      <c r="E4" s="141">
        <f t="shared" si="0"/>
        <v>991679</v>
      </c>
      <c r="F4" s="136"/>
      <c r="G4" s="136"/>
      <c r="H4" s="136"/>
      <c r="I4" s="136"/>
      <c r="J4" s="136"/>
      <c r="K4" s="136"/>
      <c r="L4" s="136"/>
      <c r="M4" s="136"/>
      <c r="N4" s="136"/>
    </row>
    <row r="5" spans="1:20" s="119" customFormat="1" ht="12" customHeight="1" x14ac:dyDescent="0.2">
      <c r="A5" s="90" t="s">
        <v>389</v>
      </c>
      <c r="B5" s="140" t="s">
        <v>327</v>
      </c>
      <c r="C5" s="88">
        <f>+'3.mell. Bevétel'!C11</f>
        <v>513884</v>
      </c>
      <c r="D5" s="88">
        <f>+'3.mell. Bevétel'!D11</f>
        <v>5471</v>
      </c>
      <c r="E5" s="88">
        <f>+'3.mell. Bevétel'!E11</f>
        <v>519355</v>
      </c>
      <c r="F5" s="84"/>
      <c r="G5" s="84"/>
      <c r="H5" s="84"/>
      <c r="I5" s="84"/>
      <c r="J5" s="84"/>
      <c r="K5" s="84"/>
      <c r="L5" s="84"/>
      <c r="M5" s="84"/>
      <c r="N5" s="84"/>
    </row>
    <row r="6" spans="1:20" s="119" customFormat="1" ht="26.25" customHeight="1" x14ac:dyDescent="0.2">
      <c r="A6" s="139" t="s">
        <v>390</v>
      </c>
      <c r="B6" s="140" t="s">
        <v>203</v>
      </c>
      <c r="C6" s="88">
        <f>+'3.mell. Bevétel'!C12+'6.mell Int.összesen'!D15</f>
        <v>30608</v>
      </c>
      <c r="D6" s="88">
        <f>+'3.mell. Bevétel'!D12+'6.mell Int.összesen'!E15</f>
        <v>10544</v>
      </c>
      <c r="E6" s="88">
        <f>+'3.mell. Bevétel'!E12+'6.mell Int.összesen'!F15</f>
        <v>41152</v>
      </c>
      <c r="F6" s="84"/>
      <c r="G6" s="84"/>
      <c r="H6" s="84"/>
      <c r="I6" s="84"/>
      <c r="J6" s="84"/>
      <c r="K6" s="84"/>
      <c r="L6" s="84"/>
      <c r="M6" s="84"/>
      <c r="N6" s="84"/>
    </row>
    <row r="7" spans="1:20" s="138" customFormat="1" ht="12" customHeight="1" x14ac:dyDescent="0.2">
      <c r="A7" s="62" t="s">
        <v>304</v>
      </c>
      <c r="B7" s="54" t="s">
        <v>325</v>
      </c>
      <c r="C7" s="72">
        <f>+C5+C6</f>
        <v>544492</v>
      </c>
      <c r="D7" s="72">
        <f t="shared" ref="D7:E7" si="1">+D5+D6</f>
        <v>16015</v>
      </c>
      <c r="E7" s="72">
        <f t="shared" si="1"/>
        <v>560507</v>
      </c>
      <c r="F7" s="136"/>
      <c r="G7" s="136"/>
      <c r="H7" s="136"/>
      <c r="I7" s="136"/>
      <c r="J7" s="136"/>
      <c r="K7" s="136"/>
      <c r="L7" s="136"/>
      <c r="M7" s="136"/>
      <c r="N7" s="136"/>
    </row>
    <row r="8" spans="1:20" s="119" customFormat="1" ht="12" customHeight="1" x14ac:dyDescent="0.2">
      <c r="A8" s="131" t="s">
        <v>393</v>
      </c>
      <c r="B8" s="54" t="s">
        <v>331</v>
      </c>
      <c r="C8" s="72">
        <f>SUM(C9:C12)</f>
        <v>344859</v>
      </c>
      <c r="D8" s="72">
        <f t="shared" ref="D8:E8" si="2">SUM(D9:D12)</f>
        <v>0</v>
      </c>
      <c r="E8" s="72">
        <f t="shared" si="2"/>
        <v>344859</v>
      </c>
      <c r="F8" s="84"/>
      <c r="G8" s="84"/>
      <c r="H8" s="84"/>
      <c r="I8" s="84"/>
      <c r="J8" s="84"/>
      <c r="K8" s="84"/>
      <c r="L8" s="84"/>
      <c r="M8" s="84"/>
      <c r="N8" s="84"/>
    </row>
    <row r="9" spans="1:20" s="119" customFormat="1" ht="12" customHeight="1" x14ac:dyDescent="0.2">
      <c r="A9" s="90" t="s">
        <v>394</v>
      </c>
      <c r="B9" s="140" t="s">
        <v>329</v>
      </c>
      <c r="C9" s="72">
        <f>+'3.mell. Bevétel'!C40</f>
        <v>0</v>
      </c>
      <c r="D9" s="72">
        <f>+'3.mell. Bevétel'!D40</f>
        <v>0</v>
      </c>
      <c r="E9" s="72">
        <f>+'3.mell. Bevétel'!E40</f>
        <v>0</v>
      </c>
      <c r="F9" s="84"/>
      <c r="G9" s="84"/>
      <c r="H9" s="84"/>
      <c r="I9" s="84"/>
      <c r="J9" s="84"/>
      <c r="K9" s="84"/>
      <c r="L9" s="84"/>
      <c r="M9" s="84"/>
      <c r="N9" s="84"/>
    </row>
    <row r="10" spans="1:20" s="119" customFormat="1" ht="12" customHeight="1" x14ac:dyDescent="0.2">
      <c r="A10" s="139" t="s">
        <v>395</v>
      </c>
      <c r="B10" s="140" t="s">
        <v>218</v>
      </c>
      <c r="C10" s="72">
        <f>+'3.mell. Bevétel'!C43</f>
        <v>157800</v>
      </c>
      <c r="D10" s="72">
        <f>+'3.mell. Bevétel'!D43</f>
        <v>0</v>
      </c>
      <c r="E10" s="72">
        <f>+'3.mell. Bevétel'!E43</f>
        <v>157800</v>
      </c>
      <c r="F10" s="84"/>
      <c r="G10" s="84"/>
      <c r="H10" s="84"/>
      <c r="I10" s="84"/>
      <c r="J10" s="84"/>
      <c r="K10" s="84"/>
      <c r="L10" s="84"/>
      <c r="M10" s="84"/>
      <c r="N10" s="84"/>
    </row>
    <row r="11" spans="1:20" s="119" customFormat="1" ht="12" customHeight="1" x14ac:dyDescent="0.2">
      <c r="A11" s="90" t="s">
        <v>396</v>
      </c>
      <c r="B11" s="140" t="s">
        <v>330</v>
      </c>
      <c r="C11" s="72">
        <f>+'3.mell. Bevétel'!C52</f>
        <v>168600</v>
      </c>
      <c r="D11" s="72">
        <f>+'3.mell. Bevétel'!D52</f>
        <v>0</v>
      </c>
      <c r="E11" s="72">
        <f>+'3.mell. Bevétel'!E52</f>
        <v>168600</v>
      </c>
      <c r="F11" s="84"/>
      <c r="G11" s="84"/>
      <c r="H11" s="84"/>
      <c r="I11" s="84"/>
      <c r="J11" s="84"/>
      <c r="K11" s="84"/>
      <c r="L11" s="84"/>
      <c r="M11" s="84"/>
      <c r="N11" s="84"/>
    </row>
    <row r="12" spans="1:20" s="119" customFormat="1" ht="12" customHeight="1" x14ac:dyDescent="0.2">
      <c r="A12" s="139" t="s">
        <v>397</v>
      </c>
      <c r="B12" s="140" t="s">
        <v>231</v>
      </c>
      <c r="C12" s="72">
        <f>+'3.mell. Bevétel'!C53</f>
        <v>18459</v>
      </c>
      <c r="D12" s="72">
        <f>+'3.mell. Bevétel'!D53</f>
        <v>0</v>
      </c>
      <c r="E12" s="72">
        <f>+'3.mell. Bevétel'!E53</f>
        <v>18459</v>
      </c>
      <c r="F12" s="84"/>
      <c r="G12" s="84"/>
      <c r="H12" s="84"/>
      <c r="I12" s="84"/>
      <c r="J12" s="84"/>
      <c r="K12" s="84"/>
      <c r="L12" s="84"/>
      <c r="M12" s="84"/>
      <c r="N12" s="84"/>
    </row>
    <row r="13" spans="1:20" s="119" customFormat="1" ht="12" customHeight="1" x14ac:dyDescent="0.2">
      <c r="A13" s="62">
        <v>3</v>
      </c>
      <c r="B13" s="54" t="s">
        <v>276</v>
      </c>
      <c r="C13" s="72">
        <f>+'3.mell. Bevétel'!C65+'6.mell Int.összesen'!D36</f>
        <v>73614</v>
      </c>
      <c r="D13" s="72">
        <f>+'3.mell. Bevétel'!D65+'6.mell Int.összesen'!E36</f>
        <v>11956</v>
      </c>
      <c r="E13" s="72">
        <f>+'3.mell. Bevétel'!E65+'6.mell Int.összesen'!F36</f>
        <v>85570</v>
      </c>
      <c r="F13" s="84"/>
      <c r="G13" s="84"/>
      <c r="H13" s="84"/>
      <c r="I13" s="84"/>
      <c r="J13" s="84"/>
      <c r="K13" s="84"/>
      <c r="L13" s="84"/>
      <c r="M13" s="84"/>
      <c r="N13" s="84"/>
    </row>
    <row r="14" spans="1:20" s="119" customFormat="1" ht="12" customHeight="1" x14ac:dyDescent="0.2">
      <c r="A14" s="131">
        <v>4</v>
      </c>
      <c r="B14" s="54" t="s">
        <v>274</v>
      </c>
      <c r="C14" s="72">
        <f>+'3.mell. Bevétel'!C69+'6.mell Int.összesen'!D39</f>
        <v>743</v>
      </c>
      <c r="D14" s="72">
        <f>+'3.mell. Bevétel'!D69+'6.mell Int.összesen'!E39</f>
        <v>0</v>
      </c>
      <c r="E14" s="72">
        <f>+'3.mell. Bevétel'!E69+'6.mell Int.összesen'!F39</f>
        <v>743</v>
      </c>
      <c r="F14" s="84"/>
      <c r="G14" s="84"/>
      <c r="H14" s="84"/>
      <c r="I14" s="84"/>
      <c r="J14" s="84"/>
      <c r="K14" s="84"/>
      <c r="L14" s="84"/>
      <c r="M14" s="84"/>
      <c r="N14" s="84"/>
    </row>
    <row r="15" spans="1:20" s="138" customFormat="1" ht="12" customHeight="1" x14ac:dyDescent="0.2">
      <c r="A15" s="63" t="s">
        <v>398</v>
      </c>
      <c r="B15" s="129" t="s">
        <v>275</v>
      </c>
      <c r="C15" s="76">
        <f>SUM(C16:C18)</f>
        <v>150106</v>
      </c>
      <c r="D15" s="76">
        <f t="shared" ref="D15:E15" si="3">SUM(D16:D18)</f>
        <v>960</v>
      </c>
      <c r="E15" s="76">
        <f t="shared" si="3"/>
        <v>151066</v>
      </c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20" s="119" customFormat="1" ht="12" customHeight="1" x14ac:dyDescent="0.2">
      <c r="A16" s="131">
        <v>1</v>
      </c>
      <c r="B16" s="54" t="s">
        <v>326</v>
      </c>
      <c r="C16" s="72">
        <f>+'3.mell. Bevétel'!C37+'6.mell Int.összesen'!D41</f>
        <v>117106</v>
      </c>
      <c r="D16" s="72">
        <f>+'3.mell. Bevétel'!D37+'6.mell Int.összesen'!E41</f>
        <v>0</v>
      </c>
      <c r="E16" s="72">
        <f>+'3.mell. Bevétel'!E37+'6.mell Int.összesen'!F41</f>
        <v>117106</v>
      </c>
      <c r="F16" s="84"/>
      <c r="G16" s="84"/>
      <c r="H16" s="84"/>
      <c r="I16" s="84"/>
      <c r="J16" s="84"/>
      <c r="K16" s="84"/>
      <c r="L16" s="84"/>
      <c r="M16" s="84"/>
      <c r="N16" s="84"/>
    </row>
    <row r="17" spans="1:20" s="119" customFormat="1" ht="12" customHeight="1" x14ac:dyDescent="0.2">
      <c r="A17" s="62">
        <v>2</v>
      </c>
      <c r="B17" s="54" t="s">
        <v>275</v>
      </c>
      <c r="C17" s="72">
        <f>+'3.mell. Bevétel'!C66</f>
        <v>33000</v>
      </c>
      <c r="D17" s="72">
        <f>+'3.mell. Bevétel'!D66</f>
        <v>0</v>
      </c>
      <c r="E17" s="72">
        <f>+'3.mell. Bevétel'!E66</f>
        <v>33000</v>
      </c>
      <c r="F17" s="84"/>
      <c r="G17" s="84"/>
      <c r="H17" s="84"/>
      <c r="I17" s="84"/>
      <c r="J17" s="84"/>
      <c r="K17" s="84"/>
      <c r="L17" s="84"/>
      <c r="M17" s="84"/>
      <c r="N17" s="84"/>
    </row>
    <row r="18" spans="1:20" s="119" customFormat="1" ht="12" customHeight="1" x14ac:dyDescent="0.2">
      <c r="A18" s="131">
        <v>3</v>
      </c>
      <c r="B18" s="54" t="s">
        <v>279</v>
      </c>
      <c r="C18" s="72">
        <f>+'3.mell. Bevétel'!C71</f>
        <v>0</v>
      </c>
      <c r="D18" s="72">
        <f>+'3.mell. Bevétel'!D71</f>
        <v>960</v>
      </c>
      <c r="E18" s="72">
        <f>+'3.mell. Bevétel'!E71</f>
        <v>960</v>
      </c>
      <c r="F18" s="84"/>
      <c r="G18" s="84"/>
      <c r="H18" s="84"/>
      <c r="I18" s="84"/>
      <c r="J18" s="84"/>
      <c r="K18" s="84"/>
      <c r="L18" s="84"/>
      <c r="M18" s="84"/>
      <c r="N18" s="84"/>
    </row>
    <row r="19" spans="1:20" s="119" customFormat="1" ht="12" customHeight="1" x14ac:dyDescent="0.2">
      <c r="A19" s="62"/>
      <c r="B19" s="55" t="s">
        <v>377</v>
      </c>
      <c r="C19" s="76">
        <f>+C15+C4</f>
        <v>1113814</v>
      </c>
      <c r="D19" s="76">
        <f t="shared" ref="D19:E19" si="4">+D15+D4</f>
        <v>28931</v>
      </c>
      <c r="E19" s="76">
        <f t="shared" si="4"/>
        <v>1142745</v>
      </c>
      <c r="F19" s="84"/>
      <c r="G19" s="84"/>
      <c r="H19" s="84"/>
      <c r="I19" s="84"/>
      <c r="J19" s="84"/>
      <c r="K19" s="84"/>
      <c r="L19" s="84"/>
      <c r="M19" s="84"/>
      <c r="N19" s="84"/>
    </row>
    <row r="20" spans="1:20" s="119" customFormat="1" ht="12" customHeight="1" x14ac:dyDescent="0.2">
      <c r="A20" s="135" t="s">
        <v>399</v>
      </c>
      <c r="B20" s="55" t="s">
        <v>282</v>
      </c>
      <c r="C20" s="76">
        <f>+C22+C21</f>
        <v>1300683</v>
      </c>
      <c r="D20" s="76">
        <f t="shared" ref="D20:E20" si="5">+D22+D21</f>
        <v>0</v>
      </c>
      <c r="E20" s="76">
        <f t="shared" si="5"/>
        <v>1300683</v>
      </c>
      <c r="F20" s="84"/>
      <c r="G20" s="84"/>
      <c r="H20" s="84"/>
      <c r="I20" s="84"/>
      <c r="J20" s="84"/>
      <c r="K20" s="84"/>
      <c r="L20" s="84"/>
      <c r="M20" s="84"/>
      <c r="N20" s="84"/>
    </row>
    <row r="21" spans="1:20" s="119" customFormat="1" ht="12" customHeight="1" x14ac:dyDescent="0.2">
      <c r="A21" s="62">
        <v>1</v>
      </c>
      <c r="B21" s="54" t="s">
        <v>675</v>
      </c>
      <c r="C21" s="72">
        <f>+'3.mell. Bevétel'!C74</f>
        <v>0</v>
      </c>
      <c r="D21" s="72">
        <f>+'3.mell. Bevétel'!D74</f>
        <v>0</v>
      </c>
      <c r="E21" s="72">
        <f>+'3.mell. Bevétel'!E74</f>
        <v>0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20" s="119" customFormat="1" ht="12" customHeight="1" x14ac:dyDescent="0.2">
      <c r="A22" s="131">
        <v>2</v>
      </c>
      <c r="B22" s="54" t="s">
        <v>332</v>
      </c>
      <c r="C22" s="72">
        <f>SUM(C23:C24)</f>
        <v>1300683</v>
      </c>
      <c r="D22" s="72">
        <f>SUM(D23:D24)</f>
        <v>0</v>
      </c>
      <c r="E22" s="72">
        <f>SUM(E23:E24)</f>
        <v>1300683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20" s="119" customFormat="1" ht="12" customHeight="1" x14ac:dyDescent="0.2">
      <c r="A23" s="62" t="s">
        <v>389</v>
      </c>
      <c r="B23" s="140" t="s">
        <v>375</v>
      </c>
      <c r="C23" s="88">
        <f>+'3.mell. Bevétel'!C76+'6.mell Int.összesen'!D46</f>
        <v>262038</v>
      </c>
      <c r="D23" s="88">
        <f>+'3.mell. Bevétel'!D76+'6.mell Int.összesen'!E46</f>
        <v>0</v>
      </c>
      <c r="E23" s="88">
        <f>+'3.mell. Bevétel'!E76+'6.mell Int.összesen'!F46</f>
        <v>262038</v>
      </c>
      <c r="F23" s="84"/>
      <c r="G23" s="84"/>
      <c r="H23" s="84"/>
      <c r="I23" s="84"/>
      <c r="J23" s="84"/>
      <c r="K23" s="84"/>
      <c r="L23" s="84"/>
      <c r="M23" s="84"/>
      <c r="N23" s="84"/>
    </row>
    <row r="24" spans="1:20" s="119" customFormat="1" ht="12" customHeight="1" x14ac:dyDescent="0.2">
      <c r="A24" s="131" t="s">
        <v>390</v>
      </c>
      <c r="B24" s="140" t="s">
        <v>376</v>
      </c>
      <c r="C24" s="88">
        <f>+'3.mell. Bevétel'!C77</f>
        <v>1038645</v>
      </c>
      <c r="D24" s="88">
        <f>+'3.mell. Bevétel'!D77</f>
        <v>0</v>
      </c>
      <c r="E24" s="88">
        <f>+'3.mell. Bevétel'!E77</f>
        <v>1038645</v>
      </c>
      <c r="F24" s="84"/>
      <c r="G24" s="84"/>
      <c r="H24" s="84"/>
      <c r="I24" s="84"/>
      <c r="J24" s="84"/>
      <c r="K24" s="84"/>
      <c r="L24" s="84"/>
      <c r="M24" s="84"/>
      <c r="N24" s="84"/>
    </row>
    <row r="25" spans="1:20" s="119" customFormat="1" ht="12.75" customHeight="1" x14ac:dyDescent="0.2">
      <c r="A25" s="1159" t="s">
        <v>378</v>
      </c>
      <c r="B25" s="1160"/>
      <c r="C25" s="142">
        <f>+C20+C15+C4</f>
        <v>2414497</v>
      </c>
      <c r="D25" s="142">
        <f>+D20+D15+D4</f>
        <v>28931</v>
      </c>
      <c r="E25" s="142">
        <f t="shared" ref="E25" si="6">+E20+E15+E4</f>
        <v>2443428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20" s="119" customFormat="1" ht="12" customHeight="1" x14ac:dyDescent="0.2">
      <c r="A26" s="117"/>
      <c r="B26" s="75"/>
      <c r="C26" s="132"/>
      <c r="D26" s="75"/>
      <c r="E26" s="75"/>
      <c r="F26" s="84"/>
      <c r="G26" s="84"/>
      <c r="H26" s="84"/>
      <c r="I26" s="84"/>
      <c r="J26" s="84"/>
      <c r="K26" s="84"/>
      <c r="L26" s="84"/>
      <c r="M26" s="84"/>
      <c r="N26" s="84"/>
    </row>
    <row r="27" spans="1:20" s="119" customFormat="1" ht="16.5" customHeight="1" x14ac:dyDescent="0.2">
      <c r="A27" s="1165" t="s">
        <v>305</v>
      </c>
      <c r="B27" s="1166"/>
      <c r="C27" s="1166"/>
      <c r="D27" s="1166"/>
      <c r="E27" s="1166"/>
      <c r="F27" s="84"/>
      <c r="G27" s="84"/>
      <c r="H27" s="84"/>
      <c r="I27" s="84"/>
      <c r="J27" s="84"/>
      <c r="K27" s="84"/>
      <c r="L27" s="84"/>
      <c r="M27" s="84"/>
      <c r="N27" s="84"/>
    </row>
    <row r="28" spans="1:20" s="119" customFormat="1" ht="15" customHeight="1" x14ac:dyDescent="0.25">
      <c r="A28" s="1164" t="s">
        <v>306</v>
      </c>
      <c r="B28" s="1164"/>
      <c r="C28" s="120"/>
      <c r="D28" s="120"/>
      <c r="E28" s="120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 ht="30" customHeight="1" x14ac:dyDescent="0.25">
      <c r="A29" s="126"/>
      <c r="B29" s="126" t="s">
        <v>181</v>
      </c>
      <c r="C29" s="143" t="s">
        <v>942</v>
      </c>
      <c r="D29" s="60" t="s">
        <v>694</v>
      </c>
      <c r="E29" s="60" t="s">
        <v>943</v>
      </c>
    </row>
    <row r="30" spans="1:20" ht="16.5" customHeight="1" x14ac:dyDescent="0.25">
      <c r="A30" s="135" t="s">
        <v>392</v>
      </c>
      <c r="B30" s="129" t="s">
        <v>403</v>
      </c>
      <c r="C30" s="141">
        <f>+C31+C32+C33+C34+C35+C36</f>
        <v>1353526.77</v>
      </c>
      <c r="D30" s="141">
        <f t="shared" ref="D30:E30" si="7">+D31+D32+D33+D34+D35+D36</f>
        <v>25765</v>
      </c>
      <c r="E30" s="141">
        <f t="shared" si="7"/>
        <v>1379291.77</v>
      </c>
    </row>
    <row r="31" spans="1:20" ht="13.5" customHeight="1" x14ac:dyDescent="0.25">
      <c r="A31" s="4">
        <v>1</v>
      </c>
      <c r="B31" s="111" t="s">
        <v>171</v>
      </c>
      <c r="C31" s="130">
        <f>+'5. mell. Önk.össz kiadás'!D5+'6.mell Int.összesen'!D55</f>
        <v>350024</v>
      </c>
      <c r="D31" s="130">
        <f>+'5. mell. Önk.össz kiadás'!E5+'6.mell Int.összesen'!E55</f>
        <v>-5362</v>
      </c>
      <c r="E31" s="130">
        <f>+'5. mell. Önk.össz kiadás'!F5+'6.mell Int.összesen'!F55</f>
        <v>344662</v>
      </c>
      <c r="O31" s="118"/>
      <c r="P31" s="118"/>
      <c r="Q31" s="118"/>
      <c r="R31" s="118"/>
      <c r="S31" s="118"/>
      <c r="T31" s="118"/>
    </row>
    <row r="32" spans="1:20" ht="12" customHeight="1" x14ac:dyDescent="0.25">
      <c r="A32" s="4">
        <v>2</v>
      </c>
      <c r="B32" s="111" t="s">
        <v>170</v>
      </c>
      <c r="C32" s="130">
        <f>+'5. mell. Önk.össz kiadás'!D7+'6.mell Int.összesen'!D56</f>
        <v>68342</v>
      </c>
      <c r="D32" s="130">
        <f>+'5. mell. Önk.össz kiadás'!E7+'6.mell Int.összesen'!E56</f>
        <v>-1302</v>
      </c>
      <c r="E32" s="130">
        <f>+'5. mell. Önk.össz kiadás'!F7+'6.mell Int.összesen'!F56</f>
        <v>67040</v>
      </c>
      <c r="O32" s="118"/>
      <c r="P32" s="118"/>
      <c r="Q32" s="118"/>
      <c r="R32" s="118"/>
      <c r="S32" s="118"/>
      <c r="T32" s="118"/>
    </row>
    <row r="33" spans="1:20" ht="12" customHeight="1" x14ac:dyDescent="0.25">
      <c r="A33" s="4">
        <v>3</v>
      </c>
      <c r="B33" s="111" t="s">
        <v>150</v>
      </c>
      <c r="C33" s="130">
        <f>+'5. mell. Önk.össz kiadás'!D14+'6.mell Int.összesen'!D63</f>
        <v>394410.77</v>
      </c>
      <c r="D33" s="130">
        <f>+'5. mell. Önk.össz kiadás'!E14+'6.mell Int.összesen'!E63</f>
        <v>-11380</v>
      </c>
      <c r="E33" s="130">
        <f>+'5. mell. Önk.össz kiadás'!F14+'6.mell Int.összesen'!F63</f>
        <v>383030.77</v>
      </c>
      <c r="O33" s="118"/>
      <c r="P33" s="118"/>
      <c r="Q33" s="118"/>
      <c r="R33" s="118"/>
      <c r="S33" s="118"/>
      <c r="T33" s="118"/>
    </row>
    <row r="34" spans="1:20" ht="12" customHeight="1" x14ac:dyDescent="0.25">
      <c r="A34" s="4">
        <v>4</v>
      </c>
      <c r="B34" s="112" t="s">
        <v>149</v>
      </c>
      <c r="C34" s="130">
        <f>+'5. mell. Önk.össz kiadás'!D16</f>
        <v>5334</v>
      </c>
      <c r="D34" s="130">
        <f>+'5. mell. Önk.össz kiadás'!E16</f>
        <v>-262</v>
      </c>
      <c r="E34" s="130">
        <f>+'5. mell. Önk.össz kiadás'!F16</f>
        <v>5072</v>
      </c>
      <c r="K34" s="84" t="s">
        <v>658</v>
      </c>
      <c r="O34" s="118"/>
      <c r="P34" s="118"/>
      <c r="Q34" s="118"/>
      <c r="R34" s="118"/>
      <c r="S34" s="118"/>
      <c r="T34" s="118"/>
    </row>
    <row r="35" spans="1:20" ht="12" customHeight="1" x14ac:dyDescent="0.25">
      <c r="A35" s="4">
        <v>5</v>
      </c>
      <c r="B35" s="111" t="s">
        <v>162</v>
      </c>
      <c r="C35" s="130">
        <f>+'5. mell. Önk.össz kiadás'!D18-'5. mell. Önk.össz kiadás'!D19+'6.mell Int.összesen'!D67</f>
        <v>287426</v>
      </c>
      <c r="D35" s="130">
        <f>+'5. mell. Önk.össz kiadás'!E18-'5. mell. Önk.össz kiadás'!E19+'6.mell Int.összesen'!E67</f>
        <v>26666</v>
      </c>
      <c r="E35" s="130">
        <f>+'5. mell. Önk.össz kiadás'!F18-'5. mell. Önk.össz kiadás'!F19+'6.mell Int.összesen'!F67</f>
        <v>314092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1:20" ht="12" customHeight="1" x14ac:dyDescent="0.25">
      <c r="A36" s="4">
        <v>6</v>
      </c>
      <c r="B36" s="111" t="s">
        <v>413</v>
      </c>
      <c r="C36" s="130">
        <f>+'5. mell. Önk.össz kiadás'!D19</f>
        <v>247990</v>
      </c>
      <c r="D36" s="130">
        <f>+'5. mell. Önk.össz kiadás'!E19</f>
        <v>17405</v>
      </c>
      <c r="E36" s="130">
        <f>+'5. mell. Önk.össz kiadás'!F19</f>
        <v>265395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2" customHeight="1" x14ac:dyDescent="0.25">
      <c r="A37" s="5" t="s">
        <v>404</v>
      </c>
      <c r="B37" s="129" t="s">
        <v>405</v>
      </c>
      <c r="C37" s="142">
        <f>+C38+C39+C40</f>
        <v>1041674</v>
      </c>
      <c r="D37" s="142">
        <f t="shared" ref="D37:E37" si="8">+D38+D39+D40</f>
        <v>3166</v>
      </c>
      <c r="E37" s="142">
        <f t="shared" si="8"/>
        <v>1044840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1:20" ht="12" customHeight="1" x14ac:dyDescent="0.25">
      <c r="A38" s="4">
        <v>1</v>
      </c>
      <c r="B38" s="111" t="s">
        <v>160</v>
      </c>
      <c r="C38" s="130">
        <f>+'5. mell. Önk.össz kiadás'!D21+'6.mell Int.összesen'!D69</f>
        <v>914187</v>
      </c>
      <c r="D38" s="130">
        <f>+'5. mell. Önk.össz kiadás'!E21+'6.mell Int.összesen'!E69</f>
        <v>3166</v>
      </c>
      <c r="E38" s="130">
        <f>+'5. mell. Önk.össz kiadás'!F21+'6.mell Int.összesen'!F69</f>
        <v>917353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1:20" ht="12" customHeight="1" x14ac:dyDescent="0.25">
      <c r="A39" s="4">
        <v>2</v>
      </c>
      <c r="B39" s="111" t="s">
        <v>159</v>
      </c>
      <c r="C39" s="130">
        <f>+'5. mell. Önk.össz kiadás'!D23</f>
        <v>127487</v>
      </c>
      <c r="D39" s="130">
        <f>+'5. mell. Önk.össz kiadás'!E23</f>
        <v>0</v>
      </c>
      <c r="E39" s="130">
        <f>+'5. mell. Önk.össz kiadás'!F23</f>
        <v>127487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1:20" ht="12" customHeight="1" x14ac:dyDescent="0.25">
      <c r="A40" s="4">
        <v>3</v>
      </c>
      <c r="B40" s="111" t="s">
        <v>157</v>
      </c>
      <c r="C40" s="130">
        <f>+'5. mell. Önk.össz kiadás'!D25+'6.mell Int.összesen'!D73</f>
        <v>0</v>
      </c>
      <c r="D40" s="130">
        <f>+'5. mell. Önk.össz kiadás'!E25+'6.mell Int.összesen'!E73</f>
        <v>0</v>
      </c>
      <c r="E40" s="130">
        <f>+'5. mell. Önk.össz kiadás'!F25+'6.mell Int.összesen'!F73</f>
        <v>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</row>
    <row r="41" spans="1:20" s="137" customFormat="1" ht="12" customHeight="1" x14ac:dyDescent="0.25">
      <c r="A41" s="5"/>
      <c r="B41" s="114" t="s">
        <v>401</v>
      </c>
      <c r="C41" s="142">
        <f>+C37+C30</f>
        <v>2395200.77</v>
      </c>
      <c r="D41" s="142">
        <f t="shared" ref="D41:E41" si="9">+D37+D30</f>
        <v>28931</v>
      </c>
      <c r="E41" s="142">
        <f t="shared" si="9"/>
        <v>2424131.77</v>
      </c>
    </row>
    <row r="42" spans="1:20" ht="12" customHeight="1" x14ac:dyDescent="0.25">
      <c r="A42" s="5" t="s">
        <v>406</v>
      </c>
      <c r="B42" s="144" t="s">
        <v>273</v>
      </c>
      <c r="C42" s="142">
        <f>+'5.g. mell. Egyéb tev.'!D96+'5.g. mell. Egyéb tev.'!D97+'5.g. mell. Egyéb tev.'!D98</f>
        <v>19296</v>
      </c>
      <c r="D42" s="142">
        <f>+'5.g. mell. Egyéb tev.'!E96+'5.g. mell. Egyéb tev.'!E97+'5.g. mell. Egyéb tev.'!E98</f>
        <v>0</v>
      </c>
      <c r="E42" s="142">
        <f>+'5.g. mell. Egyéb tev.'!F96+'5.g. mell. Egyéb tev.'!F97+'5.g. mell. Egyéb tev.'!F98</f>
        <v>19296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</row>
    <row r="43" spans="1:20" s="137" customFormat="1" ht="12" customHeight="1" x14ac:dyDescent="0.25">
      <c r="A43" s="1161" t="s">
        <v>402</v>
      </c>
      <c r="B43" s="1162"/>
      <c r="C43" s="142">
        <f>C42+C41</f>
        <v>2414496.77</v>
      </c>
      <c r="D43" s="142">
        <f>D42+D41</f>
        <v>28931</v>
      </c>
      <c r="E43" s="142">
        <f t="shared" ref="E43" si="10">E42+E41</f>
        <v>2443427.77</v>
      </c>
    </row>
    <row r="44" spans="1:20" ht="15" customHeight="1" x14ac:dyDescent="0.25">
      <c r="A44" s="121"/>
      <c r="B44" s="84"/>
      <c r="C44" s="84"/>
      <c r="D44" s="84"/>
      <c r="E44" s="84"/>
      <c r="O44" s="118"/>
      <c r="P44" s="118"/>
      <c r="Q44" s="118"/>
      <c r="R44" s="118"/>
      <c r="S44" s="118"/>
      <c r="T44" s="118"/>
    </row>
    <row r="45" spans="1:20" s="119" customFormat="1" ht="15.75" customHeight="1" x14ac:dyDescent="0.25">
      <c r="A45" s="1163" t="s">
        <v>311</v>
      </c>
      <c r="B45" s="1163"/>
      <c r="C45" s="1163"/>
      <c r="D45" s="1163"/>
      <c r="E45" s="116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0" s="84" customFormat="1" x14ac:dyDescent="0.25">
      <c r="A46" s="122" t="s">
        <v>312</v>
      </c>
      <c r="B46" s="123"/>
      <c r="C46" s="118"/>
      <c r="D46" s="118"/>
      <c r="E46" s="118"/>
    </row>
    <row r="47" spans="1:20" ht="21" x14ac:dyDescent="0.25">
      <c r="A47" s="127">
        <v>1</v>
      </c>
      <c r="B47" s="83" t="s">
        <v>407</v>
      </c>
      <c r="C47" s="80">
        <f>+C19-C41</f>
        <v>-1281386.77</v>
      </c>
      <c r="D47" s="80">
        <f t="shared" ref="D47:E47" si="11">+D19-D41</f>
        <v>0</v>
      </c>
      <c r="E47" s="80">
        <f t="shared" si="11"/>
        <v>-1281386.77</v>
      </c>
    </row>
    <row r="48" spans="1:20" x14ac:dyDescent="0.25">
      <c r="A48" s="121"/>
      <c r="B48" s="84"/>
      <c r="C48" s="84"/>
      <c r="D48" s="84"/>
      <c r="E48" s="84"/>
    </row>
    <row r="49" spans="1:20" x14ac:dyDescent="0.25">
      <c r="A49" s="1163" t="s">
        <v>313</v>
      </c>
      <c r="B49" s="1163"/>
      <c r="C49" s="1163"/>
      <c r="D49" s="1163"/>
      <c r="E49" s="1163"/>
    </row>
    <row r="50" spans="1:20" x14ac:dyDescent="0.25">
      <c r="A50" s="122" t="s">
        <v>314</v>
      </c>
      <c r="B50" s="123"/>
    </row>
    <row r="51" spans="1:20" x14ac:dyDescent="0.25">
      <c r="A51" s="127" t="s">
        <v>304</v>
      </c>
      <c r="B51" s="83" t="s">
        <v>315</v>
      </c>
      <c r="C51" s="80">
        <f>+C52-C53</f>
        <v>1281387</v>
      </c>
      <c r="D51" s="80">
        <f t="shared" ref="D51:E51" si="12">+D52-D53</f>
        <v>0</v>
      </c>
      <c r="E51" s="80">
        <f t="shared" si="12"/>
        <v>1281387</v>
      </c>
    </row>
    <row r="52" spans="1:20" x14ac:dyDescent="0.25">
      <c r="A52" s="128" t="s">
        <v>308</v>
      </c>
      <c r="B52" s="81" t="s">
        <v>408</v>
      </c>
      <c r="C52" s="82">
        <f>+C20</f>
        <v>1300683</v>
      </c>
      <c r="D52" s="82">
        <f t="shared" ref="D52:E52" si="13">+D20</f>
        <v>0</v>
      </c>
      <c r="E52" s="82">
        <f t="shared" si="13"/>
        <v>1300683</v>
      </c>
    </row>
    <row r="53" spans="1:20" x14ac:dyDescent="0.25">
      <c r="A53" s="128" t="s">
        <v>309</v>
      </c>
      <c r="B53" s="81" t="s">
        <v>409</v>
      </c>
      <c r="C53" s="82">
        <f>+C42</f>
        <v>19296</v>
      </c>
      <c r="D53" s="82">
        <f t="shared" ref="D53:E53" si="14">+D42</f>
        <v>0</v>
      </c>
      <c r="E53" s="82">
        <f t="shared" si="14"/>
        <v>19296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</row>
    <row r="54" spans="1:20" x14ac:dyDescent="0.25">
      <c r="A54" s="121"/>
      <c r="B54" s="84"/>
      <c r="C54" s="84"/>
      <c r="D54" s="84"/>
      <c r="E54" s="84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</row>
    <row r="55" spans="1:20" x14ac:dyDescent="0.25">
      <c r="A55" s="122" t="s">
        <v>316</v>
      </c>
      <c r="B55" s="12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</row>
    <row r="56" spans="1:20" x14ac:dyDescent="0.25">
      <c r="A56" s="98"/>
      <c r="B56" s="83" t="s">
        <v>564</v>
      </c>
      <c r="C56" s="80">
        <f>+C25-C43</f>
        <v>0.22999999998137355</v>
      </c>
      <c r="D56" s="80">
        <f t="shared" ref="D56:E56" si="15">+D25-D43</f>
        <v>0</v>
      </c>
      <c r="E56" s="80">
        <f t="shared" si="15"/>
        <v>0.22999999998137355</v>
      </c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</row>
    <row r="57" spans="1:20" x14ac:dyDescent="0.25">
      <c r="A57" s="121"/>
      <c r="B57" s="84"/>
      <c r="C57" s="84"/>
      <c r="D57" s="84"/>
      <c r="E57" s="84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</row>
    <row r="58" spans="1:20" x14ac:dyDescent="0.25">
      <c r="A58" s="121"/>
      <c r="B58" s="84"/>
      <c r="C58" s="84"/>
      <c r="D58" s="84"/>
      <c r="E58" s="84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</row>
    <row r="59" spans="1:20" x14ac:dyDescent="0.25">
      <c r="A59" s="121"/>
      <c r="B59" s="84"/>
      <c r="C59" s="84"/>
      <c r="D59" s="84"/>
      <c r="E59" s="84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 x14ac:dyDescent="0.25">
      <c r="A60" s="121"/>
      <c r="B60" s="84"/>
      <c r="C60" s="84"/>
      <c r="D60" s="84"/>
      <c r="E60" s="84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</row>
    <row r="61" spans="1:20" x14ac:dyDescent="0.25">
      <c r="A61" s="121"/>
      <c r="B61" s="84"/>
      <c r="C61" s="84"/>
      <c r="D61" s="84"/>
      <c r="E61" s="84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 x14ac:dyDescent="0.25">
      <c r="A62" s="121"/>
      <c r="B62" s="84"/>
      <c r="C62" s="84"/>
      <c r="D62" s="84"/>
      <c r="E62" s="84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</row>
    <row r="63" spans="1:20" x14ac:dyDescent="0.25">
      <c r="A63" s="121"/>
      <c r="B63" s="84"/>
      <c r="C63" s="84"/>
      <c r="D63" s="84"/>
      <c r="E63" s="84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</row>
    <row r="64" spans="1:20" x14ac:dyDescent="0.25">
      <c r="A64" s="121"/>
      <c r="B64" s="84"/>
      <c r="C64" s="84"/>
      <c r="D64" s="84"/>
      <c r="E64" s="84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</row>
    <row r="65" spans="1:20" x14ac:dyDescent="0.25">
      <c r="A65" s="121"/>
      <c r="B65" s="84"/>
      <c r="C65" s="84"/>
      <c r="D65" s="84"/>
      <c r="E65" s="84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</row>
    <row r="66" spans="1:20" x14ac:dyDescent="0.25">
      <c r="A66" s="121"/>
      <c r="B66" s="84"/>
      <c r="C66" s="84"/>
      <c r="D66" s="84"/>
      <c r="E66" s="84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</row>
    <row r="67" spans="1:20" x14ac:dyDescent="0.25">
      <c r="A67" s="121"/>
      <c r="B67" s="84"/>
      <c r="C67" s="84"/>
      <c r="D67" s="84"/>
      <c r="E67" s="84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</row>
    <row r="68" spans="1:20" x14ac:dyDescent="0.25">
      <c r="A68" s="121"/>
      <c r="B68" s="84"/>
      <c r="C68" s="84"/>
      <c r="D68" s="84"/>
      <c r="E68" s="8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</row>
    <row r="69" spans="1:20" x14ac:dyDescent="0.25">
      <c r="A69" s="121"/>
      <c r="B69" s="84"/>
      <c r="C69" s="84"/>
      <c r="D69" s="84"/>
      <c r="E69" s="84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</row>
    <row r="70" spans="1:20" x14ac:dyDescent="0.25">
      <c r="A70" s="121"/>
      <c r="B70" s="84"/>
      <c r="C70" s="84"/>
      <c r="D70" s="84"/>
      <c r="E70" s="84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</row>
    <row r="71" spans="1:20" x14ac:dyDescent="0.25">
      <c r="A71" s="121"/>
      <c r="B71" s="84"/>
      <c r="C71" s="84"/>
      <c r="D71" s="84"/>
      <c r="E71" s="84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</row>
    <row r="72" spans="1:20" x14ac:dyDescent="0.25">
      <c r="A72" s="121"/>
      <c r="B72" s="84"/>
      <c r="C72" s="84"/>
      <c r="D72" s="84"/>
      <c r="E72" s="84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</row>
    <row r="73" spans="1:20" x14ac:dyDescent="0.25">
      <c r="A73" s="121"/>
      <c r="B73" s="84"/>
      <c r="C73" s="84"/>
      <c r="D73" s="84"/>
      <c r="E73" s="84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0" x14ac:dyDescent="0.25">
      <c r="A74" s="121"/>
      <c r="B74" s="84"/>
      <c r="C74" s="84"/>
      <c r="D74" s="84"/>
      <c r="E74" s="84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</row>
    <row r="75" spans="1:20" x14ac:dyDescent="0.25">
      <c r="A75" s="121"/>
      <c r="B75" s="84"/>
      <c r="C75" s="84"/>
      <c r="D75" s="84"/>
      <c r="E75" s="84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</row>
    <row r="76" spans="1:20" x14ac:dyDescent="0.25">
      <c r="A76" s="121"/>
      <c r="B76" s="84"/>
      <c r="C76" s="84"/>
      <c r="D76" s="84"/>
      <c r="E76" s="84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</row>
    <row r="77" spans="1:20" x14ac:dyDescent="0.25">
      <c r="A77" s="121"/>
      <c r="B77" s="84"/>
      <c r="C77" s="84"/>
      <c r="D77" s="84"/>
      <c r="E77" s="84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</row>
    <row r="78" spans="1:20" x14ac:dyDescent="0.25">
      <c r="A78" s="121"/>
      <c r="B78" s="84"/>
      <c r="C78" s="84"/>
      <c r="D78" s="84"/>
      <c r="E78" s="84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</row>
    <row r="79" spans="1:20" x14ac:dyDescent="0.25">
      <c r="A79" s="121"/>
      <c r="B79" s="84"/>
      <c r="C79" s="84"/>
      <c r="D79" s="84"/>
      <c r="E79" s="84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</row>
    <row r="80" spans="1:20" x14ac:dyDescent="0.25">
      <c r="A80" s="121"/>
      <c r="B80" s="84"/>
      <c r="C80" s="84"/>
      <c r="D80" s="84"/>
      <c r="E80" s="84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</row>
    <row r="81" spans="1:20" x14ac:dyDescent="0.25">
      <c r="A81" s="121"/>
      <c r="B81" s="84"/>
      <c r="C81" s="84"/>
      <c r="D81" s="84"/>
      <c r="E81" s="84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</row>
    <row r="82" spans="1:20" x14ac:dyDescent="0.25">
      <c r="A82" s="121"/>
      <c r="B82" s="84"/>
      <c r="C82" s="84"/>
      <c r="D82" s="84"/>
      <c r="E82" s="84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</row>
    <row r="83" spans="1:20" x14ac:dyDescent="0.25">
      <c r="A83" s="121"/>
      <c r="B83" s="84"/>
      <c r="C83" s="84"/>
      <c r="D83" s="84"/>
      <c r="E83" s="84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</row>
    <row r="84" spans="1:20" x14ac:dyDescent="0.25">
      <c r="A84" s="121"/>
      <c r="B84" s="84"/>
      <c r="C84" s="84"/>
      <c r="D84" s="84"/>
      <c r="E84" s="84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</row>
    <row r="85" spans="1:20" x14ac:dyDescent="0.25">
      <c r="A85" s="121"/>
      <c r="B85" s="84"/>
      <c r="C85" s="84"/>
      <c r="D85" s="84"/>
      <c r="E85" s="84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</row>
    <row r="86" spans="1:20" x14ac:dyDescent="0.25">
      <c r="A86" s="121"/>
      <c r="B86" s="84"/>
      <c r="C86" s="84"/>
      <c r="D86" s="84"/>
      <c r="E86" s="84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</row>
    <row r="87" spans="1:20" x14ac:dyDescent="0.25">
      <c r="A87" s="121"/>
      <c r="B87" s="84"/>
      <c r="C87" s="84"/>
      <c r="D87" s="84"/>
      <c r="E87" s="84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</row>
    <row r="88" spans="1:20" x14ac:dyDescent="0.25">
      <c r="A88" s="121"/>
      <c r="B88" s="84"/>
      <c r="C88" s="84"/>
      <c r="D88" s="84"/>
      <c r="E88" s="84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</row>
    <row r="89" spans="1:20" x14ac:dyDescent="0.25">
      <c r="A89" s="121"/>
      <c r="B89" s="84"/>
      <c r="C89" s="84"/>
      <c r="D89" s="84"/>
      <c r="E89" s="84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</row>
    <row r="90" spans="1:20" x14ac:dyDescent="0.25">
      <c r="A90" s="121"/>
      <c r="B90" s="84"/>
      <c r="C90" s="84"/>
      <c r="D90" s="84"/>
      <c r="E90" s="84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</row>
    <row r="91" spans="1:20" x14ac:dyDescent="0.25">
      <c r="A91" s="121"/>
      <c r="B91" s="84"/>
      <c r="C91" s="84"/>
      <c r="D91" s="84"/>
      <c r="E91" s="84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</row>
    <row r="92" spans="1:20" x14ac:dyDescent="0.25">
      <c r="A92" s="121"/>
      <c r="B92" s="84"/>
      <c r="C92" s="84"/>
      <c r="D92" s="84"/>
      <c r="E92" s="84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</row>
    <row r="93" spans="1:20" x14ac:dyDescent="0.25">
      <c r="A93" s="121"/>
      <c r="B93" s="84"/>
      <c r="C93" s="84"/>
      <c r="D93" s="84"/>
      <c r="E93" s="84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</row>
    <row r="94" spans="1:20" x14ac:dyDescent="0.25">
      <c r="A94" s="121"/>
      <c r="B94" s="84"/>
      <c r="C94" s="84"/>
      <c r="D94" s="84"/>
      <c r="E94" s="84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</row>
    <row r="95" spans="1:20" x14ac:dyDescent="0.25">
      <c r="A95" s="121"/>
      <c r="B95" s="84"/>
      <c r="C95" s="84"/>
      <c r="D95" s="84"/>
      <c r="E95" s="84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</row>
    <row r="96" spans="1:20" x14ac:dyDescent="0.25">
      <c r="A96" s="121"/>
      <c r="B96" s="84"/>
      <c r="C96" s="84"/>
      <c r="D96" s="84"/>
      <c r="E96" s="84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</row>
    <row r="97" spans="1:20" x14ac:dyDescent="0.25">
      <c r="A97" s="121"/>
      <c r="B97" s="84"/>
      <c r="C97" s="84"/>
      <c r="D97" s="84"/>
      <c r="E97" s="84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</row>
    <row r="98" spans="1:20" x14ac:dyDescent="0.25">
      <c r="A98" s="121"/>
      <c r="B98" s="84"/>
      <c r="C98" s="84"/>
      <c r="D98" s="84"/>
      <c r="E98" s="84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spans="1:20" x14ac:dyDescent="0.25">
      <c r="A99" s="121"/>
      <c r="B99" s="84"/>
      <c r="C99" s="84"/>
      <c r="D99" s="84"/>
      <c r="E99" s="84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spans="1:20" x14ac:dyDescent="0.25">
      <c r="A100" s="121"/>
      <c r="B100" s="84"/>
      <c r="C100" s="84"/>
      <c r="D100" s="84"/>
      <c r="E100" s="84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</row>
    <row r="101" spans="1:20" x14ac:dyDescent="0.25">
      <c r="A101" s="121"/>
      <c r="B101" s="84"/>
      <c r="C101" s="84"/>
      <c r="D101" s="84"/>
      <c r="E101" s="84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</row>
    <row r="102" spans="1:20" x14ac:dyDescent="0.25">
      <c r="A102" s="121"/>
      <c r="B102" s="84"/>
      <c r="C102" s="84"/>
      <c r="D102" s="84"/>
      <c r="E102" s="84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0" x14ac:dyDescent="0.25">
      <c r="A103" s="121"/>
      <c r="B103" s="84"/>
      <c r="C103" s="84"/>
      <c r="D103" s="84"/>
      <c r="E103" s="84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</row>
    <row r="104" spans="1:20" x14ac:dyDescent="0.25">
      <c r="A104" s="121"/>
      <c r="B104" s="84"/>
      <c r="C104" s="84"/>
      <c r="D104" s="84"/>
      <c r="E104" s="84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</row>
    <row r="105" spans="1:20" x14ac:dyDescent="0.25">
      <c r="A105" s="121"/>
      <c r="B105" s="84"/>
      <c r="C105" s="84"/>
      <c r="D105" s="84"/>
      <c r="E105" s="84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</row>
    <row r="106" spans="1:20" x14ac:dyDescent="0.25">
      <c r="A106" s="121"/>
      <c r="B106" s="84"/>
      <c r="C106" s="84"/>
      <c r="D106" s="84"/>
      <c r="E106" s="84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</row>
    <row r="107" spans="1:20" x14ac:dyDescent="0.25">
      <c r="A107" s="121"/>
      <c r="B107" s="84"/>
      <c r="C107" s="84"/>
      <c r="D107" s="84"/>
      <c r="E107" s="84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</row>
    <row r="108" spans="1:20" x14ac:dyDescent="0.25">
      <c r="A108" s="121"/>
      <c r="B108" s="84"/>
      <c r="C108" s="84"/>
      <c r="D108" s="84"/>
      <c r="E108" s="84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</row>
    <row r="109" spans="1:20" x14ac:dyDescent="0.25">
      <c r="A109" s="121"/>
      <c r="B109" s="84"/>
      <c r="C109" s="84"/>
      <c r="D109" s="84"/>
      <c r="E109" s="84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</row>
    <row r="110" spans="1:20" x14ac:dyDescent="0.25">
      <c r="A110" s="121"/>
      <c r="B110" s="84"/>
      <c r="C110" s="84"/>
      <c r="D110" s="84"/>
      <c r="E110" s="84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</row>
    <row r="111" spans="1:20" x14ac:dyDescent="0.25">
      <c r="A111" s="121"/>
      <c r="B111" s="84"/>
      <c r="C111" s="84"/>
      <c r="D111" s="84"/>
      <c r="E111" s="84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</row>
    <row r="112" spans="1:20" x14ac:dyDescent="0.25">
      <c r="A112" s="121"/>
      <c r="B112" s="84"/>
      <c r="C112" s="84"/>
      <c r="D112" s="84"/>
      <c r="E112" s="84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</row>
    <row r="113" spans="1:20" x14ac:dyDescent="0.25">
      <c r="A113" s="121"/>
      <c r="B113" s="84"/>
      <c r="C113" s="84"/>
      <c r="D113" s="84"/>
      <c r="E113" s="84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</row>
    <row r="114" spans="1:20" x14ac:dyDescent="0.25">
      <c r="A114" s="121"/>
      <c r="B114" s="84"/>
      <c r="C114" s="84"/>
      <c r="D114" s="84"/>
      <c r="E114" s="84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</row>
    <row r="115" spans="1:20" x14ac:dyDescent="0.25">
      <c r="A115" s="121"/>
      <c r="B115" s="84"/>
      <c r="C115" s="84"/>
      <c r="D115" s="84"/>
      <c r="E115" s="84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</row>
    <row r="116" spans="1:20" x14ac:dyDescent="0.25">
      <c r="A116" s="121"/>
      <c r="B116" s="84"/>
      <c r="C116" s="84"/>
      <c r="D116" s="84"/>
      <c r="E116" s="84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</row>
    <row r="117" spans="1:20" s="84" customFormat="1" ht="11.25" x14ac:dyDescent="0.2">
      <c r="A117" s="121"/>
    </row>
    <row r="118" spans="1:20" s="84" customFormat="1" ht="11.25" x14ac:dyDescent="0.2">
      <c r="A118" s="121"/>
    </row>
    <row r="119" spans="1:20" s="84" customFormat="1" ht="11.25" x14ac:dyDescent="0.2">
      <c r="A119" s="121"/>
    </row>
    <row r="120" spans="1:20" s="84" customFormat="1" ht="11.25" x14ac:dyDescent="0.2">
      <c r="A120" s="121"/>
    </row>
    <row r="121" spans="1:20" s="84" customFormat="1" ht="11.25" x14ac:dyDescent="0.2">
      <c r="A121" s="121"/>
    </row>
    <row r="122" spans="1:20" s="84" customFormat="1" ht="11.25" x14ac:dyDescent="0.2">
      <c r="A122" s="121"/>
    </row>
    <row r="123" spans="1:20" s="84" customFormat="1" ht="11.25" x14ac:dyDescent="0.2">
      <c r="A123" s="121"/>
    </row>
    <row r="124" spans="1:20" s="84" customFormat="1" ht="11.25" x14ac:dyDescent="0.2">
      <c r="A124" s="121"/>
    </row>
    <row r="125" spans="1:20" s="84" customFormat="1" ht="11.25" x14ac:dyDescent="0.2">
      <c r="A125" s="121"/>
    </row>
    <row r="126" spans="1:20" s="84" customFormat="1" ht="11.25" x14ac:dyDescent="0.2">
      <c r="A126" s="121"/>
    </row>
    <row r="127" spans="1:20" s="84" customFormat="1" ht="11.25" x14ac:dyDescent="0.2">
      <c r="A127" s="121"/>
    </row>
    <row r="128" spans="1:20" s="84" customFormat="1" x14ac:dyDescent="0.25">
      <c r="A128" s="124"/>
      <c r="B128" s="118"/>
      <c r="C128" s="118"/>
      <c r="D128" s="118"/>
      <c r="E128" s="118"/>
    </row>
    <row r="129" spans="1:5" s="84" customFormat="1" x14ac:dyDescent="0.25">
      <c r="A129" s="124"/>
      <c r="B129" s="118"/>
      <c r="C129" s="118"/>
      <c r="D129" s="118"/>
      <c r="E129" s="118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Roman,Félkövér"&amp;14Martonvásár Város Önkormányzat 2020.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"/>
  <sheetViews>
    <sheetView zoomScaleNormal="100" workbookViewId="0">
      <selection activeCell="E64" sqref="E64"/>
    </sheetView>
  </sheetViews>
  <sheetFormatPr defaultColWidth="8.7109375" defaultRowHeight="15" x14ac:dyDescent="0.25"/>
  <cols>
    <col min="1" max="1" width="6.140625" style="611" customWidth="1"/>
    <col min="2" max="2" width="7.140625" style="612" customWidth="1"/>
    <col min="3" max="3" width="25" style="612" customWidth="1"/>
    <col min="4" max="4" width="8.85546875" style="613" bestFit="1" customWidth="1"/>
    <col min="5" max="5" width="7.28515625" style="613" customWidth="1"/>
    <col min="6" max="6" width="12.140625" style="613" customWidth="1"/>
    <col min="7" max="7" width="8.85546875" style="613" bestFit="1" customWidth="1"/>
    <col min="8" max="8" width="7.42578125" style="613" customWidth="1"/>
    <col min="9" max="9" width="9.42578125" style="613" customWidth="1"/>
    <col min="10" max="10" width="8.85546875" style="613" bestFit="1" customWidth="1"/>
    <col min="11" max="11" width="7.140625" style="613" customWidth="1"/>
    <col min="12" max="12" width="7.28515625" style="613" customWidth="1"/>
    <col min="13" max="13" width="7.140625" style="613" customWidth="1"/>
    <col min="14" max="14" width="6.85546875" style="613" customWidth="1"/>
    <col min="15" max="15" width="7.5703125" style="613" customWidth="1"/>
    <col min="16" max="16" width="8.140625" style="613" customWidth="1"/>
    <col min="17" max="17" width="6.7109375" style="613" bestFit="1" customWidth="1"/>
    <col min="18" max="18" width="7.28515625" style="613" customWidth="1"/>
    <col min="19" max="16384" width="8.7109375" style="588"/>
  </cols>
  <sheetData>
    <row r="1" spans="1:18" x14ac:dyDescent="0.25">
      <c r="A1" s="585"/>
      <c r="B1" s="586"/>
      <c r="C1" s="586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1376" t="s">
        <v>383</v>
      </c>
      <c r="Q1" s="1376"/>
      <c r="R1" s="1376"/>
    </row>
    <row r="2" spans="1:18" ht="40.5" customHeight="1" x14ac:dyDescent="0.25">
      <c r="A2" s="1379" t="s">
        <v>0</v>
      </c>
      <c r="B2" s="1379" t="s">
        <v>181</v>
      </c>
      <c r="C2" s="1379"/>
      <c r="D2" s="1317" t="s">
        <v>179</v>
      </c>
      <c r="E2" s="1317"/>
      <c r="F2" s="1317"/>
      <c r="G2" s="1317" t="s">
        <v>184</v>
      </c>
      <c r="H2" s="1317"/>
      <c r="I2" s="1317"/>
      <c r="J2" s="1317" t="s">
        <v>285</v>
      </c>
      <c r="K2" s="1317"/>
      <c r="L2" s="1317"/>
      <c r="M2" s="1317" t="s">
        <v>286</v>
      </c>
      <c r="N2" s="1317"/>
      <c r="O2" s="1317"/>
      <c r="P2" s="1317" t="s">
        <v>563</v>
      </c>
      <c r="Q2" s="1317"/>
      <c r="R2" s="1317"/>
    </row>
    <row r="3" spans="1:18" ht="15" customHeight="1" x14ac:dyDescent="0.25">
      <c r="A3" s="1379"/>
      <c r="B3" s="1379"/>
      <c r="C3" s="1379"/>
      <c r="D3" s="1317"/>
      <c r="E3" s="1317"/>
      <c r="F3" s="1317"/>
      <c r="G3" s="1317" t="s">
        <v>188</v>
      </c>
      <c r="H3" s="1317"/>
      <c r="I3" s="1317"/>
      <c r="J3" s="1317" t="s">
        <v>188</v>
      </c>
      <c r="K3" s="1317"/>
      <c r="L3" s="1317"/>
      <c r="M3" s="1317" t="s">
        <v>188</v>
      </c>
      <c r="N3" s="1317"/>
      <c r="O3" s="1317"/>
      <c r="P3" s="1317" t="s">
        <v>188</v>
      </c>
      <c r="Q3" s="1317"/>
      <c r="R3" s="1317"/>
    </row>
    <row r="4" spans="1:18" s="589" customFormat="1" ht="25.5" customHeight="1" x14ac:dyDescent="0.25">
      <c r="A4" s="1379"/>
      <c r="B4" s="1379"/>
      <c r="C4" s="1379"/>
      <c r="D4" s="1008" t="s">
        <v>947</v>
      </c>
      <c r="E4" s="1008" t="s">
        <v>694</v>
      </c>
      <c r="F4" s="1008" t="s">
        <v>948</v>
      </c>
      <c r="G4" s="1008" t="s">
        <v>947</v>
      </c>
      <c r="H4" s="1008" t="s">
        <v>694</v>
      </c>
      <c r="I4" s="1008" t="s">
        <v>948</v>
      </c>
      <c r="J4" s="1008" t="s">
        <v>947</v>
      </c>
      <c r="K4" s="1008" t="s">
        <v>694</v>
      </c>
      <c r="L4" s="1008" t="s">
        <v>948</v>
      </c>
      <c r="M4" s="1008" t="s">
        <v>947</v>
      </c>
      <c r="N4" s="1008" t="s">
        <v>694</v>
      </c>
      <c r="O4" s="1008" t="s">
        <v>948</v>
      </c>
      <c r="P4" s="1008" t="s">
        <v>947</v>
      </c>
      <c r="Q4" s="1008" t="s">
        <v>694</v>
      </c>
      <c r="R4" s="1008" t="s">
        <v>948</v>
      </c>
    </row>
    <row r="5" spans="1:18" ht="23.25" customHeight="1" x14ac:dyDescent="0.25">
      <c r="A5" s="590" t="s">
        <v>2</v>
      </c>
      <c r="B5" s="1378" t="s">
        <v>1</v>
      </c>
      <c r="C5" s="1378"/>
      <c r="D5" s="1009">
        <f>+G5+J5+M5+P5</f>
        <v>113103</v>
      </c>
      <c r="E5" s="1009">
        <f>+H5+K5+N5+Q5</f>
        <v>-682</v>
      </c>
      <c r="F5" s="1009">
        <f>+I5+L5+O5+R5</f>
        <v>112421</v>
      </c>
      <c r="G5" s="1009">
        <v>112174</v>
      </c>
      <c r="H5" s="1009">
        <v>-634</v>
      </c>
      <c r="I5" s="1009">
        <f>+G5+H5</f>
        <v>111540</v>
      </c>
      <c r="J5" s="1009">
        <v>929</v>
      </c>
      <c r="K5" s="1009">
        <v>-48</v>
      </c>
      <c r="L5" s="1016">
        <f>+K5+J5</f>
        <v>881</v>
      </c>
      <c r="M5" s="1009"/>
      <c r="N5" s="1009"/>
      <c r="O5" s="1009">
        <f t="shared" ref="O5:O18" si="0">+M5+N5</f>
        <v>0</v>
      </c>
      <c r="P5" s="1009"/>
      <c r="Q5" s="1009"/>
      <c r="R5" s="1009">
        <f t="shared" ref="R5:R18" si="1">+P5+Q5</f>
        <v>0</v>
      </c>
    </row>
    <row r="6" spans="1:18" ht="15" customHeight="1" x14ac:dyDescent="0.25">
      <c r="A6" s="590" t="s">
        <v>4</v>
      </c>
      <c r="B6" s="1378" t="s">
        <v>3</v>
      </c>
      <c r="C6" s="1378"/>
      <c r="D6" s="1009">
        <f t="shared" ref="D6:F18" si="2">+G6+J6+M6+P6</f>
        <v>0</v>
      </c>
      <c r="E6" s="1009">
        <f t="shared" si="2"/>
        <v>0</v>
      </c>
      <c r="F6" s="1009">
        <f t="shared" si="2"/>
        <v>0</v>
      </c>
      <c r="G6" s="1009"/>
      <c r="H6" s="1009"/>
      <c r="I6" s="1009">
        <f t="shared" ref="I6:I22" si="3">+G6+H6</f>
        <v>0</v>
      </c>
      <c r="J6" s="1009"/>
      <c r="K6" s="1009"/>
      <c r="L6" s="1016">
        <f t="shared" ref="L6:L18" si="4">+K6+J6</f>
        <v>0</v>
      </c>
      <c r="M6" s="1009"/>
      <c r="N6" s="1009"/>
      <c r="O6" s="1009">
        <f t="shared" si="0"/>
        <v>0</v>
      </c>
      <c r="P6" s="1009"/>
      <c r="Q6" s="1009"/>
      <c r="R6" s="1009">
        <f t="shared" si="1"/>
        <v>0</v>
      </c>
    </row>
    <row r="7" spans="1:18" ht="15" customHeight="1" x14ac:dyDescent="0.25">
      <c r="A7" s="590" t="s">
        <v>6</v>
      </c>
      <c r="B7" s="1378" t="s">
        <v>5</v>
      </c>
      <c r="C7" s="1378"/>
      <c r="D7" s="1009">
        <f t="shared" si="2"/>
        <v>0</v>
      </c>
      <c r="E7" s="1009">
        <f t="shared" si="2"/>
        <v>0</v>
      </c>
      <c r="F7" s="1009">
        <f t="shared" si="2"/>
        <v>0</v>
      </c>
      <c r="G7" s="1009"/>
      <c r="H7" s="1009"/>
      <c r="I7" s="1009">
        <f t="shared" si="3"/>
        <v>0</v>
      </c>
      <c r="J7" s="1009"/>
      <c r="K7" s="1009"/>
      <c r="L7" s="1016">
        <f t="shared" si="4"/>
        <v>0</v>
      </c>
      <c r="M7" s="1009"/>
      <c r="N7" s="1009"/>
      <c r="O7" s="1009">
        <f t="shared" si="0"/>
        <v>0</v>
      </c>
      <c r="P7" s="1009"/>
      <c r="Q7" s="1009"/>
      <c r="R7" s="1009">
        <f t="shared" si="1"/>
        <v>0</v>
      </c>
    </row>
    <row r="8" spans="1:18" ht="22.5" customHeight="1" x14ac:dyDescent="0.25">
      <c r="A8" s="590" t="s">
        <v>8</v>
      </c>
      <c r="B8" s="1378" t="s">
        <v>7</v>
      </c>
      <c r="C8" s="1378"/>
      <c r="D8" s="1009">
        <f t="shared" si="2"/>
        <v>200</v>
      </c>
      <c r="E8" s="1009">
        <f t="shared" si="2"/>
        <v>244</v>
      </c>
      <c r="F8" s="1009">
        <f t="shared" si="2"/>
        <v>444</v>
      </c>
      <c r="G8" s="1010">
        <v>200</v>
      </c>
      <c r="H8" s="1009">
        <v>244</v>
      </c>
      <c r="I8" s="1009">
        <f t="shared" si="3"/>
        <v>444</v>
      </c>
      <c r="J8" s="1009"/>
      <c r="K8" s="1009"/>
      <c r="L8" s="1016">
        <f t="shared" si="4"/>
        <v>0</v>
      </c>
      <c r="M8" s="1009"/>
      <c r="N8" s="1009"/>
      <c r="O8" s="1009">
        <f t="shared" si="0"/>
        <v>0</v>
      </c>
      <c r="P8" s="1009"/>
      <c r="Q8" s="1009"/>
      <c r="R8" s="1009">
        <f t="shared" si="1"/>
        <v>0</v>
      </c>
    </row>
    <row r="9" spans="1:18" ht="15" customHeight="1" x14ac:dyDescent="0.25">
      <c r="A9" s="590" t="s">
        <v>10</v>
      </c>
      <c r="B9" s="1378" t="s">
        <v>9</v>
      </c>
      <c r="C9" s="1378"/>
      <c r="D9" s="1009">
        <f t="shared" si="2"/>
        <v>0</v>
      </c>
      <c r="E9" s="1009">
        <f t="shared" si="2"/>
        <v>0</v>
      </c>
      <c r="F9" s="1009">
        <f t="shared" si="2"/>
        <v>0</v>
      </c>
      <c r="G9" s="1009"/>
      <c r="H9" s="1009"/>
      <c r="I9" s="1009">
        <f t="shared" si="3"/>
        <v>0</v>
      </c>
      <c r="J9" s="1009"/>
      <c r="K9" s="1009"/>
      <c r="L9" s="1016">
        <f t="shared" si="4"/>
        <v>0</v>
      </c>
      <c r="M9" s="1009"/>
      <c r="N9" s="1009"/>
      <c r="O9" s="1009">
        <f t="shared" si="0"/>
        <v>0</v>
      </c>
      <c r="P9" s="1009"/>
      <c r="Q9" s="1009"/>
      <c r="R9" s="1009">
        <f t="shared" si="1"/>
        <v>0</v>
      </c>
    </row>
    <row r="10" spans="1:18" ht="15" customHeight="1" x14ac:dyDescent="0.25">
      <c r="A10" s="590" t="s">
        <v>12</v>
      </c>
      <c r="B10" s="1378" t="s">
        <v>11</v>
      </c>
      <c r="C10" s="1378"/>
      <c r="D10" s="1009">
        <f t="shared" si="2"/>
        <v>0</v>
      </c>
      <c r="E10" s="1009">
        <f t="shared" si="2"/>
        <v>0</v>
      </c>
      <c r="F10" s="1009">
        <f t="shared" si="2"/>
        <v>0</v>
      </c>
      <c r="G10" s="1009">
        <v>0</v>
      </c>
      <c r="H10" s="1009"/>
      <c r="I10" s="1009">
        <f t="shared" si="3"/>
        <v>0</v>
      </c>
      <c r="J10" s="1009"/>
      <c r="K10" s="1009"/>
      <c r="L10" s="1016">
        <f t="shared" si="4"/>
        <v>0</v>
      </c>
      <c r="M10" s="1009"/>
      <c r="N10" s="1009"/>
      <c r="O10" s="1009">
        <f t="shared" si="0"/>
        <v>0</v>
      </c>
      <c r="P10" s="1009"/>
      <c r="Q10" s="1009"/>
      <c r="R10" s="1009">
        <f t="shared" si="1"/>
        <v>0</v>
      </c>
    </row>
    <row r="11" spans="1:18" ht="15" customHeight="1" x14ac:dyDescent="0.25">
      <c r="A11" s="590" t="s">
        <v>14</v>
      </c>
      <c r="B11" s="1378" t="s">
        <v>13</v>
      </c>
      <c r="C11" s="1378"/>
      <c r="D11" s="1009">
        <f t="shared" si="2"/>
        <v>2160</v>
      </c>
      <c r="E11" s="1009">
        <f t="shared" si="2"/>
        <v>0</v>
      </c>
      <c r="F11" s="1009">
        <f t="shared" si="2"/>
        <v>2160</v>
      </c>
      <c r="G11" s="1009">
        <f>2160-60</f>
        <v>2100</v>
      </c>
      <c r="H11" s="1009"/>
      <c r="I11" s="1009">
        <f t="shared" si="3"/>
        <v>2100</v>
      </c>
      <c r="J11" s="1009">
        <v>60</v>
      </c>
      <c r="K11" s="1009"/>
      <c r="L11" s="1016">
        <f t="shared" si="4"/>
        <v>60</v>
      </c>
      <c r="M11" s="1009"/>
      <c r="N11" s="1009"/>
      <c r="O11" s="1009">
        <f t="shared" si="0"/>
        <v>0</v>
      </c>
      <c r="P11" s="1009"/>
      <c r="Q11" s="1009"/>
      <c r="R11" s="1009">
        <f t="shared" si="1"/>
        <v>0</v>
      </c>
    </row>
    <row r="12" spans="1:18" ht="15" customHeight="1" x14ac:dyDescent="0.25">
      <c r="A12" s="590" t="s">
        <v>16</v>
      </c>
      <c r="B12" s="1378" t="s">
        <v>15</v>
      </c>
      <c r="C12" s="1378"/>
      <c r="D12" s="1009">
        <f t="shared" si="2"/>
        <v>0</v>
      </c>
      <c r="E12" s="1009">
        <f t="shared" si="2"/>
        <v>0</v>
      </c>
      <c r="F12" s="1009">
        <f t="shared" si="2"/>
        <v>0</v>
      </c>
      <c r="G12" s="1009"/>
      <c r="H12" s="1009"/>
      <c r="I12" s="1009">
        <f t="shared" si="3"/>
        <v>0</v>
      </c>
      <c r="J12" s="1009"/>
      <c r="K12" s="1009"/>
      <c r="L12" s="1016">
        <f t="shared" si="4"/>
        <v>0</v>
      </c>
      <c r="M12" s="1009"/>
      <c r="N12" s="1009"/>
      <c r="O12" s="1009">
        <f t="shared" si="0"/>
        <v>0</v>
      </c>
      <c r="P12" s="1009"/>
      <c r="Q12" s="1009"/>
      <c r="R12" s="1009">
        <f t="shared" si="1"/>
        <v>0</v>
      </c>
    </row>
    <row r="13" spans="1:18" ht="15" customHeight="1" x14ac:dyDescent="0.25">
      <c r="A13" s="590" t="s">
        <v>18</v>
      </c>
      <c r="B13" s="1378" t="s">
        <v>17</v>
      </c>
      <c r="C13" s="1378"/>
      <c r="D13" s="1009">
        <f t="shared" si="2"/>
        <v>359</v>
      </c>
      <c r="E13" s="1009">
        <f t="shared" si="2"/>
        <v>0</v>
      </c>
      <c r="F13" s="1009">
        <f t="shared" si="2"/>
        <v>359</v>
      </c>
      <c r="G13" s="1009">
        <v>359</v>
      </c>
      <c r="H13" s="1009"/>
      <c r="I13" s="1009">
        <f t="shared" si="3"/>
        <v>359</v>
      </c>
      <c r="J13" s="1009"/>
      <c r="K13" s="1009"/>
      <c r="L13" s="1016">
        <f t="shared" si="4"/>
        <v>0</v>
      </c>
      <c r="M13" s="1009"/>
      <c r="N13" s="1009"/>
      <c r="O13" s="1009">
        <f t="shared" si="0"/>
        <v>0</v>
      </c>
      <c r="P13" s="1009"/>
      <c r="Q13" s="1009"/>
      <c r="R13" s="1009">
        <f t="shared" si="1"/>
        <v>0</v>
      </c>
    </row>
    <row r="14" spans="1:18" ht="15" customHeight="1" x14ac:dyDescent="0.25">
      <c r="A14" s="590" t="s">
        <v>20</v>
      </c>
      <c r="B14" s="1378" t="s">
        <v>19</v>
      </c>
      <c r="C14" s="1378"/>
      <c r="D14" s="1009">
        <f t="shared" si="2"/>
        <v>0</v>
      </c>
      <c r="E14" s="1009">
        <f t="shared" si="2"/>
        <v>0</v>
      </c>
      <c r="F14" s="1009">
        <f t="shared" si="2"/>
        <v>0</v>
      </c>
      <c r="G14" s="1009"/>
      <c r="H14" s="1009"/>
      <c r="I14" s="1009">
        <f t="shared" si="3"/>
        <v>0</v>
      </c>
      <c r="J14" s="1009"/>
      <c r="K14" s="1009"/>
      <c r="L14" s="1016">
        <f t="shared" si="4"/>
        <v>0</v>
      </c>
      <c r="M14" s="1009"/>
      <c r="N14" s="1009"/>
      <c r="O14" s="1009">
        <f t="shared" si="0"/>
        <v>0</v>
      </c>
      <c r="P14" s="1009"/>
      <c r="Q14" s="1009"/>
      <c r="R14" s="1009">
        <f t="shared" si="1"/>
        <v>0</v>
      </c>
    </row>
    <row r="15" spans="1:18" ht="15" customHeight="1" x14ac:dyDescent="0.25">
      <c r="A15" s="590" t="s">
        <v>22</v>
      </c>
      <c r="B15" s="1378" t="s">
        <v>21</v>
      </c>
      <c r="C15" s="1378"/>
      <c r="D15" s="1009">
        <f t="shared" si="2"/>
        <v>0</v>
      </c>
      <c r="E15" s="1009">
        <f t="shared" si="2"/>
        <v>0</v>
      </c>
      <c r="F15" s="1009">
        <f t="shared" si="2"/>
        <v>0</v>
      </c>
      <c r="G15" s="1009"/>
      <c r="H15" s="1009"/>
      <c r="I15" s="1009">
        <f t="shared" si="3"/>
        <v>0</v>
      </c>
      <c r="J15" s="1009"/>
      <c r="K15" s="1009"/>
      <c r="L15" s="1016">
        <f t="shared" si="4"/>
        <v>0</v>
      </c>
      <c r="M15" s="1009"/>
      <c r="N15" s="1009"/>
      <c r="O15" s="1009">
        <f t="shared" si="0"/>
        <v>0</v>
      </c>
      <c r="P15" s="1009"/>
      <c r="Q15" s="1009"/>
      <c r="R15" s="1009">
        <f t="shared" si="1"/>
        <v>0</v>
      </c>
    </row>
    <row r="16" spans="1:18" ht="15" customHeight="1" x14ac:dyDescent="0.25">
      <c r="A16" s="590" t="s">
        <v>24</v>
      </c>
      <c r="B16" s="1378" t="s">
        <v>23</v>
      </c>
      <c r="C16" s="1378"/>
      <c r="D16" s="1009">
        <f t="shared" si="2"/>
        <v>0</v>
      </c>
      <c r="E16" s="1009">
        <f t="shared" si="2"/>
        <v>0</v>
      </c>
      <c r="F16" s="1009">
        <f t="shared" si="2"/>
        <v>0</v>
      </c>
      <c r="G16" s="1009"/>
      <c r="H16" s="1009"/>
      <c r="I16" s="1009">
        <f t="shared" si="3"/>
        <v>0</v>
      </c>
      <c r="J16" s="1009"/>
      <c r="K16" s="1009"/>
      <c r="L16" s="1016">
        <f t="shared" si="4"/>
        <v>0</v>
      </c>
      <c r="M16" s="1009"/>
      <c r="N16" s="1009"/>
      <c r="O16" s="1009">
        <f t="shared" si="0"/>
        <v>0</v>
      </c>
      <c r="P16" s="1009"/>
      <c r="Q16" s="1009"/>
      <c r="R16" s="1009">
        <f t="shared" si="1"/>
        <v>0</v>
      </c>
    </row>
    <row r="17" spans="1:18" ht="27.75" customHeight="1" x14ac:dyDescent="0.25">
      <c r="A17" s="590" t="s">
        <v>25</v>
      </c>
      <c r="B17" s="1378" t="s">
        <v>174</v>
      </c>
      <c r="C17" s="1378"/>
      <c r="D17" s="1009">
        <f t="shared" si="2"/>
        <v>254</v>
      </c>
      <c r="E17" s="1009">
        <f t="shared" si="2"/>
        <v>434</v>
      </c>
      <c r="F17" s="1009">
        <f t="shared" si="2"/>
        <v>688</v>
      </c>
      <c r="G17" s="1009">
        <v>224</v>
      </c>
      <c r="H17" s="1009">
        <v>386</v>
      </c>
      <c r="I17" s="1009">
        <f t="shared" si="3"/>
        <v>610</v>
      </c>
      <c r="J17" s="1009">
        <v>30</v>
      </c>
      <c r="K17" s="1009">
        <v>48</v>
      </c>
      <c r="L17" s="1016">
        <f t="shared" si="4"/>
        <v>78</v>
      </c>
      <c r="M17" s="1009"/>
      <c r="N17" s="1009"/>
      <c r="O17" s="1009">
        <f t="shared" si="0"/>
        <v>0</v>
      </c>
      <c r="P17" s="1009"/>
      <c r="Q17" s="1009"/>
      <c r="R17" s="1009">
        <f t="shared" si="1"/>
        <v>0</v>
      </c>
    </row>
    <row r="18" spans="1:18" ht="15" customHeight="1" x14ac:dyDescent="0.25">
      <c r="A18" s="590" t="s">
        <v>25</v>
      </c>
      <c r="B18" s="1378" t="s">
        <v>26</v>
      </c>
      <c r="C18" s="1378"/>
      <c r="D18" s="1009">
        <f t="shared" si="2"/>
        <v>0</v>
      </c>
      <c r="E18" s="1009">
        <f t="shared" si="2"/>
        <v>0</v>
      </c>
      <c r="F18" s="1009">
        <f t="shared" si="2"/>
        <v>0</v>
      </c>
      <c r="G18" s="1009"/>
      <c r="H18" s="1009"/>
      <c r="I18" s="1009">
        <f t="shared" si="3"/>
        <v>0</v>
      </c>
      <c r="J18" s="1009"/>
      <c r="K18" s="1009"/>
      <c r="L18" s="1016">
        <f t="shared" si="4"/>
        <v>0</v>
      </c>
      <c r="M18" s="1009"/>
      <c r="N18" s="1009"/>
      <c r="O18" s="1009">
        <f t="shared" si="0"/>
        <v>0</v>
      </c>
      <c r="P18" s="1009"/>
      <c r="Q18" s="1009"/>
      <c r="R18" s="1009">
        <f t="shared" si="1"/>
        <v>0</v>
      </c>
    </row>
    <row r="19" spans="1:18" s="592" customFormat="1" ht="15" customHeight="1" x14ac:dyDescent="0.25">
      <c r="A19" s="591" t="s">
        <v>27</v>
      </c>
      <c r="B19" s="1377" t="s">
        <v>416</v>
      </c>
      <c r="C19" s="1377"/>
      <c r="D19" s="1011">
        <f>SUM(D5:D18)</f>
        <v>116076</v>
      </c>
      <c r="E19" s="1011">
        <f t="shared" ref="E19:R19" si="5">SUM(E5:E18)</f>
        <v>-4</v>
      </c>
      <c r="F19" s="1011">
        <f t="shared" si="5"/>
        <v>116072</v>
      </c>
      <c r="G19" s="1011">
        <f t="shared" si="5"/>
        <v>115057</v>
      </c>
      <c r="H19" s="1011">
        <f t="shared" si="5"/>
        <v>-4</v>
      </c>
      <c r="I19" s="1011">
        <f t="shared" si="5"/>
        <v>115053</v>
      </c>
      <c r="J19" s="1011">
        <f t="shared" si="5"/>
        <v>1019</v>
      </c>
      <c r="K19" s="1011">
        <f>SUM(K5:K18)</f>
        <v>0</v>
      </c>
      <c r="L19" s="1015">
        <f>SUM(L5:L18)</f>
        <v>1019</v>
      </c>
      <c r="M19" s="1011">
        <f t="shared" si="5"/>
        <v>0</v>
      </c>
      <c r="N19" s="1011">
        <f t="shared" si="5"/>
        <v>0</v>
      </c>
      <c r="O19" s="1011">
        <f t="shared" si="5"/>
        <v>0</v>
      </c>
      <c r="P19" s="1011">
        <f t="shared" si="5"/>
        <v>0</v>
      </c>
      <c r="Q19" s="1011">
        <f t="shared" si="5"/>
        <v>0</v>
      </c>
      <c r="R19" s="1011">
        <f t="shared" si="5"/>
        <v>0</v>
      </c>
    </row>
    <row r="20" spans="1:18" ht="15" customHeight="1" x14ac:dyDescent="0.25">
      <c r="A20" s="590" t="s">
        <v>29</v>
      </c>
      <c r="B20" s="1378" t="s">
        <v>28</v>
      </c>
      <c r="C20" s="1378"/>
      <c r="D20" s="1009">
        <f>+G20+J20+M20+P20</f>
        <v>0</v>
      </c>
      <c r="E20" s="1009">
        <f t="shared" ref="E20:F21" si="6">+H20+K20+N20+Q20</f>
        <v>0</v>
      </c>
      <c r="F20" s="1009">
        <f t="shared" si="6"/>
        <v>0</v>
      </c>
      <c r="G20" s="1009"/>
      <c r="H20" s="1009"/>
      <c r="I20" s="1009">
        <f t="shared" si="3"/>
        <v>0</v>
      </c>
      <c r="J20" s="1009"/>
      <c r="K20" s="1009"/>
      <c r="L20" s="1016">
        <f t="shared" ref="L20:L22" si="7">+J20+K20</f>
        <v>0</v>
      </c>
      <c r="M20" s="1009"/>
      <c r="N20" s="1009"/>
      <c r="O20" s="1009"/>
      <c r="P20" s="1009"/>
      <c r="Q20" s="1009"/>
      <c r="R20" s="1009"/>
    </row>
    <row r="21" spans="1:18" ht="38.25" customHeight="1" x14ac:dyDescent="0.25">
      <c r="A21" s="590" t="s">
        <v>634</v>
      </c>
      <c r="B21" s="1378" t="s">
        <v>30</v>
      </c>
      <c r="C21" s="1378"/>
      <c r="D21" s="1009">
        <f t="shared" ref="D21:D22" si="8">+G21+J21+M21+P21</f>
        <v>1080</v>
      </c>
      <c r="E21" s="1009">
        <f t="shared" si="6"/>
        <v>41</v>
      </c>
      <c r="F21" s="1010">
        <f t="shared" si="6"/>
        <v>1121</v>
      </c>
      <c r="G21" s="1009">
        <v>280</v>
      </c>
      <c r="H21" s="1009">
        <v>19</v>
      </c>
      <c r="I21" s="1009">
        <f t="shared" si="3"/>
        <v>299</v>
      </c>
      <c r="J21" s="1009"/>
      <c r="K21" s="1009"/>
      <c r="L21" s="1016">
        <f t="shared" si="7"/>
        <v>0</v>
      </c>
      <c r="M21" s="1009">
        <v>800</v>
      </c>
      <c r="N21" s="1010">
        <v>22</v>
      </c>
      <c r="O21" s="1009">
        <f t="shared" ref="O21:O22" si="9">+M21+N21</f>
        <v>822</v>
      </c>
      <c r="P21" s="1009"/>
      <c r="Q21" s="1009"/>
      <c r="R21" s="1009">
        <f t="shared" ref="R21:R22" si="10">+P21+Q21</f>
        <v>0</v>
      </c>
    </row>
    <row r="22" spans="1:18" ht="15" customHeight="1" x14ac:dyDescent="0.25">
      <c r="A22" s="590" t="s">
        <v>32</v>
      </c>
      <c r="B22" s="1378" t="s">
        <v>31</v>
      </c>
      <c r="C22" s="1378"/>
      <c r="D22" s="1009">
        <f t="shared" si="8"/>
        <v>30</v>
      </c>
      <c r="E22" s="1009"/>
      <c r="F22" s="1009">
        <f>+D22+E22</f>
        <v>30</v>
      </c>
      <c r="G22" s="1009">
        <v>30</v>
      </c>
      <c r="H22" s="1009"/>
      <c r="I22" s="1009">
        <f t="shared" si="3"/>
        <v>30</v>
      </c>
      <c r="J22" s="1009"/>
      <c r="K22" s="1009"/>
      <c r="L22" s="1016">
        <f t="shared" si="7"/>
        <v>0</v>
      </c>
      <c r="M22" s="1009"/>
      <c r="N22" s="1009"/>
      <c r="O22" s="1009">
        <f t="shared" si="9"/>
        <v>0</v>
      </c>
      <c r="P22" s="1009"/>
      <c r="Q22" s="1009"/>
      <c r="R22" s="1009">
        <f t="shared" si="10"/>
        <v>0</v>
      </c>
    </row>
    <row r="23" spans="1:18" s="592" customFormat="1" ht="15" customHeight="1" x14ac:dyDescent="0.25">
      <c r="A23" s="591" t="s">
        <v>33</v>
      </c>
      <c r="B23" s="1377" t="s">
        <v>417</v>
      </c>
      <c r="C23" s="1377"/>
      <c r="D23" s="1011">
        <f>SUM(D20:D22)</f>
        <v>1110</v>
      </c>
      <c r="E23" s="1011">
        <f t="shared" ref="E23:R23" si="11">SUM(E20:E22)</f>
        <v>41</v>
      </c>
      <c r="F23" s="1011">
        <f t="shared" si="11"/>
        <v>1151</v>
      </c>
      <c r="G23" s="1011">
        <f t="shared" si="11"/>
        <v>310</v>
      </c>
      <c r="H23" s="1011">
        <f t="shared" si="11"/>
        <v>19</v>
      </c>
      <c r="I23" s="1011">
        <f t="shared" si="11"/>
        <v>329</v>
      </c>
      <c r="J23" s="1011">
        <f t="shared" si="11"/>
        <v>0</v>
      </c>
      <c r="K23" s="1011">
        <f t="shared" si="11"/>
        <v>0</v>
      </c>
      <c r="L23" s="1015">
        <f t="shared" si="11"/>
        <v>0</v>
      </c>
      <c r="M23" s="1011">
        <f t="shared" si="11"/>
        <v>800</v>
      </c>
      <c r="N23" s="1011">
        <f t="shared" si="11"/>
        <v>22</v>
      </c>
      <c r="O23" s="1011">
        <f t="shared" si="11"/>
        <v>822</v>
      </c>
      <c r="P23" s="1011">
        <f t="shared" si="11"/>
        <v>0</v>
      </c>
      <c r="Q23" s="1011">
        <f t="shared" si="11"/>
        <v>0</v>
      </c>
      <c r="R23" s="1011">
        <f t="shared" si="11"/>
        <v>0</v>
      </c>
    </row>
    <row r="24" spans="1:18" s="593" customFormat="1" ht="15" customHeight="1" x14ac:dyDescent="0.25">
      <c r="A24" s="591" t="s">
        <v>34</v>
      </c>
      <c r="B24" s="1377" t="s">
        <v>418</v>
      </c>
      <c r="C24" s="1377"/>
      <c r="D24" s="1011">
        <f>+D23+D19</f>
        <v>117186</v>
      </c>
      <c r="E24" s="1011">
        <f t="shared" ref="E24:R24" si="12">+E23+E19</f>
        <v>37</v>
      </c>
      <c r="F24" s="1011">
        <f t="shared" si="12"/>
        <v>117223</v>
      </c>
      <c r="G24" s="1011">
        <f t="shared" si="12"/>
        <v>115367</v>
      </c>
      <c r="H24" s="1011">
        <f t="shared" si="12"/>
        <v>15</v>
      </c>
      <c r="I24" s="1011">
        <f t="shared" si="12"/>
        <v>115382</v>
      </c>
      <c r="J24" s="1011">
        <f t="shared" si="12"/>
        <v>1019</v>
      </c>
      <c r="K24" s="1011">
        <f t="shared" si="12"/>
        <v>0</v>
      </c>
      <c r="L24" s="1015">
        <f t="shared" si="12"/>
        <v>1019</v>
      </c>
      <c r="M24" s="1011">
        <f t="shared" si="12"/>
        <v>800</v>
      </c>
      <c r="N24" s="1011">
        <f>+N23+N19</f>
        <v>22</v>
      </c>
      <c r="O24" s="1011">
        <f t="shared" si="12"/>
        <v>822</v>
      </c>
      <c r="P24" s="1011">
        <f t="shared" si="12"/>
        <v>0</v>
      </c>
      <c r="Q24" s="1011">
        <f t="shared" si="12"/>
        <v>0</v>
      </c>
      <c r="R24" s="1011">
        <f t="shared" si="12"/>
        <v>0</v>
      </c>
    </row>
    <row r="25" spans="1:18" x14ac:dyDescent="0.25">
      <c r="A25" s="594"/>
      <c r="B25" s="992"/>
      <c r="C25" s="992"/>
      <c r="D25" s="1012"/>
      <c r="E25" s="1012"/>
      <c r="F25" s="1013"/>
      <c r="G25" s="1014"/>
      <c r="H25" s="1012"/>
      <c r="I25" s="1013"/>
      <c r="J25" s="1014"/>
      <c r="K25" s="1012"/>
      <c r="L25" s="1110"/>
      <c r="M25" s="1014"/>
      <c r="N25" s="1012"/>
      <c r="O25" s="1013"/>
      <c r="P25" s="1014"/>
      <c r="Q25" s="1012"/>
      <c r="R25" s="1012"/>
    </row>
    <row r="26" spans="1:18" s="593" customFormat="1" ht="27" customHeight="1" x14ac:dyDescent="0.25">
      <c r="A26" s="591" t="s">
        <v>35</v>
      </c>
      <c r="B26" s="1377" t="s">
        <v>419</v>
      </c>
      <c r="C26" s="1377"/>
      <c r="D26" s="1015">
        <f>SUM(D27:D31)</f>
        <v>23655</v>
      </c>
      <c r="E26" s="1011">
        <f t="shared" ref="E26:F31" si="13">+H26+K26+N26+Q26</f>
        <v>-40</v>
      </c>
      <c r="F26" s="1111">
        <f t="shared" si="13"/>
        <v>23615</v>
      </c>
      <c r="G26" s="1011">
        <f t="shared" ref="G26:R26" si="14">SUM(G27:G31)</f>
        <v>23029</v>
      </c>
      <c r="H26" s="1011">
        <f t="shared" si="14"/>
        <v>1</v>
      </c>
      <c r="I26" s="1011">
        <f t="shared" si="14"/>
        <v>23030</v>
      </c>
      <c r="J26" s="1011">
        <f t="shared" si="14"/>
        <v>188</v>
      </c>
      <c r="K26" s="1011">
        <f t="shared" si="14"/>
        <v>0</v>
      </c>
      <c r="L26" s="1015">
        <f t="shared" si="14"/>
        <v>188</v>
      </c>
      <c r="M26" s="1015">
        <f t="shared" si="14"/>
        <v>438</v>
      </c>
      <c r="N26" s="1011">
        <f t="shared" si="14"/>
        <v>-41</v>
      </c>
      <c r="O26" s="1011">
        <f t="shared" si="14"/>
        <v>397</v>
      </c>
      <c r="P26" s="1011">
        <f t="shared" si="14"/>
        <v>0</v>
      </c>
      <c r="Q26" s="1011">
        <f t="shared" si="14"/>
        <v>0</v>
      </c>
      <c r="R26" s="1011">
        <f t="shared" si="14"/>
        <v>0</v>
      </c>
    </row>
    <row r="27" spans="1:18" ht="25.5" x14ac:dyDescent="0.25">
      <c r="A27" s="595" t="s">
        <v>35</v>
      </c>
      <c r="B27" s="596"/>
      <c r="C27" s="597" t="s">
        <v>36</v>
      </c>
      <c r="D27" s="1016">
        <f>+G27+J27+M27+P27</f>
        <v>20004</v>
      </c>
      <c r="E27" s="1009">
        <f t="shared" si="13"/>
        <v>-40</v>
      </c>
      <c r="F27" s="1009">
        <f t="shared" si="13"/>
        <v>19964</v>
      </c>
      <c r="G27" s="1009">
        <v>19398</v>
      </c>
      <c r="H27" s="1009">
        <v>1</v>
      </c>
      <c r="I27" s="1009">
        <f t="shared" ref="I27:I31" si="15">+G27+H27</f>
        <v>19399</v>
      </c>
      <c r="J27" s="1009">
        <v>168</v>
      </c>
      <c r="K27" s="1009"/>
      <c r="L27" s="1016">
        <f t="shared" ref="L27:L31" si="16">+J27+K27</f>
        <v>168</v>
      </c>
      <c r="M27" s="1016">
        <v>438</v>
      </c>
      <c r="N27" s="1009">
        <v>-41</v>
      </c>
      <c r="O27" s="1009">
        <f t="shared" ref="O27:O31" si="17">+M27+N27</f>
        <v>397</v>
      </c>
      <c r="P27" s="1009"/>
      <c r="Q27" s="1009"/>
      <c r="R27" s="1009">
        <f t="shared" ref="R27:R31" si="18">+P27+Q27</f>
        <v>0</v>
      </c>
    </row>
    <row r="28" spans="1:18" ht="25.5" x14ac:dyDescent="0.25">
      <c r="A28" s="595" t="s">
        <v>35</v>
      </c>
      <c r="B28" s="596"/>
      <c r="C28" s="597" t="s">
        <v>37</v>
      </c>
      <c r="D28" s="1009">
        <f t="shared" ref="D28:D31" si="19">+G28+J28+M28+P28</f>
        <v>2897</v>
      </c>
      <c r="E28" s="1009">
        <f t="shared" si="13"/>
        <v>0</v>
      </c>
      <c r="F28" s="1009">
        <f t="shared" si="13"/>
        <v>2897</v>
      </c>
      <c r="G28" s="1009">
        <v>2897</v>
      </c>
      <c r="H28" s="1009"/>
      <c r="I28" s="1009">
        <f t="shared" si="15"/>
        <v>2897</v>
      </c>
      <c r="J28" s="1009"/>
      <c r="K28" s="1009"/>
      <c r="L28" s="1016">
        <f t="shared" si="16"/>
        <v>0</v>
      </c>
      <c r="M28" s="1009"/>
      <c r="N28" s="1009"/>
      <c r="O28" s="1009">
        <f t="shared" si="17"/>
        <v>0</v>
      </c>
      <c r="P28" s="1009"/>
      <c r="Q28" s="1009"/>
      <c r="R28" s="1009">
        <f t="shared" si="18"/>
        <v>0</v>
      </c>
    </row>
    <row r="29" spans="1:18" ht="25.5" x14ac:dyDescent="0.25">
      <c r="A29" s="595" t="s">
        <v>35</v>
      </c>
      <c r="B29" s="596"/>
      <c r="C29" s="597" t="s">
        <v>38</v>
      </c>
      <c r="D29" s="1009">
        <f t="shared" si="19"/>
        <v>366</v>
      </c>
      <c r="E29" s="1009">
        <f t="shared" si="13"/>
        <v>0</v>
      </c>
      <c r="F29" s="1009">
        <f t="shared" si="13"/>
        <v>366</v>
      </c>
      <c r="G29" s="1009">
        <f>366-10</f>
        <v>356</v>
      </c>
      <c r="H29" s="1009"/>
      <c r="I29" s="1009">
        <f t="shared" si="15"/>
        <v>356</v>
      </c>
      <c r="J29" s="1009">
        <v>10</v>
      </c>
      <c r="K29" s="1009"/>
      <c r="L29" s="1016">
        <f t="shared" si="16"/>
        <v>10</v>
      </c>
      <c r="M29" s="1009"/>
      <c r="N29" s="1009"/>
      <c r="O29" s="1009">
        <f t="shared" si="17"/>
        <v>0</v>
      </c>
      <c r="P29" s="1009"/>
      <c r="Q29" s="1009"/>
      <c r="R29" s="1009">
        <f t="shared" si="18"/>
        <v>0</v>
      </c>
    </row>
    <row r="30" spans="1:18" ht="62.25" customHeight="1" x14ac:dyDescent="0.25">
      <c r="A30" s="595" t="s">
        <v>35</v>
      </c>
      <c r="B30" s="596"/>
      <c r="C30" s="597" t="s">
        <v>39</v>
      </c>
      <c r="D30" s="1009">
        <f t="shared" si="19"/>
        <v>0</v>
      </c>
      <c r="E30" s="1009">
        <f t="shared" si="13"/>
        <v>0</v>
      </c>
      <c r="F30" s="1009">
        <f t="shared" si="13"/>
        <v>0</v>
      </c>
      <c r="G30" s="1009"/>
      <c r="H30" s="1009"/>
      <c r="I30" s="1009">
        <f t="shared" si="15"/>
        <v>0</v>
      </c>
      <c r="J30" s="1009"/>
      <c r="K30" s="1009"/>
      <c r="L30" s="1016">
        <f t="shared" si="16"/>
        <v>0</v>
      </c>
      <c r="M30" s="1009"/>
      <c r="N30" s="1009"/>
      <c r="O30" s="1009">
        <f t="shared" si="17"/>
        <v>0</v>
      </c>
      <c r="P30" s="1009"/>
      <c r="Q30" s="1009"/>
      <c r="R30" s="1009">
        <f t="shared" si="18"/>
        <v>0</v>
      </c>
    </row>
    <row r="31" spans="1:18" ht="25.5" customHeight="1" x14ac:dyDescent="0.25">
      <c r="A31" s="595" t="s">
        <v>35</v>
      </c>
      <c r="B31" s="596"/>
      <c r="C31" s="597" t="s">
        <v>40</v>
      </c>
      <c r="D31" s="1009">
        <f t="shared" si="19"/>
        <v>388</v>
      </c>
      <c r="E31" s="1009">
        <f t="shared" si="13"/>
        <v>0</v>
      </c>
      <c r="F31" s="1009">
        <f t="shared" si="13"/>
        <v>388</v>
      </c>
      <c r="G31" s="1009">
        <f>388-10</f>
        <v>378</v>
      </c>
      <c r="H31" s="1009"/>
      <c r="I31" s="1009">
        <f t="shared" si="15"/>
        <v>378</v>
      </c>
      <c r="J31" s="1009">
        <v>10</v>
      </c>
      <c r="K31" s="1009"/>
      <c r="L31" s="1016">
        <f t="shared" si="16"/>
        <v>10</v>
      </c>
      <c r="M31" s="1009"/>
      <c r="N31" s="1009"/>
      <c r="O31" s="1009">
        <f t="shared" si="17"/>
        <v>0</v>
      </c>
      <c r="P31" s="1009"/>
      <c r="Q31" s="1009"/>
      <c r="R31" s="1009">
        <f t="shared" si="18"/>
        <v>0</v>
      </c>
    </row>
    <row r="32" spans="1:18" x14ac:dyDescent="0.25">
      <c r="A32" s="598"/>
      <c r="B32" s="599"/>
      <c r="C32" s="600"/>
      <c r="D32" s="1017"/>
      <c r="E32" s="1017"/>
      <c r="F32" s="1017"/>
      <c r="G32" s="1017"/>
      <c r="H32" s="1017"/>
      <c r="I32" s="1017"/>
      <c r="J32" s="1017"/>
      <c r="K32" s="1017"/>
      <c r="L32" s="1112"/>
      <c r="M32" s="1017"/>
      <c r="N32" s="1017"/>
      <c r="O32" s="1017"/>
      <c r="P32" s="1017"/>
      <c r="Q32" s="1017"/>
      <c r="R32" s="1017"/>
    </row>
    <row r="33" spans="1:18" ht="15" customHeight="1" x14ac:dyDescent="0.25">
      <c r="A33" s="590" t="s">
        <v>42</v>
      </c>
      <c r="B33" s="1378" t="s">
        <v>41</v>
      </c>
      <c r="C33" s="1378"/>
      <c r="D33" s="1009">
        <f>+G33+J33+M33+P33</f>
        <v>135</v>
      </c>
      <c r="E33" s="1009">
        <f>+H33+K33+N33+Q33</f>
        <v>0</v>
      </c>
      <c r="F33" s="1009">
        <f>+I33+L33+O33+R33</f>
        <v>135</v>
      </c>
      <c r="G33" s="1009">
        <v>135</v>
      </c>
      <c r="H33" s="1009"/>
      <c r="I33" s="1009">
        <f t="shared" ref="I33:I35" si="20">+G33+H33</f>
        <v>135</v>
      </c>
      <c r="J33" s="1009"/>
      <c r="K33" s="1009"/>
      <c r="L33" s="1016">
        <f t="shared" ref="L33:L35" si="21">+J33+K33</f>
        <v>0</v>
      </c>
      <c r="M33" s="1009"/>
      <c r="N33" s="1009"/>
      <c r="O33" s="1009">
        <f t="shared" ref="O33:O35" si="22">+M33+N33</f>
        <v>0</v>
      </c>
      <c r="P33" s="1009"/>
      <c r="Q33" s="1009"/>
      <c r="R33" s="1009">
        <f t="shared" ref="R33:R35" si="23">+P33+Q33</f>
        <v>0</v>
      </c>
    </row>
    <row r="34" spans="1:18" ht="15" customHeight="1" x14ac:dyDescent="0.25">
      <c r="A34" s="590" t="s">
        <v>44</v>
      </c>
      <c r="B34" s="1378" t="s">
        <v>43</v>
      </c>
      <c r="C34" s="1378"/>
      <c r="D34" s="1009">
        <f t="shared" ref="D34:F35" si="24">+G34+J34+M34+P34</f>
        <v>391</v>
      </c>
      <c r="E34" s="1009">
        <f t="shared" si="24"/>
        <v>-31</v>
      </c>
      <c r="F34" s="1010">
        <f t="shared" si="24"/>
        <v>360</v>
      </c>
      <c r="G34" s="1009">
        <v>232</v>
      </c>
      <c r="H34" s="1009">
        <v>-31</v>
      </c>
      <c r="I34" s="1009">
        <f t="shared" si="20"/>
        <v>201</v>
      </c>
      <c r="J34" s="1009">
        <v>159</v>
      </c>
      <c r="K34" s="1009"/>
      <c r="L34" s="1016">
        <f t="shared" si="21"/>
        <v>159</v>
      </c>
      <c r="M34" s="1009"/>
      <c r="N34" s="1009"/>
      <c r="O34" s="1009">
        <f t="shared" si="22"/>
        <v>0</v>
      </c>
      <c r="P34" s="1009"/>
      <c r="Q34" s="1009"/>
      <c r="R34" s="1009">
        <f t="shared" si="23"/>
        <v>0</v>
      </c>
    </row>
    <row r="35" spans="1:18" ht="15" customHeight="1" x14ac:dyDescent="0.25">
      <c r="A35" s="590" t="s">
        <v>46</v>
      </c>
      <c r="B35" s="1378" t="s">
        <v>45</v>
      </c>
      <c r="C35" s="1378"/>
      <c r="D35" s="1009">
        <f t="shared" si="24"/>
        <v>0</v>
      </c>
      <c r="E35" s="1009">
        <f t="shared" si="24"/>
        <v>0</v>
      </c>
      <c r="F35" s="1009">
        <f t="shared" si="24"/>
        <v>0</v>
      </c>
      <c r="G35" s="1009"/>
      <c r="H35" s="1009"/>
      <c r="I35" s="1009">
        <f t="shared" si="20"/>
        <v>0</v>
      </c>
      <c r="J35" s="1009"/>
      <c r="K35" s="1009"/>
      <c r="L35" s="1016">
        <f t="shared" si="21"/>
        <v>0</v>
      </c>
      <c r="M35" s="1009"/>
      <c r="N35" s="1009"/>
      <c r="O35" s="1009">
        <f t="shared" si="22"/>
        <v>0</v>
      </c>
      <c r="P35" s="1009"/>
      <c r="Q35" s="1009"/>
      <c r="R35" s="1009">
        <f t="shared" si="23"/>
        <v>0</v>
      </c>
    </row>
    <row r="36" spans="1:18" s="593" customFormat="1" ht="15" customHeight="1" x14ac:dyDescent="0.25">
      <c r="A36" s="591" t="s">
        <v>47</v>
      </c>
      <c r="B36" s="1377" t="s">
        <v>421</v>
      </c>
      <c r="C36" s="1377"/>
      <c r="D36" s="1011">
        <f>SUM(D33:D35)</f>
        <v>526</v>
      </c>
      <c r="E36" s="1011">
        <f t="shared" ref="E36:R36" si="25">SUM(E33:E35)</f>
        <v>-31</v>
      </c>
      <c r="F36" s="1011">
        <f t="shared" si="25"/>
        <v>495</v>
      </c>
      <c r="G36" s="1011">
        <f t="shared" si="25"/>
        <v>367</v>
      </c>
      <c r="H36" s="1011">
        <f t="shared" si="25"/>
        <v>-31</v>
      </c>
      <c r="I36" s="1011">
        <f t="shared" si="25"/>
        <v>336</v>
      </c>
      <c r="J36" s="1011">
        <f>SUM(J33:J35)</f>
        <v>159</v>
      </c>
      <c r="K36" s="1011">
        <f t="shared" si="25"/>
        <v>0</v>
      </c>
      <c r="L36" s="1015">
        <f t="shared" si="25"/>
        <v>159</v>
      </c>
      <c r="M36" s="1011">
        <f t="shared" si="25"/>
        <v>0</v>
      </c>
      <c r="N36" s="1011">
        <f t="shared" si="25"/>
        <v>0</v>
      </c>
      <c r="O36" s="1011">
        <f t="shared" si="25"/>
        <v>0</v>
      </c>
      <c r="P36" s="1011">
        <f t="shared" si="25"/>
        <v>0</v>
      </c>
      <c r="Q36" s="1011">
        <f t="shared" si="25"/>
        <v>0</v>
      </c>
      <c r="R36" s="1011">
        <f t="shared" si="25"/>
        <v>0</v>
      </c>
    </row>
    <row r="37" spans="1:18" ht="15" customHeight="1" x14ac:dyDescent="0.25">
      <c r="A37" s="590" t="s">
        <v>49</v>
      </c>
      <c r="B37" s="1378" t="s">
        <v>48</v>
      </c>
      <c r="C37" s="1378"/>
      <c r="D37" s="1009">
        <f>+G37+J37+M37+P37</f>
        <v>80</v>
      </c>
      <c r="E37" s="1009">
        <f t="shared" ref="E37:F38" si="26">+H37+K37+N37+Q37</f>
        <v>0</v>
      </c>
      <c r="F37" s="1009">
        <f t="shared" si="26"/>
        <v>80</v>
      </c>
      <c r="G37" s="1009"/>
      <c r="H37" s="1009"/>
      <c r="I37" s="1009">
        <f t="shared" ref="I37:I38" si="27">+G37+H37</f>
        <v>0</v>
      </c>
      <c r="J37" s="1009">
        <v>80</v>
      </c>
      <c r="K37" s="1009"/>
      <c r="L37" s="1016">
        <f t="shared" ref="L37:L38" si="28">+J37+K37</f>
        <v>80</v>
      </c>
      <c r="M37" s="1009"/>
      <c r="N37" s="1009"/>
      <c r="O37" s="1009">
        <f t="shared" ref="O37:O38" si="29">+M37+N37</f>
        <v>0</v>
      </c>
      <c r="P37" s="1009"/>
      <c r="Q37" s="1009"/>
      <c r="R37" s="1009">
        <f t="shared" ref="R37:R38" si="30">+P37+Q37</f>
        <v>0</v>
      </c>
    </row>
    <row r="38" spans="1:18" ht="15" customHeight="1" x14ac:dyDescent="0.25">
      <c r="A38" s="590" t="s">
        <v>51</v>
      </c>
      <c r="B38" s="1378" t="s">
        <v>50</v>
      </c>
      <c r="C38" s="1378"/>
      <c r="D38" s="1009">
        <f>+G38+J38+M38+P38</f>
        <v>50</v>
      </c>
      <c r="E38" s="1009">
        <f t="shared" si="26"/>
        <v>0</v>
      </c>
      <c r="F38" s="1009">
        <f t="shared" si="26"/>
        <v>50</v>
      </c>
      <c r="G38" s="1009"/>
      <c r="H38" s="1009"/>
      <c r="I38" s="1009">
        <f t="shared" si="27"/>
        <v>0</v>
      </c>
      <c r="J38" s="1009">
        <v>50</v>
      </c>
      <c r="K38" s="1009"/>
      <c r="L38" s="1016">
        <f t="shared" si="28"/>
        <v>50</v>
      </c>
      <c r="M38" s="1009"/>
      <c r="N38" s="1009"/>
      <c r="O38" s="1009">
        <f t="shared" si="29"/>
        <v>0</v>
      </c>
      <c r="P38" s="1009"/>
      <c r="Q38" s="1009"/>
      <c r="R38" s="1009">
        <f t="shared" si="30"/>
        <v>0</v>
      </c>
    </row>
    <row r="39" spans="1:18" s="593" customFormat="1" ht="15" customHeight="1" x14ac:dyDescent="0.25">
      <c r="A39" s="591" t="s">
        <v>52</v>
      </c>
      <c r="B39" s="1377" t="s">
        <v>422</v>
      </c>
      <c r="C39" s="1377"/>
      <c r="D39" s="1011">
        <f>SUM(D37:D38)</f>
        <v>130</v>
      </c>
      <c r="E39" s="1011">
        <f t="shared" ref="E39:F39" si="31">SUM(E37:E38)</f>
        <v>0</v>
      </c>
      <c r="F39" s="1011">
        <f t="shared" si="31"/>
        <v>130</v>
      </c>
      <c r="G39" s="1011">
        <f t="shared" ref="G39:R39" si="32">+G38+G37</f>
        <v>0</v>
      </c>
      <c r="H39" s="1011">
        <f t="shared" si="32"/>
        <v>0</v>
      </c>
      <c r="I39" s="1011">
        <f t="shared" si="32"/>
        <v>0</v>
      </c>
      <c r="J39" s="1011">
        <f t="shared" si="32"/>
        <v>130</v>
      </c>
      <c r="K39" s="1011">
        <f t="shared" si="32"/>
        <v>0</v>
      </c>
      <c r="L39" s="1015">
        <f t="shared" si="32"/>
        <v>130</v>
      </c>
      <c r="M39" s="1011">
        <f t="shared" si="32"/>
        <v>0</v>
      </c>
      <c r="N39" s="1011">
        <f t="shared" si="32"/>
        <v>0</v>
      </c>
      <c r="O39" s="1011">
        <f t="shared" si="32"/>
        <v>0</v>
      </c>
      <c r="P39" s="1011">
        <f t="shared" si="32"/>
        <v>0</v>
      </c>
      <c r="Q39" s="1011">
        <f t="shared" si="32"/>
        <v>0</v>
      </c>
      <c r="R39" s="1011">
        <f t="shared" si="32"/>
        <v>0</v>
      </c>
    </row>
    <row r="40" spans="1:18" ht="15" customHeight="1" x14ac:dyDescent="0.25">
      <c r="A40" s="590" t="s">
        <v>54</v>
      </c>
      <c r="B40" s="1378" t="s">
        <v>53</v>
      </c>
      <c r="C40" s="1378"/>
      <c r="D40" s="1009">
        <f>+G40+J40+M40+P40</f>
        <v>0</v>
      </c>
      <c r="E40" s="1009">
        <f>+H40+K40+N40+Q40</f>
        <v>0</v>
      </c>
      <c r="F40" s="1009">
        <f>+I40+L40+O40+R40</f>
        <v>0</v>
      </c>
      <c r="G40" s="1009"/>
      <c r="H40" s="1009"/>
      <c r="I40" s="1009">
        <f t="shared" ref="I40:I48" si="33">+G40+H40</f>
        <v>0</v>
      </c>
      <c r="J40" s="1009"/>
      <c r="K40" s="1009"/>
      <c r="L40" s="1016">
        <f t="shared" ref="L40:L48" si="34">+J40+K40</f>
        <v>0</v>
      </c>
      <c r="M40" s="1009"/>
      <c r="N40" s="1009"/>
      <c r="O40" s="1009">
        <f t="shared" ref="O40:O48" si="35">+M40+N40</f>
        <v>0</v>
      </c>
      <c r="P40" s="1009"/>
      <c r="Q40" s="1009"/>
      <c r="R40" s="1009">
        <f t="shared" ref="R40:R48" si="36">+P40+Q40</f>
        <v>0</v>
      </c>
    </row>
    <row r="41" spans="1:18" ht="15" customHeight="1" x14ac:dyDescent="0.25">
      <c r="A41" s="590" t="s">
        <v>56</v>
      </c>
      <c r="B41" s="1378" t="s">
        <v>55</v>
      </c>
      <c r="C41" s="1378"/>
      <c r="D41" s="1009">
        <f>+G41+J41+M41+P41</f>
        <v>26763</v>
      </c>
      <c r="E41" s="1009">
        <f t="shared" ref="E41:F44" si="37">+H41+K41+N41+Q41</f>
        <v>0</v>
      </c>
      <c r="F41" s="1009">
        <f t="shared" si="37"/>
        <v>26763</v>
      </c>
      <c r="G41" s="1009"/>
      <c r="H41" s="1009"/>
      <c r="I41" s="1009">
        <f t="shared" si="33"/>
        <v>0</v>
      </c>
      <c r="J41" s="1018"/>
      <c r="K41" s="1009"/>
      <c r="L41" s="1016">
        <f t="shared" si="34"/>
        <v>0</v>
      </c>
      <c r="M41" s="1009"/>
      <c r="N41" s="1009"/>
      <c r="O41" s="1009">
        <f t="shared" si="35"/>
        <v>0</v>
      </c>
      <c r="P41" s="1018">
        <v>26763</v>
      </c>
      <c r="Q41" s="1009">
        <v>0</v>
      </c>
      <c r="R41" s="1009">
        <f t="shared" si="36"/>
        <v>26763</v>
      </c>
    </row>
    <row r="42" spans="1:18" ht="15" customHeight="1" x14ac:dyDescent="0.25">
      <c r="A42" s="590" t="s">
        <v>57</v>
      </c>
      <c r="B42" s="1378" t="s">
        <v>423</v>
      </c>
      <c r="C42" s="1378"/>
      <c r="D42" s="1009">
        <f t="shared" ref="D42:D44" si="38">+G42+J42+M42+P42</f>
        <v>0</v>
      </c>
      <c r="E42" s="1009">
        <f t="shared" si="37"/>
        <v>0</v>
      </c>
      <c r="F42" s="1009">
        <f t="shared" si="37"/>
        <v>0</v>
      </c>
      <c r="G42" s="1009"/>
      <c r="H42" s="1009"/>
      <c r="I42" s="1009">
        <f t="shared" si="33"/>
        <v>0</v>
      </c>
      <c r="J42" s="1009"/>
      <c r="K42" s="1009"/>
      <c r="L42" s="1016">
        <f t="shared" si="34"/>
        <v>0</v>
      </c>
      <c r="M42" s="1009"/>
      <c r="N42" s="1009"/>
      <c r="O42" s="1009">
        <f t="shared" si="35"/>
        <v>0</v>
      </c>
      <c r="P42" s="1009"/>
      <c r="Q42" s="1009"/>
      <c r="R42" s="1009">
        <f t="shared" si="36"/>
        <v>0</v>
      </c>
    </row>
    <row r="43" spans="1:18" ht="15" customHeight="1" x14ac:dyDescent="0.25">
      <c r="A43" s="590" t="s">
        <v>59</v>
      </c>
      <c r="B43" s="1378" t="s">
        <v>58</v>
      </c>
      <c r="C43" s="1378"/>
      <c r="D43" s="1009">
        <f t="shared" si="38"/>
        <v>110</v>
      </c>
      <c r="E43" s="1009">
        <f t="shared" si="37"/>
        <v>0</v>
      </c>
      <c r="F43" s="1009">
        <f t="shared" si="37"/>
        <v>110</v>
      </c>
      <c r="G43" s="1009"/>
      <c r="H43" s="1009"/>
      <c r="I43" s="1009">
        <f t="shared" si="33"/>
        <v>0</v>
      </c>
      <c r="J43" s="1009">
        <v>110</v>
      </c>
      <c r="K43" s="1009"/>
      <c r="L43" s="1016">
        <f t="shared" si="34"/>
        <v>110</v>
      </c>
      <c r="M43" s="1009"/>
      <c r="N43" s="1009"/>
      <c r="O43" s="1009">
        <f t="shared" si="35"/>
        <v>0</v>
      </c>
      <c r="P43" s="1009"/>
      <c r="Q43" s="1009"/>
      <c r="R43" s="1009">
        <f t="shared" si="36"/>
        <v>0</v>
      </c>
    </row>
    <row r="44" spans="1:18" ht="15" customHeight="1" x14ac:dyDescent="0.25">
      <c r="A44" s="590" t="s">
        <v>60</v>
      </c>
      <c r="B44" s="1378" t="s">
        <v>165</v>
      </c>
      <c r="C44" s="1378"/>
      <c r="D44" s="1009">
        <f t="shared" si="38"/>
        <v>0</v>
      </c>
      <c r="E44" s="1009">
        <f t="shared" si="37"/>
        <v>0</v>
      </c>
      <c r="F44" s="1009">
        <f t="shared" si="37"/>
        <v>0</v>
      </c>
      <c r="G44" s="1009"/>
      <c r="H44" s="1009"/>
      <c r="I44" s="1009">
        <f t="shared" si="33"/>
        <v>0</v>
      </c>
      <c r="J44" s="1009"/>
      <c r="K44" s="1009"/>
      <c r="L44" s="1016">
        <f t="shared" si="34"/>
        <v>0</v>
      </c>
      <c r="M44" s="1009"/>
      <c r="N44" s="1009"/>
      <c r="O44" s="1009">
        <f t="shared" si="35"/>
        <v>0</v>
      </c>
      <c r="P44" s="1009"/>
      <c r="Q44" s="1009"/>
      <c r="R44" s="1009">
        <f t="shared" si="36"/>
        <v>0</v>
      </c>
    </row>
    <row r="45" spans="1:18" ht="25.5" x14ac:dyDescent="0.25">
      <c r="A45" s="595" t="s">
        <v>60</v>
      </c>
      <c r="B45" s="1019"/>
      <c r="C45" s="1020" t="s">
        <v>61</v>
      </c>
      <c r="D45" s="1009"/>
      <c r="E45" s="1009"/>
      <c r="F45" s="1009"/>
      <c r="G45" s="1009"/>
      <c r="H45" s="1009"/>
      <c r="I45" s="1009">
        <f t="shared" si="33"/>
        <v>0</v>
      </c>
      <c r="J45" s="1009"/>
      <c r="K45" s="1009"/>
      <c r="L45" s="1016">
        <f t="shared" si="34"/>
        <v>0</v>
      </c>
      <c r="M45" s="1009"/>
      <c r="N45" s="1009"/>
      <c r="O45" s="1009">
        <f t="shared" si="35"/>
        <v>0</v>
      </c>
      <c r="P45" s="1009"/>
      <c r="Q45" s="1009"/>
      <c r="R45" s="1009">
        <f t="shared" si="36"/>
        <v>0</v>
      </c>
    </row>
    <row r="46" spans="1:18" ht="25.5" x14ac:dyDescent="0.25">
      <c r="A46" s="595" t="s">
        <v>60</v>
      </c>
      <c r="B46" s="1019"/>
      <c r="C46" s="1020" t="s">
        <v>167</v>
      </c>
      <c r="D46" s="1009"/>
      <c r="E46" s="1009"/>
      <c r="F46" s="1009"/>
      <c r="G46" s="1009"/>
      <c r="H46" s="1009"/>
      <c r="I46" s="1009">
        <f t="shared" si="33"/>
        <v>0</v>
      </c>
      <c r="J46" s="1009"/>
      <c r="K46" s="1009"/>
      <c r="L46" s="1016">
        <f t="shared" si="34"/>
        <v>0</v>
      </c>
      <c r="M46" s="1009"/>
      <c r="N46" s="1009"/>
      <c r="O46" s="1009">
        <f t="shared" si="35"/>
        <v>0</v>
      </c>
      <c r="P46" s="1009"/>
      <c r="Q46" s="1009"/>
      <c r="R46" s="1009">
        <f t="shared" si="36"/>
        <v>0</v>
      </c>
    </row>
    <row r="47" spans="1:18" ht="28.5" customHeight="1" x14ac:dyDescent="0.25">
      <c r="A47" s="590" t="s">
        <v>63</v>
      </c>
      <c r="B47" s="1378" t="s">
        <v>424</v>
      </c>
      <c r="C47" s="1378"/>
      <c r="D47" s="1009">
        <f>+G47+J47+M47+P47</f>
        <v>161</v>
      </c>
      <c r="E47" s="1009">
        <f t="shared" ref="E47:F48" si="39">+H47+K47+N47+Q47</f>
        <v>50</v>
      </c>
      <c r="F47" s="1009">
        <f t="shared" si="39"/>
        <v>211</v>
      </c>
      <c r="G47" s="1009">
        <v>0</v>
      </c>
      <c r="H47" s="1009"/>
      <c r="I47" s="1009">
        <f t="shared" si="33"/>
        <v>0</v>
      </c>
      <c r="J47" s="1009"/>
      <c r="K47" s="1009"/>
      <c r="L47" s="1016">
        <f t="shared" si="34"/>
        <v>0</v>
      </c>
      <c r="M47" s="1009">
        <v>161</v>
      </c>
      <c r="N47" s="1009">
        <v>50</v>
      </c>
      <c r="O47" s="1009">
        <f t="shared" si="35"/>
        <v>211</v>
      </c>
      <c r="P47" s="1009"/>
      <c r="Q47" s="1009"/>
      <c r="R47" s="1009">
        <f t="shared" si="36"/>
        <v>0</v>
      </c>
    </row>
    <row r="48" spans="1:18" ht="15" customHeight="1" x14ac:dyDescent="0.25">
      <c r="A48" s="590" t="s">
        <v>65</v>
      </c>
      <c r="B48" s="1378" t="s">
        <v>425</v>
      </c>
      <c r="C48" s="1378"/>
      <c r="D48" s="1009">
        <f>+G48+J48+M48+P48</f>
        <v>652</v>
      </c>
      <c r="E48" s="1009">
        <f t="shared" si="39"/>
        <v>1</v>
      </c>
      <c r="F48" s="1009">
        <f t="shared" si="39"/>
        <v>653</v>
      </c>
      <c r="G48" s="1009">
        <v>2</v>
      </c>
      <c r="H48" s="1009">
        <v>1</v>
      </c>
      <c r="I48" s="1009">
        <f t="shared" si="33"/>
        <v>3</v>
      </c>
      <c r="J48" s="1009">
        <v>650</v>
      </c>
      <c r="K48" s="1009"/>
      <c r="L48" s="1016">
        <f t="shared" si="34"/>
        <v>650</v>
      </c>
      <c r="M48" s="1009"/>
      <c r="N48" s="1009"/>
      <c r="O48" s="1009">
        <f t="shared" si="35"/>
        <v>0</v>
      </c>
      <c r="P48" s="1009"/>
      <c r="Q48" s="1009"/>
      <c r="R48" s="1009">
        <f t="shared" si="36"/>
        <v>0</v>
      </c>
    </row>
    <row r="49" spans="1:19" s="593" customFormat="1" x14ac:dyDescent="0.25">
      <c r="A49" s="591" t="s">
        <v>66</v>
      </c>
      <c r="B49" s="1377" t="s">
        <v>426</v>
      </c>
      <c r="C49" s="1377"/>
      <c r="D49" s="1011">
        <f>SUM(D40:D48)</f>
        <v>27686</v>
      </c>
      <c r="E49" s="1011">
        <f t="shared" ref="E49:R49" si="40">SUM(E40:E48)</f>
        <v>51</v>
      </c>
      <c r="F49" s="1011">
        <f t="shared" si="40"/>
        <v>27737</v>
      </c>
      <c r="G49" s="1011">
        <f t="shared" si="40"/>
        <v>2</v>
      </c>
      <c r="H49" s="1011">
        <v>22</v>
      </c>
      <c r="I49" s="1011">
        <f t="shared" si="40"/>
        <v>3</v>
      </c>
      <c r="J49" s="1011">
        <f>SUM(J40:J48)</f>
        <v>760</v>
      </c>
      <c r="K49" s="1011">
        <f t="shared" si="40"/>
        <v>0</v>
      </c>
      <c r="L49" s="1015">
        <f t="shared" si="40"/>
        <v>760</v>
      </c>
      <c r="M49" s="1011">
        <f t="shared" si="40"/>
        <v>161</v>
      </c>
      <c r="N49" s="1011">
        <f t="shared" si="40"/>
        <v>50</v>
      </c>
      <c r="O49" s="1011">
        <f t="shared" si="40"/>
        <v>211</v>
      </c>
      <c r="P49" s="1011">
        <f t="shared" si="40"/>
        <v>26763</v>
      </c>
      <c r="Q49" s="1011">
        <f t="shared" si="40"/>
        <v>0</v>
      </c>
      <c r="R49" s="1011">
        <f t="shared" si="40"/>
        <v>26763</v>
      </c>
    </row>
    <row r="50" spans="1:19" x14ac:dyDescent="0.25">
      <c r="A50" s="590" t="s">
        <v>68</v>
      </c>
      <c r="B50" s="1378" t="s">
        <v>67</v>
      </c>
      <c r="C50" s="1378"/>
      <c r="D50" s="1009">
        <f>G50</f>
        <v>0</v>
      </c>
      <c r="E50" s="1009">
        <f t="shared" ref="E50:F51" si="41">+H50+K50+N50+Q50</f>
        <v>0</v>
      </c>
      <c r="F50" s="1009">
        <f t="shared" si="41"/>
        <v>0</v>
      </c>
      <c r="G50" s="1009">
        <v>0</v>
      </c>
      <c r="H50" s="1009"/>
      <c r="I50" s="1009">
        <f t="shared" ref="I50:I51" si="42">+G50+H50</f>
        <v>0</v>
      </c>
      <c r="J50" s="1009"/>
      <c r="K50" s="1009"/>
      <c r="L50" s="1016">
        <f t="shared" ref="L50:L51" si="43">+J50+K50</f>
        <v>0</v>
      </c>
      <c r="M50" s="1009"/>
      <c r="N50" s="1009"/>
      <c r="O50" s="1009">
        <f t="shared" ref="O50:O51" si="44">+M50+N50</f>
        <v>0</v>
      </c>
      <c r="P50" s="1009"/>
      <c r="Q50" s="1009"/>
      <c r="R50" s="1009">
        <f t="shared" ref="R50:R51" si="45">+P50+Q50</f>
        <v>0</v>
      </c>
    </row>
    <row r="51" spans="1:19" x14ac:dyDescent="0.25">
      <c r="A51" s="590" t="s">
        <v>70</v>
      </c>
      <c r="B51" s="1378" t="s">
        <v>69</v>
      </c>
      <c r="C51" s="1378"/>
      <c r="D51" s="1009"/>
      <c r="E51" s="1009">
        <f t="shared" si="41"/>
        <v>0</v>
      </c>
      <c r="F51" s="1009">
        <f t="shared" si="41"/>
        <v>0</v>
      </c>
      <c r="G51" s="1009"/>
      <c r="H51" s="1009"/>
      <c r="I51" s="1009">
        <f t="shared" si="42"/>
        <v>0</v>
      </c>
      <c r="J51" s="1009"/>
      <c r="K51" s="1009"/>
      <c r="L51" s="1016">
        <f t="shared" si="43"/>
        <v>0</v>
      </c>
      <c r="M51" s="1009"/>
      <c r="N51" s="1009"/>
      <c r="O51" s="1009">
        <f t="shared" si="44"/>
        <v>0</v>
      </c>
      <c r="P51" s="1009"/>
      <c r="Q51" s="1009"/>
      <c r="R51" s="1009">
        <f t="shared" si="45"/>
        <v>0</v>
      </c>
    </row>
    <row r="52" spans="1:19" s="592" customFormat="1" ht="26.25" customHeight="1" x14ac:dyDescent="0.25">
      <c r="A52" s="591" t="s">
        <v>71</v>
      </c>
      <c r="B52" s="1377" t="s">
        <v>154</v>
      </c>
      <c r="C52" s="1377"/>
      <c r="D52" s="1011">
        <f>SUM(D50:D51)</f>
        <v>0</v>
      </c>
      <c r="E52" s="1011">
        <f t="shared" ref="E52:R52" si="46">+E51+E50</f>
        <v>0</v>
      </c>
      <c r="F52" s="1011">
        <f t="shared" si="46"/>
        <v>0</v>
      </c>
      <c r="G52" s="1011">
        <f t="shared" si="46"/>
        <v>0</v>
      </c>
      <c r="H52" s="1011">
        <f t="shared" si="46"/>
        <v>0</v>
      </c>
      <c r="I52" s="1011">
        <f t="shared" si="46"/>
        <v>0</v>
      </c>
      <c r="J52" s="1011">
        <f t="shared" si="46"/>
        <v>0</v>
      </c>
      <c r="K52" s="1011">
        <f t="shared" si="46"/>
        <v>0</v>
      </c>
      <c r="L52" s="1015">
        <f t="shared" si="46"/>
        <v>0</v>
      </c>
      <c r="M52" s="1011">
        <f t="shared" si="46"/>
        <v>0</v>
      </c>
      <c r="N52" s="1011">
        <f t="shared" si="46"/>
        <v>0</v>
      </c>
      <c r="O52" s="1011">
        <f t="shared" si="46"/>
        <v>0</v>
      </c>
      <c r="P52" s="1011">
        <f t="shared" si="46"/>
        <v>0</v>
      </c>
      <c r="Q52" s="1011">
        <f t="shared" si="46"/>
        <v>0</v>
      </c>
      <c r="R52" s="1011">
        <f t="shared" si="46"/>
        <v>0</v>
      </c>
    </row>
    <row r="53" spans="1:19" ht="25.5" customHeight="1" x14ac:dyDescent="0.25">
      <c r="A53" s="590" t="s">
        <v>73</v>
      </c>
      <c r="B53" s="1378" t="s">
        <v>72</v>
      </c>
      <c r="C53" s="1378"/>
      <c r="D53" s="1016">
        <f t="shared" ref="D53:F57" si="47">+G53+J53+M53+P53</f>
        <v>7431.77</v>
      </c>
      <c r="E53" s="1009">
        <f t="shared" si="47"/>
        <v>0</v>
      </c>
      <c r="F53" s="1016">
        <f t="shared" si="47"/>
        <v>7431.77</v>
      </c>
      <c r="G53" s="1016">
        <v>78</v>
      </c>
      <c r="H53" s="1009"/>
      <c r="I53" s="1009">
        <f t="shared" ref="I53:I57" si="48">+G53+H53</f>
        <v>78</v>
      </c>
      <c r="J53" s="1016">
        <f>+J37*0.05+J38*0.27+J43+0.27</f>
        <v>127.77</v>
      </c>
      <c r="K53" s="1009"/>
      <c r="L53" s="1016">
        <f t="shared" ref="L53:L57" si="49">+J53+K53</f>
        <v>127.77</v>
      </c>
      <c r="M53" s="1009"/>
      <c r="N53" s="1009"/>
      <c r="O53" s="1009">
        <f t="shared" ref="O53:O57" si="50">+M53+N53</f>
        <v>0</v>
      </c>
      <c r="P53" s="1021">
        <v>7226</v>
      </c>
      <c r="Q53" s="1009">
        <v>0</v>
      </c>
      <c r="R53" s="1009">
        <f t="shared" ref="R53:R57" si="51">+P53+Q53</f>
        <v>7226</v>
      </c>
    </row>
    <row r="54" spans="1:19" x14ac:dyDescent="0.25">
      <c r="A54" s="590" t="s">
        <v>75</v>
      </c>
      <c r="B54" s="1378" t="s">
        <v>427</v>
      </c>
      <c r="C54" s="1378"/>
      <c r="D54" s="1016">
        <f t="shared" si="47"/>
        <v>1019</v>
      </c>
      <c r="E54" s="1009">
        <f t="shared" si="47"/>
        <v>0</v>
      </c>
      <c r="F54" s="1009">
        <f t="shared" si="47"/>
        <v>1019</v>
      </c>
      <c r="G54" s="1009"/>
      <c r="H54" s="1009"/>
      <c r="I54" s="1009">
        <f t="shared" si="48"/>
        <v>0</v>
      </c>
      <c r="J54" s="1016"/>
      <c r="K54" s="1009"/>
      <c r="L54" s="1016">
        <f t="shared" si="49"/>
        <v>0</v>
      </c>
      <c r="M54" s="1009"/>
      <c r="N54" s="1009"/>
      <c r="O54" s="1009">
        <f t="shared" si="50"/>
        <v>0</v>
      </c>
      <c r="P54" s="1021">
        <v>1019</v>
      </c>
      <c r="Q54" s="1009">
        <v>0</v>
      </c>
      <c r="R54" s="1009">
        <f t="shared" si="51"/>
        <v>1019</v>
      </c>
    </row>
    <row r="55" spans="1:19" x14ac:dyDescent="0.25">
      <c r="A55" s="590" t="s">
        <v>76</v>
      </c>
      <c r="B55" s="1378" t="s">
        <v>428</v>
      </c>
      <c r="C55" s="1378"/>
      <c r="D55" s="1009">
        <f t="shared" si="47"/>
        <v>0</v>
      </c>
      <c r="E55" s="1009">
        <f t="shared" si="47"/>
        <v>0</v>
      </c>
      <c r="F55" s="1009">
        <f t="shared" si="47"/>
        <v>0</v>
      </c>
      <c r="G55" s="1009"/>
      <c r="H55" s="1009"/>
      <c r="I55" s="1009">
        <f t="shared" si="48"/>
        <v>0</v>
      </c>
      <c r="J55" s="1016"/>
      <c r="K55" s="1009"/>
      <c r="L55" s="1016">
        <f t="shared" si="49"/>
        <v>0</v>
      </c>
      <c r="M55" s="1009"/>
      <c r="N55" s="1009"/>
      <c r="O55" s="1009">
        <f t="shared" si="50"/>
        <v>0</v>
      </c>
      <c r="P55" s="1009"/>
      <c r="Q55" s="1009"/>
      <c r="R55" s="1009">
        <f t="shared" si="51"/>
        <v>0</v>
      </c>
    </row>
    <row r="56" spans="1:19" x14ac:dyDescent="0.25">
      <c r="A56" s="590" t="s">
        <v>77</v>
      </c>
      <c r="B56" s="1378" t="s">
        <v>429</v>
      </c>
      <c r="C56" s="1378"/>
      <c r="D56" s="1009">
        <f t="shared" si="47"/>
        <v>0</v>
      </c>
      <c r="E56" s="1009">
        <f t="shared" si="47"/>
        <v>0</v>
      </c>
      <c r="F56" s="1009">
        <f t="shared" si="47"/>
        <v>0</v>
      </c>
      <c r="G56" s="1009"/>
      <c r="H56" s="1009"/>
      <c r="I56" s="1009">
        <f t="shared" si="48"/>
        <v>0</v>
      </c>
      <c r="J56" s="1016"/>
      <c r="K56" s="1009"/>
      <c r="L56" s="1016">
        <f t="shared" si="49"/>
        <v>0</v>
      </c>
      <c r="M56" s="1009"/>
      <c r="N56" s="1009"/>
      <c r="O56" s="1009">
        <f t="shared" si="50"/>
        <v>0</v>
      </c>
      <c r="P56" s="1009"/>
      <c r="Q56" s="1009"/>
      <c r="R56" s="1009">
        <f t="shared" si="51"/>
        <v>0</v>
      </c>
    </row>
    <row r="57" spans="1:19" x14ac:dyDescent="0.25">
      <c r="A57" s="590" t="s">
        <v>79</v>
      </c>
      <c r="B57" s="1378" t="s">
        <v>78</v>
      </c>
      <c r="C57" s="1378"/>
      <c r="D57" s="1009">
        <f t="shared" si="47"/>
        <v>1</v>
      </c>
      <c r="E57" s="1009">
        <f t="shared" si="47"/>
        <v>0</v>
      </c>
      <c r="F57" s="1009">
        <f t="shared" si="47"/>
        <v>1</v>
      </c>
      <c r="G57" s="1009">
        <v>1</v>
      </c>
      <c r="H57" s="1009"/>
      <c r="I57" s="1009">
        <f t="shared" si="48"/>
        <v>1</v>
      </c>
      <c r="J57" s="1016"/>
      <c r="K57" s="1009"/>
      <c r="L57" s="1016">
        <f t="shared" si="49"/>
        <v>0</v>
      </c>
      <c r="M57" s="1009"/>
      <c r="N57" s="1009"/>
      <c r="O57" s="1009">
        <f t="shared" si="50"/>
        <v>0</v>
      </c>
      <c r="P57" s="1009"/>
      <c r="Q57" s="1009"/>
      <c r="R57" s="1009">
        <f t="shared" si="51"/>
        <v>0</v>
      </c>
    </row>
    <row r="58" spans="1:19" s="592" customFormat="1" ht="27" customHeight="1" x14ac:dyDescent="0.25">
      <c r="A58" s="591" t="s">
        <v>80</v>
      </c>
      <c r="B58" s="1377" t="s">
        <v>151</v>
      </c>
      <c r="C58" s="1377"/>
      <c r="D58" s="1015">
        <f>SUM(D53:D57)</f>
        <v>8451.77</v>
      </c>
      <c r="E58" s="1011">
        <f t="shared" ref="E58:R58" si="52">SUM(E53:E57)</f>
        <v>0</v>
      </c>
      <c r="F58" s="1015">
        <f t="shared" si="52"/>
        <v>8451.77</v>
      </c>
      <c r="G58" s="1015">
        <f t="shared" si="52"/>
        <v>79</v>
      </c>
      <c r="H58" s="1011">
        <f t="shared" si="52"/>
        <v>0</v>
      </c>
      <c r="I58" s="1011">
        <f t="shared" si="52"/>
        <v>79</v>
      </c>
      <c r="J58" s="1015">
        <f t="shared" si="52"/>
        <v>127.77</v>
      </c>
      <c r="K58" s="1011">
        <f t="shared" si="52"/>
        <v>0</v>
      </c>
      <c r="L58" s="1015">
        <f t="shared" si="52"/>
        <v>127.77</v>
      </c>
      <c r="M58" s="1011">
        <f t="shared" si="52"/>
        <v>0</v>
      </c>
      <c r="N58" s="1011">
        <f t="shared" si="52"/>
        <v>0</v>
      </c>
      <c r="O58" s="1011">
        <f t="shared" si="52"/>
        <v>0</v>
      </c>
      <c r="P58" s="1015">
        <f t="shared" si="52"/>
        <v>8245</v>
      </c>
      <c r="Q58" s="1011">
        <f t="shared" si="52"/>
        <v>0</v>
      </c>
      <c r="R58" s="1011">
        <f t="shared" si="52"/>
        <v>8245</v>
      </c>
    </row>
    <row r="59" spans="1:19" x14ac:dyDescent="0.25">
      <c r="A59" s="591" t="s">
        <v>81</v>
      </c>
      <c r="B59" s="1377" t="s">
        <v>339</v>
      </c>
      <c r="C59" s="1377"/>
      <c r="D59" s="1015">
        <f>+D58+D52+D49+D39+D36</f>
        <v>36793.770000000004</v>
      </c>
      <c r="E59" s="1011">
        <f t="shared" ref="E59:R59" si="53">+E58+E52+E49+E39+E36</f>
        <v>20</v>
      </c>
      <c r="F59" s="1015">
        <f t="shared" si="53"/>
        <v>36813.770000000004</v>
      </c>
      <c r="G59" s="1015">
        <f t="shared" si="53"/>
        <v>448</v>
      </c>
      <c r="H59" s="1011"/>
      <c r="I59" s="1011">
        <f t="shared" si="53"/>
        <v>418</v>
      </c>
      <c r="J59" s="1015">
        <f t="shared" si="53"/>
        <v>1176.77</v>
      </c>
      <c r="K59" s="1015">
        <f t="shared" si="53"/>
        <v>0</v>
      </c>
      <c r="L59" s="1015">
        <f t="shared" si="53"/>
        <v>1176.77</v>
      </c>
      <c r="M59" s="1015">
        <f t="shared" si="53"/>
        <v>161</v>
      </c>
      <c r="N59" s="1015">
        <f t="shared" si="53"/>
        <v>50</v>
      </c>
      <c r="O59" s="1015">
        <f t="shared" si="53"/>
        <v>211</v>
      </c>
      <c r="P59" s="1015">
        <f t="shared" si="53"/>
        <v>35008</v>
      </c>
      <c r="Q59" s="1015">
        <f t="shared" si="53"/>
        <v>0</v>
      </c>
      <c r="R59" s="1015">
        <f t="shared" si="53"/>
        <v>35008</v>
      </c>
      <c r="S59" s="1022"/>
    </row>
    <row r="60" spans="1:19" x14ac:dyDescent="0.25">
      <c r="A60" s="594"/>
      <c r="B60" s="1381"/>
      <c r="C60" s="1381"/>
      <c r="D60" s="1012"/>
      <c r="E60" s="1012"/>
      <c r="F60" s="1013"/>
      <c r="G60" s="1014"/>
      <c r="H60" s="1012"/>
      <c r="I60" s="1009">
        <f t="shared" ref="I60:I62" si="54">+G60+H60</f>
        <v>0</v>
      </c>
      <c r="J60" s="1014"/>
      <c r="K60" s="1012"/>
      <c r="L60" s="1110"/>
      <c r="M60" s="1014"/>
      <c r="N60" s="1012"/>
      <c r="O60" s="1013"/>
      <c r="P60" s="1014"/>
      <c r="Q60" s="1012"/>
      <c r="R60" s="1012"/>
    </row>
    <row r="61" spans="1:19" ht="28.5" customHeight="1" x14ac:dyDescent="0.25">
      <c r="A61" s="590" t="s">
        <v>106</v>
      </c>
      <c r="B61" s="1378" t="s">
        <v>163</v>
      </c>
      <c r="C61" s="1378"/>
      <c r="D61" s="1009">
        <f>+J61</f>
        <v>14724</v>
      </c>
      <c r="E61" s="1009">
        <f t="shared" ref="E61:F62" si="55">+H61+K61+N61+Q61</f>
        <v>-103</v>
      </c>
      <c r="F61" s="1009">
        <f t="shared" si="55"/>
        <v>14621</v>
      </c>
      <c r="G61" s="1009"/>
      <c r="H61" s="1009"/>
      <c r="I61" s="1009">
        <f t="shared" si="54"/>
        <v>0</v>
      </c>
      <c r="J61" s="1009">
        <v>14724</v>
      </c>
      <c r="K61" s="1009">
        <f>+K62</f>
        <v>-103</v>
      </c>
      <c r="L61" s="1016">
        <f t="shared" ref="L61:L62" si="56">+J61+K61</f>
        <v>14621</v>
      </c>
      <c r="M61" s="1009"/>
      <c r="N61" s="1009"/>
      <c r="O61" s="1009">
        <f t="shared" ref="O61:O62" si="57">+M61+N61</f>
        <v>0</v>
      </c>
      <c r="P61" s="1009"/>
      <c r="Q61" s="1009"/>
      <c r="R61" s="1009">
        <f t="shared" ref="R61:R62" si="58">+P61+Q61</f>
        <v>0</v>
      </c>
    </row>
    <row r="62" spans="1:19" ht="25.5" customHeight="1" x14ac:dyDescent="0.25">
      <c r="A62" s="601" t="s">
        <v>106</v>
      </c>
      <c r="B62" s="1019"/>
      <c r="C62" s="1023" t="s">
        <v>104</v>
      </c>
      <c r="D62" s="1009">
        <f>+J62</f>
        <v>14724</v>
      </c>
      <c r="E62" s="1009">
        <f t="shared" si="55"/>
        <v>-103</v>
      </c>
      <c r="F62" s="1009">
        <f t="shared" si="55"/>
        <v>14621</v>
      </c>
      <c r="G62" s="1009"/>
      <c r="H62" s="1009"/>
      <c r="I62" s="1009">
        <f t="shared" si="54"/>
        <v>0</v>
      </c>
      <c r="J62" s="1018">
        <v>14724</v>
      </c>
      <c r="K62" s="1009">
        <v>-103</v>
      </c>
      <c r="L62" s="1016">
        <f t="shared" si="56"/>
        <v>14621</v>
      </c>
      <c r="M62" s="1009"/>
      <c r="N62" s="1009"/>
      <c r="O62" s="1009">
        <f t="shared" si="57"/>
        <v>0</v>
      </c>
      <c r="P62" s="1009"/>
      <c r="Q62" s="1009"/>
      <c r="R62" s="1009">
        <f t="shared" si="58"/>
        <v>0</v>
      </c>
    </row>
    <row r="63" spans="1:19" x14ac:dyDescent="0.25">
      <c r="A63" s="591" t="s">
        <v>107</v>
      </c>
      <c r="B63" s="1377" t="s">
        <v>162</v>
      </c>
      <c r="C63" s="1377"/>
      <c r="D63" s="1011">
        <f>+D61</f>
        <v>14724</v>
      </c>
      <c r="E63" s="1011">
        <f t="shared" ref="E63:R63" si="59">+E61</f>
        <v>-103</v>
      </c>
      <c r="F63" s="1011">
        <f t="shared" si="59"/>
        <v>14621</v>
      </c>
      <c r="G63" s="1011">
        <f t="shared" si="59"/>
        <v>0</v>
      </c>
      <c r="H63" s="1011">
        <f t="shared" si="59"/>
        <v>0</v>
      </c>
      <c r="I63" s="1011">
        <f t="shared" si="59"/>
        <v>0</v>
      </c>
      <c r="J63" s="1011">
        <f t="shared" si="59"/>
        <v>14724</v>
      </c>
      <c r="K63" s="1011">
        <f t="shared" si="59"/>
        <v>-103</v>
      </c>
      <c r="L63" s="1015">
        <f t="shared" si="59"/>
        <v>14621</v>
      </c>
      <c r="M63" s="1011">
        <f t="shared" si="59"/>
        <v>0</v>
      </c>
      <c r="N63" s="1011">
        <f t="shared" si="59"/>
        <v>0</v>
      </c>
      <c r="O63" s="1011">
        <f t="shared" si="59"/>
        <v>0</v>
      </c>
      <c r="P63" s="1011"/>
      <c r="Q63" s="1011">
        <f t="shared" si="59"/>
        <v>0</v>
      </c>
      <c r="R63" s="1011">
        <f t="shared" si="59"/>
        <v>0</v>
      </c>
    </row>
    <row r="64" spans="1:19" ht="8.25" customHeight="1" x14ac:dyDescent="0.25">
      <c r="A64" s="602"/>
      <c r="B64" s="603"/>
      <c r="C64" s="603"/>
      <c r="D64" s="1024"/>
      <c r="E64" s="1024"/>
      <c r="F64" s="1024"/>
      <c r="G64" s="1024"/>
      <c r="H64" s="1024"/>
      <c r="I64" s="1024"/>
      <c r="J64" s="1024"/>
      <c r="K64" s="1024"/>
      <c r="L64" s="1113"/>
      <c r="M64" s="1024"/>
      <c r="N64" s="1024"/>
      <c r="O64" s="1024"/>
      <c r="P64" s="1024"/>
      <c r="Q64" s="1024"/>
      <c r="R64" s="1024"/>
    </row>
    <row r="65" spans="1:18" ht="11.25" customHeight="1" x14ac:dyDescent="0.25">
      <c r="A65" s="604"/>
      <c r="B65" s="605"/>
      <c r="C65" s="605"/>
      <c r="D65" s="1025"/>
      <c r="E65" s="1025"/>
      <c r="F65" s="1025"/>
      <c r="G65" s="1025"/>
      <c r="H65" s="1025"/>
      <c r="I65" s="1025"/>
      <c r="J65" s="1025"/>
      <c r="K65" s="1025"/>
      <c r="L65" s="1114"/>
      <c r="M65" s="1025"/>
      <c r="N65" s="1025"/>
      <c r="O65" s="1025"/>
      <c r="P65" s="1025"/>
      <c r="Q65" s="1025"/>
      <c r="R65" s="1025"/>
    </row>
    <row r="66" spans="1:18" ht="15" customHeight="1" x14ac:dyDescent="0.25">
      <c r="A66" s="590" t="s">
        <v>109</v>
      </c>
      <c r="B66" s="1378" t="s">
        <v>108</v>
      </c>
      <c r="C66" s="1378"/>
      <c r="D66" s="1009">
        <f>+G66+J66+M66+P66</f>
        <v>0</v>
      </c>
      <c r="E66" s="1009">
        <f t="shared" ref="E66:F73" si="60">+H66+K66+N66+Q66</f>
        <v>0</v>
      </c>
      <c r="F66" s="1009">
        <f t="shared" si="60"/>
        <v>0</v>
      </c>
      <c r="G66" s="1009"/>
      <c r="H66" s="1009"/>
      <c r="I66" s="1009">
        <f t="shared" ref="I66:I73" si="61">+G66+H66</f>
        <v>0</v>
      </c>
      <c r="J66" s="1009"/>
      <c r="K66" s="1009"/>
      <c r="L66" s="1016">
        <f t="shared" ref="L66:L73" si="62">+J66+K66</f>
        <v>0</v>
      </c>
      <c r="M66" s="1009"/>
      <c r="N66" s="1009"/>
      <c r="O66" s="1009">
        <f t="shared" ref="O66:O73" si="63">+M66+N66</f>
        <v>0</v>
      </c>
      <c r="P66" s="1009"/>
      <c r="Q66" s="1009"/>
      <c r="R66" s="1009">
        <f t="shared" ref="R66:R73" si="64">+P66+Q66</f>
        <v>0</v>
      </c>
    </row>
    <row r="67" spans="1:18" ht="15" customHeight="1" x14ac:dyDescent="0.25">
      <c r="A67" s="590" t="s">
        <v>110</v>
      </c>
      <c r="B67" s="1378" t="s">
        <v>430</v>
      </c>
      <c r="C67" s="1378"/>
      <c r="D67" s="1009">
        <f t="shared" ref="D67:D73" si="65">+G67+J67+M67+P67</f>
        <v>0</v>
      </c>
      <c r="E67" s="1009">
        <f t="shared" si="60"/>
        <v>0</v>
      </c>
      <c r="F67" s="1009">
        <f t="shared" si="60"/>
        <v>0</v>
      </c>
      <c r="G67" s="1009"/>
      <c r="H67" s="1009"/>
      <c r="I67" s="1009">
        <f t="shared" si="61"/>
        <v>0</v>
      </c>
      <c r="J67" s="1009"/>
      <c r="K67" s="1009"/>
      <c r="L67" s="1016">
        <f t="shared" si="62"/>
        <v>0</v>
      </c>
      <c r="M67" s="1009"/>
      <c r="N67" s="1009"/>
      <c r="O67" s="1009">
        <f t="shared" si="63"/>
        <v>0</v>
      </c>
      <c r="P67" s="1009"/>
      <c r="Q67" s="1009"/>
      <c r="R67" s="1009">
        <f t="shared" si="64"/>
        <v>0</v>
      </c>
    </row>
    <row r="68" spans="1:18" ht="25.5" x14ac:dyDescent="0.25">
      <c r="A68" s="595" t="s">
        <v>110</v>
      </c>
      <c r="B68" s="1019"/>
      <c r="C68" s="1023" t="s">
        <v>111</v>
      </c>
      <c r="D68" s="1009">
        <f t="shared" si="65"/>
        <v>0</v>
      </c>
      <c r="E68" s="1009">
        <f t="shared" si="60"/>
        <v>0</v>
      </c>
      <c r="F68" s="1009">
        <f t="shared" si="60"/>
        <v>0</v>
      </c>
      <c r="G68" s="1009"/>
      <c r="H68" s="1009"/>
      <c r="I68" s="1009">
        <f t="shared" si="61"/>
        <v>0</v>
      </c>
      <c r="J68" s="1009"/>
      <c r="K68" s="1009"/>
      <c r="L68" s="1016">
        <f t="shared" si="62"/>
        <v>0</v>
      </c>
      <c r="M68" s="1009"/>
      <c r="N68" s="1009"/>
      <c r="O68" s="1009">
        <f t="shared" si="63"/>
        <v>0</v>
      </c>
      <c r="P68" s="1009"/>
      <c r="Q68" s="1009"/>
      <c r="R68" s="1009">
        <f t="shared" si="64"/>
        <v>0</v>
      </c>
    </row>
    <row r="69" spans="1:18" ht="27.75" customHeight="1" x14ac:dyDescent="0.25">
      <c r="A69" s="590" t="s">
        <v>113</v>
      </c>
      <c r="B69" s="1378" t="s">
        <v>112</v>
      </c>
      <c r="C69" s="1378"/>
      <c r="D69" s="1009">
        <f t="shared" si="65"/>
        <v>0</v>
      </c>
      <c r="E69" s="1009">
        <f t="shared" si="60"/>
        <v>0</v>
      </c>
      <c r="F69" s="1009">
        <f t="shared" si="60"/>
        <v>0</v>
      </c>
      <c r="G69" s="1009"/>
      <c r="H69" s="1009"/>
      <c r="I69" s="1009">
        <f t="shared" si="61"/>
        <v>0</v>
      </c>
      <c r="J69" s="1009"/>
      <c r="K69" s="1009"/>
      <c r="L69" s="1016">
        <f t="shared" si="62"/>
        <v>0</v>
      </c>
      <c r="M69" s="1009"/>
      <c r="N69" s="1009"/>
      <c r="O69" s="1009">
        <f t="shared" si="63"/>
        <v>0</v>
      </c>
      <c r="P69" s="1009"/>
      <c r="Q69" s="1009"/>
      <c r="R69" s="1009">
        <f t="shared" si="64"/>
        <v>0</v>
      </c>
    </row>
    <row r="70" spans="1:18" ht="28.5" customHeight="1" x14ac:dyDescent="0.25">
      <c r="A70" s="590" t="s">
        <v>115</v>
      </c>
      <c r="B70" s="1378" t="s">
        <v>114</v>
      </c>
      <c r="C70" s="1378"/>
      <c r="D70" s="1009">
        <f t="shared" si="65"/>
        <v>0</v>
      </c>
      <c r="E70" s="1009">
        <f t="shared" si="60"/>
        <v>0</v>
      </c>
      <c r="F70" s="1009">
        <f t="shared" si="60"/>
        <v>0</v>
      </c>
      <c r="G70" s="1009"/>
      <c r="H70" s="1009"/>
      <c r="I70" s="1009">
        <f t="shared" si="61"/>
        <v>0</v>
      </c>
      <c r="J70" s="1009"/>
      <c r="K70" s="1009"/>
      <c r="L70" s="1016">
        <f t="shared" si="62"/>
        <v>0</v>
      </c>
      <c r="M70" s="1009"/>
      <c r="N70" s="1009"/>
      <c r="O70" s="1009">
        <f t="shared" si="63"/>
        <v>0</v>
      </c>
      <c r="P70" s="1009"/>
      <c r="Q70" s="1009"/>
      <c r="R70" s="1009">
        <f t="shared" si="64"/>
        <v>0</v>
      </c>
    </row>
    <row r="71" spans="1:18" ht="15" customHeight="1" x14ac:dyDescent="0.25">
      <c r="A71" s="590" t="s">
        <v>117</v>
      </c>
      <c r="B71" s="1378" t="s">
        <v>116</v>
      </c>
      <c r="C71" s="1378"/>
      <c r="D71" s="1009">
        <f t="shared" si="65"/>
        <v>0</v>
      </c>
      <c r="E71" s="1009">
        <f t="shared" si="60"/>
        <v>0</v>
      </c>
      <c r="F71" s="1009">
        <f t="shared" si="60"/>
        <v>0</v>
      </c>
      <c r="G71" s="1009"/>
      <c r="H71" s="1009"/>
      <c r="I71" s="1009">
        <f t="shared" si="61"/>
        <v>0</v>
      </c>
      <c r="J71" s="1009"/>
      <c r="K71" s="1009"/>
      <c r="L71" s="1016">
        <f t="shared" si="62"/>
        <v>0</v>
      </c>
      <c r="M71" s="1009"/>
      <c r="N71" s="1009"/>
      <c r="O71" s="1009">
        <f t="shared" si="63"/>
        <v>0</v>
      </c>
      <c r="P71" s="1009"/>
      <c r="Q71" s="1009"/>
      <c r="R71" s="1009">
        <f t="shared" si="64"/>
        <v>0</v>
      </c>
    </row>
    <row r="72" spans="1:18" ht="27" customHeight="1" x14ac:dyDescent="0.25">
      <c r="A72" s="590" t="s">
        <v>119</v>
      </c>
      <c r="B72" s="1378" t="s">
        <v>118</v>
      </c>
      <c r="C72" s="1378"/>
      <c r="D72" s="1009">
        <f t="shared" si="65"/>
        <v>0</v>
      </c>
      <c r="E72" s="1009">
        <f t="shared" si="60"/>
        <v>0</v>
      </c>
      <c r="F72" s="1009">
        <f t="shared" si="60"/>
        <v>0</v>
      </c>
      <c r="G72" s="1009"/>
      <c r="H72" s="1009"/>
      <c r="I72" s="1009">
        <f t="shared" si="61"/>
        <v>0</v>
      </c>
      <c r="J72" s="1009"/>
      <c r="K72" s="1009"/>
      <c r="L72" s="1016">
        <f t="shared" si="62"/>
        <v>0</v>
      </c>
      <c r="M72" s="1009"/>
      <c r="N72" s="1009"/>
      <c r="O72" s="1009">
        <f t="shared" si="63"/>
        <v>0</v>
      </c>
      <c r="P72" s="1009"/>
      <c r="Q72" s="1009"/>
      <c r="R72" s="1009">
        <f t="shared" si="64"/>
        <v>0</v>
      </c>
    </row>
    <row r="73" spans="1:18" ht="25.5" customHeight="1" x14ac:dyDescent="0.25">
      <c r="A73" s="590" t="s">
        <v>121</v>
      </c>
      <c r="B73" s="1378" t="s">
        <v>120</v>
      </c>
      <c r="C73" s="1378"/>
      <c r="D73" s="1009">
        <f t="shared" si="65"/>
        <v>0</v>
      </c>
      <c r="E73" s="1009">
        <f t="shared" si="60"/>
        <v>0</v>
      </c>
      <c r="F73" s="1009">
        <f t="shared" si="60"/>
        <v>0</v>
      </c>
      <c r="G73" s="1009"/>
      <c r="H73" s="1009"/>
      <c r="I73" s="1009">
        <f t="shared" si="61"/>
        <v>0</v>
      </c>
      <c r="J73" s="1009"/>
      <c r="K73" s="1009"/>
      <c r="L73" s="1016">
        <f t="shared" si="62"/>
        <v>0</v>
      </c>
      <c r="M73" s="1009"/>
      <c r="N73" s="1009"/>
      <c r="O73" s="1009">
        <f t="shared" si="63"/>
        <v>0</v>
      </c>
      <c r="P73" s="1009"/>
      <c r="Q73" s="1009"/>
      <c r="R73" s="1009">
        <f t="shared" si="64"/>
        <v>0</v>
      </c>
    </row>
    <row r="74" spans="1:18" ht="15" customHeight="1" x14ac:dyDescent="0.25">
      <c r="A74" s="591" t="s">
        <v>122</v>
      </c>
      <c r="B74" s="1377" t="s">
        <v>160</v>
      </c>
      <c r="C74" s="1377"/>
      <c r="D74" s="1011">
        <f t="shared" ref="D74:F74" si="66">SUM(D66:D73)</f>
        <v>0</v>
      </c>
      <c r="E74" s="1011">
        <f t="shared" si="66"/>
        <v>0</v>
      </c>
      <c r="F74" s="1011">
        <f t="shared" si="66"/>
        <v>0</v>
      </c>
      <c r="G74" s="1011">
        <f t="shared" ref="G74:R74" si="67">(((((+G73+G72)+G71)+G70)+G69)+G67)+G66</f>
        <v>0</v>
      </c>
      <c r="H74" s="1011">
        <f t="shared" si="67"/>
        <v>0</v>
      </c>
      <c r="I74" s="1011">
        <f t="shared" si="67"/>
        <v>0</v>
      </c>
      <c r="J74" s="1011">
        <f t="shared" si="67"/>
        <v>0</v>
      </c>
      <c r="K74" s="1011">
        <f t="shared" si="67"/>
        <v>0</v>
      </c>
      <c r="L74" s="1015">
        <f t="shared" si="67"/>
        <v>0</v>
      </c>
      <c r="M74" s="1011">
        <f t="shared" si="67"/>
        <v>0</v>
      </c>
      <c r="N74" s="1011">
        <f t="shared" si="67"/>
        <v>0</v>
      </c>
      <c r="O74" s="1011">
        <f t="shared" si="67"/>
        <v>0</v>
      </c>
      <c r="P74" s="1011">
        <f t="shared" si="67"/>
        <v>0</v>
      </c>
      <c r="Q74" s="1011">
        <f t="shared" si="67"/>
        <v>0</v>
      </c>
      <c r="R74" s="1011">
        <f t="shared" si="67"/>
        <v>0</v>
      </c>
    </row>
    <row r="75" spans="1:18" x14ac:dyDescent="0.25">
      <c r="A75" s="594"/>
      <c r="B75" s="992"/>
      <c r="C75" s="992"/>
      <c r="D75" s="1012"/>
      <c r="E75" s="1012"/>
      <c r="F75" s="1013"/>
      <c r="G75" s="1014"/>
      <c r="H75" s="1012"/>
      <c r="I75" s="1013"/>
      <c r="J75" s="1014"/>
      <c r="K75" s="1012"/>
      <c r="L75" s="1110"/>
      <c r="M75" s="1014"/>
      <c r="N75" s="1012"/>
      <c r="O75" s="1013"/>
      <c r="P75" s="1014"/>
      <c r="Q75" s="1012"/>
      <c r="R75" s="1012"/>
    </row>
    <row r="76" spans="1:18" ht="15" hidden="1" customHeight="1" x14ac:dyDescent="0.25">
      <c r="A76" s="590" t="s">
        <v>124</v>
      </c>
      <c r="B76" s="1378" t="s">
        <v>123</v>
      </c>
      <c r="C76" s="1378"/>
      <c r="D76" s="1009">
        <f>+G76+J76+M76+P76</f>
        <v>0</v>
      </c>
      <c r="E76" s="1009"/>
      <c r="F76" s="1009"/>
      <c r="G76" s="1009"/>
      <c r="H76" s="1009"/>
      <c r="I76" s="1009"/>
      <c r="J76" s="1009"/>
      <c r="K76" s="1009"/>
      <c r="L76" s="1016"/>
      <c r="M76" s="1009"/>
      <c r="N76" s="1009"/>
      <c r="O76" s="1009"/>
      <c r="P76" s="1009"/>
      <c r="Q76" s="1009"/>
      <c r="R76" s="1014"/>
    </row>
    <row r="77" spans="1:18" ht="15" hidden="1" customHeight="1" x14ac:dyDescent="0.25">
      <c r="A77" s="590" t="s">
        <v>126</v>
      </c>
      <c r="B77" s="1378" t="s">
        <v>125</v>
      </c>
      <c r="C77" s="1378"/>
      <c r="D77" s="1009">
        <f t="shared" ref="D77:D79" si="68">+G77+J77+M77+P77</f>
        <v>0</v>
      </c>
      <c r="E77" s="1009"/>
      <c r="F77" s="1009"/>
      <c r="G77" s="1009"/>
      <c r="H77" s="1009"/>
      <c r="I77" s="1009"/>
      <c r="J77" s="1009"/>
      <c r="K77" s="1009"/>
      <c r="L77" s="1016"/>
      <c r="M77" s="1009"/>
      <c r="N77" s="1009"/>
      <c r="O77" s="1009"/>
      <c r="P77" s="1009"/>
      <c r="Q77" s="1009"/>
      <c r="R77" s="1014"/>
    </row>
    <row r="78" spans="1:18" ht="15" hidden="1" customHeight="1" x14ac:dyDescent="0.25">
      <c r="A78" s="590" t="s">
        <v>128</v>
      </c>
      <c r="B78" s="1378" t="s">
        <v>431</v>
      </c>
      <c r="C78" s="1378"/>
      <c r="D78" s="1009">
        <f t="shared" si="68"/>
        <v>0</v>
      </c>
      <c r="E78" s="1009"/>
      <c r="F78" s="1009"/>
      <c r="G78" s="1009"/>
      <c r="H78" s="1009"/>
      <c r="I78" s="1009"/>
      <c r="J78" s="1009"/>
      <c r="K78" s="1009"/>
      <c r="L78" s="1016"/>
      <c r="M78" s="1009"/>
      <c r="N78" s="1009"/>
      <c r="O78" s="1009"/>
      <c r="P78" s="1009"/>
      <c r="Q78" s="1009"/>
      <c r="R78" s="1014"/>
    </row>
    <row r="79" spans="1:18" ht="15" hidden="1" customHeight="1" x14ac:dyDescent="0.25">
      <c r="A79" s="590" t="s">
        <v>130</v>
      </c>
      <c r="B79" s="1378" t="s">
        <v>129</v>
      </c>
      <c r="C79" s="1378"/>
      <c r="D79" s="1009">
        <f t="shared" si="68"/>
        <v>0</v>
      </c>
      <c r="E79" s="1009"/>
      <c r="F79" s="1009"/>
      <c r="G79" s="1009"/>
      <c r="H79" s="1009"/>
      <c r="I79" s="1009"/>
      <c r="J79" s="1009"/>
      <c r="K79" s="1009"/>
      <c r="L79" s="1016"/>
      <c r="M79" s="1009"/>
      <c r="N79" s="1009"/>
      <c r="O79" s="1009"/>
      <c r="P79" s="1009"/>
      <c r="Q79" s="1009"/>
      <c r="R79" s="1014"/>
    </row>
    <row r="80" spans="1:18" ht="15" customHeight="1" x14ac:dyDescent="0.25">
      <c r="A80" s="591" t="s">
        <v>131</v>
      </c>
      <c r="B80" s="1377" t="s">
        <v>310</v>
      </c>
      <c r="C80" s="1377"/>
      <c r="D80" s="1011">
        <f t="shared" ref="D80:R80" si="69">SUM(D76:D79)</f>
        <v>0</v>
      </c>
      <c r="E80" s="1011">
        <f t="shared" si="69"/>
        <v>0</v>
      </c>
      <c r="F80" s="1011">
        <f t="shared" si="69"/>
        <v>0</v>
      </c>
      <c r="G80" s="1011">
        <f t="shared" si="69"/>
        <v>0</v>
      </c>
      <c r="H80" s="1011">
        <f t="shared" si="69"/>
        <v>0</v>
      </c>
      <c r="I80" s="1011">
        <f t="shared" si="69"/>
        <v>0</v>
      </c>
      <c r="J80" s="1011">
        <f t="shared" si="69"/>
        <v>0</v>
      </c>
      <c r="K80" s="1011">
        <f t="shared" si="69"/>
        <v>0</v>
      </c>
      <c r="L80" s="1015">
        <f t="shared" si="69"/>
        <v>0</v>
      </c>
      <c r="M80" s="1011">
        <f t="shared" si="69"/>
        <v>0</v>
      </c>
      <c r="N80" s="1011">
        <f t="shared" si="69"/>
        <v>0</v>
      </c>
      <c r="O80" s="1011">
        <f t="shared" si="69"/>
        <v>0</v>
      </c>
      <c r="P80" s="1011">
        <f t="shared" si="69"/>
        <v>0</v>
      </c>
      <c r="Q80" s="1011">
        <f t="shared" si="69"/>
        <v>0</v>
      </c>
      <c r="R80" s="1011">
        <f t="shared" si="69"/>
        <v>0</v>
      </c>
    </row>
    <row r="81" spans="1:18" x14ac:dyDescent="0.25">
      <c r="A81" s="594"/>
      <c r="B81" s="755"/>
      <c r="C81" s="755"/>
      <c r="D81" s="1012"/>
      <c r="E81" s="1012"/>
      <c r="F81" s="1013"/>
      <c r="G81" s="1014"/>
      <c r="H81" s="1012"/>
      <c r="I81" s="1013"/>
      <c r="J81" s="1014"/>
      <c r="K81" s="1012"/>
      <c r="L81" s="1110"/>
      <c r="M81" s="1014"/>
      <c r="N81" s="1012"/>
      <c r="O81" s="1013"/>
      <c r="P81" s="1014"/>
      <c r="Q81" s="1012"/>
      <c r="R81" s="1012"/>
    </row>
    <row r="82" spans="1:18" ht="15" customHeight="1" x14ac:dyDescent="0.25">
      <c r="A82" s="591" t="s">
        <v>133</v>
      </c>
      <c r="B82" s="1377" t="s">
        <v>157</v>
      </c>
      <c r="C82" s="1377"/>
      <c r="D82" s="1009"/>
      <c r="E82" s="1009"/>
      <c r="F82" s="1009"/>
      <c r="G82" s="1009"/>
      <c r="H82" s="1009"/>
      <c r="I82" s="1009"/>
      <c r="J82" s="1009"/>
      <c r="K82" s="1009"/>
      <c r="L82" s="1016"/>
      <c r="M82" s="1009"/>
      <c r="N82" s="1009"/>
      <c r="O82" s="1009"/>
      <c r="P82" s="1009"/>
      <c r="Q82" s="1009"/>
      <c r="R82" s="1009"/>
    </row>
    <row r="83" spans="1:18" ht="15.75" customHeight="1" thickBot="1" x14ac:dyDescent="0.3">
      <c r="A83" s="606"/>
      <c r="B83" s="603"/>
      <c r="C83" s="603"/>
      <c r="D83" s="1017"/>
      <c r="E83" s="1017"/>
      <c r="F83" s="1026"/>
      <c r="G83" s="1027"/>
      <c r="H83" s="1017"/>
      <c r="I83" s="1026"/>
      <c r="J83" s="1027"/>
      <c r="K83" s="1017"/>
      <c r="L83" s="1115"/>
      <c r="M83" s="1027"/>
      <c r="N83" s="1017"/>
      <c r="O83" s="1026"/>
      <c r="P83" s="1027"/>
      <c r="Q83" s="1017"/>
      <c r="R83" s="1017"/>
    </row>
    <row r="84" spans="1:18" s="610" customFormat="1" ht="40.5" customHeight="1" thickBot="1" x14ac:dyDescent="0.3">
      <c r="A84" s="607" t="s">
        <v>134</v>
      </c>
      <c r="B84" s="1380" t="s">
        <v>156</v>
      </c>
      <c r="C84" s="1380"/>
      <c r="D84" s="608">
        <f>+D82+D80+D74+D63+D59+D26+D24</f>
        <v>192358.77000000002</v>
      </c>
      <c r="E84" s="608">
        <f t="shared" ref="E84:R84" si="70">+E82+E80+E74+E63+E59+E26+E24</f>
        <v>-86</v>
      </c>
      <c r="F84" s="608">
        <f t="shared" si="70"/>
        <v>192272.77000000002</v>
      </c>
      <c r="G84" s="608">
        <f t="shared" si="70"/>
        <v>138844</v>
      </c>
      <c r="H84" s="608">
        <f t="shared" si="70"/>
        <v>16</v>
      </c>
      <c r="I84" s="608">
        <f t="shared" si="70"/>
        <v>138830</v>
      </c>
      <c r="J84" s="608">
        <f t="shared" si="70"/>
        <v>17107.77</v>
      </c>
      <c r="K84" s="608">
        <f t="shared" si="70"/>
        <v>-103</v>
      </c>
      <c r="L84" s="1116">
        <f t="shared" si="70"/>
        <v>17004.77</v>
      </c>
      <c r="M84" s="608">
        <f t="shared" si="70"/>
        <v>1399</v>
      </c>
      <c r="N84" s="608">
        <f t="shared" si="70"/>
        <v>31</v>
      </c>
      <c r="O84" s="608">
        <f t="shared" si="70"/>
        <v>1430</v>
      </c>
      <c r="P84" s="608">
        <f t="shared" si="70"/>
        <v>35008</v>
      </c>
      <c r="Q84" s="608">
        <f t="shared" si="70"/>
        <v>0</v>
      </c>
      <c r="R84" s="609">
        <f t="shared" si="70"/>
        <v>35008</v>
      </c>
    </row>
    <row r="85" spans="1:18" x14ac:dyDescent="0.25">
      <c r="D85" s="1028"/>
    </row>
    <row r="86" spans="1:18" x14ac:dyDescent="0.25">
      <c r="D86" s="1029"/>
    </row>
    <row r="87" spans="1:18" x14ac:dyDescent="0.25">
      <c r="P87" s="1028"/>
    </row>
  </sheetData>
  <mergeCells count="76">
    <mergeCell ref="B84:C84"/>
    <mergeCell ref="B60:C60"/>
    <mergeCell ref="B63:C63"/>
    <mergeCell ref="B66:C66"/>
    <mergeCell ref="B69:C69"/>
    <mergeCell ref="B76:C76"/>
    <mergeCell ref="B72:C72"/>
    <mergeCell ref="B73:C73"/>
    <mergeCell ref="B77:C77"/>
    <mergeCell ref="B78:C78"/>
    <mergeCell ref="B80:C80"/>
    <mergeCell ref="B79:C79"/>
    <mergeCell ref="B82:C82"/>
    <mergeCell ref="B14:C14"/>
    <mergeCell ref="B44:C4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34:C34"/>
    <mergeCell ref="B35:C35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71:C71"/>
    <mergeCell ref="B61:C61"/>
    <mergeCell ref="B59:C59"/>
    <mergeCell ref="B58:C5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P1:R1"/>
    <mergeCell ref="D2:F3"/>
    <mergeCell ref="G2:I2"/>
    <mergeCell ref="J2:L2"/>
    <mergeCell ref="M2:O2"/>
    <mergeCell ref="P2:R2"/>
    <mergeCell ref="G3:I3"/>
    <mergeCell ref="J3:L3"/>
    <mergeCell ref="M3:O3"/>
    <mergeCell ref="P3:R3"/>
  </mergeCells>
  <pageMargins left="0.31496062992125984" right="0.11811023622047245" top="0.74803149606299213" bottom="0.74803149606299213" header="0.31496062992125984" footer="0.31496062992125984"/>
  <pageSetup paperSize="9" scale="65" orientation="landscape" cellComments="asDisplayed" r:id="rId1"/>
  <headerFooter>
    <oddHeader>&amp;C&amp;"Times New Roman,Félkövér"&amp;12Martonvásár Város Önkormányzatának kiadásai 2020.
Brunszvik Teréz Óvoda&amp;R&amp;"Times New Roman,Félkövér"&amp;12 6/b. melléklet</oddHeader>
  </headerFooter>
  <rowBreaks count="2" manualBreakCount="2">
    <brk id="31" max="16383" man="1"/>
    <brk id="65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8"/>
  <sheetViews>
    <sheetView zoomScale="89" zoomScaleNormal="89" zoomScalePageLayoutView="70" workbookViewId="0">
      <selection activeCell="H54" sqref="H54"/>
    </sheetView>
  </sheetViews>
  <sheetFormatPr defaultColWidth="8.7109375" defaultRowHeight="15" x14ac:dyDescent="0.25"/>
  <cols>
    <col min="1" max="1" width="7.140625" style="1061" customWidth="1"/>
    <col min="2" max="2" width="7.140625" style="77" customWidth="1"/>
    <col min="3" max="3" width="25.7109375" style="77" customWidth="1"/>
    <col min="4" max="4" width="12" style="74" customWidth="1"/>
    <col min="5" max="5" width="9.7109375" style="74" customWidth="1"/>
    <col min="6" max="7" width="7.7109375" style="74" customWidth="1"/>
    <col min="8" max="8" width="8" style="74" customWidth="1"/>
    <col min="9" max="9" width="8.28515625" style="74" customWidth="1"/>
    <col min="10" max="10" width="6.85546875" style="74" customWidth="1"/>
    <col min="11" max="11" width="7.28515625" style="74" customWidth="1"/>
    <col min="12" max="12" width="8.7109375" style="74" customWidth="1"/>
    <col min="13" max="13" width="7" style="74" customWidth="1"/>
    <col min="14" max="14" width="7.7109375" style="74" customWidth="1"/>
    <col min="15" max="15" width="9.85546875" style="74" customWidth="1"/>
    <col min="16" max="16" width="7" style="74" customWidth="1"/>
    <col min="17" max="17" width="7.7109375" style="74" customWidth="1"/>
    <col min="18" max="18" width="9.28515625" style="74" customWidth="1"/>
    <col min="19" max="19" width="7.42578125" style="74" customWidth="1"/>
    <col min="20" max="20" width="6.7109375" style="74" customWidth="1"/>
    <col min="21" max="21" width="8.5703125" style="74" customWidth="1"/>
    <col min="22" max="22" width="7.42578125" style="74" customWidth="1"/>
    <col min="23" max="23" width="7.28515625" style="74" customWidth="1"/>
    <col min="24" max="24" width="8.140625" style="74" customWidth="1"/>
    <col min="25" max="16384" width="8.7109375" style="1033"/>
  </cols>
  <sheetData>
    <row r="1" spans="1:24" x14ac:dyDescent="0.25">
      <c r="A1" s="1030"/>
      <c r="B1" s="1031"/>
      <c r="C1" s="1031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</row>
    <row r="2" spans="1:24" ht="42" customHeight="1" x14ac:dyDescent="0.25">
      <c r="A2" s="1384" t="s">
        <v>0</v>
      </c>
      <c r="B2" s="1393" t="s">
        <v>181</v>
      </c>
      <c r="C2" s="1394"/>
      <c r="D2" s="1387" t="s">
        <v>179</v>
      </c>
      <c r="E2" s="1388"/>
      <c r="F2" s="1389"/>
      <c r="G2" s="1400" t="s">
        <v>292</v>
      </c>
      <c r="H2" s="1401"/>
      <c r="I2" s="1402"/>
      <c r="J2" s="1400" t="s">
        <v>293</v>
      </c>
      <c r="K2" s="1401"/>
      <c r="L2" s="1402"/>
      <c r="M2" s="1400" t="s">
        <v>294</v>
      </c>
      <c r="N2" s="1401"/>
      <c r="O2" s="1402"/>
      <c r="P2" s="1400" t="s">
        <v>744</v>
      </c>
      <c r="Q2" s="1401"/>
      <c r="R2" s="1402"/>
      <c r="S2" s="1400" t="s">
        <v>295</v>
      </c>
      <c r="T2" s="1401"/>
      <c r="U2" s="1402"/>
      <c r="V2" s="1403" t="s">
        <v>764</v>
      </c>
      <c r="W2" s="1404"/>
      <c r="X2" s="1405"/>
    </row>
    <row r="3" spans="1:24" ht="15" customHeight="1" x14ac:dyDescent="0.25">
      <c r="A3" s="1385"/>
      <c r="B3" s="1395"/>
      <c r="C3" s="1396"/>
      <c r="D3" s="1390"/>
      <c r="E3" s="1391"/>
      <c r="F3" s="1392"/>
      <c r="G3" s="1403" t="s">
        <v>188</v>
      </c>
      <c r="H3" s="1404"/>
      <c r="I3" s="1405"/>
      <c r="J3" s="1403" t="s">
        <v>188</v>
      </c>
      <c r="K3" s="1404"/>
      <c r="L3" s="1405"/>
      <c r="M3" s="1403" t="s">
        <v>188</v>
      </c>
      <c r="N3" s="1404"/>
      <c r="O3" s="1405"/>
      <c r="P3" s="1403" t="s">
        <v>188</v>
      </c>
      <c r="Q3" s="1404"/>
      <c r="R3" s="1405"/>
      <c r="S3" s="1403" t="s">
        <v>188</v>
      </c>
      <c r="T3" s="1404"/>
      <c r="U3" s="1405"/>
      <c r="V3" s="1403" t="s">
        <v>290</v>
      </c>
      <c r="W3" s="1404"/>
      <c r="X3" s="1405"/>
    </row>
    <row r="4" spans="1:24" s="1034" customFormat="1" ht="25.5" customHeight="1" x14ac:dyDescent="0.25">
      <c r="A4" s="1386"/>
      <c r="B4" s="1397"/>
      <c r="C4" s="1398"/>
      <c r="D4" s="1008" t="s">
        <v>947</v>
      </c>
      <c r="E4" s="1008" t="s">
        <v>694</v>
      </c>
      <c r="F4" s="1008" t="s">
        <v>948</v>
      </c>
      <c r="G4" s="1008" t="s">
        <v>947</v>
      </c>
      <c r="H4" s="1008" t="s">
        <v>694</v>
      </c>
      <c r="I4" s="1008" t="s">
        <v>948</v>
      </c>
      <c r="J4" s="1008" t="s">
        <v>947</v>
      </c>
      <c r="K4" s="1008" t="s">
        <v>694</v>
      </c>
      <c r="L4" s="1008" t="s">
        <v>948</v>
      </c>
      <c r="M4" s="1008" t="s">
        <v>947</v>
      </c>
      <c r="N4" s="1008" t="s">
        <v>694</v>
      </c>
      <c r="O4" s="1008" t="s">
        <v>948</v>
      </c>
      <c r="P4" s="1008" t="s">
        <v>947</v>
      </c>
      <c r="Q4" s="1008" t="s">
        <v>694</v>
      </c>
      <c r="R4" s="1008" t="s">
        <v>948</v>
      </c>
      <c r="S4" s="1008" t="s">
        <v>947</v>
      </c>
      <c r="T4" s="1008" t="s">
        <v>694</v>
      </c>
      <c r="U4" s="1008" t="s">
        <v>948</v>
      </c>
      <c r="V4" s="1008" t="s">
        <v>947</v>
      </c>
      <c r="W4" s="1008" t="s">
        <v>694</v>
      </c>
      <c r="X4" s="1008" t="s">
        <v>948</v>
      </c>
    </row>
    <row r="5" spans="1:24" ht="26.25" customHeight="1" x14ac:dyDescent="0.25">
      <c r="A5" s="62" t="s">
        <v>2</v>
      </c>
      <c r="B5" s="1349" t="s">
        <v>1</v>
      </c>
      <c r="C5" s="1350"/>
      <c r="D5" s="1035">
        <f>+G5+J5+M5+S5+P5+V5</f>
        <v>23759</v>
      </c>
      <c r="E5" s="1035">
        <f>+H5+K5+N5+Q5+T5+W5</f>
        <v>-10641</v>
      </c>
      <c r="F5" s="1117">
        <f>+D5+E5</f>
        <v>13118</v>
      </c>
      <c r="G5" s="1035">
        <v>13310</v>
      </c>
      <c r="H5" s="1035">
        <f>-5377+82-220-27</f>
        <v>-5542</v>
      </c>
      <c r="I5" s="1035">
        <f t="shared" ref="I5:I18" si="0">+H5+G5</f>
        <v>7768</v>
      </c>
      <c r="J5" s="1035">
        <v>6262</v>
      </c>
      <c r="K5" s="1035">
        <f>-2403+45-5-9</f>
        <v>-2372</v>
      </c>
      <c r="L5" s="1035">
        <f t="shared" ref="L5:L18" si="1">+K5+J5</f>
        <v>3890</v>
      </c>
      <c r="M5" s="1035">
        <v>0</v>
      </c>
      <c r="N5" s="1035"/>
      <c r="O5" s="1035">
        <f>+N5+M5</f>
        <v>0</v>
      </c>
      <c r="P5" s="1035"/>
      <c r="Q5" s="1035"/>
      <c r="R5" s="1035">
        <f t="shared" ref="R5:R18" si="2">+Q5+P5</f>
        <v>0</v>
      </c>
      <c r="S5" s="1035"/>
      <c r="T5" s="1035"/>
      <c r="U5" s="1035">
        <f t="shared" ref="U5:U18" si="3">+T5+S5</f>
        <v>0</v>
      </c>
      <c r="V5" s="1035">
        <v>4187</v>
      </c>
      <c r="W5" s="1035">
        <v>-2727</v>
      </c>
      <c r="X5" s="1035">
        <f t="shared" ref="X5:X18" si="4">+W5+V5</f>
        <v>1460</v>
      </c>
    </row>
    <row r="6" spans="1:24" ht="15" customHeight="1" x14ac:dyDescent="0.25">
      <c r="A6" s="62" t="s">
        <v>4</v>
      </c>
      <c r="B6" s="1349" t="s">
        <v>3</v>
      </c>
      <c r="C6" s="1350"/>
      <c r="D6" s="1035">
        <f t="shared" ref="D6:D18" si="5">+G6+J6+M6+S6+P6+V6</f>
        <v>100</v>
      </c>
      <c r="E6" s="1035">
        <f t="shared" ref="E6:E18" si="6">+H6+K6+N6+Q6+T6+W6</f>
        <v>970</v>
      </c>
      <c r="F6" s="1035">
        <f t="shared" ref="F6:F18" si="7">+D6+E6</f>
        <v>1070</v>
      </c>
      <c r="G6" s="1035"/>
      <c r="H6" s="1035">
        <v>1070</v>
      </c>
      <c r="I6" s="1035">
        <f t="shared" si="0"/>
        <v>1070</v>
      </c>
      <c r="J6" s="1035"/>
      <c r="K6" s="1035"/>
      <c r="L6" s="1035">
        <f t="shared" si="1"/>
        <v>0</v>
      </c>
      <c r="M6" s="1035"/>
      <c r="N6" s="1035"/>
      <c r="O6" s="1035">
        <f t="shared" ref="O6:O18" si="8">+N6+M6</f>
        <v>0</v>
      </c>
      <c r="P6" s="1035"/>
      <c r="Q6" s="1035"/>
      <c r="R6" s="1035">
        <f t="shared" si="2"/>
        <v>0</v>
      </c>
      <c r="S6" s="1035"/>
      <c r="T6" s="1035"/>
      <c r="U6" s="1035">
        <f t="shared" si="3"/>
        <v>0</v>
      </c>
      <c r="V6" s="1035">
        <v>100</v>
      </c>
      <c r="W6" s="1035">
        <v>-100</v>
      </c>
      <c r="X6" s="1035">
        <f t="shared" si="4"/>
        <v>0</v>
      </c>
    </row>
    <row r="7" spans="1:24" ht="15" customHeight="1" x14ac:dyDescent="0.25">
      <c r="A7" s="62" t="s">
        <v>6</v>
      </c>
      <c r="B7" s="1349" t="s">
        <v>5</v>
      </c>
      <c r="C7" s="1350"/>
      <c r="D7" s="1035">
        <f t="shared" si="5"/>
        <v>0</v>
      </c>
      <c r="E7" s="1035">
        <f t="shared" si="6"/>
        <v>0</v>
      </c>
      <c r="F7" s="1035">
        <f t="shared" si="7"/>
        <v>0</v>
      </c>
      <c r="G7" s="1035"/>
      <c r="H7" s="1035"/>
      <c r="I7" s="1035">
        <f t="shared" si="0"/>
        <v>0</v>
      </c>
      <c r="J7" s="1035"/>
      <c r="K7" s="1035"/>
      <c r="L7" s="1035">
        <f t="shared" si="1"/>
        <v>0</v>
      </c>
      <c r="M7" s="1035"/>
      <c r="N7" s="1035"/>
      <c r="O7" s="1035">
        <f t="shared" si="8"/>
        <v>0</v>
      </c>
      <c r="P7" s="1035"/>
      <c r="Q7" s="1035"/>
      <c r="R7" s="1035">
        <f t="shared" si="2"/>
        <v>0</v>
      </c>
      <c r="S7" s="1035"/>
      <c r="T7" s="1035"/>
      <c r="U7" s="1035">
        <f t="shared" si="3"/>
        <v>0</v>
      </c>
      <c r="V7" s="1035"/>
      <c r="W7" s="1035"/>
      <c r="X7" s="1035">
        <f t="shared" si="4"/>
        <v>0</v>
      </c>
    </row>
    <row r="8" spans="1:24" ht="27" customHeight="1" x14ac:dyDescent="0.25">
      <c r="A8" s="62" t="s">
        <v>8</v>
      </c>
      <c r="B8" s="1349" t="s">
        <v>7</v>
      </c>
      <c r="C8" s="1350"/>
      <c r="D8" s="1035">
        <f t="shared" si="5"/>
        <v>0</v>
      </c>
      <c r="E8" s="1035">
        <f t="shared" si="6"/>
        <v>0</v>
      </c>
      <c r="F8" s="1035">
        <f t="shared" si="7"/>
        <v>0</v>
      </c>
      <c r="G8" s="1035"/>
      <c r="H8" s="1035"/>
      <c r="I8" s="1035">
        <f t="shared" si="0"/>
        <v>0</v>
      </c>
      <c r="J8" s="1035"/>
      <c r="K8" s="1035"/>
      <c r="L8" s="1035">
        <f t="shared" si="1"/>
        <v>0</v>
      </c>
      <c r="M8" s="1035"/>
      <c r="N8" s="1035"/>
      <c r="O8" s="1035">
        <f t="shared" si="8"/>
        <v>0</v>
      </c>
      <c r="P8" s="1035"/>
      <c r="Q8" s="1035"/>
      <c r="R8" s="1035">
        <f t="shared" si="2"/>
        <v>0</v>
      </c>
      <c r="S8" s="1035"/>
      <c r="T8" s="1035"/>
      <c r="U8" s="1035">
        <f t="shared" si="3"/>
        <v>0</v>
      </c>
      <c r="V8" s="1035"/>
      <c r="W8" s="1035"/>
      <c r="X8" s="1035">
        <f t="shared" si="4"/>
        <v>0</v>
      </c>
    </row>
    <row r="9" spans="1:24" ht="15" customHeight="1" x14ac:dyDescent="0.25">
      <c r="A9" s="62" t="s">
        <v>10</v>
      </c>
      <c r="B9" s="1349" t="s">
        <v>9</v>
      </c>
      <c r="C9" s="1350"/>
      <c r="D9" s="1035">
        <f t="shared" si="5"/>
        <v>0</v>
      </c>
      <c r="E9" s="1035">
        <f t="shared" si="6"/>
        <v>0</v>
      </c>
      <c r="F9" s="1035">
        <f t="shared" si="7"/>
        <v>0</v>
      </c>
      <c r="G9" s="1035"/>
      <c r="H9" s="1035"/>
      <c r="I9" s="1035">
        <f t="shared" si="0"/>
        <v>0</v>
      </c>
      <c r="J9" s="1035"/>
      <c r="K9" s="1035"/>
      <c r="L9" s="1035">
        <f t="shared" si="1"/>
        <v>0</v>
      </c>
      <c r="M9" s="1035"/>
      <c r="N9" s="1035"/>
      <c r="O9" s="1035">
        <f t="shared" si="8"/>
        <v>0</v>
      </c>
      <c r="P9" s="1035"/>
      <c r="Q9" s="1035"/>
      <c r="R9" s="1035">
        <f t="shared" si="2"/>
        <v>0</v>
      </c>
      <c r="S9" s="1035"/>
      <c r="T9" s="1035"/>
      <c r="U9" s="1035">
        <f t="shared" si="3"/>
        <v>0</v>
      </c>
      <c r="V9" s="1035"/>
      <c r="W9" s="1035"/>
      <c r="X9" s="1035">
        <f t="shared" si="4"/>
        <v>0</v>
      </c>
    </row>
    <row r="10" spans="1:24" ht="15" customHeight="1" x14ac:dyDescent="0.25">
      <c r="A10" s="62" t="s">
        <v>12</v>
      </c>
      <c r="B10" s="1349" t="s">
        <v>11</v>
      </c>
      <c r="C10" s="1350"/>
      <c r="D10" s="1035">
        <f t="shared" si="5"/>
        <v>420</v>
      </c>
      <c r="E10" s="1035">
        <f t="shared" si="6"/>
        <v>31</v>
      </c>
      <c r="F10" s="1035">
        <f t="shared" si="7"/>
        <v>451</v>
      </c>
      <c r="G10" s="1035"/>
      <c r="H10" s="1035"/>
      <c r="I10" s="1035">
        <f t="shared" si="0"/>
        <v>0</v>
      </c>
      <c r="J10" s="1035">
        <v>420</v>
      </c>
      <c r="K10" s="1035">
        <v>31</v>
      </c>
      <c r="L10" s="1035">
        <f t="shared" si="1"/>
        <v>451</v>
      </c>
      <c r="M10" s="1035"/>
      <c r="N10" s="1035"/>
      <c r="O10" s="1035">
        <f t="shared" si="8"/>
        <v>0</v>
      </c>
      <c r="P10" s="1035"/>
      <c r="Q10" s="1035"/>
      <c r="R10" s="1035">
        <f t="shared" si="2"/>
        <v>0</v>
      </c>
      <c r="S10" s="1035"/>
      <c r="T10" s="1035"/>
      <c r="U10" s="1035">
        <f t="shared" si="3"/>
        <v>0</v>
      </c>
      <c r="V10" s="1035"/>
      <c r="W10" s="1035"/>
      <c r="X10" s="1035">
        <f t="shared" si="4"/>
        <v>0</v>
      </c>
    </row>
    <row r="11" spans="1:24" ht="15" customHeight="1" x14ac:dyDescent="0.25">
      <c r="A11" s="62" t="s">
        <v>14</v>
      </c>
      <c r="B11" s="1349" t="s">
        <v>13</v>
      </c>
      <c r="C11" s="1350"/>
      <c r="D11" s="1035">
        <f t="shared" si="5"/>
        <v>460</v>
      </c>
      <c r="E11" s="1035">
        <f t="shared" si="6"/>
        <v>-40</v>
      </c>
      <c r="F11" s="1035">
        <f t="shared" si="7"/>
        <v>420</v>
      </c>
      <c r="G11" s="1035">
        <v>240</v>
      </c>
      <c r="H11" s="1035"/>
      <c r="I11" s="1035">
        <f t="shared" si="0"/>
        <v>240</v>
      </c>
      <c r="J11" s="1035">
        <v>120</v>
      </c>
      <c r="K11" s="1035"/>
      <c r="L11" s="1035">
        <f t="shared" si="1"/>
        <v>120</v>
      </c>
      <c r="M11" s="1035"/>
      <c r="N11" s="1035"/>
      <c r="O11" s="1035">
        <f t="shared" si="8"/>
        <v>0</v>
      </c>
      <c r="P11" s="1035"/>
      <c r="Q11" s="1035"/>
      <c r="R11" s="1035">
        <f t="shared" si="2"/>
        <v>0</v>
      </c>
      <c r="S11" s="1035"/>
      <c r="T11" s="1035"/>
      <c r="U11" s="1035">
        <f t="shared" si="3"/>
        <v>0</v>
      </c>
      <c r="V11" s="1035">
        <v>100</v>
      </c>
      <c r="W11" s="1035">
        <v>-40</v>
      </c>
      <c r="X11" s="1035">
        <f t="shared" si="4"/>
        <v>60</v>
      </c>
    </row>
    <row r="12" spans="1:24" ht="15" customHeight="1" x14ac:dyDescent="0.25">
      <c r="A12" s="62" t="s">
        <v>16</v>
      </c>
      <c r="B12" s="1349" t="s">
        <v>15</v>
      </c>
      <c r="C12" s="1350"/>
      <c r="D12" s="1035">
        <f t="shared" si="5"/>
        <v>0</v>
      </c>
      <c r="E12" s="1035">
        <f t="shared" si="6"/>
        <v>0</v>
      </c>
      <c r="F12" s="1035">
        <f t="shared" si="7"/>
        <v>0</v>
      </c>
      <c r="G12" s="1035"/>
      <c r="H12" s="1035"/>
      <c r="I12" s="1035">
        <f t="shared" si="0"/>
        <v>0</v>
      </c>
      <c r="J12" s="1035"/>
      <c r="K12" s="1035"/>
      <c r="L12" s="1035">
        <f t="shared" si="1"/>
        <v>0</v>
      </c>
      <c r="M12" s="1035"/>
      <c r="N12" s="1035"/>
      <c r="O12" s="1035">
        <f t="shared" si="8"/>
        <v>0</v>
      </c>
      <c r="P12" s="1035"/>
      <c r="Q12" s="1035"/>
      <c r="R12" s="1035">
        <f t="shared" si="2"/>
        <v>0</v>
      </c>
      <c r="S12" s="1035"/>
      <c r="T12" s="1035"/>
      <c r="U12" s="1035">
        <f t="shared" si="3"/>
        <v>0</v>
      </c>
      <c r="V12" s="1035"/>
      <c r="W12" s="1035"/>
      <c r="X12" s="1035">
        <f t="shared" si="4"/>
        <v>0</v>
      </c>
    </row>
    <row r="13" spans="1:24" ht="15" customHeight="1" x14ac:dyDescent="0.25">
      <c r="A13" s="62" t="s">
        <v>18</v>
      </c>
      <c r="B13" s="1349" t="s">
        <v>17</v>
      </c>
      <c r="C13" s="1350"/>
      <c r="D13" s="1035">
        <f t="shared" si="5"/>
        <v>25</v>
      </c>
      <c r="E13" s="1035">
        <f t="shared" si="6"/>
        <v>-9</v>
      </c>
      <c r="F13" s="1035">
        <f t="shared" si="7"/>
        <v>16</v>
      </c>
      <c r="G13" s="1035">
        <v>0</v>
      </c>
      <c r="H13" s="1035"/>
      <c r="I13" s="1035">
        <f>+G13+H13</f>
        <v>0</v>
      </c>
      <c r="J13" s="1035"/>
      <c r="K13" s="1035"/>
      <c r="L13" s="1035">
        <f t="shared" si="1"/>
        <v>0</v>
      </c>
      <c r="M13" s="1035">
        <v>0</v>
      </c>
      <c r="N13" s="1035"/>
      <c r="O13" s="1035">
        <f t="shared" si="8"/>
        <v>0</v>
      </c>
      <c r="P13" s="1035"/>
      <c r="Q13" s="1035"/>
      <c r="R13" s="1035">
        <f t="shared" si="2"/>
        <v>0</v>
      </c>
      <c r="S13" s="1035"/>
      <c r="T13" s="1035"/>
      <c r="U13" s="1035">
        <f t="shared" si="3"/>
        <v>0</v>
      </c>
      <c r="V13" s="1035">
        <v>25</v>
      </c>
      <c r="W13" s="1035">
        <v>-9</v>
      </c>
      <c r="X13" s="1035">
        <f t="shared" si="4"/>
        <v>16</v>
      </c>
    </row>
    <row r="14" spans="1:24" ht="15" customHeight="1" x14ac:dyDescent="0.25">
      <c r="A14" s="62" t="s">
        <v>20</v>
      </c>
      <c r="B14" s="1349" t="s">
        <v>19</v>
      </c>
      <c r="C14" s="1350"/>
      <c r="D14" s="1035">
        <f t="shared" si="5"/>
        <v>0</v>
      </c>
      <c r="E14" s="1035">
        <f t="shared" si="6"/>
        <v>0</v>
      </c>
      <c r="F14" s="1035">
        <f t="shared" si="7"/>
        <v>0</v>
      </c>
      <c r="G14" s="1035"/>
      <c r="H14" s="1035"/>
      <c r="I14" s="1035">
        <f t="shared" si="0"/>
        <v>0</v>
      </c>
      <c r="J14" s="1035"/>
      <c r="K14" s="1035"/>
      <c r="L14" s="1035">
        <f t="shared" si="1"/>
        <v>0</v>
      </c>
      <c r="M14" s="1035"/>
      <c r="N14" s="1035"/>
      <c r="O14" s="1035">
        <f t="shared" si="8"/>
        <v>0</v>
      </c>
      <c r="P14" s="1035"/>
      <c r="Q14" s="1035"/>
      <c r="R14" s="1035">
        <f t="shared" si="2"/>
        <v>0</v>
      </c>
      <c r="S14" s="1035"/>
      <c r="T14" s="1035"/>
      <c r="U14" s="1035">
        <f t="shared" si="3"/>
        <v>0</v>
      </c>
      <c r="V14" s="1035"/>
      <c r="W14" s="1035"/>
      <c r="X14" s="1035">
        <f t="shared" si="4"/>
        <v>0</v>
      </c>
    </row>
    <row r="15" spans="1:24" ht="15" customHeight="1" x14ac:dyDescent="0.25">
      <c r="A15" s="62" t="s">
        <v>22</v>
      </c>
      <c r="B15" s="1349" t="s">
        <v>21</v>
      </c>
      <c r="C15" s="1350"/>
      <c r="D15" s="1035">
        <f t="shared" si="5"/>
        <v>432</v>
      </c>
      <c r="E15" s="1035">
        <f t="shared" si="6"/>
        <v>-217</v>
      </c>
      <c r="F15" s="1035">
        <f t="shared" si="7"/>
        <v>215</v>
      </c>
      <c r="G15" s="1035">
        <v>432</v>
      </c>
      <c r="H15" s="1035">
        <v>-217</v>
      </c>
      <c r="I15" s="1035">
        <f t="shared" si="0"/>
        <v>215</v>
      </c>
      <c r="J15" s="1035"/>
      <c r="K15" s="1035"/>
      <c r="L15" s="1035">
        <f t="shared" si="1"/>
        <v>0</v>
      </c>
      <c r="M15" s="1035"/>
      <c r="N15" s="1035"/>
      <c r="O15" s="1035">
        <f t="shared" si="8"/>
        <v>0</v>
      </c>
      <c r="P15" s="1035"/>
      <c r="Q15" s="1035"/>
      <c r="R15" s="1035">
        <f t="shared" si="2"/>
        <v>0</v>
      </c>
      <c r="S15" s="1035"/>
      <c r="T15" s="1035"/>
      <c r="U15" s="1035">
        <f t="shared" si="3"/>
        <v>0</v>
      </c>
      <c r="V15" s="1035"/>
      <c r="W15" s="1035"/>
      <c r="X15" s="1035">
        <f t="shared" si="4"/>
        <v>0</v>
      </c>
    </row>
    <row r="16" spans="1:24" ht="15" customHeight="1" x14ac:dyDescent="0.25">
      <c r="A16" s="62" t="s">
        <v>24</v>
      </c>
      <c r="B16" s="1349" t="s">
        <v>23</v>
      </c>
      <c r="C16" s="1350"/>
      <c r="D16" s="1035">
        <f t="shared" si="5"/>
        <v>0</v>
      </c>
      <c r="E16" s="1035">
        <f t="shared" si="6"/>
        <v>0</v>
      </c>
      <c r="F16" s="1035">
        <f t="shared" si="7"/>
        <v>0</v>
      </c>
      <c r="G16" s="1035"/>
      <c r="H16" s="1035"/>
      <c r="I16" s="1035">
        <f t="shared" si="0"/>
        <v>0</v>
      </c>
      <c r="J16" s="1035"/>
      <c r="K16" s="1035"/>
      <c r="L16" s="1035">
        <f t="shared" si="1"/>
        <v>0</v>
      </c>
      <c r="M16" s="1035"/>
      <c r="N16" s="1035"/>
      <c r="O16" s="1035">
        <f t="shared" si="8"/>
        <v>0</v>
      </c>
      <c r="P16" s="1035"/>
      <c r="Q16" s="1035"/>
      <c r="R16" s="1035">
        <f t="shared" si="2"/>
        <v>0</v>
      </c>
      <c r="S16" s="1035"/>
      <c r="T16" s="1035"/>
      <c r="U16" s="1035">
        <f t="shared" si="3"/>
        <v>0</v>
      </c>
      <c r="V16" s="1035"/>
      <c r="W16" s="1035"/>
      <c r="X16" s="1035">
        <f t="shared" si="4"/>
        <v>0</v>
      </c>
    </row>
    <row r="17" spans="1:24" ht="23.25" customHeight="1" x14ac:dyDescent="0.25">
      <c r="A17" s="62" t="s">
        <v>25</v>
      </c>
      <c r="B17" s="1349" t="s">
        <v>174</v>
      </c>
      <c r="C17" s="1350"/>
      <c r="D17" s="1035">
        <f t="shared" si="5"/>
        <v>111</v>
      </c>
      <c r="E17" s="1035">
        <f t="shared" si="6"/>
        <v>44</v>
      </c>
      <c r="F17" s="1117">
        <f t="shared" si="7"/>
        <v>155</v>
      </c>
      <c r="G17" s="1035">
        <v>42</v>
      </c>
      <c r="H17" s="1035">
        <f>27+17</f>
        <v>44</v>
      </c>
      <c r="I17" s="1035">
        <f t="shared" si="0"/>
        <v>86</v>
      </c>
      <c r="J17" s="1035">
        <v>69</v>
      </c>
      <c r="K17" s="1035"/>
      <c r="L17" s="1035">
        <f t="shared" si="1"/>
        <v>69</v>
      </c>
      <c r="M17" s="1035"/>
      <c r="N17" s="1035"/>
      <c r="O17" s="1035">
        <f t="shared" si="8"/>
        <v>0</v>
      </c>
      <c r="P17" s="1035"/>
      <c r="Q17" s="1035"/>
      <c r="R17" s="1035">
        <f t="shared" si="2"/>
        <v>0</v>
      </c>
      <c r="S17" s="1035"/>
      <c r="T17" s="1035"/>
      <c r="U17" s="1035">
        <f t="shared" si="3"/>
        <v>0</v>
      </c>
      <c r="V17" s="1035"/>
      <c r="W17" s="1035"/>
      <c r="X17" s="1035">
        <f t="shared" si="4"/>
        <v>0</v>
      </c>
    </row>
    <row r="18" spans="1:24" ht="15" customHeight="1" x14ac:dyDescent="0.25">
      <c r="A18" s="62" t="s">
        <v>25</v>
      </c>
      <c r="B18" s="1349" t="s">
        <v>26</v>
      </c>
      <c r="C18" s="1350"/>
      <c r="D18" s="1035">
        <f t="shared" si="5"/>
        <v>0</v>
      </c>
      <c r="E18" s="1035">
        <f t="shared" si="6"/>
        <v>0</v>
      </c>
      <c r="F18" s="1035">
        <f t="shared" si="7"/>
        <v>0</v>
      </c>
      <c r="G18" s="1035"/>
      <c r="H18" s="1035"/>
      <c r="I18" s="1035">
        <f t="shared" si="0"/>
        <v>0</v>
      </c>
      <c r="J18" s="1035"/>
      <c r="K18" s="1035"/>
      <c r="L18" s="1035">
        <f t="shared" si="1"/>
        <v>0</v>
      </c>
      <c r="M18" s="1035"/>
      <c r="N18" s="1035"/>
      <c r="O18" s="1035">
        <f t="shared" si="8"/>
        <v>0</v>
      </c>
      <c r="P18" s="1035"/>
      <c r="Q18" s="1035"/>
      <c r="R18" s="1035">
        <f t="shared" si="2"/>
        <v>0</v>
      </c>
      <c r="S18" s="1035"/>
      <c r="T18" s="1035"/>
      <c r="U18" s="1035">
        <f t="shared" si="3"/>
        <v>0</v>
      </c>
      <c r="V18" s="1035"/>
      <c r="W18" s="1035"/>
      <c r="X18" s="1035">
        <f t="shared" si="4"/>
        <v>0</v>
      </c>
    </row>
    <row r="19" spans="1:24" s="1037" customFormat="1" ht="15" customHeight="1" x14ac:dyDescent="0.25">
      <c r="A19" s="63" t="s">
        <v>27</v>
      </c>
      <c r="B19" s="1347" t="s">
        <v>416</v>
      </c>
      <c r="C19" s="1348"/>
      <c r="D19" s="1036">
        <f>SUM(D5:D18)</f>
        <v>25307</v>
      </c>
      <c r="E19" s="1036">
        <f t="shared" ref="E19:X19" si="9">SUM(E5:E18)</f>
        <v>-9862</v>
      </c>
      <c r="F19" s="1036">
        <f t="shared" si="9"/>
        <v>15445</v>
      </c>
      <c r="G19" s="1036">
        <f t="shared" si="9"/>
        <v>14024</v>
      </c>
      <c r="H19" s="1036">
        <f t="shared" si="9"/>
        <v>-4645</v>
      </c>
      <c r="I19" s="1036">
        <f t="shared" si="9"/>
        <v>9379</v>
      </c>
      <c r="J19" s="1036">
        <f t="shared" si="9"/>
        <v>6871</v>
      </c>
      <c r="K19" s="1036">
        <f t="shared" si="9"/>
        <v>-2341</v>
      </c>
      <c r="L19" s="1036">
        <f t="shared" si="9"/>
        <v>4530</v>
      </c>
      <c r="M19" s="1036">
        <f t="shared" si="9"/>
        <v>0</v>
      </c>
      <c r="N19" s="1036">
        <f t="shared" si="9"/>
        <v>0</v>
      </c>
      <c r="O19" s="1036">
        <f t="shared" si="9"/>
        <v>0</v>
      </c>
      <c r="P19" s="1036">
        <f t="shared" si="9"/>
        <v>0</v>
      </c>
      <c r="Q19" s="1036">
        <f t="shared" si="9"/>
        <v>0</v>
      </c>
      <c r="R19" s="1036">
        <f t="shared" si="9"/>
        <v>0</v>
      </c>
      <c r="S19" s="1036">
        <f t="shared" si="9"/>
        <v>0</v>
      </c>
      <c r="T19" s="1036">
        <f t="shared" si="9"/>
        <v>0</v>
      </c>
      <c r="U19" s="1036">
        <f t="shared" si="9"/>
        <v>0</v>
      </c>
      <c r="V19" s="1036">
        <f t="shared" si="9"/>
        <v>4412</v>
      </c>
      <c r="W19" s="1036">
        <f t="shared" si="9"/>
        <v>-2876</v>
      </c>
      <c r="X19" s="1036">
        <f t="shared" si="9"/>
        <v>1536</v>
      </c>
    </row>
    <row r="20" spans="1:24" ht="15" customHeight="1" x14ac:dyDescent="0.25">
      <c r="A20" s="62" t="s">
        <v>29</v>
      </c>
      <c r="B20" s="1349" t="s">
        <v>28</v>
      </c>
      <c r="C20" s="1350"/>
      <c r="D20" s="1035">
        <f>+G20+J20+M20+S20+V20</f>
        <v>0</v>
      </c>
      <c r="E20" s="1035">
        <f t="shared" ref="E20:E22" si="10">+H20+K20+N20+Q20+T20+W20</f>
        <v>0</v>
      </c>
      <c r="F20" s="1035"/>
      <c r="G20" s="1035"/>
      <c r="H20" s="1035"/>
      <c r="I20" s="1035"/>
      <c r="J20" s="1035"/>
      <c r="K20" s="1035"/>
      <c r="L20" s="1035"/>
      <c r="M20" s="1035"/>
      <c r="N20" s="1035"/>
      <c r="O20" s="1035"/>
      <c r="P20" s="1035"/>
      <c r="Q20" s="1035"/>
      <c r="R20" s="1035">
        <f t="shared" ref="R20:R22" si="11">+Q20+P20</f>
        <v>0</v>
      </c>
      <c r="S20" s="1035"/>
      <c r="T20" s="1035"/>
      <c r="U20" s="1035"/>
      <c r="V20" s="1035"/>
      <c r="W20" s="1035"/>
      <c r="X20" s="1035"/>
    </row>
    <row r="21" spans="1:24" ht="40.5" customHeight="1" x14ac:dyDescent="0.25">
      <c r="A21" s="62" t="s">
        <v>634</v>
      </c>
      <c r="B21" s="1349" t="s">
        <v>30</v>
      </c>
      <c r="C21" s="1350"/>
      <c r="D21" s="1035">
        <f t="shared" ref="D21:D22" si="12">+G21+J21+M21+S21+V21</f>
        <v>2881</v>
      </c>
      <c r="E21" s="1035">
        <f t="shared" si="10"/>
        <v>-622</v>
      </c>
      <c r="F21" s="1035">
        <f t="shared" ref="F21:F22" si="13">+D21+E21</f>
        <v>2259</v>
      </c>
      <c r="G21" s="1035">
        <v>500</v>
      </c>
      <c r="H21" s="1035">
        <v>-240</v>
      </c>
      <c r="I21" s="1035">
        <f t="shared" ref="I21:I22" si="14">+H21+G21</f>
        <v>260</v>
      </c>
      <c r="J21" s="1035"/>
      <c r="K21" s="1035"/>
      <c r="L21" s="1035">
        <f t="shared" ref="L21:L22" si="15">+K21+J21</f>
        <v>0</v>
      </c>
      <c r="M21" s="1035">
        <v>1041</v>
      </c>
      <c r="N21" s="1035">
        <v>-149</v>
      </c>
      <c r="O21" s="1035">
        <f t="shared" ref="O21:O22" si="16">+N21+M21</f>
        <v>892</v>
      </c>
      <c r="P21" s="1035"/>
      <c r="Q21" s="1035"/>
      <c r="R21" s="1035">
        <f t="shared" si="11"/>
        <v>0</v>
      </c>
      <c r="S21" s="1035">
        <v>1340</v>
      </c>
      <c r="T21" s="1035">
        <f>-252+19</f>
        <v>-233</v>
      </c>
      <c r="U21" s="1035">
        <f t="shared" ref="U21:U22" si="17">+T21+S21</f>
        <v>1107</v>
      </c>
      <c r="V21" s="1035"/>
      <c r="W21" s="1035"/>
      <c r="X21" s="1035">
        <f t="shared" ref="X21:X23" si="18">+W21+V21</f>
        <v>0</v>
      </c>
    </row>
    <row r="22" spans="1:24" ht="15" customHeight="1" x14ac:dyDescent="0.25">
      <c r="A22" s="62" t="s">
        <v>32</v>
      </c>
      <c r="B22" s="1349" t="s">
        <v>31</v>
      </c>
      <c r="C22" s="1350"/>
      <c r="D22" s="1035">
        <f t="shared" si="12"/>
        <v>30</v>
      </c>
      <c r="E22" s="1035">
        <f t="shared" si="10"/>
        <v>-27</v>
      </c>
      <c r="F22" s="1035">
        <f t="shared" si="13"/>
        <v>3</v>
      </c>
      <c r="G22" s="1035">
        <v>30</v>
      </c>
      <c r="H22" s="1035">
        <v>-27</v>
      </c>
      <c r="I22" s="1035">
        <f t="shared" si="14"/>
        <v>3</v>
      </c>
      <c r="J22" s="1035"/>
      <c r="K22" s="1035"/>
      <c r="L22" s="1035">
        <f t="shared" si="15"/>
        <v>0</v>
      </c>
      <c r="M22" s="1035"/>
      <c r="N22" s="1035"/>
      <c r="O22" s="1035">
        <f t="shared" si="16"/>
        <v>0</v>
      </c>
      <c r="P22" s="1035"/>
      <c r="Q22" s="1035"/>
      <c r="R22" s="1035">
        <f t="shared" si="11"/>
        <v>0</v>
      </c>
      <c r="S22" s="1035"/>
      <c r="T22" s="1035"/>
      <c r="U22" s="1035">
        <f t="shared" si="17"/>
        <v>0</v>
      </c>
      <c r="V22" s="1035"/>
      <c r="W22" s="1035"/>
      <c r="X22" s="1035">
        <f t="shared" si="18"/>
        <v>0</v>
      </c>
    </row>
    <row r="23" spans="1:24" s="1037" customFormat="1" ht="15" customHeight="1" x14ac:dyDescent="0.25">
      <c r="A23" s="63" t="s">
        <v>33</v>
      </c>
      <c r="B23" s="1347" t="s">
        <v>417</v>
      </c>
      <c r="C23" s="1348"/>
      <c r="D23" s="1036">
        <f>+D22+D21+D20</f>
        <v>2911</v>
      </c>
      <c r="E23" s="1036">
        <f t="shared" ref="E23:U23" si="19">SUM(E20:E22)</f>
        <v>-649</v>
      </c>
      <c r="F23" s="1036">
        <f t="shared" si="19"/>
        <v>2262</v>
      </c>
      <c r="G23" s="1036">
        <f t="shared" si="19"/>
        <v>530</v>
      </c>
      <c r="H23" s="1036">
        <f t="shared" si="19"/>
        <v>-267</v>
      </c>
      <c r="I23" s="1036">
        <f t="shared" si="19"/>
        <v>263</v>
      </c>
      <c r="J23" s="1036">
        <f t="shared" si="19"/>
        <v>0</v>
      </c>
      <c r="K23" s="1036">
        <f t="shared" si="19"/>
        <v>0</v>
      </c>
      <c r="L23" s="1036">
        <f t="shared" si="19"/>
        <v>0</v>
      </c>
      <c r="M23" s="1036">
        <f t="shared" si="19"/>
        <v>1041</v>
      </c>
      <c r="N23" s="1036">
        <f t="shared" si="19"/>
        <v>-149</v>
      </c>
      <c r="O23" s="1036">
        <f t="shared" si="19"/>
        <v>892</v>
      </c>
      <c r="P23" s="1036">
        <f t="shared" ref="P23:R23" si="20">SUM(P20:P22)</f>
        <v>0</v>
      </c>
      <c r="Q23" s="1036">
        <f t="shared" si="20"/>
        <v>0</v>
      </c>
      <c r="R23" s="1036">
        <f t="shared" si="20"/>
        <v>0</v>
      </c>
      <c r="S23" s="1036">
        <f t="shared" si="19"/>
        <v>1340</v>
      </c>
      <c r="T23" s="1036">
        <f t="shared" si="19"/>
        <v>-233</v>
      </c>
      <c r="U23" s="1036">
        <f t="shared" si="19"/>
        <v>1107</v>
      </c>
      <c r="V23" s="1036"/>
      <c r="W23" s="1036"/>
      <c r="X23" s="1035">
        <f t="shared" si="18"/>
        <v>0</v>
      </c>
    </row>
    <row r="24" spans="1:24" s="1037" customFormat="1" ht="15" customHeight="1" x14ac:dyDescent="0.25">
      <c r="A24" s="63" t="s">
        <v>34</v>
      </c>
      <c r="B24" s="1347" t="s">
        <v>418</v>
      </c>
      <c r="C24" s="1348"/>
      <c r="D24" s="1036">
        <f>+D23+D19</f>
        <v>28218</v>
      </c>
      <c r="E24" s="1036">
        <f t="shared" ref="E24:X24" si="21">+E23+E19</f>
        <v>-10511</v>
      </c>
      <c r="F24" s="1036">
        <f t="shared" si="21"/>
        <v>17707</v>
      </c>
      <c r="G24" s="1036">
        <f t="shared" si="21"/>
        <v>14554</v>
      </c>
      <c r="H24" s="1036">
        <f t="shared" si="21"/>
        <v>-4912</v>
      </c>
      <c r="I24" s="1036">
        <f t="shared" si="21"/>
        <v>9642</v>
      </c>
      <c r="J24" s="1036">
        <f t="shared" si="21"/>
        <v>6871</v>
      </c>
      <c r="K24" s="1036">
        <f t="shared" si="21"/>
        <v>-2341</v>
      </c>
      <c r="L24" s="1036">
        <f t="shared" si="21"/>
        <v>4530</v>
      </c>
      <c r="M24" s="1036">
        <f t="shared" si="21"/>
        <v>1041</v>
      </c>
      <c r="N24" s="1036">
        <f t="shared" si="21"/>
        <v>-149</v>
      </c>
      <c r="O24" s="1036">
        <f t="shared" si="21"/>
        <v>892</v>
      </c>
      <c r="P24" s="1036">
        <f t="shared" si="21"/>
        <v>0</v>
      </c>
      <c r="Q24" s="1036">
        <f t="shared" si="21"/>
        <v>0</v>
      </c>
      <c r="R24" s="1036">
        <f t="shared" si="21"/>
        <v>0</v>
      </c>
      <c r="S24" s="1036">
        <f t="shared" si="21"/>
        <v>1340</v>
      </c>
      <c r="T24" s="1036">
        <f t="shared" si="21"/>
        <v>-233</v>
      </c>
      <c r="U24" s="1036">
        <f t="shared" si="21"/>
        <v>1107</v>
      </c>
      <c r="V24" s="1036">
        <f t="shared" si="21"/>
        <v>4412</v>
      </c>
      <c r="W24" s="1036">
        <f t="shared" si="21"/>
        <v>-2876</v>
      </c>
      <c r="X24" s="1036">
        <f t="shared" si="21"/>
        <v>1536</v>
      </c>
    </row>
    <row r="25" spans="1:24" x14ac:dyDescent="0.25">
      <c r="A25" s="1038"/>
      <c r="B25" s="1039"/>
      <c r="C25" s="1039"/>
      <c r="D25" s="1040"/>
      <c r="E25" s="1040"/>
      <c r="F25" s="1041"/>
      <c r="G25" s="1042"/>
      <c r="H25" s="1040"/>
      <c r="I25" s="1041"/>
      <c r="J25" s="1042"/>
      <c r="K25" s="1040"/>
      <c r="L25" s="1041"/>
      <c r="M25" s="1042"/>
      <c r="N25" s="1040"/>
      <c r="O25" s="1041"/>
      <c r="P25" s="1040"/>
      <c r="Q25" s="1040"/>
      <c r="R25" s="1040"/>
      <c r="S25" s="1042"/>
      <c r="T25" s="1040"/>
      <c r="U25" s="1041"/>
      <c r="V25" s="1042"/>
      <c r="W25" s="1040"/>
      <c r="X25" s="1041"/>
    </row>
    <row r="26" spans="1:24" s="1037" customFormat="1" ht="26.25" customHeight="1" x14ac:dyDescent="0.25">
      <c r="A26" s="63" t="s">
        <v>35</v>
      </c>
      <c r="B26" s="1347" t="s">
        <v>419</v>
      </c>
      <c r="C26" s="1348"/>
      <c r="D26" s="116">
        <f>+G26+J26+M26+S26+V26</f>
        <v>5083</v>
      </c>
      <c r="E26" s="1036">
        <f t="shared" ref="E26:E31" si="22">+H26+K26+N26+Q26+T26+W26</f>
        <v>-1905</v>
      </c>
      <c r="F26" s="1118">
        <f t="shared" ref="F26:F31" si="23">+D26+E26</f>
        <v>3178</v>
      </c>
      <c r="G26" s="116">
        <f t="shared" ref="G26:X26" si="24">SUM(G27:G31)</f>
        <v>2609</v>
      </c>
      <c r="H26" s="116">
        <f t="shared" si="24"/>
        <v>-895</v>
      </c>
      <c r="I26" s="116">
        <f t="shared" si="24"/>
        <v>1714</v>
      </c>
      <c r="J26" s="116">
        <f t="shared" si="24"/>
        <v>1226</v>
      </c>
      <c r="K26" s="116">
        <f t="shared" si="24"/>
        <v>-416</v>
      </c>
      <c r="L26" s="116">
        <f t="shared" si="24"/>
        <v>810</v>
      </c>
      <c r="M26" s="116">
        <f t="shared" si="24"/>
        <v>170</v>
      </c>
      <c r="N26" s="116">
        <f>+N27</f>
        <v>-7</v>
      </c>
      <c r="O26" s="116">
        <f t="shared" si="24"/>
        <v>163</v>
      </c>
      <c r="P26" s="116">
        <f t="shared" si="24"/>
        <v>0</v>
      </c>
      <c r="Q26" s="116">
        <f t="shared" si="24"/>
        <v>0</v>
      </c>
      <c r="R26" s="116">
        <f t="shared" si="24"/>
        <v>0</v>
      </c>
      <c r="S26" s="116">
        <f t="shared" si="24"/>
        <v>232</v>
      </c>
      <c r="T26" s="116">
        <f>+T27</f>
        <v>-34</v>
      </c>
      <c r="U26" s="116">
        <f t="shared" si="24"/>
        <v>198</v>
      </c>
      <c r="V26" s="116">
        <f t="shared" si="24"/>
        <v>846</v>
      </c>
      <c r="W26" s="116">
        <f t="shared" si="24"/>
        <v>-553</v>
      </c>
      <c r="X26" s="116">
        <f t="shared" si="24"/>
        <v>275</v>
      </c>
    </row>
    <row r="27" spans="1:24" ht="25.5" customHeight="1" x14ac:dyDescent="0.25">
      <c r="A27" s="90" t="s">
        <v>35</v>
      </c>
      <c r="B27" s="1043"/>
      <c r="C27" s="1044" t="s">
        <v>36</v>
      </c>
      <c r="D27" s="1018">
        <f>+G27+J27+M27+S27+V27</f>
        <v>4989</v>
      </c>
      <c r="E27" s="1035">
        <f t="shared" si="22"/>
        <v>-1923</v>
      </c>
      <c r="F27" s="1035">
        <f t="shared" si="23"/>
        <v>3066</v>
      </c>
      <c r="G27" s="1018">
        <v>2533</v>
      </c>
      <c r="H27" s="1018">
        <f>-903+14+12-18</f>
        <v>-895</v>
      </c>
      <c r="I27" s="1035">
        <f t="shared" ref="I27:I31" si="25">+H27+G27</f>
        <v>1638</v>
      </c>
      <c r="J27" s="1018">
        <v>1208</v>
      </c>
      <c r="K27" s="1018">
        <f>-415+8-26+17</f>
        <v>-416</v>
      </c>
      <c r="L27" s="1035">
        <f t="shared" ref="L27:L31" si="26">+K27+J27</f>
        <v>792</v>
      </c>
      <c r="M27" s="1018">
        <v>170</v>
      </c>
      <c r="N27" s="1018">
        <v>-7</v>
      </c>
      <c r="O27" s="1035">
        <f t="shared" ref="O27:O31" si="27">+N27+M27</f>
        <v>163</v>
      </c>
      <c r="P27" s="1018"/>
      <c r="Q27" s="1018"/>
      <c r="R27" s="1035">
        <f t="shared" ref="R27:R31" si="28">+Q27+P27</f>
        <v>0</v>
      </c>
      <c r="S27" s="1018">
        <v>232</v>
      </c>
      <c r="T27" s="1018">
        <f>-46+12</f>
        <v>-34</v>
      </c>
      <c r="U27" s="1035">
        <f t="shared" ref="U27:U31" si="29">+T27+S27</f>
        <v>198</v>
      </c>
      <c r="V27" s="1018">
        <v>846</v>
      </c>
      <c r="W27" s="1018">
        <v>-571</v>
      </c>
      <c r="X27" s="1035">
        <v>257</v>
      </c>
    </row>
    <row r="28" spans="1:24" ht="25.5" customHeight="1" x14ac:dyDescent="0.25">
      <c r="A28" s="90" t="s">
        <v>35</v>
      </c>
      <c r="B28" s="1043"/>
      <c r="C28" s="1044" t="s">
        <v>37</v>
      </c>
      <c r="D28" s="1018">
        <f t="shared" ref="D28:D31" si="30">+G28+J28+M28+S28+V28</f>
        <v>0</v>
      </c>
      <c r="E28" s="1035">
        <f t="shared" si="22"/>
        <v>0</v>
      </c>
      <c r="F28" s="1035">
        <f t="shared" si="23"/>
        <v>0</v>
      </c>
      <c r="G28" s="1018"/>
      <c r="H28" s="1018"/>
      <c r="I28" s="1035">
        <f t="shared" si="25"/>
        <v>0</v>
      </c>
      <c r="J28" s="1018"/>
      <c r="K28" s="1018"/>
      <c r="L28" s="1035">
        <f t="shared" si="26"/>
        <v>0</v>
      </c>
      <c r="M28" s="1018"/>
      <c r="N28" s="1018"/>
      <c r="O28" s="1035">
        <f t="shared" si="27"/>
        <v>0</v>
      </c>
      <c r="P28" s="1018"/>
      <c r="Q28" s="1018"/>
      <c r="R28" s="1035">
        <f t="shared" si="28"/>
        <v>0</v>
      </c>
      <c r="S28" s="1018"/>
      <c r="T28" s="1018"/>
      <c r="U28" s="1035">
        <f t="shared" si="29"/>
        <v>0</v>
      </c>
      <c r="V28" s="1018"/>
      <c r="W28" s="1018"/>
      <c r="X28" s="1035">
        <f t="shared" ref="X28:X35" si="31">+W28+V28</f>
        <v>0</v>
      </c>
    </row>
    <row r="29" spans="1:24" ht="25.5" customHeight="1" x14ac:dyDescent="0.25">
      <c r="A29" s="90" t="s">
        <v>35</v>
      </c>
      <c r="B29" s="1043"/>
      <c r="C29" s="1044" t="s">
        <v>38</v>
      </c>
      <c r="D29" s="1018">
        <f t="shared" si="30"/>
        <v>26</v>
      </c>
      <c r="E29" s="1035">
        <f t="shared" si="22"/>
        <v>0</v>
      </c>
      <c r="F29" s="1035">
        <f t="shared" si="23"/>
        <v>26</v>
      </c>
      <c r="G29" s="1018">
        <v>26</v>
      </c>
      <c r="H29" s="1018"/>
      <c r="I29" s="1035">
        <f t="shared" si="25"/>
        <v>26</v>
      </c>
      <c r="J29" s="1018"/>
      <c r="K29" s="1018"/>
      <c r="L29" s="1035">
        <f t="shared" si="26"/>
        <v>0</v>
      </c>
      <c r="M29" s="1018"/>
      <c r="N29" s="1018"/>
      <c r="O29" s="1035">
        <f t="shared" si="27"/>
        <v>0</v>
      </c>
      <c r="P29" s="1018"/>
      <c r="Q29" s="1018"/>
      <c r="R29" s="1035">
        <f t="shared" si="28"/>
        <v>0</v>
      </c>
      <c r="S29" s="1018"/>
      <c r="T29" s="1018"/>
      <c r="U29" s="1035">
        <f t="shared" si="29"/>
        <v>0</v>
      </c>
      <c r="V29" s="1018"/>
      <c r="W29" s="1018"/>
      <c r="X29" s="1035">
        <f t="shared" si="31"/>
        <v>0</v>
      </c>
    </row>
    <row r="30" spans="1:24" ht="25.5" customHeight="1" x14ac:dyDescent="0.25">
      <c r="A30" s="90" t="s">
        <v>35</v>
      </c>
      <c r="B30" s="1043"/>
      <c r="C30" s="1044" t="s">
        <v>420</v>
      </c>
      <c r="D30" s="1018">
        <f t="shared" si="30"/>
        <v>0</v>
      </c>
      <c r="E30" s="1035">
        <f t="shared" si="22"/>
        <v>0</v>
      </c>
      <c r="F30" s="1035">
        <f t="shared" si="23"/>
        <v>0</v>
      </c>
      <c r="G30" s="1018"/>
      <c r="H30" s="1018"/>
      <c r="I30" s="1035">
        <f t="shared" si="25"/>
        <v>0</v>
      </c>
      <c r="J30" s="1018"/>
      <c r="K30" s="1018"/>
      <c r="L30" s="1035">
        <f t="shared" si="26"/>
        <v>0</v>
      </c>
      <c r="M30" s="1018"/>
      <c r="N30" s="1018"/>
      <c r="O30" s="1035">
        <f t="shared" si="27"/>
        <v>0</v>
      </c>
      <c r="P30" s="1018"/>
      <c r="Q30" s="1018"/>
      <c r="R30" s="1035">
        <f t="shared" si="28"/>
        <v>0</v>
      </c>
      <c r="S30" s="1018"/>
      <c r="T30" s="1018"/>
      <c r="U30" s="1035">
        <f t="shared" si="29"/>
        <v>0</v>
      </c>
      <c r="V30" s="1018"/>
      <c r="W30" s="1018"/>
      <c r="X30" s="1035">
        <f t="shared" si="31"/>
        <v>0</v>
      </c>
    </row>
    <row r="31" spans="1:24" ht="25.5" x14ac:dyDescent="0.25">
      <c r="A31" s="90" t="s">
        <v>35</v>
      </c>
      <c r="B31" s="1043"/>
      <c r="C31" s="1044" t="s">
        <v>40</v>
      </c>
      <c r="D31" s="1018">
        <f t="shared" si="30"/>
        <v>68</v>
      </c>
      <c r="E31" s="1035">
        <f t="shared" si="22"/>
        <v>18</v>
      </c>
      <c r="F31" s="1035">
        <f t="shared" si="23"/>
        <v>86</v>
      </c>
      <c r="G31" s="1018">
        <v>50</v>
      </c>
      <c r="H31" s="1018"/>
      <c r="I31" s="1035">
        <f t="shared" si="25"/>
        <v>50</v>
      </c>
      <c r="J31" s="1018">
        <v>18</v>
      </c>
      <c r="K31" s="1018"/>
      <c r="L31" s="1035">
        <f t="shared" si="26"/>
        <v>18</v>
      </c>
      <c r="M31" s="1018"/>
      <c r="N31" s="1018"/>
      <c r="O31" s="1035">
        <f t="shared" si="27"/>
        <v>0</v>
      </c>
      <c r="P31" s="1018"/>
      <c r="Q31" s="1018"/>
      <c r="R31" s="1035">
        <f t="shared" si="28"/>
        <v>0</v>
      </c>
      <c r="S31" s="1018"/>
      <c r="T31" s="1018"/>
      <c r="U31" s="1035">
        <f t="shared" si="29"/>
        <v>0</v>
      </c>
      <c r="V31" s="1018"/>
      <c r="W31" s="1018">
        <v>18</v>
      </c>
      <c r="X31" s="1035">
        <f t="shared" si="31"/>
        <v>18</v>
      </c>
    </row>
    <row r="32" spans="1:24" ht="9" customHeight="1" x14ac:dyDescent="0.25">
      <c r="A32" s="1045"/>
      <c r="B32" s="1046"/>
      <c r="C32" s="1047"/>
      <c r="D32" s="1048"/>
      <c r="E32" s="1048"/>
      <c r="F32" s="1048"/>
      <c r="G32" s="1048"/>
      <c r="H32" s="1048"/>
      <c r="I32" s="1048"/>
      <c r="J32" s="1048"/>
      <c r="K32" s="1048"/>
      <c r="L32" s="1048"/>
      <c r="M32" s="1048"/>
      <c r="N32" s="1048"/>
      <c r="O32" s="1048"/>
      <c r="P32" s="1048"/>
      <c r="Q32" s="1048"/>
      <c r="R32" s="1048"/>
      <c r="S32" s="1048"/>
      <c r="T32" s="1048"/>
      <c r="U32" s="1048"/>
      <c r="V32" s="1048"/>
      <c r="W32" s="1048"/>
      <c r="X32" s="1035">
        <f t="shared" si="31"/>
        <v>0</v>
      </c>
    </row>
    <row r="33" spans="1:24" ht="15" customHeight="1" x14ac:dyDescent="0.25">
      <c r="A33" s="62" t="s">
        <v>42</v>
      </c>
      <c r="B33" s="1349" t="s">
        <v>41</v>
      </c>
      <c r="C33" s="1350"/>
      <c r="D33" s="1018">
        <f>+G33+J33+M33+S33+P33+V33</f>
        <v>1094</v>
      </c>
      <c r="E33" s="1035">
        <f t="shared" ref="E33:E35" si="32">+H33+K33+N33+Q33+T33+W33</f>
        <v>-1056</v>
      </c>
      <c r="F33" s="1035">
        <f t="shared" ref="F33:F35" si="33">+D33+E33</f>
        <v>38</v>
      </c>
      <c r="G33" s="1018">
        <v>240</v>
      </c>
      <c r="H33" s="1018">
        <v>-202</v>
      </c>
      <c r="I33" s="1035">
        <f t="shared" ref="I33:I35" si="34">+H33+G33</f>
        <v>38</v>
      </c>
      <c r="J33" s="1018">
        <v>134</v>
      </c>
      <c r="K33" s="1018">
        <v>-134</v>
      </c>
      <c r="L33" s="1035">
        <f t="shared" ref="L33:L35" si="35">+K33+J33</f>
        <v>0</v>
      </c>
      <c r="M33" s="1018"/>
      <c r="N33" s="1018"/>
      <c r="O33" s="1035">
        <f t="shared" ref="O33:O35" si="36">+N33+M33</f>
        <v>0</v>
      </c>
      <c r="P33" s="1018">
        <v>710</v>
      </c>
      <c r="Q33" s="1018">
        <f>-82-628</f>
        <v>-710</v>
      </c>
      <c r="R33" s="1035">
        <f t="shared" ref="R33:R35" si="37">+Q33+P33</f>
        <v>0</v>
      </c>
      <c r="S33" s="1018">
        <v>10</v>
      </c>
      <c r="T33" s="1018">
        <v>-10</v>
      </c>
      <c r="U33" s="1035">
        <f t="shared" ref="U33:U35" si="38">+T33+S33</f>
        <v>0</v>
      </c>
      <c r="V33" s="1018"/>
      <c r="W33" s="1018"/>
      <c r="X33" s="1035">
        <f t="shared" si="31"/>
        <v>0</v>
      </c>
    </row>
    <row r="34" spans="1:24" ht="15" customHeight="1" x14ac:dyDescent="0.25">
      <c r="A34" s="62" t="s">
        <v>44</v>
      </c>
      <c r="B34" s="1349" t="s">
        <v>43</v>
      </c>
      <c r="C34" s="1350"/>
      <c r="D34" s="1018">
        <f t="shared" ref="D34:D35" si="39">+G34+J34+M34+S34+P34+V34</f>
        <v>305</v>
      </c>
      <c r="E34" s="1035">
        <f t="shared" si="32"/>
        <v>154</v>
      </c>
      <c r="F34" s="1117">
        <f t="shared" si="33"/>
        <v>459</v>
      </c>
      <c r="G34" s="1018">
        <v>65</v>
      </c>
      <c r="H34" s="1018">
        <v>44</v>
      </c>
      <c r="I34" s="1035">
        <f t="shared" si="34"/>
        <v>109</v>
      </c>
      <c r="J34" s="1018">
        <v>0</v>
      </c>
      <c r="K34" s="1119">
        <v>179</v>
      </c>
      <c r="L34" s="1117">
        <f t="shared" si="35"/>
        <v>179</v>
      </c>
      <c r="M34" s="1018"/>
      <c r="N34" s="1018"/>
      <c r="O34" s="1035">
        <f t="shared" si="36"/>
        <v>0</v>
      </c>
      <c r="P34" s="1018"/>
      <c r="Q34" s="1018"/>
      <c r="R34" s="1035">
        <f t="shared" si="37"/>
        <v>0</v>
      </c>
      <c r="S34" s="1018">
        <v>240</v>
      </c>
      <c r="T34" s="1018">
        <v>-69</v>
      </c>
      <c r="U34" s="1035">
        <f t="shared" si="38"/>
        <v>171</v>
      </c>
      <c r="V34" s="1018"/>
      <c r="W34" s="1018"/>
      <c r="X34" s="1035">
        <f t="shared" si="31"/>
        <v>0</v>
      </c>
    </row>
    <row r="35" spans="1:24" ht="15" customHeight="1" x14ac:dyDescent="0.25">
      <c r="A35" s="62" t="s">
        <v>46</v>
      </c>
      <c r="B35" s="1349" t="s">
        <v>45</v>
      </c>
      <c r="C35" s="1350"/>
      <c r="D35" s="1018">
        <f t="shared" si="39"/>
        <v>0</v>
      </c>
      <c r="E35" s="1035">
        <f t="shared" si="32"/>
        <v>0</v>
      </c>
      <c r="F35" s="1035">
        <f t="shared" si="33"/>
        <v>0</v>
      </c>
      <c r="G35" s="1018"/>
      <c r="H35" s="1018"/>
      <c r="I35" s="1035">
        <f t="shared" si="34"/>
        <v>0</v>
      </c>
      <c r="J35" s="1018"/>
      <c r="K35" s="1018"/>
      <c r="L35" s="1035">
        <f t="shared" si="35"/>
        <v>0</v>
      </c>
      <c r="M35" s="1018"/>
      <c r="N35" s="1018"/>
      <c r="O35" s="1035">
        <f t="shared" si="36"/>
        <v>0</v>
      </c>
      <c r="P35" s="1018"/>
      <c r="Q35" s="1018"/>
      <c r="R35" s="1035">
        <f t="shared" si="37"/>
        <v>0</v>
      </c>
      <c r="S35" s="1018"/>
      <c r="T35" s="1018"/>
      <c r="U35" s="1035">
        <f t="shared" si="38"/>
        <v>0</v>
      </c>
      <c r="V35" s="1018"/>
      <c r="W35" s="1018"/>
      <c r="X35" s="1035">
        <f t="shared" si="31"/>
        <v>0</v>
      </c>
    </row>
    <row r="36" spans="1:24" s="1037" customFormat="1" ht="15" customHeight="1" x14ac:dyDescent="0.25">
      <c r="A36" s="63" t="s">
        <v>47</v>
      </c>
      <c r="B36" s="1347" t="s">
        <v>421</v>
      </c>
      <c r="C36" s="1348"/>
      <c r="D36" s="116">
        <f>+G36+J36+M36+S36+P36+V36</f>
        <v>1399</v>
      </c>
      <c r="E36" s="116">
        <f t="shared" ref="E36:X36" si="40">SUM(E33:E35)</f>
        <v>-902</v>
      </c>
      <c r="F36" s="116">
        <f t="shared" si="40"/>
        <v>497</v>
      </c>
      <c r="G36" s="116">
        <f t="shared" si="40"/>
        <v>305</v>
      </c>
      <c r="H36" s="116">
        <f t="shared" si="40"/>
        <v>-158</v>
      </c>
      <c r="I36" s="116">
        <f t="shared" si="40"/>
        <v>147</v>
      </c>
      <c r="J36" s="116">
        <f t="shared" si="40"/>
        <v>134</v>
      </c>
      <c r="K36" s="116">
        <f t="shared" si="40"/>
        <v>45</v>
      </c>
      <c r="L36" s="116">
        <f t="shared" si="40"/>
        <v>179</v>
      </c>
      <c r="M36" s="116">
        <f t="shared" si="40"/>
        <v>0</v>
      </c>
      <c r="N36" s="116">
        <f t="shared" si="40"/>
        <v>0</v>
      </c>
      <c r="O36" s="116">
        <f t="shared" si="40"/>
        <v>0</v>
      </c>
      <c r="P36" s="116">
        <f t="shared" ref="P36:R36" si="41">SUM(P33:P35)</f>
        <v>710</v>
      </c>
      <c r="Q36" s="116">
        <f t="shared" si="41"/>
        <v>-710</v>
      </c>
      <c r="R36" s="116">
        <f t="shared" si="41"/>
        <v>0</v>
      </c>
      <c r="S36" s="116">
        <f t="shared" si="40"/>
        <v>250</v>
      </c>
      <c r="T36" s="116">
        <f t="shared" si="40"/>
        <v>-79</v>
      </c>
      <c r="U36" s="116">
        <f t="shared" si="40"/>
        <v>171</v>
      </c>
      <c r="V36" s="116">
        <f t="shared" si="40"/>
        <v>0</v>
      </c>
      <c r="W36" s="116">
        <f t="shared" si="40"/>
        <v>0</v>
      </c>
      <c r="X36" s="116">
        <f t="shared" si="40"/>
        <v>0</v>
      </c>
    </row>
    <row r="37" spans="1:24" ht="15" customHeight="1" x14ac:dyDescent="0.25">
      <c r="A37" s="62" t="s">
        <v>49</v>
      </c>
      <c r="B37" s="1349" t="s">
        <v>48</v>
      </c>
      <c r="C37" s="1350"/>
      <c r="D37" s="1018">
        <f>+G37+J37+M37+S37+P37+V37</f>
        <v>390</v>
      </c>
      <c r="E37" s="1035">
        <f t="shared" ref="E37:E38" si="42">+H37+K37+N37+Q37+T37+W37</f>
        <v>-170</v>
      </c>
      <c r="F37" s="1035">
        <f t="shared" ref="F37:F38" si="43">+D37+E37</f>
        <v>220</v>
      </c>
      <c r="G37" s="1018">
        <v>150</v>
      </c>
      <c r="H37" s="1018">
        <v>-80</v>
      </c>
      <c r="I37" s="1035">
        <f t="shared" ref="I37:I38" si="44">+H37+G37</f>
        <v>70</v>
      </c>
      <c r="J37" s="1018">
        <v>80</v>
      </c>
      <c r="K37" s="1018">
        <f>-39+2</f>
        <v>-37</v>
      </c>
      <c r="L37" s="1035">
        <f t="shared" ref="L37:L38" si="45">+K37+J37</f>
        <v>43</v>
      </c>
      <c r="M37" s="1018"/>
      <c r="N37" s="1018"/>
      <c r="O37" s="1035">
        <f t="shared" ref="O37:O38" si="46">+N37+M37</f>
        <v>0</v>
      </c>
      <c r="P37" s="1018"/>
      <c r="Q37" s="1018"/>
      <c r="R37" s="1035">
        <f t="shared" ref="R37:R38" si="47">+Q37+P37</f>
        <v>0</v>
      </c>
      <c r="S37" s="1018">
        <v>160</v>
      </c>
      <c r="T37" s="1018">
        <v>-53</v>
      </c>
      <c r="U37" s="1035">
        <f t="shared" ref="U37:U38" si="48">+T37+S37</f>
        <v>107</v>
      </c>
      <c r="V37" s="1018"/>
      <c r="W37" s="1018"/>
      <c r="X37" s="1035">
        <f t="shared" ref="X37:X38" si="49">+W37+V37</f>
        <v>0</v>
      </c>
    </row>
    <row r="38" spans="1:24" ht="15" customHeight="1" x14ac:dyDescent="0.25">
      <c r="A38" s="62" t="s">
        <v>51</v>
      </c>
      <c r="B38" s="1349" t="s">
        <v>50</v>
      </c>
      <c r="C38" s="1350"/>
      <c r="D38" s="1018">
        <f t="shared" ref="D38:D48" si="50">+G38+J38+M38+S38+P38+V38</f>
        <v>300</v>
      </c>
      <c r="E38" s="1035">
        <f t="shared" si="42"/>
        <v>-179</v>
      </c>
      <c r="F38" s="1035">
        <f t="shared" si="43"/>
        <v>121</v>
      </c>
      <c r="G38" s="1018">
        <v>150</v>
      </c>
      <c r="H38" s="1018">
        <v>-63</v>
      </c>
      <c r="I38" s="1035">
        <f t="shared" si="44"/>
        <v>87</v>
      </c>
      <c r="J38" s="1018">
        <v>80</v>
      </c>
      <c r="K38" s="1018">
        <f>-52-3</f>
        <v>-55</v>
      </c>
      <c r="L38" s="1035">
        <f t="shared" si="45"/>
        <v>25</v>
      </c>
      <c r="M38" s="1018"/>
      <c r="N38" s="1018"/>
      <c r="O38" s="1035">
        <f t="shared" si="46"/>
        <v>0</v>
      </c>
      <c r="P38" s="1018"/>
      <c r="Q38" s="1018"/>
      <c r="R38" s="1035">
        <f t="shared" si="47"/>
        <v>0</v>
      </c>
      <c r="S38" s="1018">
        <v>70</v>
      </c>
      <c r="T38" s="1018">
        <v>-61</v>
      </c>
      <c r="U38" s="1035">
        <f t="shared" si="48"/>
        <v>9</v>
      </c>
      <c r="V38" s="1018"/>
      <c r="W38" s="1018"/>
      <c r="X38" s="1035">
        <f t="shared" si="49"/>
        <v>0</v>
      </c>
    </row>
    <row r="39" spans="1:24" s="1037" customFormat="1" ht="15" customHeight="1" x14ac:dyDescent="0.25">
      <c r="A39" s="63" t="s">
        <v>52</v>
      </c>
      <c r="B39" s="1347" t="s">
        <v>422</v>
      </c>
      <c r="C39" s="1348"/>
      <c r="D39" s="1018">
        <f t="shared" si="50"/>
        <v>690</v>
      </c>
      <c r="E39" s="116">
        <f t="shared" ref="E39:X39" si="51">SUM(E37:E38)</f>
        <v>-349</v>
      </c>
      <c r="F39" s="116">
        <f t="shared" si="51"/>
        <v>341</v>
      </c>
      <c r="G39" s="116">
        <f t="shared" si="51"/>
        <v>300</v>
      </c>
      <c r="H39" s="116">
        <f t="shared" si="51"/>
        <v>-143</v>
      </c>
      <c r="I39" s="116">
        <f t="shared" si="51"/>
        <v>157</v>
      </c>
      <c r="J39" s="116">
        <f t="shared" si="51"/>
        <v>160</v>
      </c>
      <c r="K39" s="116">
        <f t="shared" si="51"/>
        <v>-92</v>
      </c>
      <c r="L39" s="116">
        <f t="shared" si="51"/>
        <v>68</v>
      </c>
      <c r="M39" s="116">
        <f t="shared" si="51"/>
        <v>0</v>
      </c>
      <c r="N39" s="116">
        <f t="shared" si="51"/>
        <v>0</v>
      </c>
      <c r="O39" s="116">
        <f t="shared" si="51"/>
        <v>0</v>
      </c>
      <c r="P39" s="116">
        <f t="shared" si="51"/>
        <v>0</v>
      </c>
      <c r="Q39" s="116">
        <f t="shared" si="51"/>
        <v>0</v>
      </c>
      <c r="R39" s="116">
        <f t="shared" si="51"/>
        <v>0</v>
      </c>
      <c r="S39" s="116">
        <f t="shared" si="51"/>
        <v>230</v>
      </c>
      <c r="T39" s="116">
        <f t="shared" si="51"/>
        <v>-114</v>
      </c>
      <c r="U39" s="116">
        <f t="shared" si="51"/>
        <v>116</v>
      </c>
      <c r="V39" s="116">
        <f t="shared" si="51"/>
        <v>0</v>
      </c>
      <c r="W39" s="116">
        <f t="shared" si="51"/>
        <v>0</v>
      </c>
      <c r="X39" s="116">
        <f t="shared" si="51"/>
        <v>0</v>
      </c>
    </row>
    <row r="40" spans="1:24" ht="15" customHeight="1" x14ac:dyDescent="0.25">
      <c r="A40" s="62" t="s">
        <v>54</v>
      </c>
      <c r="B40" s="1349" t="s">
        <v>53</v>
      </c>
      <c r="C40" s="1350"/>
      <c r="D40" s="1018">
        <f t="shared" si="50"/>
        <v>0</v>
      </c>
      <c r="E40" s="1035">
        <f t="shared" ref="E40:E48" si="52">+H40+K40+N40+Q40+T40+W40</f>
        <v>0</v>
      </c>
      <c r="F40" s="1035">
        <f t="shared" ref="F40:F48" si="53">+D40+E40</f>
        <v>0</v>
      </c>
      <c r="G40" s="1018"/>
      <c r="H40" s="1018"/>
      <c r="I40" s="1035">
        <f t="shared" ref="I40:I47" si="54">+H40+G40</f>
        <v>0</v>
      </c>
      <c r="J40" s="1018"/>
      <c r="K40" s="1018"/>
      <c r="L40" s="1035">
        <f t="shared" ref="L40:L48" si="55">+K40+J40</f>
        <v>0</v>
      </c>
      <c r="M40" s="1018"/>
      <c r="N40" s="1018"/>
      <c r="O40" s="1035">
        <f t="shared" ref="O40:O48" si="56">+N40+M40</f>
        <v>0</v>
      </c>
      <c r="P40" s="1018"/>
      <c r="Q40" s="1018"/>
      <c r="R40" s="1035">
        <f t="shared" ref="R40:R48" si="57">+Q40+P40</f>
        <v>0</v>
      </c>
      <c r="S40" s="1018"/>
      <c r="T40" s="1018"/>
      <c r="U40" s="1035">
        <f t="shared" ref="U40:U48" si="58">+T40+S40</f>
        <v>0</v>
      </c>
      <c r="V40" s="1018"/>
      <c r="W40" s="1018"/>
      <c r="X40" s="1035">
        <f t="shared" ref="X40:X48" si="59">+W40+V40</f>
        <v>0</v>
      </c>
    </row>
    <row r="41" spans="1:24" ht="15" customHeight="1" x14ac:dyDescent="0.25">
      <c r="A41" s="62" t="s">
        <v>56</v>
      </c>
      <c r="B41" s="1349" t="s">
        <v>55</v>
      </c>
      <c r="C41" s="1350"/>
      <c r="D41" s="1018">
        <f t="shared" si="50"/>
        <v>0</v>
      </c>
      <c r="E41" s="1035">
        <f t="shared" si="52"/>
        <v>0</v>
      </c>
      <c r="F41" s="1035">
        <f t="shared" si="53"/>
        <v>0</v>
      </c>
      <c r="G41" s="1018"/>
      <c r="H41" s="1018"/>
      <c r="I41" s="1035">
        <f t="shared" si="54"/>
        <v>0</v>
      </c>
      <c r="J41" s="1018"/>
      <c r="K41" s="1018"/>
      <c r="L41" s="1035">
        <f t="shared" si="55"/>
        <v>0</v>
      </c>
      <c r="M41" s="1018"/>
      <c r="N41" s="1018"/>
      <c r="O41" s="1035">
        <f t="shared" si="56"/>
        <v>0</v>
      </c>
      <c r="P41" s="1018"/>
      <c r="Q41" s="1018"/>
      <c r="R41" s="1035">
        <f t="shared" si="57"/>
        <v>0</v>
      </c>
      <c r="S41" s="1018"/>
      <c r="T41" s="1018"/>
      <c r="U41" s="1035">
        <f t="shared" si="58"/>
        <v>0</v>
      </c>
      <c r="V41" s="1018"/>
      <c r="W41" s="1018"/>
      <c r="X41" s="1035">
        <f t="shared" si="59"/>
        <v>0</v>
      </c>
    </row>
    <row r="42" spans="1:24" ht="15" customHeight="1" x14ac:dyDescent="0.25">
      <c r="A42" s="62" t="s">
        <v>57</v>
      </c>
      <c r="B42" s="1349" t="s">
        <v>423</v>
      </c>
      <c r="C42" s="1350"/>
      <c r="D42" s="1018">
        <f t="shared" si="50"/>
        <v>185</v>
      </c>
      <c r="E42" s="1035">
        <f t="shared" si="52"/>
        <v>0</v>
      </c>
      <c r="F42" s="1035">
        <f t="shared" si="53"/>
        <v>185</v>
      </c>
      <c r="G42" s="1018">
        <v>185</v>
      </c>
      <c r="H42" s="1018"/>
      <c r="I42" s="1035">
        <f t="shared" si="54"/>
        <v>185</v>
      </c>
      <c r="J42" s="1018"/>
      <c r="K42" s="1018"/>
      <c r="L42" s="1035">
        <f t="shared" si="55"/>
        <v>0</v>
      </c>
      <c r="M42" s="1018"/>
      <c r="N42" s="1018"/>
      <c r="O42" s="1035">
        <f t="shared" si="56"/>
        <v>0</v>
      </c>
      <c r="P42" s="1018"/>
      <c r="Q42" s="1018"/>
      <c r="R42" s="1035">
        <f t="shared" si="57"/>
        <v>0</v>
      </c>
      <c r="S42" s="1018"/>
      <c r="T42" s="1018"/>
      <c r="U42" s="1035">
        <f t="shared" si="58"/>
        <v>0</v>
      </c>
      <c r="V42" s="1018"/>
      <c r="W42" s="1018"/>
      <c r="X42" s="1035">
        <f t="shared" si="59"/>
        <v>0</v>
      </c>
    </row>
    <row r="43" spans="1:24" ht="15" customHeight="1" x14ac:dyDescent="0.25">
      <c r="A43" s="62" t="s">
        <v>59</v>
      </c>
      <c r="B43" s="1349" t="s">
        <v>58</v>
      </c>
      <c r="C43" s="1350"/>
      <c r="D43" s="1018">
        <f t="shared" si="50"/>
        <v>600</v>
      </c>
      <c r="E43" s="1035">
        <f t="shared" si="52"/>
        <v>-200</v>
      </c>
      <c r="F43" s="1035">
        <f t="shared" si="53"/>
        <v>400</v>
      </c>
      <c r="G43" s="1018">
        <v>600</v>
      </c>
      <c r="H43" s="1018">
        <v>-200</v>
      </c>
      <c r="I43" s="1035">
        <f t="shared" si="54"/>
        <v>400</v>
      </c>
      <c r="J43" s="1018"/>
      <c r="K43" s="1018"/>
      <c r="L43" s="1035">
        <f t="shared" si="55"/>
        <v>0</v>
      </c>
      <c r="M43" s="1018"/>
      <c r="N43" s="1018"/>
      <c r="O43" s="1035">
        <f t="shared" si="56"/>
        <v>0</v>
      </c>
      <c r="P43" s="1018"/>
      <c r="Q43" s="1018"/>
      <c r="R43" s="1035">
        <f t="shared" si="57"/>
        <v>0</v>
      </c>
      <c r="S43" s="1018"/>
      <c r="T43" s="1018"/>
      <c r="U43" s="1035">
        <f t="shared" si="58"/>
        <v>0</v>
      </c>
      <c r="V43" s="1018"/>
      <c r="W43" s="1018"/>
      <c r="X43" s="1035">
        <f t="shared" si="59"/>
        <v>0</v>
      </c>
    </row>
    <row r="44" spans="1:24" ht="15" customHeight="1" x14ac:dyDescent="0.25">
      <c r="A44" s="62" t="s">
        <v>60</v>
      </c>
      <c r="B44" s="1349" t="s">
        <v>165</v>
      </c>
      <c r="C44" s="1350"/>
      <c r="D44" s="1018">
        <f t="shared" si="50"/>
        <v>70</v>
      </c>
      <c r="E44" s="1035">
        <f t="shared" si="52"/>
        <v>-54</v>
      </c>
      <c r="F44" s="1035">
        <f t="shared" si="53"/>
        <v>16</v>
      </c>
      <c r="G44" s="1018">
        <v>70</v>
      </c>
      <c r="H44" s="1018">
        <v>-54</v>
      </c>
      <c r="I44" s="1035">
        <f t="shared" si="54"/>
        <v>16</v>
      </c>
      <c r="J44" s="1018"/>
      <c r="K44" s="1018"/>
      <c r="L44" s="1035">
        <f t="shared" si="55"/>
        <v>0</v>
      </c>
      <c r="M44" s="1018"/>
      <c r="N44" s="1018"/>
      <c r="O44" s="1035">
        <f t="shared" si="56"/>
        <v>0</v>
      </c>
      <c r="P44" s="1018"/>
      <c r="Q44" s="1018"/>
      <c r="R44" s="1035">
        <f t="shared" si="57"/>
        <v>0</v>
      </c>
      <c r="S44" s="1018"/>
      <c r="T44" s="1018"/>
      <c r="U44" s="1035">
        <f t="shared" si="58"/>
        <v>0</v>
      </c>
      <c r="V44" s="1018"/>
      <c r="W44" s="1018"/>
      <c r="X44" s="1035">
        <f t="shared" si="59"/>
        <v>0</v>
      </c>
    </row>
    <row r="45" spans="1:24" ht="25.5" customHeight="1" x14ac:dyDescent="0.25">
      <c r="A45" s="90" t="s">
        <v>60</v>
      </c>
      <c r="B45" s="1043"/>
      <c r="C45" s="1044" t="s">
        <v>61</v>
      </c>
      <c r="D45" s="1018">
        <f t="shared" si="50"/>
        <v>0</v>
      </c>
      <c r="E45" s="1035">
        <f t="shared" si="52"/>
        <v>0</v>
      </c>
      <c r="F45" s="1035">
        <f t="shared" si="53"/>
        <v>0</v>
      </c>
      <c r="G45" s="1018"/>
      <c r="H45" s="1018"/>
      <c r="I45" s="1035">
        <f t="shared" si="54"/>
        <v>0</v>
      </c>
      <c r="J45" s="1018"/>
      <c r="K45" s="1018"/>
      <c r="L45" s="1035">
        <f t="shared" si="55"/>
        <v>0</v>
      </c>
      <c r="M45" s="1018"/>
      <c r="N45" s="1018"/>
      <c r="O45" s="1035">
        <f t="shared" si="56"/>
        <v>0</v>
      </c>
      <c r="P45" s="1018"/>
      <c r="Q45" s="1018"/>
      <c r="R45" s="1035">
        <f t="shared" si="57"/>
        <v>0</v>
      </c>
      <c r="S45" s="1018"/>
      <c r="T45" s="1018"/>
      <c r="U45" s="1035">
        <f t="shared" si="58"/>
        <v>0</v>
      </c>
      <c r="V45" s="1018"/>
      <c r="W45" s="1018"/>
      <c r="X45" s="1035">
        <f t="shared" si="59"/>
        <v>0</v>
      </c>
    </row>
    <row r="46" spans="1:24" ht="25.5" customHeight="1" x14ac:dyDescent="0.25">
      <c r="A46" s="90" t="s">
        <v>60</v>
      </c>
      <c r="B46" s="1043"/>
      <c r="C46" s="1044" t="s">
        <v>167</v>
      </c>
      <c r="D46" s="1018">
        <f t="shared" si="50"/>
        <v>0</v>
      </c>
      <c r="E46" s="1035">
        <f t="shared" si="52"/>
        <v>0</v>
      </c>
      <c r="F46" s="1035">
        <f t="shared" si="53"/>
        <v>0</v>
      </c>
      <c r="G46" s="1018"/>
      <c r="H46" s="1018"/>
      <c r="I46" s="1035">
        <f t="shared" si="54"/>
        <v>0</v>
      </c>
      <c r="J46" s="1018"/>
      <c r="K46" s="1018"/>
      <c r="L46" s="1035">
        <f t="shared" si="55"/>
        <v>0</v>
      </c>
      <c r="M46" s="1018"/>
      <c r="N46" s="1018"/>
      <c r="O46" s="1035">
        <f t="shared" si="56"/>
        <v>0</v>
      </c>
      <c r="P46" s="1018"/>
      <c r="Q46" s="1018"/>
      <c r="R46" s="1035">
        <f t="shared" si="57"/>
        <v>0</v>
      </c>
      <c r="S46" s="1018"/>
      <c r="T46" s="1018"/>
      <c r="U46" s="1035">
        <f t="shared" si="58"/>
        <v>0</v>
      </c>
      <c r="V46" s="1018"/>
      <c r="W46" s="1018"/>
      <c r="X46" s="1035">
        <f t="shared" si="59"/>
        <v>0</v>
      </c>
    </row>
    <row r="47" spans="1:24" ht="22.5" customHeight="1" x14ac:dyDescent="0.25">
      <c r="A47" s="62" t="s">
        <v>63</v>
      </c>
      <c r="B47" s="1349" t="s">
        <v>424</v>
      </c>
      <c r="C47" s="1350"/>
      <c r="D47" s="1018">
        <f t="shared" si="50"/>
        <v>587</v>
      </c>
      <c r="E47" s="1035">
        <f t="shared" si="52"/>
        <v>-587</v>
      </c>
      <c r="F47" s="1035">
        <f t="shared" si="53"/>
        <v>0</v>
      </c>
      <c r="G47" s="1018">
        <v>0</v>
      </c>
      <c r="H47" s="1018"/>
      <c r="I47" s="1035">
        <f t="shared" si="54"/>
        <v>0</v>
      </c>
      <c r="J47" s="1018"/>
      <c r="K47" s="1018"/>
      <c r="L47" s="1035">
        <f t="shared" si="55"/>
        <v>0</v>
      </c>
      <c r="M47" s="1018"/>
      <c r="N47" s="1018"/>
      <c r="O47" s="1035">
        <f t="shared" si="56"/>
        <v>0</v>
      </c>
      <c r="P47" s="1018"/>
      <c r="Q47" s="1018"/>
      <c r="R47" s="1035">
        <f t="shared" si="57"/>
        <v>0</v>
      </c>
      <c r="S47" s="1018"/>
      <c r="T47" s="1018"/>
      <c r="U47" s="1035">
        <f t="shared" si="58"/>
        <v>0</v>
      </c>
      <c r="V47" s="1018">
        <v>587</v>
      </c>
      <c r="W47" s="1018">
        <v>-587</v>
      </c>
      <c r="X47" s="1035">
        <f t="shared" si="59"/>
        <v>0</v>
      </c>
    </row>
    <row r="48" spans="1:24" ht="15" customHeight="1" x14ac:dyDescent="0.25">
      <c r="A48" s="62" t="s">
        <v>65</v>
      </c>
      <c r="B48" s="1349" t="s">
        <v>425</v>
      </c>
      <c r="C48" s="1350"/>
      <c r="D48" s="1018">
        <f t="shared" si="50"/>
        <v>3439</v>
      </c>
      <c r="E48" s="1035">
        <f t="shared" si="52"/>
        <v>-2021</v>
      </c>
      <c r="F48" s="1035">
        <f t="shared" si="53"/>
        <v>1418</v>
      </c>
      <c r="G48" s="1018">
        <v>1351</v>
      </c>
      <c r="H48" s="1018">
        <f>-791+12-33</f>
        <v>-812</v>
      </c>
      <c r="I48" s="1035">
        <f>+H48+G48</f>
        <v>539</v>
      </c>
      <c r="J48" s="1018">
        <v>140</v>
      </c>
      <c r="K48" s="1018">
        <v>-134</v>
      </c>
      <c r="L48" s="1035">
        <f t="shared" si="55"/>
        <v>6</v>
      </c>
      <c r="M48" s="1018">
        <v>800</v>
      </c>
      <c r="N48" s="1018">
        <v>-20</v>
      </c>
      <c r="O48" s="1035">
        <f t="shared" si="56"/>
        <v>780</v>
      </c>
      <c r="P48" s="1018"/>
      <c r="Q48" s="1018"/>
      <c r="R48" s="1035">
        <f t="shared" si="57"/>
        <v>0</v>
      </c>
      <c r="S48" s="1018">
        <v>360</v>
      </c>
      <c r="T48" s="1018">
        <v>-267</v>
      </c>
      <c r="U48" s="1035">
        <f t="shared" si="58"/>
        <v>93</v>
      </c>
      <c r="V48" s="1018">
        <v>788</v>
      </c>
      <c r="W48" s="1018">
        <v>-788</v>
      </c>
      <c r="X48" s="1035">
        <f t="shared" si="59"/>
        <v>0</v>
      </c>
    </row>
    <row r="49" spans="1:24" s="1037" customFormat="1" ht="15" customHeight="1" x14ac:dyDescent="0.25">
      <c r="A49" s="63" t="s">
        <v>66</v>
      </c>
      <c r="B49" s="1347" t="s">
        <v>426</v>
      </c>
      <c r="C49" s="1348"/>
      <c r="D49" s="116">
        <f>+G49+J49+M49+S49+V49</f>
        <v>4881</v>
      </c>
      <c r="E49" s="116">
        <f t="shared" ref="E49:X49" si="60">SUM(E40:E48)</f>
        <v>-2862</v>
      </c>
      <c r="F49" s="116">
        <f t="shared" si="60"/>
        <v>2019</v>
      </c>
      <c r="G49" s="116">
        <f>SUM(G40:G48)</f>
        <v>2206</v>
      </c>
      <c r="H49" s="116">
        <f t="shared" si="60"/>
        <v>-1066</v>
      </c>
      <c r="I49" s="116">
        <f t="shared" si="60"/>
        <v>1140</v>
      </c>
      <c r="J49" s="116">
        <f>SUM(J40:J48)</f>
        <v>140</v>
      </c>
      <c r="K49" s="116">
        <f t="shared" si="60"/>
        <v>-134</v>
      </c>
      <c r="L49" s="116">
        <f t="shared" si="60"/>
        <v>6</v>
      </c>
      <c r="M49" s="116">
        <f t="shared" si="60"/>
        <v>800</v>
      </c>
      <c r="N49" s="116">
        <f t="shared" si="60"/>
        <v>-20</v>
      </c>
      <c r="O49" s="116">
        <f t="shared" si="60"/>
        <v>780</v>
      </c>
      <c r="P49" s="116">
        <f t="shared" si="60"/>
        <v>0</v>
      </c>
      <c r="Q49" s="116">
        <f t="shared" si="60"/>
        <v>0</v>
      </c>
      <c r="R49" s="116">
        <f t="shared" si="60"/>
        <v>0</v>
      </c>
      <c r="S49" s="116">
        <f t="shared" si="60"/>
        <v>360</v>
      </c>
      <c r="T49" s="116">
        <f t="shared" si="60"/>
        <v>-267</v>
      </c>
      <c r="U49" s="116">
        <f t="shared" si="60"/>
        <v>93</v>
      </c>
      <c r="V49" s="116">
        <f t="shared" si="60"/>
        <v>1375</v>
      </c>
      <c r="W49" s="116">
        <f t="shared" si="60"/>
        <v>-1375</v>
      </c>
      <c r="X49" s="116">
        <f t="shared" si="60"/>
        <v>0</v>
      </c>
    </row>
    <row r="50" spans="1:24" ht="15" customHeight="1" x14ac:dyDescent="0.25">
      <c r="A50" s="62" t="s">
        <v>68</v>
      </c>
      <c r="B50" s="1349" t="s">
        <v>67</v>
      </c>
      <c r="C50" s="1350"/>
      <c r="D50" s="1018">
        <f>+G50+J50+M50+S50+P50+V50</f>
        <v>65</v>
      </c>
      <c r="E50" s="1035">
        <f t="shared" ref="E50:E51" si="61">+H50+K50+N50+Q50+T50+W50</f>
        <v>-40</v>
      </c>
      <c r="F50" s="1035">
        <f t="shared" ref="F50:F51" si="62">+D50+E50</f>
        <v>25</v>
      </c>
      <c r="G50" s="1018">
        <v>20</v>
      </c>
      <c r="H50" s="1018">
        <v>-3</v>
      </c>
      <c r="I50" s="1035">
        <f t="shared" ref="I50:I51" si="63">+H50+G50</f>
        <v>17</v>
      </c>
      <c r="J50" s="1018">
        <v>5</v>
      </c>
      <c r="K50" s="1018">
        <v>-5</v>
      </c>
      <c r="L50" s="1035">
        <f t="shared" ref="L50:L51" si="64">+K50+J50</f>
        <v>0</v>
      </c>
      <c r="M50" s="1018"/>
      <c r="N50" s="1018"/>
      <c r="O50" s="1035">
        <f t="shared" ref="O50:O51" si="65">+N50+M50</f>
        <v>0</v>
      </c>
      <c r="P50" s="1018"/>
      <c r="Q50" s="1018"/>
      <c r="R50" s="1035">
        <f t="shared" ref="R50:R51" si="66">+Q50+P50</f>
        <v>0</v>
      </c>
      <c r="S50" s="1018">
        <v>15</v>
      </c>
      <c r="T50" s="1018">
        <v>-15</v>
      </c>
      <c r="U50" s="1035">
        <f t="shared" ref="U50:U51" si="67">+T50+S50</f>
        <v>0</v>
      </c>
      <c r="V50" s="1018">
        <v>25</v>
      </c>
      <c r="W50" s="1018">
        <v>-17</v>
      </c>
      <c r="X50" s="1035">
        <f t="shared" ref="X50:X51" si="68">+W50+V50</f>
        <v>8</v>
      </c>
    </row>
    <row r="51" spans="1:24" ht="15" customHeight="1" x14ac:dyDescent="0.25">
      <c r="A51" s="62" t="s">
        <v>70</v>
      </c>
      <c r="B51" s="1349" t="s">
        <v>69</v>
      </c>
      <c r="C51" s="1350"/>
      <c r="D51" s="1018">
        <f>+G51+J51+M51+S51+P51+V51</f>
        <v>254</v>
      </c>
      <c r="E51" s="1035">
        <f t="shared" si="61"/>
        <v>-254</v>
      </c>
      <c r="F51" s="1035">
        <f t="shared" si="62"/>
        <v>0</v>
      </c>
      <c r="G51" s="1018">
        <v>0</v>
      </c>
      <c r="H51" s="1018"/>
      <c r="I51" s="1035">
        <f t="shared" si="63"/>
        <v>0</v>
      </c>
      <c r="J51" s="1018"/>
      <c r="K51" s="1018"/>
      <c r="L51" s="1035">
        <f t="shared" si="64"/>
        <v>0</v>
      </c>
      <c r="M51" s="1018"/>
      <c r="N51" s="1018"/>
      <c r="O51" s="1035">
        <f t="shared" si="65"/>
        <v>0</v>
      </c>
      <c r="P51" s="1018"/>
      <c r="Q51" s="1018"/>
      <c r="R51" s="1035">
        <f t="shared" si="66"/>
        <v>0</v>
      </c>
      <c r="S51" s="1018"/>
      <c r="T51" s="1018"/>
      <c r="U51" s="1035">
        <f t="shared" si="67"/>
        <v>0</v>
      </c>
      <c r="V51" s="1018">
        <v>254</v>
      </c>
      <c r="W51" s="1018">
        <v>-254</v>
      </c>
      <c r="X51" s="1035">
        <f t="shared" si="68"/>
        <v>0</v>
      </c>
    </row>
    <row r="52" spans="1:24" s="1037" customFormat="1" ht="30.75" customHeight="1" x14ac:dyDescent="0.25">
      <c r="A52" s="63" t="s">
        <v>71</v>
      </c>
      <c r="B52" s="1347" t="s">
        <v>154</v>
      </c>
      <c r="C52" s="1348"/>
      <c r="D52" s="116">
        <f>+G52+J52+M52+S52+V52</f>
        <v>319</v>
      </c>
      <c r="E52" s="116">
        <f t="shared" ref="E52:X52" si="69">SUM(E50:E51)</f>
        <v>-294</v>
      </c>
      <c r="F52" s="116">
        <f t="shared" si="69"/>
        <v>25</v>
      </c>
      <c r="G52" s="116">
        <f t="shared" si="69"/>
        <v>20</v>
      </c>
      <c r="H52" s="116">
        <f t="shared" si="69"/>
        <v>-3</v>
      </c>
      <c r="I52" s="116">
        <f t="shared" si="69"/>
        <v>17</v>
      </c>
      <c r="J52" s="116">
        <f t="shared" si="69"/>
        <v>5</v>
      </c>
      <c r="K52" s="116">
        <f t="shared" si="69"/>
        <v>-5</v>
      </c>
      <c r="L52" s="116">
        <f t="shared" si="69"/>
        <v>0</v>
      </c>
      <c r="M52" s="116">
        <f t="shared" si="69"/>
        <v>0</v>
      </c>
      <c r="N52" s="116">
        <f t="shared" si="69"/>
        <v>0</v>
      </c>
      <c r="O52" s="116">
        <f t="shared" si="69"/>
        <v>0</v>
      </c>
      <c r="P52" s="116">
        <f t="shared" si="69"/>
        <v>0</v>
      </c>
      <c r="Q52" s="116">
        <f t="shared" si="69"/>
        <v>0</v>
      </c>
      <c r="R52" s="116">
        <f t="shared" si="69"/>
        <v>0</v>
      </c>
      <c r="S52" s="116">
        <f t="shared" si="69"/>
        <v>15</v>
      </c>
      <c r="T52" s="116">
        <f t="shared" si="69"/>
        <v>-15</v>
      </c>
      <c r="U52" s="116">
        <f t="shared" si="69"/>
        <v>0</v>
      </c>
      <c r="V52" s="116">
        <f t="shared" si="69"/>
        <v>279</v>
      </c>
      <c r="W52" s="116">
        <f t="shared" si="69"/>
        <v>-271</v>
      </c>
      <c r="X52" s="116">
        <f t="shared" si="69"/>
        <v>8</v>
      </c>
    </row>
    <row r="53" spans="1:24" ht="36.75" customHeight="1" x14ac:dyDescent="0.25">
      <c r="A53" s="62" t="s">
        <v>73</v>
      </c>
      <c r="B53" s="1349" t="s">
        <v>72</v>
      </c>
      <c r="C53" s="1350"/>
      <c r="D53" s="1021">
        <f>+G53+J53+M53+S53+P53+V53</f>
        <v>1570</v>
      </c>
      <c r="E53" s="1035">
        <f t="shared" ref="E53:E57" si="70">+H53+K53+N53+Q53+T53+W53</f>
        <v>-1261</v>
      </c>
      <c r="F53" s="1035">
        <f t="shared" ref="F53:F57" si="71">+D53+E53</f>
        <v>309</v>
      </c>
      <c r="G53" s="1021">
        <v>582</v>
      </c>
      <c r="H53" s="1018">
        <f>-423-2</f>
        <v>-425</v>
      </c>
      <c r="I53" s="1035">
        <f t="shared" ref="I53:I57" si="72">+H53+G53</f>
        <v>157</v>
      </c>
      <c r="J53" s="1021">
        <v>282</v>
      </c>
      <c r="K53" s="1018">
        <f>-47-178</f>
        <v>-225</v>
      </c>
      <c r="L53" s="1035">
        <f t="shared" ref="L53:L57" si="73">+K53+J53</f>
        <v>57</v>
      </c>
      <c r="M53" s="1021">
        <v>0</v>
      </c>
      <c r="N53" s="1018"/>
      <c r="O53" s="1035">
        <f t="shared" ref="O53:O57" si="74">+N53+M53</f>
        <v>0</v>
      </c>
      <c r="P53" s="1021">
        <v>36</v>
      </c>
      <c r="Q53" s="1018">
        <f>-4-32</f>
        <v>-36</v>
      </c>
      <c r="R53" s="1035">
        <f t="shared" ref="R53:R57" si="75">+Q53+P53</f>
        <v>0</v>
      </c>
      <c r="S53" s="1021">
        <v>299</v>
      </c>
      <c r="T53" s="1018">
        <v>-204</v>
      </c>
      <c r="U53" s="1035">
        <f t="shared" ref="U53:U57" si="76">+T53+S53</f>
        <v>95</v>
      </c>
      <c r="V53" s="1021">
        <f>158+213</f>
        <v>371</v>
      </c>
      <c r="W53" s="1018">
        <v>-371</v>
      </c>
      <c r="X53" s="1035">
        <f t="shared" ref="X53:X57" si="77">+W53+V53</f>
        <v>0</v>
      </c>
    </row>
    <row r="54" spans="1:24" ht="15" customHeight="1" x14ac:dyDescent="0.25">
      <c r="A54" s="62" t="s">
        <v>75</v>
      </c>
      <c r="B54" s="1349" t="s">
        <v>427</v>
      </c>
      <c r="C54" s="1350"/>
      <c r="D54" s="1021">
        <f t="shared" ref="D54:D57" si="78">+G54+J54+M54+S54+P54+V54</f>
        <v>559</v>
      </c>
      <c r="E54" s="1035">
        <f t="shared" si="70"/>
        <v>-511</v>
      </c>
      <c r="F54" s="1035">
        <f t="shared" si="71"/>
        <v>48</v>
      </c>
      <c r="G54" s="1018">
        <v>86</v>
      </c>
      <c r="H54" s="1018">
        <v>-83</v>
      </c>
      <c r="I54" s="1035">
        <f t="shared" si="72"/>
        <v>3</v>
      </c>
      <c r="J54" s="1018">
        <v>405</v>
      </c>
      <c r="K54" s="1018">
        <v>-375</v>
      </c>
      <c r="L54" s="1035">
        <f t="shared" si="73"/>
        <v>30</v>
      </c>
      <c r="M54" s="1018"/>
      <c r="N54" s="1018"/>
      <c r="O54" s="1035">
        <f t="shared" si="74"/>
        <v>0</v>
      </c>
      <c r="P54" s="1018">
        <v>68</v>
      </c>
      <c r="Q54" s="1018">
        <v>-68</v>
      </c>
      <c r="R54" s="1035">
        <f t="shared" si="75"/>
        <v>0</v>
      </c>
      <c r="S54" s="1018"/>
      <c r="T54" s="1018">
        <v>15</v>
      </c>
      <c r="U54" s="1035">
        <f t="shared" si="76"/>
        <v>15</v>
      </c>
      <c r="V54" s="1018"/>
      <c r="W54" s="1018"/>
      <c r="X54" s="1035">
        <f t="shared" si="77"/>
        <v>0</v>
      </c>
    </row>
    <row r="55" spans="1:24" ht="15" customHeight="1" x14ac:dyDescent="0.25">
      <c r="A55" s="62" t="s">
        <v>76</v>
      </c>
      <c r="B55" s="1349" t="s">
        <v>428</v>
      </c>
      <c r="C55" s="1350"/>
      <c r="D55" s="1021">
        <f t="shared" si="78"/>
        <v>0</v>
      </c>
      <c r="E55" s="1035">
        <f t="shared" si="70"/>
        <v>0</v>
      </c>
      <c r="F55" s="1035">
        <f t="shared" si="71"/>
        <v>0</v>
      </c>
      <c r="G55" s="1018"/>
      <c r="H55" s="1018"/>
      <c r="I55" s="1035">
        <f t="shared" si="72"/>
        <v>0</v>
      </c>
      <c r="J55" s="1018"/>
      <c r="K55" s="1018"/>
      <c r="L55" s="1035">
        <f t="shared" si="73"/>
        <v>0</v>
      </c>
      <c r="M55" s="1018"/>
      <c r="N55" s="1018"/>
      <c r="O55" s="1035">
        <f t="shared" si="74"/>
        <v>0</v>
      </c>
      <c r="P55" s="1018"/>
      <c r="Q55" s="1018"/>
      <c r="R55" s="1035">
        <f t="shared" si="75"/>
        <v>0</v>
      </c>
      <c r="S55" s="1018"/>
      <c r="T55" s="1018"/>
      <c r="U55" s="1035">
        <f t="shared" si="76"/>
        <v>0</v>
      </c>
      <c r="V55" s="1018"/>
      <c r="W55" s="1018"/>
      <c r="X55" s="1035">
        <f t="shared" si="77"/>
        <v>0</v>
      </c>
    </row>
    <row r="56" spans="1:24" ht="15" customHeight="1" x14ac:dyDescent="0.25">
      <c r="A56" s="62" t="s">
        <v>77</v>
      </c>
      <c r="B56" s="1349" t="s">
        <v>429</v>
      </c>
      <c r="C56" s="1350"/>
      <c r="D56" s="1021">
        <f t="shared" si="78"/>
        <v>0</v>
      </c>
      <c r="E56" s="1035">
        <f t="shared" si="70"/>
        <v>0</v>
      </c>
      <c r="F56" s="1035">
        <f t="shared" si="71"/>
        <v>0</v>
      </c>
      <c r="G56" s="1018"/>
      <c r="H56" s="1018"/>
      <c r="I56" s="1035">
        <f t="shared" si="72"/>
        <v>0</v>
      </c>
      <c r="J56" s="1018"/>
      <c r="K56" s="1018"/>
      <c r="L56" s="1035">
        <f t="shared" si="73"/>
        <v>0</v>
      </c>
      <c r="M56" s="1018"/>
      <c r="N56" s="1018"/>
      <c r="O56" s="1035">
        <f t="shared" si="74"/>
        <v>0</v>
      </c>
      <c r="P56" s="1018"/>
      <c r="Q56" s="1018"/>
      <c r="R56" s="1035">
        <f t="shared" si="75"/>
        <v>0</v>
      </c>
      <c r="S56" s="1018"/>
      <c r="T56" s="1018"/>
      <c r="U56" s="1035">
        <f t="shared" si="76"/>
        <v>0</v>
      </c>
      <c r="V56" s="1018"/>
      <c r="W56" s="1018"/>
      <c r="X56" s="1035">
        <f t="shared" si="77"/>
        <v>0</v>
      </c>
    </row>
    <row r="57" spans="1:24" ht="15" customHeight="1" x14ac:dyDescent="0.25">
      <c r="A57" s="62" t="s">
        <v>79</v>
      </c>
      <c r="B57" s="1349" t="s">
        <v>78</v>
      </c>
      <c r="C57" s="1350"/>
      <c r="D57" s="1021">
        <f t="shared" si="78"/>
        <v>3385</v>
      </c>
      <c r="E57" s="1035">
        <f t="shared" si="70"/>
        <v>-3369</v>
      </c>
      <c r="F57" s="1035">
        <f t="shared" si="71"/>
        <v>16</v>
      </c>
      <c r="G57" s="1018">
        <v>40</v>
      </c>
      <c r="H57" s="1018">
        <f>-29-1-1</f>
        <v>-31</v>
      </c>
      <c r="I57" s="1035">
        <f t="shared" si="72"/>
        <v>9</v>
      </c>
      <c r="J57" s="1018"/>
      <c r="K57" s="1018"/>
      <c r="L57" s="1035">
        <f t="shared" si="73"/>
        <v>0</v>
      </c>
      <c r="M57" s="1018"/>
      <c r="N57" s="1018"/>
      <c r="O57" s="1035">
        <f t="shared" si="74"/>
        <v>0</v>
      </c>
      <c r="P57" s="1018"/>
      <c r="Q57" s="1018"/>
      <c r="R57" s="1035">
        <f t="shared" si="75"/>
        <v>0</v>
      </c>
      <c r="S57" s="1018">
        <v>50</v>
      </c>
      <c r="T57" s="1018">
        <v>-43</v>
      </c>
      <c r="U57" s="1035">
        <f t="shared" si="76"/>
        <v>7</v>
      </c>
      <c r="V57" s="1018">
        <v>3295</v>
      </c>
      <c r="W57" s="1018">
        <v>-3295</v>
      </c>
      <c r="X57" s="1035">
        <f t="shared" si="77"/>
        <v>0</v>
      </c>
    </row>
    <row r="58" spans="1:24" ht="28.5" customHeight="1" x14ac:dyDescent="0.25">
      <c r="A58" s="63" t="s">
        <v>80</v>
      </c>
      <c r="B58" s="1347" t="s">
        <v>151</v>
      </c>
      <c r="C58" s="1348"/>
      <c r="D58" s="1049">
        <f>+G58+J58+M58+S58+P58+V58</f>
        <v>5514</v>
      </c>
      <c r="E58" s="116">
        <f t="shared" ref="E58:X58" si="79">SUM(E53:E57)</f>
        <v>-5141</v>
      </c>
      <c r="F58" s="116">
        <f t="shared" si="79"/>
        <v>373</v>
      </c>
      <c r="G58" s="1049">
        <f t="shared" si="79"/>
        <v>708</v>
      </c>
      <c r="H58" s="116">
        <f t="shared" si="79"/>
        <v>-539</v>
      </c>
      <c r="I58" s="116">
        <f t="shared" si="79"/>
        <v>169</v>
      </c>
      <c r="J58" s="1049">
        <f t="shared" si="79"/>
        <v>687</v>
      </c>
      <c r="K58" s="116">
        <f t="shared" si="79"/>
        <v>-600</v>
      </c>
      <c r="L58" s="116">
        <f t="shared" si="79"/>
        <v>87</v>
      </c>
      <c r="M58" s="1049">
        <f t="shared" si="79"/>
        <v>0</v>
      </c>
      <c r="N58" s="116">
        <f t="shared" si="79"/>
        <v>0</v>
      </c>
      <c r="O58" s="116">
        <f t="shared" si="79"/>
        <v>0</v>
      </c>
      <c r="P58" s="1049">
        <f t="shared" ref="P58:R58" si="80">SUM(P53:P57)</f>
        <v>104</v>
      </c>
      <c r="Q58" s="116">
        <f t="shared" si="80"/>
        <v>-104</v>
      </c>
      <c r="R58" s="116">
        <f t="shared" si="80"/>
        <v>0</v>
      </c>
      <c r="S58" s="1049">
        <f t="shared" si="79"/>
        <v>349</v>
      </c>
      <c r="T58" s="116">
        <f t="shared" si="79"/>
        <v>-232</v>
      </c>
      <c r="U58" s="116">
        <f t="shared" si="79"/>
        <v>117</v>
      </c>
      <c r="V58" s="116">
        <f t="shared" si="79"/>
        <v>3666</v>
      </c>
      <c r="W58" s="116">
        <f t="shared" si="79"/>
        <v>-3666</v>
      </c>
      <c r="X58" s="116">
        <f t="shared" si="79"/>
        <v>0</v>
      </c>
    </row>
    <row r="59" spans="1:24" ht="15" customHeight="1" x14ac:dyDescent="0.25">
      <c r="A59" s="63" t="s">
        <v>81</v>
      </c>
      <c r="B59" s="1347" t="s">
        <v>339</v>
      </c>
      <c r="C59" s="1348"/>
      <c r="D59" s="1049">
        <f>+G59+J59+M59+S59+P59+V59</f>
        <v>12803</v>
      </c>
      <c r="E59" s="116">
        <f t="shared" ref="E59:X59" si="81">+E58+E52+E49+E39+E36</f>
        <v>-9548</v>
      </c>
      <c r="F59" s="116">
        <f t="shared" si="81"/>
        <v>3255</v>
      </c>
      <c r="G59" s="1049">
        <f>+G58+G52+G49+G39+G36</f>
        <v>3539</v>
      </c>
      <c r="H59" s="116">
        <f t="shared" si="81"/>
        <v>-1909</v>
      </c>
      <c r="I59" s="116">
        <f t="shared" si="81"/>
        <v>1630</v>
      </c>
      <c r="J59" s="1049">
        <f t="shared" si="81"/>
        <v>1126</v>
      </c>
      <c r="K59" s="116">
        <f t="shared" si="81"/>
        <v>-786</v>
      </c>
      <c r="L59" s="116">
        <f t="shared" si="81"/>
        <v>340</v>
      </c>
      <c r="M59" s="1049">
        <f t="shared" si="81"/>
        <v>800</v>
      </c>
      <c r="N59" s="116">
        <f t="shared" si="81"/>
        <v>-20</v>
      </c>
      <c r="O59" s="116">
        <f t="shared" si="81"/>
        <v>780</v>
      </c>
      <c r="P59" s="1049">
        <f>+P58+P52+P49+P39+P36</f>
        <v>814</v>
      </c>
      <c r="Q59" s="116">
        <f t="shared" ref="Q59:R59" si="82">+Q58+Q52+Q49+Q39+Q36</f>
        <v>-814</v>
      </c>
      <c r="R59" s="116">
        <f t="shared" si="82"/>
        <v>0</v>
      </c>
      <c r="S59" s="1049">
        <f t="shared" si="81"/>
        <v>1204</v>
      </c>
      <c r="T59" s="116">
        <f t="shared" si="81"/>
        <v>-707</v>
      </c>
      <c r="U59" s="116">
        <f t="shared" si="81"/>
        <v>497</v>
      </c>
      <c r="V59" s="116">
        <f t="shared" si="81"/>
        <v>5320</v>
      </c>
      <c r="W59" s="116">
        <f t="shared" si="81"/>
        <v>-5312</v>
      </c>
      <c r="X59" s="116">
        <f t="shared" si="81"/>
        <v>8</v>
      </c>
    </row>
    <row r="60" spans="1:24" ht="15" customHeight="1" x14ac:dyDescent="0.25">
      <c r="A60" s="1038"/>
      <c r="B60" s="1106"/>
      <c r="C60" s="1106"/>
      <c r="D60" s="1049"/>
      <c r="E60" s="116"/>
      <c r="F60" s="116"/>
      <c r="G60" s="1049"/>
      <c r="H60" s="116"/>
      <c r="I60" s="116"/>
      <c r="J60" s="1049"/>
      <c r="K60" s="116"/>
      <c r="L60" s="116"/>
      <c r="M60" s="1049"/>
      <c r="N60" s="116"/>
      <c r="O60" s="116"/>
      <c r="P60" s="1049"/>
      <c r="Q60" s="116"/>
      <c r="R60" s="116"/>
      <c r="S60" s="1049"/>
      <c r="T60" s="116"/>
      <c r="U60" s="116"/>
      <c r="V60" s="116"/>
      <c r="W60" s="116"/>
      <c r="X60" s="116"/>
    </row>
    <row r="61" spans="1:24" x14ac:dyDescent="0.25">
      <c r="A61" s="1038" t="s">
        <v>101</v>
      </c>
      <c r="B61" s="1399"/>
      <c r="C61" s="1399"/>
      <c r="D61" s="1018"/>
      <c r="E61" s="1018">
        <f>+H61</f>
        <v>8758</v>
      </c>
      <c r="F61" s="1018">
        <f>+I61</f>
        <v>8758</v>
      </c>
      <c r="G61" s="1018"/>
      <c r="H61" s="1018">
        <v>8758</v>
      </c>
      <c r="I61" s="1018">
        <f>+H61+G61</f>
        <v>8758</v>
      </c>
      <c r="J61" s="1018"/>
      <c r="K61" s="1018"/>
      <c r="L61" s="1018"/>
      <c r="M61" s="1018"/>
      <c r="N61" s="1018"/>
      <c r="O61" s="1018"/>
      <c r="P61" s="1018"/>
      <c r="Q61" s="1018"/>
      <c r="R61" s="1018"/>
      <c r="S61" s="1018"/>
      <c r="T61" s="1018"/>
      <c r="U61" s="1018"/>
      <c r="V61" s="1018"/>
      <c r="W61" s="1018"/>
      <c r="X61" s="1018"/>
    </row>
    <row r="62" spans="1:24" ht="24" customHeight="1" x14ac:dyDescent="0.25">
      <c r="A62" s="62" t="s">
        <v>106</v>
      </c>
      <c r="B62" s="1349" t="s">
        <v>163</v>
      </c>
      <c r="C62" s="1350"/>
      <c r="D62" s="1018">
        <f t="shared" ref="D62:D63" si="83">+G62+J62+M62+S62+P62</f>
        <v>17219</v>
      </c>
      <c r="E62" s="1035">
        <f t="shared" ref="E62:E63" si="84">+H62+K62+N62+Q62+T62+W62</f>
        <v>-7360</v>
      </c>
      <c r="F62" s="1035">
        <f t="shared" ref="F62:F63" si="85">+D62+E62</f>
        <v>9859</v>
      </c>
      <c r="G62" s="1050">
        <v>13139</v>
      </c>
      <c r="H62" s="1050">
        <v>-5540</v>
      </c>
      <c r="I62" s="1035">
        <f t="shared" ref="I62:I63" si="86">+H62+G62</f>
        <v>7599</v>
      </c>
      <c r="J62" s="1050">
        <v>3165</v>
      </c>
      <c r="K62" s="1050">
        <v>-1440</v>
      </c>
      <c r="L62" s="1035">
        <f t="shared" ref="L62:L63" si="87">+K62+J62</f>
        <v>1725</v>
      </c>
      <c r="M62" s="1050"/>
      <c r="N62" s="1050"/>
      <c r="O62" s="1035">
        <f t="shared" ref="O62:O63" si="88">+N62+M62</f>
        <v>0</v>
      </c>
      <c r="P62" s="1050"/>
      <c r="Q62" s="1050"/>
      <c r="R62" s="1035">
        <f t="shared" ref="R62:R63" si="89">+Q62+P62</f>
        <v>0</v>
      </c>
      <c r="S62" s="1050">
        <v>915</v>
      </c>
      <c r="T62" s="1035">
        <v>-380</v>
      </c>
      <c r="U62" s="1035">
        <f t="shared" ref="U62:U63" si="90">+T62+S62</f>
        <v>535</v>
      </c>
      <c r="V62" s="1050"/>
      <c r="W62" s="1035"/>
      <c r="X62" s="1035">
        <f t="shared" ref="X62:X63" si="91">+W62+V62</f>
        <v>0</v>
      </c>
    </row>
    <row r="63" spans="1:24" ht="38.25" customHeight="1" x14ac:dyDescent="0.25">
      <c r="A63" s="332" t="s">
        <v>106</v>
      </c>
      <c r="B63" s="1043"/>
      <c r="C63" s="1051" t="s">
        <v>104</v>
      </c>
      <c r="D63" s="1018">
        <f t="shared" si="83"/>
        <v>17219</v>
      </c>
      <c r="E63" s="1035">
        <f t="shared" si="84"/>
        <v>-7360</v>
      </c>
      <c r="F63" s="1035">
        <f t="shared" si="85"/>
        <v>9859</v>
      </c>
      <c r="G63" s="1050">
        <v>13139</v>
      </c>
      <c r="H63" s="1050">
        <v>-5540</v>
      </c>
      <c r="I63" s="1035">
        <f t="shared" si="86"/>
        <v>7599</v>
      </c>
      <c r="J63" s="1050">
        <v>3165</v>
      </c>
      <c r="K63" s="1050">
        <v>-1440</v>
      </c>
      <c r="L63" s="1035">
        <f t="shared" si="87"/>
        <v>1725</v>
      </c>
      <c r="M63" s="1050"/>
      <c r="N63" s="1050"/>
      <c r="O63" s="1035">
        <f t="shared" si="88"/>
        <v>0</v>
      </c>
      <c r="P63" s="1050"/>
      <c r="Q63" s="1050"/>
      <c r="R63" s="1035">
        <f t="shared" si="89"/>
        <v>0</v>
      </c>
      <c r="S63" s="1050">
        <v>915</v>
      </c>
      <c r="T63" s="1035">
        <v>-380</v>
      </c>
      <c r="U63" s="1035">
        <f t="shared" si="90"/>
        <v>535</v>
      </c>
      <c r="V63" s="1050"/>
      <c r="W63" s="1035"/>
      <c r="X63" s="1035">
        <f t="shared" si="91"/>
        <v>0</v>
      </c>
    </row>
    <row r="64" spans="1:24" ht="15" customHeight="1" x14ac:dyDescent="0.25">
      <c r="A64" s="63" t="s">
        <v>107</v>
      </c>
      <c r="B64" s="1347" t="s">
        <v>162</v>
      </c>
      <c r="C64" s="1348"/>
      <c r="D64" s="116">
        <f>+G64+J64+M64+S64+P64+V64</f>
        <v>17219</v>
      </c>
      <c r="E64" s="116">
        <f>+E62+E61</f>
        <v>1398</v>
      </c>
      <c r="F64" s="116">
        <f>+F62+F61</f>
        <v>18617</v>
      </c>
      <c r="G64" s="116">
        <f>+G62</f>
        <v>13139</v>
      </c>
      <c r="H64" s="116">
        <f>+H62+H61</f>
        <v>3218</v>
      </c>
      <c r="I64" s="116">
        <f>+G64+H64</f>
        <v>16357</v>
      </c>
      <c r="J64" s="116">
        <f t="shared" ref="J64:X64" si="92">+J62</f>
        <v>3165</v>
      </c>
      <c r="K64" s="116">
        <f t="shared" si="92"/>
        <v>-1440</v>
      </c>
      <c r="L64" s="116">
        <f t="shared" si="92"/>
        <v>1725</v>
      </c>
      <c r="M64" s="116">
        <f t="shared" si="92"/>
        <v>0</v>
      </c>
      <c r="N64" s="116">
        <f t="shared" si="92"/>
        <v>0</v>
      </c>
      <c r="O64" s="116">
        <f t="shared" si="92"/>
        <v>0</v>
      </c>
      <c r="P64" s="116">
        <f t="shared" si="92"/>
        <v>0</v>
      </c>
      <c r="Q64" s="116">
        <f t="shared" si="92"/>
        <v>0</v>
      </c>
      <c r="R64" s="116">
        <f t="shared" si="92"/>
        <v>0</v>
      </c>
      <c r="S64" s="116">
        <f t="shared" si="92"/>
        <v>915</v>
      </c>
      <c r="T64" s="116">
        <f t="shared" si="92"/>
        <v>-380</v>
      </c>
      <c r="U64" s="116">
        <f t="shared" si="92"/>
        <v>535</v>
      </c>
      <c r="V64" s="116">
        <f t="shared" si="92"/>
        <v>0</v>
      </c>
      <c r="W64" s="116">
        <f t="shared" si="92"/>
        <v>0</v>
      </c>
      <c r="X64" s="116">
        <f t="shared" si="92"/>
        <v>0</v>
      </c>
    </row>
    <row r="65" spans="1:24" ht="27.75" customHeight="1" x14ac:dyDescent="0.25">
      <c r="A65" s="1052"/>
      <c r="B65" s="1053"/>
      <c r="C65" s="1053"/>
      <c r="D65" s="1054"/>
      <c r="E65" s="1054"/>
      <c r="F65" s="1054"/>
      <c r="G65" s="1054"/>
      <c r="H65" s="1054"/>
      <c r="I65" s="1054"/>
      <c r="J65" s="1054"/>
      <c r="K65" s="1054"/>
      <c r="L65" s="1054"/>
      <c r="M65" s="1054"/>
      <c r="N65" s="1054"/>
      <c r="O65" s="1054"/>
      <c r="P65" s="1054"/>
      <c r="Q65" s="1054"/>
      <c r="R65" s="1054"/>
      <c r="S65" s="1054"/>
      <c r="T65" s="1054"/>
      <c r="U65" s="1054"/>
      <c r="V65" s="1054"/>
      <c r="W65" s="1054"/>
      <c r="X65" s="1054"/>
    </row>
    <row r="66" spans="1:24" ht="21.75" customHeight="1" x14ac:dyDescent="0.25">
      <c r="A66" s="1055"/>
      <c r="B66" s="1056"/>
      <c r="C66" s="1056"/>
      <c r="D66" s="1048"/>
      <c r="E66" s="1048"/>
      <c r="F66" s="1048"/>
      <c r="G66" s="1048"/>
      <c r="H66" s="1048"/>
      <c r="I66" s="1048"/>
      <c r="J66" s="1048"/>
      <c r="K66" s="1048"/>
      <c r="L66" s="1048"/>
      <c r="M66" s="1048"/>
      <c r="N66" s="1048"/>
      <c r="O66" s="1048"/>
      <c r="P66" s="1048"/>
      <c r="Q66" s="1048"/>
      <c r="R66" s="1048"/>
      <c r="S66" s="1048"/>
      <c r="T66" s="1048"/>
      <c r="U66" s="1048"/>
      <c r="V66" s="1048"/>
      <c r="W66" s="1048"/>
      <c r="X66" s="1048"/>
    </row>
    <row r="67" spans="1:24" ht="27.75" customHeight="1" x14ac:dyDescent="0.25">
      <c r="A67" s="62" t="s">
        <v>109</v>
      </c>
      <c r="B67" s="1349" t="s">
        <v>108</v>
      </c>
      <c r="C67" s="1350"/>
      <c r="D67" s="1018">
        <f t="shared" ref="D67:D81" si="93">+G67+J67+M67+S67+P67</f>
        <v>0</v>
      </c>
      <c r="E67" s="1018"/>
      <c r="F67" s="1018"/>
      <c r="G67" s="1018"/>
      <c r="H67" s="1018"/>
      <c r="I67" s="1018"/>
      <c r="J67" s="1018"/>
      <c r="K67" s="1018"/>
      <c r="L67" s="1018"/>
      <c r="M67" s="1018"/>
      <c r="N67" s="1018"/>
      <c r="O67" s="1018"/>
      <c r="P67" s="1018"/>
      <c r="Q67" s="1018"/>
      <c r="R67" s="1018"/>
      <c r="S67" s="1018"/>
      <c r="T67" s="1018"/>
      <c r="U67" s="1018"/>
      <c r="V67" s="1018"/>
      <c r="W67" s="1018"/>
      <c r="X67" s="1018"/>
    </row>
    <row r="68" spans="1:24" ht="15" customHeight="1" x14ac:dyDescent="0.25">
      <c r="A68" s="62" t="s">
        <v>110</v>
      </c>
      <c r="B68" s="1349" t="s">
        <v>430</v>
      </c>
      <c r="C68" s="1350"/>
      <c r="D68" s="1018">
        <f t="shared" si="93"/>
        <v>0</v>
      </c>
      <c r="E68" s="1018"/>
      <c r="F68" s="1018"/>
      <c r="G68" s="1018"/>
      <c r="H68" s="1018"/>
      <c r="I68" s="1018"/>
      <c r="J68" s="1018"/>
      <c r="K68" s="1018"/>
      <c r="L68" s="1018"/>
      <c r="M68" s="1018"/>
      <c r="N68" s="1018"/>
      <c r="O68" s="1018"/>
      <c r="P68" s="1018"/>
      <c r="Q68" s="1018"/>
      <c r="R68" s="1018"/>
      <c r="S68" s="1018"/>
      <c r="T68" s="1018"/>
      <c r="U68" s="1018"/>
      <c r="V68" s="1018"/>
      <c r="W68" s="1018"/>
      <c r="X68" s="1018"/>
    </row>
    <row r="69" spans="1:24" ht="25.5" customHeight="1" x14ac:dyDescent="0.25">
      <c r="A69" s="90" t="s">
        <v>110</v>
      </c>
      <c r="B69" s="1043"/>
      <c r="C69" s="1051" t="s">
        <v>111</v>
      </c>
      <c r="D69" s="1018">
        <f t="shared" si="93"/>
        <v>0</v>
      </c>
      <c r="E69" s="1018"/>
      <c r="F69" s="1018"/>
      <c r="G69" s="1018"/>
      <c r="H69" s="1018"/>
      <c r="I69" s="1018"/>
      <c r="J69" s="1018"/>
      <c r="K69" s="1018"/>
      <c r="L69" s="1018"/>
      <c r="M69" s="1018"/>
      <c r="N69" s="1018"/>
      <c r="O69" s="1018"/>
      <c r="P69" s="1018"/>
      <c r="Q69" s="1018"/>
      <c r="R69" s="1018"/>
      <c r="S69" s="1018"/>
      <c r="T69" s="1018"/>
      <c r="U69" s="1018"/>
      <c r="V69" s="1018"/>
      <c r="W69" s="1018"/>
      <c r="X69" s="1018"/>
    </row>
    <row r="70" spans="1:24" ht="30.75" customHeight="1" x14ac:dyDescent="0.25">
      <c r="A70" s="62" t="s">
        <v>113</v>
      </c>
      <c r="B70" s="1349" t="s">
        <v>112</v>
      </c>
      <c r="C70" s="1350"/>
      <c r="D70" s="1018">
        <f t="shared" si="93"/>
        <v>0</v>
      </c>
      <c r="E70" s="1018"/>
      <c r="F70" s="1018"/>
      <c r="G70" s="1018"/>
      <c r="H70" s="1018"/>
      <c r="I70" s="1018"/>
      <c r="J70" s="1018"/>
      <c r="K70" s="1018"/>
      <c r="L70" s="1018"/>
      <c r="M70" s="1018"/>
      <c r="N70" s="1018"/>
      <c r="O70" s="1018"/>
      <c r="P70" s="1018"/>
      <c r="Q70" s="1018"/>
      <c r="R70" s="1018"/>
      <c r="S70" s="1018"/>
      <c r="T70" s="1018"/>
      <c r="U70" s="1018"/>
      <c r="V70" s="1018"/>
      <c r="W70" s="1018"/>
      <c r="X70" s="1018"/>
    </row>
    <row r="71" spans="1:24" ht="28.5" customHeight="1" x14ac:dyDescent="0.25">
      <c r="A71" s="62" t="s">
        <v>115</v>
      </c>
      <c r="B71" s="1349" t="s">
        <v>114</v>
      </c>
      <c r="C71" s="1350"/>
      <c r="D71" s="1018">
        <f t="shared" si="93"/>
        <v>0</v>
      </c>
      <c r="E71" s="1018">
        <f>+Q71</f>
        <v>81</v>
      </c>
      <c r="F71" s="1018">
        <f>+E71</f>
        <v>81</v>
      </c>
      <c r="G71" s="1018"/>
      <c r="H71" s="1018"/>
      <c r="I71" s="1018"/>
      <c r="J71" s="1018"/>
      <c r="K71" s="1018"/>
      <c r="L71" s="1018"/>
      <c r="M71" s="1018"/>
      <c r="N71" s="1018"/>
      <c r="O71" s="1018"/>
      <c r="P71" s="1018"/>
      <c r="Q71" s="1018">
        <v>81</v>
      </c>
      <c r="R71" s="1018">
        <f>+Q71</f>
        <v>81</v>
      </c>
      <c r="S71" s="1018"/>
      <c r="T71" s="1018"/>
      <c r="U71" s="1018"/>
      <c r="V71" s="1018"/>
      <c r="W71" s="1018"/>
      <c r="X71" s="1018"/>
    </row>
    <row r="72" spans="1:24" ht="15" customHeight="1" x14ac:dyDescent="0.25">
      <c r="A72" s="62" t="s">
        <v>117</v>
      </c>
      <c r="B72" s="1349" t="s">
        <v>116</v>
      </c>
      <c r="C72" s="1350"/>
      <c r="D72" s="1018">
        <f t="shared" si="93"/>
        <v>0</v>
      </c>
      <c r="E72" s="1018"/>
      <c r="F72" s="1018"/>
      <c r="G72" s="1018"/>
      <c r="H72" s="1018"/>
      <c r="I72" s="1018"/>
      <c r="J72" s="1018"/>
      <c r="K72" s="1018"/>
      <c r="L72" s="1018"/>
      <c r="M72" s="1018"/>
      <c r="N72" s="1018"/>
      <c r="O72" s="1018"/>
      <c r="P72" s="1018"/>
      <c r="Q72" s="1018"/>
      <c r="R72" s="1018"/>
      <c r="S72" s="1018"/>
      <c r="T72" s="1018"/>
      <c r="U72" s="1018"/>
      <c r="V72" s="1018"/>
      <c r="W72" s="1018"/>
      <c r="X72" s="1018"/>
    </row>
    <row r="73" spans="1:24" ht="27.75" customHeight="1" x14ac:dyDescent="0.25">
      <c r="A73" s="62" t="s">
        <v>119</v>
      </c>
      <c r="B73" s="1349" t="s">
        <v>118</v>
      </c>
      <c r="C73" s="1350"/>
      <c r="D73" s="1018">
        <f t="shared" si="93"/>
        <v>0</v>
      </c>
      <c r="E73" s="1018"/>
      <c r="F73" s="1018"/>
      <c r="G73" s="1018"/>
      <c r="H73" s="1018"/>
      <c r="I73" s="1018"/>
      <c r="J73" s="1018"/>
      <c r="K73" s="1018"/>
      <c r="L73" s="1018"/>
      <c r="M73" s="1018"/>
      <c r="N73" s="1018"/>
      <c r="O73" s="1018"/>
      <c r="P73" s="1018"/>
      <c r="Q73" s="1018"/>
      <c r="R73" s="1018"/>
      <c r="S73" s="1018"/>
      <c r="T73" s="1018"/>
      <c r="U73" s="1018"/>
      <c r="V73" s="1018"/>
      <c r="W73" s="1018"/>
      <c r="X73" s="1018"/>
    </row>
    <row r="74" spans="1:24" ht="36.75" customHeight="1" x14ac:dyDescent="0.25">
      <c r="A74" s="62" t="s">
        <v>121</v>
      </c>
      <c r="B74" s="1349" t="s">
        <v>120</v>
      </c>
      <c r="C74" s="1350"/>
      <c r="D74" s="1018">
        <f t="shared" si="93"/>
        <v>0</v>
      </c>
      <c r="E74" s="1018">
        <f>+Q74</f>
        <v>4</v>
      </c>
      <c r="F74" s="1018">
        <f>+E74</f>
        <v>4</v>
      </c>
      <c r="G74" s="1018"/>
      <c r="H74" s="1018"/>
      <c r="I74" s="1018"/>
      <c r="J74" s="1018"/>
      <c r="K74" s="1018"/>
      <c r="L74" s="1018"/>
      <c r="M74" s="1018"/>
      <c r="N74" s="1018"/>
      <c r="O74" s="1018"/>
      <c r="P74" s="1018"/>
      <c r="Q74" s="1018">
        <v>4</v>
      </c>
      <c r="R74" s="1018">
        <f>+Q74</f>
        <v>4</v>
      </c>
      <c r="S74" s="1018"/>
      <c r="T74" s="1018"/>
      <c r="U74" s="1018"/>
      <c r="V74" s="1018"/>
      <c r="W74" s="1018"/>
      <c r="X74" s="1018"/>
    </row>
    <row r="75" spans="1:24" ht="15" customHeight="1" x14ac:dyDescent="0.25">
      <c r="A75" s="63" t="s">
        <v>122</v>
      </c>
      <c r="B75" s="1347" t="s">
        <v>160</v>
      </c>
      <c r="C75" s="1348"/>
      <c r="D75" s="1018">
        <f t="shared" si="93"/>
        <v>0</v>
      </c>
      <c r="E75" s="116">
        <f t="shared" ref="E75:U75" si="94">SUM(E67:E74)</f>
        <v>85</v>
      </c>
      <c r="F75" s="116">
        <f t="shared" si="94"/>
        <v>85</v>
      </c>
      <c r="G75" s="116">
        <f t="shared" si="94"/>
        <v>0</v>
      </c>
      <c r="H75" s="116">
        <f t="shared" si="94"/>
        <v>0</v>
      </c>
      <c r="I75" s="116">
        <f t="shared" si="94"/>
        <v>0</v>
      </c>
      <c r="J75" s="116">
        <f t="shared" si="94"/>
        <v>0</v>
      </c>
      <c r="K75" s="116">
        <f t="shared" si="94"/>
        <v>0</v>
      </c>
      <c r="L75" s="116">
        <f t="shared" si="94"/>
        <v>0</v>
      </c>
      <c r="M75" s="116">
        <f t="shared" si="94"/>
        <v>0</v>
      </c>
      <c r="N75" s="116">
        <f t="shared" si="94"/>
        <v>0</v>
      </c>
      <c r="O75" s="116">
        <f t="shared" si="94"/>
        <v>0</v>
      </c>
      <c r="P75" s="116">
        <f t="shared" ref="P75:R75" si="95">SUM(P67:P74)</f>
        <v>0</v>
      </c>
      <c r="Q75" s="116">
        <f t="shared" si="95"/>
        <v>85</v>
      </c>
      <c r="R75" s="116">
        <f t="shared" si="95"/>
        <v>85</v>
      </c>
      <c r="S75" s="116">
        <f t="shared" si="94"/>
        <v>0</v>
      </c>
      <c r="T75" s="116">
        <f t="shared" si="94"/>
        <v>0</v>
      </c>
      <c r="U75" s="116">
        <f t="shared" si="94"/>
        <v>0</v>
      </c>
      <c r="V75" s="116"/>
      <c r="W75" s="116"/>
      <c r="X75" s="116"/>
    </row>
    <row r="76" spans="1:24" s="1057" customFormat="1" x14ac:dyDescent="0.25">
      <c r="A76" s="1038"/>
      <c r="B76" s="1039"/>
      <c r="C76" s="1039"/>
      <c r="D76" s="1018">
        <f t="shared" si="93"/>
        <v>0</v>
      </c>
      <c r="E76" s="1040"/>
      <c r="F76" s="1040"/>
      <c r="G76" s="1040"/>
      <c r="H76" s="1040"/>
      <c r="I76" s="1040"/>
      <c r="J76" s="1040"/>
      <c r="K76" s="1040"/>
      <c r="L76" s="1040"/>
      <c r="M76" s="1040"/>
      <c r="N76" s="1040"/>
      <c r="O76" s="1040"/>
      <c r="P76" s="1040"/>
      <c r="Q76" s="1040"/>
      <c r="R76" s="1040"/>
      <c r="S76" s="1040"/>
      <c r="T76" s="1040"/>
      <c r="U76" s="1040"/>
      <c r="V76" s="1040"/>
      <c r="W76" s="1040"/>
      <c r="X76" s="1040"/>
    </row>
    <row r="77" spans="1:24" ht="15" hidden="1" customHeight="1" x14ac:dyDescent="0.25">
      <c r="A77" s="62" t="s">
        <v>124</v>
      </c>
      <c r="B77" s="1349" t="s">
        <v>123</v>
      </c>
      <c r="C77" s="1350"/>
      <c r="D77" s="1018">
        <f t="shared" si="93"/>
        <v>0</v>
      </c>
      <c r="E77" s="1018"/>
      <c r="F77" s="1018"/>
      <c r="G77" s="1018"/>
      <c r="H77" s="1018"/>
      <c r="I77" s="1018"/>
      <c r="J77" s="1018"/>
      <c r="K77" s="1018"/>
      <c r="L77" s="1018"/>
      <c r="M77" s="1018"/>
      <c r="N77" s="1018"/>
      <c r="O77" s="1018"/>
      <c r="P77" s="1018"/>
      <c r="Q77" s="1018"/>
      <c r="R77" s="1018"/>
      <c r="S77" s="1018"/>
      <c r="T77" s="1018"/>
      <c r="U77" s="1018"/>
      <c r="V77" s="1018"/>
      <c r="W77" s="1018"/>
      <c r="X77" s="1018"/>
    </row>
    <row r="78" spans="1:24" ht="15" hidden="1" customHeight="1" x14ac:dyDescent="0.25">
      <c r="A78" s="62" t="s">
        <v>126</v>
      </c>
      <c r="B78" s="1349" t="s">
        <v>125</v>
      </c>
      <c r="C78" s="1350"/>
      <c r="D78" s="1018">
        <f t="shared" si="93"/>
        <v>0</v>
      </c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8"/>
      <c r="Q78" s="1018"/>
      <c r="R78" s="1018"/>
      <c r="S78" s="1018"/>
      <c r="T78" s="1018"/>
      <c r="U78" s="1018"/>
      <c r="V78" s="1018"/>
      <c r="W78" s="1018"/>
      <c r="X78" s="1018"/>
    </row>
    <row r="79" spans="1:24" ht="15" hidden="1" customHeight="1" x14ac:dyDescent="0.25">
      <c r="A79" s="62" t="s">
        <v>128</v>
      </c>
      <c r="B79" s="1349" t="s">
        <v>431</v>
      </c>
      <c r="C79" s="1350"/>
      <c r="D79" s="1018">
        <f t="shared" si="93"/>
        <v>0</v>
      </c>
      <c r="E79" s="1018"/>
      <c r="F79" s="1018"/>
      <c r="G79" s="1018"/>
      <c r="H79" s="1018"/>
      <c r="I79" s="1018"/>
      <c r="J79" s="1018"/>
      <c r="K79" s="1018"/>
      <c r="L79" s="1018"/>
      <c r="M79" s="1018"/>
      <c r="N79" s="1018"/>
      <c r="O79" s="1018"/>
      <c r="P79" s="1018"/>
      <c r="Q79" s="1018"/>
      <c r="R79" s="1018"/>
      <c r="S79" s="1018"/>
      <c r="T79" s="1018"/>
      <c r="U79" s="1018"/>
      <c r="V79" s="1018"/>
      <c r="W79" s="1018"/>
      <c r="X79" s="1018"/>
    </row>
    <row r="80" spans="1:24" ht="23.25" hidden="1" customHeight="1" x14ac:dyDescent="0.25">
      <c r="A80" s="62" t="s">
        <v>130</v>
      </c>
      <c r="B80" s="1349" t="s">
        <v>129</v>
      </c>
      <c r="C80" s="1350"/>
      <c r="D80" s="1018">
        <f t="shared" si="93"/>
        <v>0</v>
      </c>
      <c r="E80" s="1018"/>
      <c r="F80" s="1018"/>
      <c r="G80" s="1018"/>
      <c r="H80" s="1018"/>
      <c r="I80" s="1018"/>
      <c r="J80" s="1018"/>
      <c r="K80" s="1018"/>
      <c r="L80" s="1018"/>
      <c r="M80" s="1018"/>
      <c r="N80" s="1018"/>
      <c r="O80" s="1018"/>
      <c r="P80" s="1018"/>
      <c r="Q80" s="1018"/>
      <c r="R80" s="1018"/>
      <c r="S80" s="1018"/>
      <c r="T80" s="1018"/>
      <c r="U80" s="1018"/>
      <c r="V80" s="1018"/>
      <c r="W80" s="1018"/>
      <c r="X80" s="1018"/>
    </row>
    <row r="81" spans="1:24" ht="15" customHeight="1" x14ac:dyDescent="0.25">
      <c r="A81" s="63" t="s">
        <v>131</v>
      </c>
      <c r="B81" s="1347" t="s">
        <v>310</v>
      </c>
      <c r="C81" s="1348"/>
      <c r="D81" s="1018">
        <f t="shared" si="93"/>
        <v>0</v>
      </c>
      <c r="E81" s="116">
        <f t="shared" ref="E81:U81" si="96">SUM(E77:E80)</f>
        <v>0</v>
      </c>
      <c r="F81" s="116">
        <f t="shared" si="96"/>
        <v>0</v>
      </c>
      <c r="G81" s="116">
        <f t="shared" si="96"/>
        <v>0</v>
      </c>
      <c r="H81" s="116">
        <f t="shared" si="96"/>
        <v>0</v>
      </c>
      <c r="I81" s="116">
        <f t="shared" si="96"/>
        <v>0</v>
      </c>
      <c r="J81" s="116">
        <f t="shared" si="96"/>
        <v>0</v>
      </c>
      <c r="K81" s="116">
        <f t="shared" si="96"/>
        <v>0</v>
      </c>
      <c r="L81" s="116">
        <f t="shared" si="96"/>
        <v>0</v>
      </c>
      <c r="M81" s="116">
        <f t="shared" si="96"/>
        <v>0</v>
      </c>
      <c r="N81" s="116">
        <f t="shared" si="96"/>
        <v>0</v>
      </c>
      <c r="O81" s="116">
        <f t="shared" si="96"/>
        <v>0</v>
      </c>
      <c r="P81" s="116">
        <f t="shared" si="96"/>
        <v>0</v>
      </c>
      <c r="Q81" s="116">
        <f t="shared" si="96"/>
        <v>0</v>
      </c>
      <c r="R81" s="116">
        <f t="shared" si="96"/>
        <v>0</v>
      </c>
      <c r="S81" s="116">
        <f t="shared" si="96"/>
        <v>0</v>
      </c>
      <c r="T81" s="116">
        <f t="shared" si="96"/>
        <v>0</v>
      </c>
      <c r="U81" s="116">
        <f t="shared" si="96"/>
        <v>0</v>
      </c>
      <c r="V81" s="116"/>
      <c r="W81" s="116"/>
      <c r="X81" s="116"/>
    </row>
    <row r="82" spans="1:24" s="1057" customFormat="1" x14ac:dyDescent="0.25">
      <c r="A82" s="1038"/>
      <c r="B82" s="1039"/>
      <c r="C82" s="1039"/>
      <c r="D82" s="1040"/>
      <c r="E82" s="1040"/>
      <c r="F82" s="1040"/>
      <c r="G82" s="1040"/>
      <c r="H82" s="1040"/>
      <c r="I82" s="1040"/>
      <c r="J82" s="1040"/>
      <c r="K82" s="1040"/>
      <c r="L82" s="1040"/>
      <c r="M82" s="1040"/>
      <c r="N82" s="1040"/>
      <c r="O82" s="1040"/>
      <c r="P82" s="1040"/>
      <c r="Q82" s="1040"/>
      <c r="R82" s="1040"/>
      <c r="S82" s="1040"/>
      <c r="T82" s="1040"/>
      <c r="U82" s="1040"/>
      <c r="V82" s="1040"/>
      <c r="W82" s="1040"/>
      <c r="X82" s="1040"/>
    </row>
    <row r="83" spans="1:24" ht="15" customHeight="1" x14ac:dyDescent="0.25">
      <c r="A83" s="63" t="s">
        <v>133</v>
      </c>
      <c r="B83" s="1347" t="s">
        <v>157</v>
      </c>
      <c r="C83" s="1348"/>
      <c r="D83" s="1018"/>
      <c r="E83" s="1018"/>
      <c r="F83" s="1018"/>
      <c r="G83" s="1018"/>
      <c r="H83" s="1018"/>
      <c r="I83" s="1018"/>
      <c r="J83" s="1018"/>
      <c r="K83" s="1018"/>
      <c r="L83" s="1018"/>
      <c r="M83" s="1018"/>
      <c r="N83" s="1018"/>
      <c r="O83" s="1018"/>
      <c r="P83" s="1018"/>
      <c r="Q83" s="1018"/>
      <c r="R83" s="1018"/>
      <c r="S83" s="1018"/>
      <c r="T83" s="1018"/>
      <c r="U83" s="1018"/>
      <c r="V83" s="1018"/>
      <c r="W83" s="1018"/>
      <c r="X83" s="1018"/>
    </row>
    <row r="84" spans="1:24" s="1057" customFormat="1" ht="15.75" thickBot="1" x14ac:dyDescent="0.3">
      <c r="A84" s="1038"/>
      <c r="B84" s="1039"/>
      <c r="C84" s="1039"/>
      <c r="D84" s="1040"/>
      <c r="E84" s="1040"/>
      <c r="F84" s="1040"/>
      <c r="G84" s="1040"/>
      <c r="H84" s="1040"/>
      <c r="I84" s="1040"/>
      <c r="J84" s="1040"/>
      <c r="K84" s="1040"/>
      <c r="L84" s="1040"/>
      <c r="M84" s="1040"/>
      <c r="N84" s="1040"/>
      <c r="O84" s="1040"/>
      <c r="P84" s="1040"/>
      <c r="Q84" s="1040"/>
      <c r="R84" s="1040"/>
      <c r="S84" s="1040"/>
      <c r="T84" s="1040"/>
      <c r="U84" s="1040"/>
      <c r="V84" s="1040"/>
      <c r="W84" s="1040"/>
      <c r="X84" s="1040"/>
    </row>
    <row r="85" spans="1:24" ht="15.75" customHeight="1" thickBot="1" x14ac:dyDescent="0.3">
      <c r="A85" s="1058" t="s">
        <v>134</v>
      </c>
      <c r="B85" s="1382" t="s">
        <v>432</v>
      </c>
      <c r="C85" s="1383"/>
      <c r="D85" s="1059">
        <f>+D83+D81+D75+D64+D59+D26+D24</f>
        <v>63323</v>
      </c>
      <c r="E85" s="1059">
        <f>+E83+E81+E75+E64+E59+E26+E24</f>
        <v>-20481</v>
      </c>
      <c r="F85" s="1059">
        <f>+F83+F81+F75+F64+F59+F26+F24</f>
        <v>42842</v>
      </c>
      <c r="G85" s="1059">
        <f t="shared" ref="G85:X85" si="97">+G83+G81+G75+G64+G59+G26+G24</f>
        <v>33841</v>
      </c>
      <c r="H85" s="1060">
        <f t="shared" si="97"/>
        <v>-4498</v>
      </c>
      <c r="I85" s="1060">
        <f t="shared" si="97"/>
        <v>29343</v>
      </c>
      <c r="J85" s="1059">
        <f t="shared" si="97"/>
        <v>12388</v>
      </c>
      <c r="K85" s="1060">
        <f t="shared" si="97"/>
        <v>-4983</v>
      </c>
      <c r="L85" s="1060">
        <f t="shared" si="97"/>
        <v>7405</v>
      </c>
      <c r="M85" s="1059">
        <f t="shared" si="97"/>
        <v>2011</v>
      </c>
      <c r="N85" s="1060">
        <f t="shared" si="97"/>
        <v>-176</v>
      </c>
      <c r="O85" s="1060">
        <f t="shared" si="97"/>
        <v>1835</v>
      </c>
      <c r="P85" s="1059">
        <f t="shared" si="97"/>
        <v>814</v>
      </c>
      <c r="Q85" s="1060">
        <f t="shared" si="97"/>
        <v>-729</v>
      </c>
      <c r="R85" s="1060">
        <f t="shared" si="97"/>
        <v>85</v>
      </c>
      <c r="S85" s="1059">
        <f t="shared" si="97"/>
        <v>3691</v>
      </c>
      <c r="T85" s="1060">
        <f t="shared" si="97"/>
        <v>-1354</v>
      </c>
      <c r="U85" s="1060">
        <f t="shared" si="97"/>
        <v>2337</v>
      </c>
      <c r="V85" s="1059">
        <f t="shared" si="97"/>
        <v>10578</v>
      </c>
      <c r="W85" s="1060">
        <f t="shared" si="97"/>
        <v>-8741</v>
      </c>
      <c r="X85" s="1060">
        <f t="shared" si="97"/>
        <v>1819</v>
      </c>
    </row>
    <row r="86" spans="1:24" x14ac:dyDescent="0.25">
      <c r="D86" s="1062"/>
      <c r="L86" s="74">
        <v>7405</v>
      </c>
      <c r="O86" s="74">
        <v>1835</v>
      </c>
      <c r="U86" s="74">
        <v>2304</v>
      </c>
      <c r="X86" s="74">
        <v>1820</v>
      </c>
    </row>
    <row r="87" spans="1:24" x14ac:dyDescent="0.25">
      <c r="D87" s="1062"/>
      <c r="G87" s="1062"/>
      <c r="J87" s="1062"/>
      <c r="M87" s="1062"/>
      <c r="P87" s="1062"/>
      <c r="S87" s="1062"/>
      <c r="V87" s="1062"/>
    </row>
    <row r="88" spans="1:24" x14ac:dyDescent="0.25">
      <c r="F88" s="1062"/>
    </row>
  </sheetData>
  <mergeCells count="79">
    <mergeCell ref="B5:C5"/>
    <mergeCell ref="B14:C14"/>
    <mergeCell ref="B15:C15"/>
    <mergeCell ref="S2:U2"/>
    <mergeCell ref="V2:X2"/>
    <mergeCell ref="G3:I3"/>
    <mergeCell ref="J3:L3"/>
    <mergeCell ref="M3:O3"/>
    <mergeCell ref="P3:R3"/>
    <mergeCell ref="S3:U3"/>
    <mergeCell ref="V3:X3"/>
    <mergeCell ref="G2:I2"/>
    <mergeCell ref="J2:L2"/>
    <mergeCell ref="M2:O2"/>
    <mergeCell ref="P2:R2"/>
    <mergeCell ref="B10:C10"/>
    <mergeCell ref="B44:C44"/>
    <mergeCell ref="B48:C48"/>
    <mergeCell ref="B16:C16"/>
    <mergeCell ref="B12:C12"/>
    <mergeCell ref="B13:C13"/>
    <mergeCell ref="B21:C21"/>
    <mergeCell ref="B23:C23"/>
    <mergeCell ref="B40:C40"/>
    <mergeCell ref="B26:C26"/>
    <mergeCell ref="B11:C11"/>
    <mergeCell ref="B9:C9"/>
    <mergeCell ref="B81:C81"/>
    <mergeCell ref="B83:C83"/>
    <mergeCell ref="B49:C49"/>
    <mergeCell ref="B24:C24"/>
    <mergeCell ref="B17:C17"/>
    <mergeCell ref="B18:C18"/>
    <mergeCell ref="B19:C19"/>
    <mergeCell ref="B20:C20"/>
    <mergeCell ref="B33:C33"/>
    <mergeCell ref="B47:C47"/>
    <mergeCell ref="B41:C41"/>
    <mergeCell ref="B42:C42"/>
    <mergeCell ref="B43:C43"/>
    <mergeCell ref="B77:C77"/>
    <mergeCell ref="B79:C79"/>
    <mergeCell ref="B80:C80"/>
    <mergeCell ref="B73:C73"/>
    <mergeCell ref="B74:C74"/>
    <mergeCell ref="B78:C78"/>
    <mergeCell ref="B75:C75"/>
    <mergeCell ref="B72:C72"/>
    <mergeCell ref="B61:C61"/>
    <mergeCell ref="B67:C67"/>
    <mergeCell ref="B71:C71"/>
    <mergeCell ref="B70:C70"/>
    <mergeCell ref="B62:C62"/>
    <mergeCell ref="B64:C64"/>
    <mergeCell ref="B68:C68"/>
    <mergeCell ref="B58:C58"/>
    <mergeCell ref="B59:C59"/>
    <mergeCell ref="B50:C50"/>
    <mergeCell ref="B53:C53"/>
    <mergeCell ref="B54:C54"/>
    <mergeCell ref="B52:C52"/>
    <mergeCell ref="B51:C51"/>
    <mergeCell ref="B57:C57"/>
    <mergeCell ref="B85:C85"/>
    <mergeCell ref="A2:A4"/>
    <mergeCell ref="D2:F3"/>
    <mergeCell ref="B2:C4"/>
    <mergeCell ref="B55:C55"/>
    <mergeCell ref="B56:C56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orientation="landscape" cellComments="asDisplayed" r:id="rId1"/>
  <headerFooter>
    <oddHeader>&amp;C&amp;"Times New Roman,Félkövér"&amp;12Martonvásár Város Önkormányzatának kiadásai 2020.
Brunszvik-Beehtoven Kulturális Központ&amp;R&amp;"Times New Roman,Félkövér"&amp;12 6.c melléklet</oddHeader>
  </headerFooter>
  <rowBreaks count="2" manualBreakCount="2">
    <brk id="31" max="16383" man="1"/>
    <brk id="64" max="16383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zoomScaleNormal="100" workbookViewId="0">
      <selection activeCell="D61" sqref="D61"/>
    </sheetView>
  </sheetViews>
  <sheetFormatPr defaultColWidth="9.140625" defaultRowHeight="12.75" x14ac:dyDescent="0.25"/>
  <cols>
    <col min="1" max="1" width="6.85546875" style="147" customWidth="1"/>
    <col min="2" max="2" width="50.140625" style="147" customWidth="1"/>
    <col min="3" max="3" width="13" style="147" customWidth="1"/>
    <col min="4" max="4" width="9.5703125" style="149" bestFit="1" customWidth="1"/>
    <col min="5" max="5" width="10.42578125" style="149" customWidth="1"/>
    <col min="6" max="16384" width="9.140625" style="147"/>
  </cols>
  <sheetData>
    <row r="1" spans="1:6" ht="14.25" customHeight="1" thickBot="1" x14ac:dyDescent="0.25">
      <c r="B1" s="148"/>
      <c r="D1" s="1406" t="s">
        <v>383</v>
      </c>
      <c r="E1" s="1406"/>
      <c r="F1" s="61"/>
    </row>
    <row r="2" spans="1:6" s="148" customFormat="1" ht="39" thickBot="1" x14ac:dyDescent="0.3">
      <c r="A2" s="536" t="s">
        <v>344</v>
      </c>
      <c r="B2" s="537" t="s">
        <v>345</v>
      </c>
      <c r="C2" s="537" t="s">
        <v>951</v>
      </c>
      <c r="D2" s="537" t="s">
        <v>694</v>
      </c>
      <c r="E2" s="537" t="s">
        <v>944</v>
      </c>
    </row>
    <row r="3" spans="1:6" ht="12.75" customHeight="1" x14ac:dyDescent="0.25">
      <c r="A3" s="522">
        <v>1</v>
      </c>
      <c r="B3" s="534"/>
      <c r="C3" s="535"/>
      <c r="D3" s="535"/>
      <c r="E3" s="535"/>
    </row>
    <row r="4" spans="1:6" s="150" customFormat="1" ht="12.75" customHeight="1" x14ac:dyDescent="0.25">
      <c r="A4" s="511">
        <v>2</v>
      </c>
      <c r="B4" s="145" t="s">
        <v>415</v>
      </c>
      <c r="C4" s="146"/>
      <c r="D4" s="146"/>
      <c r="E4" s="146"/>
    </row>
    <row r="5" spans="1:6" s="150" customFormat="1" ht="12.75" customHeight="1" x14ac:dyDescent="0.25">
      <c r="A5" s="511">
        <v>3</v>
      </c>
      <c r="B5" s="145"/>
      <c r="C5" s="146"/>
      <c r="D5" s="146"/>
      <c r="E5" s="146"/>
    </row>
    <row r="6" spans="1:6" s="150" customFormat="1" ht="12.75" customHeight="1" x14ac:dyDescent="0.25">
      <c r="A6" s="511">
        <v>4</v>
      </c>
      <c r="B6" s="104" t="s">
        <v>687</v>
      </c>
      <c r="C6" s="103">
        <v>307037</v>
      </c>
      <c r="D6" s="103"/>
      <c r="E6" s="103">
        <f>C6+D6</f>
        <v>307037</v>
      </c>
    </row>
    <row r="7" spans="1:6" s="150" customFormat="1" ht="12.75" customHeight="1" x14ac:dyDescent="0.25">
      <c r="A7" s="511">
        <v>5</v>
      </c>
      <c r="B7" s="104" t="s">
        <v>688</v>
      </c>
      <c r="C7" s="103">
        <v>739</v>
      </c>
      <c r="D7" s="103"/>
      <c r="E7" s="103">
        <f t="shared" ref="E7:E15" si="0">C7+D7</f>
        <v>739</v>
      </c>
    </row>
    <row r="8" spans="1:6" s="150" customFormat="1" ht="12.75" customHeight="1" x14ac:dyDescent="0.25">
      <c r="A8" s="511">
        <v>6</v>
      </c>
      <c r="B8" s="104" t="s">
        <v>787</v>
      </c>
      <c r="C8" s="103">
        <v>3429</v>
      </c>
      <c r="D8" s="103"/>
      <c r="E8" s="103">
        <f t="shared" si="0"/>
        <v>3429</v>
      </c>
    </row>
    <row r="9" spans="1:6" s="150" customFormat="1" ht="12.75" customHeight="1" x14ac:dyDescent="0.25">
      <c r="A9" s="511">
        <v>7</v>
      </c>
      <c r="B9" s="104" t="s">
        <v>788</v>
      </c>
      <c r="C9" s="103">
        <v>23088</v>
      </c>
      <c r="D9" s="103"/>
      <c r="E9" s="103">
        <f t="shared" si="0"/>
        <v>23088</v>
      </c>
    </row>
    <row r="10" spans="1:6" s="150" customFormat="1" ht="12.75" customHeight="1" x14ac:dyDescent="0.25">
      <c r="A10" s="511">
        <v>8</v>
      </c>
      <c r="B10" s="104" t="s">
        <v>789</v>
      </c>
      <c r="C10" s="103">
        <v>16348</v>
      </c>
      <c r="D10" s="103"/>
      <c r="E10" s="103">
        <f t="shared" si="0"/>
        <v>16348</v>
      </c>
    </row>
    <row r="11" spans="1:6" s="150" customFormat="1" ht="12.75" customHeight="1" x14ac:dyDescent="0.25">
      <c r="A11" s="511">
        <v>9</v>
      </c>
      <c r="B11" s="104" t="s">
        <v>790</v>
      </c>
      <c r="C11" s="103">
        <v>144608</v>
      </c>
      <c r="D11" s="103"/>
      <c r="E11" s="103">
        <f t="shared" si="0"/>
        <v>144608</v>
      </c>
    </row>
    <row r="12" spans="1:6" ht="12.75" customHeight="1" x14ac:dyDescent="0.25">
      <c r="A12" s="511">
        <v>10</v>
      </c>
      <c r="B12" s="102" t="s">
        <v>757</v>
      </c>
      <c r="C12" s="103">
        <v>57400</v>
      </c>
      <c r="D12" s="107"/>
      <c r="E12" s="103">
        <f t="shared" si="0"/>
        <v>57400</v>
      </c>
    </row>
    <row r="13" spans="1:6" ht="12.75" customHeight="1" x14ac:dyDescent="0.25">
      <c r="A13" s="511">
        <v>11</v>
      </c>
      <c r="B13" s="102" t="s">
        <v>791</v>
      </c>
      <c r="C13" s="103">
        <v>146</v>
      </c>
      <c r="D13" s="107"/>
      <c r="E13" s="103">
        <f t="shared" si="0"/>
        <v>146</v>
      </c>
    </row>
    <row r="14" spans="1:6" ht="12.75" customHeight="1" x14ac:dyDescent="0.25">
      <c r="A14" s="511">
        <v>12</v>
      </c>
      <c r="B14" s="102" t="s">
        <v>810</v>
      </c>
      <c r="C14" s="103"/>
      <c r="D14" s="107"/>
      <c r="E14" s="103"/>
    </row>
    <row r="15" spans="1:6" ht="12.75" customHeight="1" x14ac:dyDescent="0.25">
      <c r="A15" s="511">
        <v>13</v>
      </c>
      <c r="B15" s="102" t="s">
        <v>868</v>
      </c>
      <c r="C15" s="103">
        <v>10459</v>
      </c>
      <c r="D15" s="107"/>
      <c r="E15" s="103">
        <f t="shared" si="0"/>
        <v>10459</v>
      </c>
    </row>
    <row r="16" spans="1:6" ht="12.75" customHeight="1" x14ac:dyDescent="0.25">
      <c r="A16" s="511"/>
      <c r="B16" s="102"/>
      <c r="C16" s="103"/>
      <c r="D16" s="107"/>
      <c r="E16" s="107"/>
    </row>
    <row r="17" spans="1:5" s="150" customFormat="1" ht="12.75" customHeight="1" x14ac:dyDescent="0.25">
      <c r="A17" s="511">
        <v>12</v>
      </c>
      <c r="B17" s="151" t="s">
        <v>346</v>
      </c>
      <c r="C17" s="645">
        <f>SUM(C6:C15)</f>
        <v>563254</v>
      </c>
      <c r="D17" s="645">
        <f t="shared" ref="D17:E17" si="1">SUM(D6:D15)</f>
        <v>0</v>
      </c>
      <c r="E17" s="645">
        <f t="shared" si="1"/>
        <v>563254</v>
      </c>
    </row>
    <row r="18" spans="1:5" s="150" customFormat="1" ht="12.75" customHeight="1" x14ac:dyDescent="0.25">
      <c r="A18" s="511">
        <v>13</v>
      </c>
      <c r="B18" s="527"/>
      <c r="C18" s="146"/>
      <c r="D18" s="146"/>
      <c r="E18" s="146"/>
    </row>
    <row r="19" spans="1:5" ht="12.75" customHeight="1" x14ac:dyDescent="0.25">
      <c r="A19" s="511">
        <v>13</v>
      </c>
      <c r="B19" s="109" t="s">
        <v>414</v>
      </c>
      <c r="C19" s="146">
        <f>+C17+C4</f>
        <v>563254</v>
      </c>
      <c r="D19" s="146">
        <f t="shared" ref="D19:E19" si="2">+D17+D4</f>
        <v>0</v>
      </c>
      <c r="E19" s="146">
        <f t="shared" si="2"/>
        <v>563254</v>
      </c>
    </row>
    <row r="20" spans="1:5" ht="12.75" customHeight="1" x14ac:dyDescent="0.25">
      <c r="A20" s="511">
        <v>14</v>
      </c>
      <c r="B20" s="109"/>
      <c r="C20" s="103"/>
      <c r="D20" s="108"/>
      <c r="E20" s="108"/>
    </row>
    <row r="21" spans="1:5" ht="12.75" customHeight="1" x14ac:dyDescent="0.25">
      <c r="A21" s="511">
        <v>15</v>
      </c>
      <c r="B21" s="145" t="s">
        <v>350</v>
      </c>
      <c r="C21" s="103"/>
      <c r="D21" s="108"/>
      <c r="E21" s="108"/>
    </row>
    <row r="22" spans="1:5" ht="12.75" customHeight="1" x14ac:dyDescent="0.25">
      <c r="A22" s="511"/>
      <c r="B22" s="104" t="s">
        <v>792</v>
      </c>
      <c r="C22" s="103"/>
      <c r="D22" s="108"/>
      <c r="E22" s="882">
        <f>C22+D22</f>
        <v>0</v>
      </c>
    </row>
    <row r="23" spans="1:5" ht="12.75" customHeight="1" x14ac:dyDescent="0.25">
      <c r="A23" s="511"/>
      <c r="B23" s="104" t="s">
        <v>811</v>
      </c>
      <c r="C23" s="103">
        <v>24011</v>
      </c>
      <c r="D23" s="882"/>
      <c r="E23" s="882">
        <f>C23+D23</f>
        <v>24011</v>
      </c>
    </row>
    <row r="24" spans="1:5" ht="12.75" customHeight="1" x14ac:dyDescent="0.25">
      <c r="A24" s="511">
        <v>16</v>
      </c>
      <c r="B24" s="152"/>
      <c r="C24" s="106"/>
      <c r="D24" s="107"/>
      <c r="E24" s="107"/>
    </row>
    <row r="25" spans="1:5" ht="12.75" customHeight="1" thickBot="1" x14ac:dyDescent="0.3">
      <c r="A25" s="521">
        <v>17</v>
      </c>
      <c r="B25" s="531" t="s">
        <v>351</v>
      </c>
      <c r="C25" s="895">
        <f>SUM(C22:C24)</f>
        <v>24011</v>
      </c>
      <c r="D25" s="895">
        <f t="shared" ref="D25:E25" si="3">SUM(D22:D24)</f>
        <v>0</v>
      </c>
      <c r="E25" s="895">
        <f t="shared" si="3"/>
        <v>24011</v>
      </c>
    </row>
    <row r="26" spans="1:5" ht="12.75" customHeight="1" thickBot="1" x14ac:dyDescent="0.3">
      <c r="A26" s="523">
        <v>18</v>
      </c>
      <c r="B26" s="896"/>
      <c r="C26" s="897"/>
      <c r="D26" s="898"/>
      <c r="E26" s="899"/>
    </row>
    <row r="27" spans="1:5" ht="25.5" customHeight="1" x14ac:dyDescent="0.25">
      <c r="A27" s="538">
        <v>19</v>
      </c>
      <c r="B27" s="539" t="s">
        <v>639</v>
      </c>
      <c r="C27" s="540"/>
      <c r="D27" s="541"/>
      <c r="E27" s="541"/>
    </row>
    <row r="28" spans="1:5" ht="12" customHeight="1" x14ac:dyDescent="0.25">
      <c r="A28" s="511">
        <v>20</v>
      </c>
      <c r="B28" s="145"/>
      <c r="C28" s="103"/>
      <c r="D28" s="108"/>
      <c r="E28" s="108"/>
    </row>
    <row r="29" spans="1:5" ht="12" customHeight="1" x14ac:dyDescent="0.25">
      <c r="A29" s="511">
        <v>21</v>
      </c>
      <c r="B29" s="145" t="s">
        <v>640</v>
      </c>
      <c r="C29" s="645">
        <f>SUM(C30:C32)</f>
        <v>0</v>
      </c>
      <c r="D29" s="108"/>
      <c r="E29" s="108"/>
    </row>
    <row r="30" spans="1:5" ht="12" customHeight="1" x14ac:dyDescent="0.25">
      <c r="A30" s="511">
        <v>22</v>
      </c>
      <c r="B30" s="105" t="s">
        <v>641</v>
      </c>
      <c r="C30" s="103"/>
      <c r="D30" s="108"/>
      <c r="E30" s="108"/>
    </row>
    <row r="31" spans="1:5" ht="12" hidden="1" customHeight="1" x14ac:dyDescent="0.25">
      <c r="A31" s="511">
        <v>23</v>
      </c>
      <c r="B31" s="105" t="s">
        <v>642</v>
      </c>
      <c r="C31" s="103"/>
      <c r="D31" s="108"/>
      <c r="E31" s="108"/>
    </row>
    <row r="32" spans="1:5" ht="12" hidden="1" customHeight="1" x14ac:dyDescent="0.25">
      <c r="A32" s="511">
        <v>24</v>
      </c>
      <c r="B32" s="105" t="s">
        <v>643</v>
      </c>
      <c r="C32" s="103"/>
      <c r="D32" s="108"/>
      <c r="E32" s="108"/>
    </row>
    <row r="33" spans="1:5" ht="12" customHeight="1" x14ac:dyDescent="0.25">
      <c r="A33" s="511">
        <v>25</v>
      </c>
      <c r="B33" s="109"/>
      <c r="C33" s="103"/>
      <c r="D33" s="108"/>
      <c r="E33" s="108"/>
    </row>
    <row r="34" spans="1:5" ht="12" customHeight="1" x14ac:dyDescent="0.25">
      <c r="A34" s="511">
        <v>26</v>
      </c>
      <c r="B34" s="145" t="s">
        <v>644</v>
      </c>
      <c r="C34" s="645">
        <f>SUM(C35:C37)</f>
        <v>973</v>
      </c>
      <c r="D34" s="645">
        <f t="shared" ref="D34:E34" si="4">SUM(D35:D37)</f>
        <v>-973</v>
      </c>
      <c r="E34" s="645">
        <f t="shared" si="4"/>
        <v>0</v>
      </c>
    </row>
    <row r="35" spans="1:5" ht="12.75" customHeight="1" x14ac:dyDescent="0.25">
      <c r="A35" s="511">
        <v>27</v>
      </c>
      <c r="B35" s="105" t="s">
        <v>641</v>
      </c>
      <c r="C35" s="103">
        <v>973</v>
      </c>
      <c r="D35" s="882">
        <v>-973</v>
      </c>
      <c r="E35" s="882">
        <f>C35+D35</f>
        <v>0</v>
      </c>
    </row>
    <row r="36" spans="1:5" ht="12.75" hidden="1" customHeight="1" x14ac:dyDescent="0.25">
      <c r="A36" s="511">
        <v>28</v>
      </c>
      <c r="B36" s="105" t="s">
        <v>642</v>
      </c>
      <c r="C36" s="103"/>
      <c r="D36" s="108"/>
      <c r="E36" s="108"/>
    </row>
    <row r="37" spans="1:5" ht="12.75" hidden="1" customHeight="1" x14ac:dyDescent="0.25">
      <c r="A37" s="511">
        <v>29</v>
      </c>
      <c r="B37" s="105" t="s">
        <v>643</v>
      </c>
      <c r="C37" s="106"/>
      <c r="D37" s="107"/>
      <c r="E37" s="107"/>
    </row>
    <row r="38" spans="1:5" ht="12.75" customHeight="1" x14ac:dyDescent="0.25">
      <c r="A38" s="511">
        <v>30</v>
      </c>
      <c r="B38" s="104"/>
      <c r="C38" s="106"/>
      <c r="D38" s="107"/>
      <c r="E38" s="107"/>
    </row>
    <row r="39" spans="1:5" ht="12.75" customHeight="1" x14ac:dyDescent="0.25">
      <c r="A39" s="511">
        <v>31</v>
      </c>
      <c r="B39" s="145" t="s">
        <v>655</v>
      </c>
      <c r="C39" s="646">
        <f>SUM(C40:C43)</f>
        <v>98109</v>
      </c>
      <c r="D39" s="646">
        <f t="shared" ref="D39:E39" si="5">SUM(D40:D43)</f>
        <v>3942</v>
      </c>
      <c r="E39" s="646">
        <f t="shared" si="5"/>
        <v>102051</v>
      </c>
    </row>
    <row r="40" spans="1:5" ht="12.75" hidden="1" customHeight="1" x14ac:dyDescent="0.25">
      <c r="A40" s="511">
        <v>32</v>
      </c>
      <c r="B40" s="105" t="s">
        <v>645</v>
      </c>
      <c r="C40" s="106"/>
      <c r="D40" s="107"/>
      <c r="E40" s="107"/>
    </row>
    <row r="41" spans="1:5" ht="12.75" customHeight="1" x14ac:dyDescent="0.25">
      <c r="A41" s="511">
        <v>33</v>
      </c>
      <c r="B41" s="105" t="s">
        <v>641</v>
      </c>
      <c r="C41" s="106">
        <v>98109</v>
      </c>
      <c r="D41" s="107">
        <v>3942</v>
      </c>
      <c r="E41" s="882">
        <f>C41+D41</f>
        <v>102051</v>
      </c>
    </row>
    <row r="42" spans="1:5" ht="12.75" hidden="1" customHeight="1" x14ac:dyDescent="0.25">
      <c r="A42" s="511">
        <v>34</v>
      </c>
      <c r="B42" s="105" t="s">
        <v>642</v>
      </c>
      <c r="C42" s="106"/>
      <c r="D42" s="107"/>
      <c r="E42" s="107"/>
    </row>
    <row r="43" spans="1:5" ht="12.75" hidden="1" customHeight="1" x14ac:dyDescent="0.25">
      <c r="A43" s="511">
        <v>35</v>
      </c>
      <c r="B43" s="105" t="s">
        <v>643</v>
      </c>
      <c r="C43" s="106"/>
      <c r="D43" s="107"/>
      <c r="E43" s="107"/>
    </row>
    <row r="44" spans="1:5" ht="12.75" customHeight="1" x14ac:dyDescent="0.25">
      <c r="A44" s="511">
        <v>36</v>
      </c>
      <c r="B44" s="109"/>
      <c r="C44" s="106"/>
      <c r="D44" s="107"/>
      <c r="E44" s="107"/>
    </row>
    <row r="45" spans="1:5" ht="12.75" customHeight="1" x14ac:dyDescent="0.25">
      <c r="A45" s="511">
        <v>37</v>
      </c>
      <c r="B45" s="145" t="s">
        <v>656</v>
      </c>
      <c r="C45" s="646">
        <f>SUM(C46:C48)</f>
        <v>2135</v>
      </c>
      <c r="D45" s="646">
        <f t="shared" ref="D45:E45" si="6">SUM(D46:D48)</f>
        <v>-2135</v>
      </c>
      <c r="E45" s="646">
        <f t="shared" si="6"/>
        <v>0</v>
      </c>
    </row>
    <row r="46" spans="1:5" ht="12.75" customHeight="1" x14ac:dyDescent="0.25">
      <c r="A46" s="511">
        <v>38</v>
      </c>
      <c r="B46" s="105" t="s">
        <v>641</v>
      </c>
      <c r="C46" s="106">
        <v>2135</v>
      </c>
      <c r="D46" s="107">
        <v>-2135</v>
      </c>
      <c r="E46" s="882">
        <f>C46+D46</f>
        <v>0</v>
      </c>
    </row>
    <row r="47" spans="1:5" ht="12.75" hidden="1" customHeight="1" x14ac:dyDescent="0.25">
      <c r="A47" s="511">
        <v>39</v>
      </c>
      <c r="B47" s="105" t="s">
        <v>642</v>
      </c>
      <c r="C47" s="106"/>
      <c r="D47" s="107"/>
      <c r="E47" s="107"/>
    </row>
    <row r="48" spans="1:5" ht="12.75" hidden="1" customHeight="1" x14ac:dyDescent="0.25">
      <c r="A48" s="511">
        <v>40</v>
      </c>
      <c r="B48" s="105" t="s">
        <v>643</v>
      </c>
      <c r="C48" s="106"/>
      <c r="D48" s="107"/>
      <c r="E48" s="107"/>
    </row>
    <row r="49" spans="1:5" ht="12.75" customHeight="1" x14ac:dyDescent="0.25">
      <c r="A49" s="511">
        <v>41</v>
      </c>
      <c r="B49" s="524"/>
      <c r="C49" s="106"/>
      <c r="D49" s="107"/>
      <c r="E49" s="107"/>
    </row>
    <row r="50" spans="1:5" ht="25.5" customHeight="1" thickBot="1" x14ac:dyDescent="0.3">
      <c r="A50" s="521">
        <v>42</v>
      </c>
      <c r="B50" s="531" t="s">
        <v>651</v>
      </c>
      <c r="C50" s="884">
        <f>+C45+C39+C34+C29</f>
        <v>101217</v>
      </c>
      <c r="D50" s="884">
        <f t="shared" ref="D50:E50" si="7">+D45+D39+D34+D29</f>
        <v>834</v>
      </c>
      <c r="E50" s="884">
        <f t="shared" si="7"/>
        <v>102051</v>
      </c>
    </row>
    <row r="51" spans="1:5" ht="12.75" customHeight="1" thickBot="1" x14ac:dyDescent="0.3">
      <c r="A51" s="523">
        <v>43</v>
      </c>
      <c r="B51" s="900"/>
      <c r="C51" s="901"/>
      <c r="D51" s="902"/>
      <c r="E51" s="903"/>
    </row>
    <row r="52" spans="1:5" ht="32.25" customHeight="1" x14ac:dyDescent="0.25">
      <c r="A52" s="904">
        <v>44</v>
      </c>
      <c r="B52" s="539" t="s">
        <v>869</v>
      </c>
      <c r="C52" s="535"/>
      <c r="D52" s="647"/>
      <c r="E52" s="647"/>
    </row>
    <row r="53" spans="1:5" ht="12.75" customHeight="1" x14ac:dyDescent="0.25">
      <c r="A53" s="905">
        <v>45</v>
      </c>
      <c r="B53" s="104" t="s">
        <v>641</v>
      </c>
      <c r="C53" s="106">
        <v>215795</v>
      </c>
      <c r="D53" s="107"/>
      <c r="E53" s="107">
        <f>C53+D53</f>
        <v>215795</v>
      </c>
    </row>
    <row r="54" spans="1:5" ht="12.75" hidden="1" customHeight="1" x14ac:dyDescent="0.25">
      <c r="A54" s="905">
        <v>46</v>
      </c>
      <c r="B54" s="104" t="s">
        <v>643</v>
      </c>
      <c r="C54" s="106"/>
      <c r="D54" s="107"/>
      <c r="E54" s="107"/>
    </row>
    <row r="55" spans="1:5" ht="12.75" customHeight="1" x14ac:dyDescent="0.25">
      <c r="A55" s="905">
        <v>47</v>
      </c>
      <c r="B55" s="104"/>
      <c r="C55" s="106"/>
      <c r="D55" s="107"/>
      <c r="E55" s="107"/>
    </row>
    <row r="56" spans="1:5" s="150" customFormat="1" ht="27.75" customHeight="1" x14ac:dyDescent="0.25">
      <c r="A56" s="906">
        <v>48</v>
      </c>
      <c r="B56" s="531" t="s">
        <v>870</v>
      </c>
      <c r="C56" s="907">
        <f>+C54+C53</f>
        <v>215795</v>
      </c>
      <c r="D56" s="907">
        <f t="shared" ref="D56:E56" si="8">+D54+D53</f>
        <v>0</v>
      </c>
      <c r="E56" s="907">
        <f t="shared" si="8"/>
        <v>215795</v>
      </c>
    </row>
    <row r="57" spans="1:5" ht="12.75" customHeight="1" thickBot="1" x14ac:dyDescent="0.3">
      <c r="A57" s="908">
        <v>49</v>
      </c>
      <c r="B57" s="909"/>
      <c r="C57" s="910"/>
      <c r="D57" s="911"/>
      <c r="E57" s="911"/>
    </row>
    <row r="58" spans="1:5" ht="12.75" customHeight="1" thickBot="1" x14ac:dyDescent="0.3">
      <c r="A58" s="523">
        <v>50</v>
      </c>
      <c r="B58" s="900"/>
      <c r="C58" s="901"/>
      <c r="D58" s="902"/>
      <c r="E58" s="903"/>
    </row>
    <row r="59" spans="1:5" ht="12.75" customHeight="1" x14ac:dyDescent="0.25">
      <c r="A59" s="522">
        <v>51</v>
      </c>
      <c r="B59" s="912" t="s">
        <v>347</v>
      </c>
      <c r="C59" s="913">
        <f>SUM(C60:C67)</f>
        <v>8603</v>
      </c>
      <c r="D59" s="913">
        <f>SUM(D60:D67)</f>
        <v>2247</v>
      </c>
      <c r="E59" s="913">
        <f>SUM(E60:E67)</f>
        <v>10850</v>
      </c>
    </row>
    <row r="60" spans="1:5" ht="12.75" customHeight="1" x14ac:dyDescent="0.25">
      <c r="A60" s="511">
        <v>52</v>
      </c>
      <c r="B60" s="105" t="s">
        <v>871</v>
      </c>
      <c r="C60" s="106">
        <v>3810</v>
      </c>
      <c r="D60" s="106">
        <f>1100+297</f>
        <v>1397</v>
      </c>
      <c r="E60" s="106">
        <f>C60+D60</f>
        <v>5207</v>
      </c>
    </row>
    <row r="61" spans="1:5" ht="12.75" customHeight="1" x14ac:dyDescent="0.25">
      <c r="A61" s="511">
        <v>53</v>
      </c>
      <c r="B61" s="105" t="s">
        <v>872</v>
      </c>
      <c r="C61" s="106">
        <v>300</v>
      </c>
      <c r="D61" s="106"/>
      <c r="E61" s="106">
        <f>C61+D61</f>
        <v>300</v>
      </c>
    </row>
    <row r="62" spans="1:5" ht="12.75" customHeight="1" x14ac:dyDescent="0.25">
      <c r="A62" s="511">
        <v>54</v>
      </c>
      <c r="B62" s="105" t="s">
        <v>873</v>
      </c>
      <c r="C62" s="106">
        <v>160</v>
      </c>
      <c r="D62" s="106"/>
      <c r="E62" s="106">
        <f t="shared" ref="E62:E67" si="9">C62+D62</f>
        <v>160</v>
      </c>
    </row>
    <row r="63" spans="1:5" ht="12.75" customHeight="1" x14ac:dyDescent="0.25">
      <c r="A63" s="511">
        <v>55</v>
      </c>
      <c r="B63" s="105" t="s">
        <v>883</v>
      </c>
      <c r="C63" s="106">
        <v>60</v>
      </c>
      <c r="D63" s="106"/>
      <c r="E63" s="106">
        <f t="shared" si="9"/>
        <v>60</v>
      </c>
    </row>
    <row r="64" spans="1:5" ht="12.75" customHeight="1" x14ac:dyDescent="0.25">
      <c r="A64" s="511"/>
      <c r="B64" s="105" t="s">
        <v>884</v>
      </c>
      <c r="C64" s="106">
        <v>170</v>
      </c>
      <c r="D64" s="106"/>
      <c r="E64" s="106">
        <f t="shared" ref="E64:E66" si="10">C64+D64</f>
        <v>170</v>
      </c>
    </row>
    <row r="65" spans="1:5" ht="12.75" customHeight="1" x14ac:dyDescent="0.25">
      <c r="A65" s="511"/>
      <c r="B65" s="105" t="s">
        <v>895</v>
      </c>
      <c r="C65" s="106">
        <v>3810</v>
      </c>
      <c r="D65" s="106"/>
      <c r="E65" s="106">
        <f t="shared" si="10"/>
        <v>3810</v>
      </c>
    </row>
    <row r="66" spans="1:5" ht="12.75" customHeight="1" x14ac:dyDescent="0.25">
      <c r="A66" s="511"/>
      <c r="B66" s="105" t="s">
        <v>899</v>
      </c>
      <c r="C66" s="106">
        <v>293</v>
      </c>
      <c r="D66" s="106"/>
      <c r="E66" s="106">
        <f t="shared" si="10"/>
        <v>293</v>
      </c>
    </row>
    <row r="67" spans="1:5" ht="12.75" customHeight="1" x14ac:dyDescent="0.25">
      <c r="A67" s="511"/>
      <c r="B67" s="105" t="s">
        <v>956</v>
      </c>
      <c r="C67" s="106"/>
      <c r="D67" s="106">
        <v>850</v>
      </c>
      <c r="E67" s="106">
        <f t="shared" si="9"/>
        <v>850</v>
      </c>
    </row>
    <row r="68" spans="1:5" ht="12.75" customHeight="1" x14ac:dyDescent="0.25">
      <c r="A68" s="511">
        <v>56</v>
      </c>
      <c r="B68" s="151" t="s">
        <v>348</v>
      </c>
      <c r="C68" s="108">
        <f>+SUM(C69:C70)</f>
        <v>1100</v>
      </c>
      <c r="D68" s="108">
        <f>+SUM(D69:D70)</f>
        <v>0</v>
      </c>
      <c r="E68" s="108">
        <f>+SUM(E69:E70)</f>
        <v>1100</v>
      </c>
    </row>
    <row r="69" spans="1:5" ht="12.75" customHeight="1" x14ac:dyDescent="0.25">
      <c r="A69" s="511"/>
      <c r="B69" s="105" t="s">
        <v>885</v>
      </c>
      <c r="C69" s="103">
        <v>100</v>
      </c>
      <c r="D69" s="882"/>
      <c r="E69" s="107">
        <f>C69+D69</f>
        <v>100</v>
      </c>
    </row>
    <row r="70" spans="1:5" ht="12.75" customHeight="1" x14ac:dyDescent="0.25">
      <c r="A70" s="511">
        <v>57</v>
      </c>
      <c r="B70" s="105" t="s">
        <v>812</v>
      </c>
      <c r="C70" s="106">
        <v>1000</v>
      </c>
      <c r="D70" s="107"/>
      <c r="E70" s="107">
        <f>C70+D70</f>
        <v>1000</v>
      </c>
    </row>
    <row r="71" spans="1:5" s="150" customFormat="1" ht="12.75" customHeight="1" thickBot="1" x14ac:dyDescent="0.3">
      <c r="A71" s="542">
        <v>58</v>
      </c>
      <c r="B71" s="543" t="s">
        <v>349</v>
      </c>
      <c r="C71" s="544">
        <f>+C68+C59</f>
        <v>9703</v>
      </c>
      <c r="D71" s="544">
        <f>+D68+D59</f>
        <v>2247</v>
      </c>
      <c r="E71" s="544">
        <f>+E68+E59</f>
        <v>11950</v>
      </c>
    </row>
    <row r="72" spans="1:5" s="150" customFormat="1" ht="12.75" customHeight="1" thickBot="1" x14ac:dyDescent="0.3">
      <c r="A72" s="546">
        <v>59</v>
      </c>
      <c r="B72" s="525"/>
      <c r="C72" s="526"/>
      <c r="D72" s="526"/>
      <c r="E72" s="526"/>
    </row>
    <row r="73" spans="1:5" ht="12.75" customHeight="1" x14ac:dyDescent="0.25">
      <c r="A73" s="538">
        <v>60</v>
      </c>
      <c r="B73" s="548" t="s">
        <v>558</v>
      </c>
      <c r="C73" s="540"/>
      <c r="D73" s="541"/>
      <c r="E73" s="541"/>
    </row>
    <row r="74" spans="1:5" ht="12.75" customHeight="1" x14ac:dyDescent="0.25">
      <c r="A74" s="511">
        <v>61</v>
      </c>
      <c r="B74" s="649" t="s">
        <v>685</v>
      </c>
      <c r="C74" s="106"/>
      <c r="D74" s="107"/>
      <c r="E74" s="107">
        <f>C74+D74</f>
        <v>0</v>
      </c>
    </row>
    <row r="75" spans="1:5" ht="12.75" customHeight="1" x14ac:dyDescent="0.25">
      <c r="A75" s="511">
        <v>62</v>
      </c>
      <c r="B75" s="649" t="s">
        <v>686</v>
      </c>
      <c r="C75" s="106"/>
      <c r="D75" s="107"/>
      <c r="E75" s="107">
        <f t="shared" ref="E75:E76" si="11">C75+D75</f>
        <v>0</v>
      </c>
    </row>
    <row r="76" spans="1:5" ht="12.75" customHeight="1" x14ac:dyDescent="0.25">
      <c r="A76" s="511">
        <v>63</v>
      </c>
      <c r="B76" s="649" t="s">
        <v>693</v>
      </c>
      <c r="C76" s="106">
        <v>207</v>
      </c>
      <c r="D76" s="107"/>
      <c r="E76" s="107">
        <f t="shared" si="11"/>
        <v>207</v>
      </c>
    </row>
    <row r="77" spans="1:5" ht="12.75" customHeight="1" x14ac:dyDescent="0.25">
      <c r="A77" s="511">
        <v>64</v>
      </c>
      <c r="B77" s="650"/>
      <c r="C77" s="106"/>
      <c r="D77" s="107"/>
      <c r="E77" s="107"/>
    </row>
    <row r="78" spans="1:5" s="150" customFormat="1" ht="12.75" customHeight="1" thickBot="1" x14ac:dyDescent="0.3">
      <c r="A78" s="542">
        <v>65</v>
      </c>
      <c r="B78" s="543" t="s">
        <v>352</v>
      </c>
      <c r="C78" s="544">
        <f>SUM(C74:C77)</f>
        <v>207</v>
      </c>
      <c r="D78" s="544">
        <f>SUM(D74:D77)</f>
        <v>0</v>
      </c>
      <c r="E78" s="544">
        <f>SUM(E74:E77)</f>
        <v>207</v>
      </c>
    </row>
    <row r="79" spans="1:5" s="150" customFormat="1" ht="13.5" customHeight="1" thickBot="1" x14ac:dyDescent="0.3">
      <c r="A79" s="523">
        <v>66</v>
      </c>
      <c r="B79" s="532" t="s">
        <v>353</v>
      </c>
      <c r="C79" s="533">
        <f>+C78++C56+C71+C50+C19+C25</f>
        <v>914187</v>
      </c>
      <c r="D79" s="533">
        <f>+D78++D56+D71+D50+D19+D25</f>
        <v>3081</v>
      </c>
      <c r="E79" s="533">
        <f>+E78++E56+E71+E50+E19+E25</f>
        <v>917268</v>
      </c>
    </row>
    <row r="80" spans="1:5" ht="13.5" customHeight="1" x14ac:dyDescent="0.25">
      <c r="B80" s="110"/>
      <c r="C80" s="153"/>
      <c r="D80" s="154"/>
      <c r="E80" s="154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E4" sqref="E4"/>
    </sheetView>
  </sheetViews>
  <sheetFormatPr defaultColWidth="53.140625" defaultRowHeight="15" x14ac:dyDescent="0.25"/>
  <cols>
    <col min="1" max="1" width="5.5703125" style="91" customWidth="1"/>
    <col min="2" max="2" width="53.140625" style="92" customWidth="1"/>
    <col min="3" max="3" width="13.7109375" style="91" customWidth="1"/>
    <col min="4" max="4" width="13.42578125" style="91" customWidth="1"/>
    <col min="5" max="5" width="13.28515625" style="91" customWidth="1"/>
    <col min="6" max="16384" width="53.140625" style="91"/>
  </cols>
  <sheetData>
    <row r="1" spans="1:5" ht="12.75" customHeight="1" x14ac:dyDescent="0.25"/>
    <row r="2" spans="1:5" ht="12.75" customHeight="1" thickBot="1" x14ac:dyDescent="0.25">
      <c r="D2" s="1407" t="s">
        <v>383</v>
      </c>
      <c r="E2" s="1407"/>
    </row>
    <row r="3" spans="1:5" s="93" customFormat="1" ht="39.75" customHeight="1" thickBot="1" x14ac:dyDescent="0.3">
      <c r="A3" s="551" t="s">
        <v>660</v>
      </c>
      <c r="B3" s="552" t="s">
        <v>646</v>
      </c>
      <c r="C3" s="552" t="s">
        <v>951</v>
      </c>
      <c r="D3" s="552" t="s">
        <v>694</v>
      </c>
      <c r="E3" s="914" t="s">
        <v>944</v>
      </c>
    </row>
    <row r="4" spans="1:5" s="94" customFormat="1" ht="12.75" customHeight="1" x14ac:dyDescent="0.25">
      <c r="A4" s="538" t="s">
        <v>304</v>
      </c>
      <c r="B4" s="553"/>
      <c r="C4" s="547"/>
      <c r="D4" s="547"/>
      <c r="E4" s="920"/>
    </row>
    <row r="5" spans="1:5" s="94" customFormat="1" ht="12.75" customHeight="1" x14ac:dyDescent="0.25">
      <c r="A5" s="511" t="s">
        <v>393</v>
      </c>
      <c r="B5" s="549" t="s">
        <v>647</v>
      </c>
      <c r="C5" s="146"/>
      <c r="D5" s="146"/>
      <c r="E5" s="915"/>
    </row>
    <row r="6" spans="1:5" s="94" customFormat="1" ht="12.75" customHeight="1" x14ac:dyDescent="0.25">
      <c r="A6" s="511" t="s">
        <v>449</v>
      </c>
      <c r="B6" s="104" t="s">
        <v>788</v>
      </c>
      <c r="C6" s="103"/>
      <c r="D6" s="103"/>
      <c r="E6" s="930">
        <f>C6+D6</f>
        <v>0</v>
      </c>
    </row>
    <row r="7" spans="1:5" s="94" customFormat="1" ht="12.75" customHeight="1" x14ac:dyDescent="0.25">
      <c r="A7" s="511" t="s">
        <v>450</v>
      </c>
      <c r="B7" s="104" t="s">
        <v>789</v>
      </c>
      <c r="C7" s="103">
        <v>3953</v>
      </c>
      <c r="D7" s="103"/>
      <c r="E7" s="930">
        <f>C7+D7</f>
        <v>3953</v>
      </c>
    </row>
    <row r="8" spans="1:5" ht="13.5" customHeight="1" x14ac:dyDescent="0.25">
      <c r="A8" s="511" t="s">
        <v>451</v>
      </c>
      <c r="B8" s="550"/>
      <c r="C8" s="103"/>
      <c r="D8" s="107"/>
      <c r="E8" s="916"/>
    </row>
    <row r="9" spans="1:5" ht="12.75" customHeight="1" x14ac:dyDescent="0.25">
      <c r="A9" s="511" t="s">
        <v>452</v>
      </c>
      <c r="B9" s="550" t="s">
        <v>346</v>
      </c>
      <c r="C9" s="146">
        <f>SUM(C6:C8)</f>
        <v>3953</v>
      </c>
      <c r="D9" s="146">
        <f t="shared" ref="D9:E9" si="0">SUM(D6:D8)</f>
        <v>0</v>
      </c>
      <c r="E9" s="146">
        <f t="shared" si="0"/>
        <v>3953</v>
      </c>
    </row>
    <row r="10" spans="1:5" ht="12.75" customHeight="1" x14ac:dyDescent="0.25">
      <c r="A10" s="511" t="s">
        <v>453</v>
      </c>
      <c r="B10" s="527"/>
      <c r="C10" s="146"/>
      <c r="D10" s="146"/>
      <c r="E10" s="915"/>
    </row>
    <row r="11" spans="1:5" ht="12.75" customHeight="1" thickBot="1" x14ac:dyDescent="0.3">
      <c r="A11" s="542" t="s">
        <v>454</v>
      </c>
      <c r="B11" s="543" t="s">
        <v>354</v>
      </c>
      <c r="C11" s="554"/>
      <c r="D11" s="545"/>
      <c r="E11" s="921"/>
    </row>
    <row r="12" spans="1:5" ht="12.75" customHeight="1" x14ac:dyDescent="0.25">
      <c r="A12" s="538" t="s">
        <v>455</v>
      </c>
      <c r="B12" s="557"/>
      <c r="C12" s="540"/>
      <c r="D12" s="886"/>
      <c r="E12" s="923">
        <f>+D12+C12</f>
        <v>0</v>
      </c>
    </row>
    <row r="13" spans="1:5" ht="12.75" customHeight="1" x14ac:dyDescent="0.25">
      <c r="A13" s="511" t="s">
        <v>456</v>
      </c>
      <c r="B13" s="549" t="s">
        <v>350</v>
      </c>
      <c r="C13" s="108">
        <f>C14</f>
        <v>0</v>
      </c>
      <c r="D13" s="108">
        <f t="shared" ref="D13:E13" si="1">D14</f>
        <v>0</v>
      </c>
      <c r="E13" s="108">
        <f t="shared" si="1"/>
        <v>0</v>
      </c>
    </row>
    <row r="14" spans="1:5" ht="12.75" customHeight="1" x14ac:dyDescent="0.25">
      <c r="A14" s="511" t="s">
        <v>765</v>
      </c>
      <c r="B14" s="152" t="s">
        <v>793</v>
      </c>
      <c r="C14" s="106"/>
      <c r="D14" s="107"/>
      <c r="E14" s="930">
        <f>C14+D14</f>
        <v>0</v>
      </c>
    </row>
    <row r="15" spans="1:5" ht="12.75" customHeight="1" x14ac:dyDescent="0.25">
      <c r="A15" s="521" t="s">
        <v>766</v>
      </c>
      <c r="B15" s="931"/>
      <c r="C15" s="910"/>
      <c r="D15" s="911"/>
      <c r="E15" s="932"/>
    </row>
    <row r="16" spans="1:5" ht="12.75" customHeight="1" thickBot="1" x14ac:dyDescent="0.3">
      <c r="A16" s="542" t="s">
        <v>767</v>
      </c>
      <c r="B16" s="543" t="s">
        <v>351</v>
      </c>
      <c r="C16" s="544">
        <f>+C13</f>
        <v>0</v>
      </c>
      <c r="D16" s="544">
        <f>+D13</f>
        <v>0</v>
      </c>
      <c r="E16" s="924">
        <f>+E13</f>
        <v>0</v>
      </c>
    </row>
    <row r="17" spans="1:5" ht="12.75" customHeight="1" thickBot="1" x14ac:dyDescent="0.3">
      <c r="A17" s="546" t="s">
        <v>768</v>
      </c>
      <c r="B17" s="525"/>
      <c r="C17" s="520"/>
      <c r="D17" s="526"/>
      <c r="E17" s="925"/>
    </row>
    <row r="18" spans="1:5" s="147" customFormat="1" ht="25.5" customHeight="1" x14ac:dyDescent="0.25">
      <c r="A18" s="538" t="s">
        <v>769</v>
      </c>
      <c r="B18" s="548" t="s">
        <v>650</v>
      </c>
      <c r="C18" s="540"/>
      <c r="D18" s="541"/>
      <c r="E18" s="883"/>
    </row>
    <row r="19" spans="1:5" ht="12.75" customHeight="1" thickBot="1" x14ac:dyDescent="0.3">
      <c r="A19" s="542" t="s">
        <v>770</v>
      </c>
      <c r="B19" s="543"/>
      <c r="C19" s="554"/>
      <c r="D19" s="545"/>
      <c r="E19" s="921"/>
    </row>
    <row r="20" spans="1:5" ht="12.75" customHeight="1" x14ac:dyDescent="0.25">
      <c r="A20" s="522" t="s">
        <v>771</v>
      </c>
      <c r="B20" s="922" t="s">
        <v>644</v>
      </c>
      <c r="C20" s="919"/>
      <c r="D20" s="926"/>
      <c r="E20" s="927"/>
    </row>
    <row r="21" spans="1:5" ht="12.75" customHeight="1" x14ac:dyDescent="0.25">
      <c r="A21" s="511" t="s">
        <v>772</v>
      </c>
      <c r="B21" s="104" t="s">
        <v>648</v>
      </c>
      <c r="C21" s="103"/>
      <c r="D21" s="108"/>
      <c r="E21" s="918">
        <f>+D21+C21</f>
        <v>0</v>
      </c>
    </row>
    <row r="22" spans="1:5" ht="12.75" customHeight="1" x14ac:dyDescent="0.25">
      <c r="A22" s="511" t="s">
        <v>773</v>
      </c>
      <c r="B22" s="104" t="s">
        <v>657</v>
      </c>
      <c r="C22" s="103"/>
      <c r="D22" s="108"/>
      <c r="E22" s="918">
        <f t="shared" ref="E22:E38" si="2">+D22+C22</f>
        <v>0</v>
      </c>
    </row>
    <row r="23" spans="1:5" s="147" customFormat="1" ht="25.5" customHeight="1" thickBot="1" x14ac:dyDescent="0.3">
      <c r="A23" s="542" t="s">
        <v>774</v>
      </c>
      <c r="B23" s="543" t="s">
        <v>654</v>
      </c>
      <c r="C23" s="544">
        <f>SUM(C21:C22)</f>
        <v>0</v>
      </c>
      <c r="D23" s="544">
        <f>SUM(D21:D22)</f>
        <v>0</v>
      </c>
      <c r="E23" s="921">
        <f t="shared" si="2"/>
        <v>0</v>
      </c>
    </row>
    <row r="24" spans="1:5" s="147" customFormat="1" ht="25.15" customHeight="1" x14ac:dyDescent="0.25">
      <c r="A24" s="522">
        <v>40</v>
      </c>
      <c r="B24" s="539" t="s">
        <v>874</v>
      </c>
      <c r="C24" s="535"/>
      <c r="D24" s="647"/>
      <c r="E24" s="1005"/>
    </row>
    <row r="25" spans="1:5" s="147" customFormat="1" ht="12.75" customHeight="1" x14ac:dyDescent="0.25">
      <c r="A25" s="511">
        <v>41</v>
      </c>
      <c r="B25" s="104" t="s">
        <v>648</v>
      </c>
      <c r="C25" s="106">
        <v>123218</v>
      </c>
      <c r="D25" s="107"/>
      <c r="E25" s="918">
        <f>+D25+C25</f>
        <v>123218</v>
      </c>
    </row>
    <row r="26" spans="1:5" s="147" customFormat="1" ht="25.15" customHeight="1" thickBot="1" x14ac:dyDescent="0.3">
      <c r="A26" s="1006">
        <v>43</v>
      </c>
      <c r="B26" s="531" t="s">
        <v>875</v>
      </c>
      <c r="C26" s="907">
        <f>+C25</f>
        <v>123218</v>
      </c>
      <c r="D26" s="907">
        <f>+D25</f>
        <v>0</v>
      </c>
      <c r="E26" s="1007">
        <f>+E25</f>
        <v>123218</v>
      </c>
    </row>
    <row r="27" spans="1:5" s="95" customFormat="1" ht="12.75" customHeight="1" x14ac:dyDescent="0.25">
      <c r="A27" s="538" t="s">
        <v>775</v>
      </c>
      <c r="B27" s="557"/>
      <c r="C27" s="547"/>
      <c r="D27" s="558"/>
      <c r="E27" s="929">
        <f t="shared" si="2"/>
        <v>0</v>
      </c>
    </row>
    <row r="28" spans="1:5" s="95" customFormat="1" ht="12.75" customHeight="1" x14ac:dyDescent="0.25">
      <c r="A28" s="511" t="s">
        <v>776</v>
      </c>
      <c r="B28" s="104" t="s">
        <v>689</v>
      </c>
      <c r="C28" s="106"/>
      <c r="D28" s="107"/>
      <c r="E28" s="916">
        <f t="shared" si="2"/>
        <v>0</v>
      </c>
    </row>
    <row r="29" spans="1:5" s="95" customFormat="1" ht="12.75" customHeight="1" x14ac:dyDescent="0.25">
      <c r="A29" s="511"/>
      <c r="B29" s="104" t="s">
        <v>886</v>
      </c>
      <c r="C29" s="106">
        <v>316</v>
      </c>
      <c r="D29" s="107"/>
      <c r="E29" s="916">
        <f t="shared" si="2"/>
        <v>316</v>
      </c>
    </row>
    <row r="30" spans="1:5" s="95" customFormat="1" ht="12.75" customHeight="1" x14ac:dyDescent="0.25">
      <c r="A30" s="511" t="s">
        <v>777</v>
      </c>
      <c r="B30" s="151" t="s">
        <v>355</v>
      </c>
      <c r="C30" s="646">
        <f>SUM(C28:C29)</f>
        <v>316</v>
      </c>
      <c r="D30" s="646">
        <f>SUM(D28:D29)</f>
        <v>0</v>
      </c>
      <c r="E30" s="885">
        <f t="shared" si="2"/>
        <v>316</v>
      </c>
    </row>
    <row r="31" spans="1:5" x14ac:dyDescent="0.25">
      <c r="A31" s="511" t="s">
        <v>778</v>
      </c>
      <c r="B31" s="105"/>
      <c r="C31" s="106"/>
      <c r="D31" s="107"/>
      <c r="E31" s="916">
        <f t="shared" si="2"/>
        <v>0</v>
      </c>
    </row>
    <row r="32" spans="1:5" x14ac:dyDescent="0.25">
      <c r="A32" s="511" t="s">
        <v>779</v>
      </c>
      <c r="B32" s="550" t="s">
        <v>649</v>
      </c>
      <c r="C32" s="103"/>
      <c r="D32" s="108"/>
      <c r="E32" s="917">
        <f t="shared" si="2"/>
        <v>0</v>
      </c>
    </row>
    <row r="33" spans="1:5" x14ac:dyDescent="0.25">
      <c r="A33" s="511" t="s">
        <v>780</v>
      </c>
      <c r="B33" s="105"/>
      <c r="C33" s="106"/>
      <c r="D33" s="107"/>
      <c r="E33" s="916">
        <f t="shared" si="2"/>
        <v>0</v>
      </c>
    </row>
    <row r="34" spans="1:5" ht="12.75" customHeight="1" thickBot="1" x14ac:dyDescent="0.3">
      <c r="A34" s="542" t="s">
        <v>781</v>
      </c>
      <c r="B34" s="543" t="s">
        <v>356</v>
      </c>
      <c r="C34" s="544">
        <f>+C30+C32</f>
        <v>316</v>
      </c>
      <c r="D34" s="544">
        <f>+D30+D32</f>
        <v>0</v>
      </c>
      <c r="E34" s="924">
        <f t="shared" si="2"/>
        <v>316</v>
      </c>
    </row>
    <row r="35" spans="1:5" x14ac:dyDescent="0.25">
      <c r="A35" s="522" t="s">
        <v>782</v>
      </c>
      <c r="B35" s="555"/>
      <c r="C35" s="555"/>
      <c r="D35" s="556"/>
      <c r="E35" s="928">
        <f t="shared" si="2"/>
        <v>0</v>
      </c>
    </row>
    <row r="36" spans="1:5" x14ac:dyDescent="0.25">
      <c r="A36" s="511" t="s">
        <v>783</v>
      </c>
      <c r="B36" s="109" t="s">
        <v>652</v>
      </c>
      <c r="C36" s="103"/>
      <c r="D36" s="108"/>
      <c r="E36" s="917">
        <f t="shared" si="2"/>
        <v>0</v>
      </c>
    </row>
    <row r="37" spans="1:5" x14ac:dyDescent="0.25">
      <c r="A37" s="511" t="s">
        <v>784</v>
      </c>
      <c r="B37" s="105"/>
      <c r="C37" s="106"/>
      <c r="D37" s="107"/>
      <c r="E37" s="916">
        <f t="shared" si="2"/>
        <v>0</v>
      </c>
    </row>
    <row r="38" spans="1:5" x14ac:dyDescent="0.25">
      <c r="A38" s="511" t="s">
        <v>785</v>
      </c>
      <c r="B38" s="109" t="s">
        <v>357</v>
      </c>
      <c r="C38" s="146">
        <f t="shared" ref="C38" si="3">SUM(C37:C37)</f>
        <v>0</v>
      </c>
      <c r="D38" s="146"/>
      <c r="E38" s="915">
        <f t="shared" si="2"/>
        <v>0</v>
      </c>
    </row>
    <row r="39" spans="1:5" ht="15.75" thickBot="1" x14ac:dyDescent="0.3">
      <c r="A39" s="542" t="s">
        <v>786</v>
      </c>
      <c r="B39" s="374" t="s">
        <v>653</v>
      </c>
      <c r="C39" s="375">
        <f>+C23+C34+C16+C9+C26</f>
        <v>127487</v>
      </c>
      <c r="D39" s="375">
        <f>+D23+D34+D16+D9+D26</f>
        <v>0</v>
      </c>
      <c r="E39" s="375">
        <f>+E23+E34+E16+E9+E26</f>
        <v>127487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7.85546875" style="634" bestFit="1" customWidth="1"/>
    <col min="2" max="2" width="29.5703125" style="634" customWidth="1"/>
    <col min="3" max="3" width="13" style="634" customWidth="1"/>
    <col min="4" max="4" width="13.5703125" style="634" customWidth="1"/>
    <col min="5" max="5" width="13.7109375" style="634" customWidth="1"/>
    <col min="6" max="16384" width="9.140625" style="634"/>
  </cols>
  <sheetData>
    <row r="1" spans="1:5" ht="15.75" thickBot="1" x14ac:dyDescent="0.3"/>
    <row r="2" spans="1:5" ht="15" customHeight="1" x14ac:dyDescent="0.25">
      <c r="A2" s="1408" t="s">
        <v>358</v>
      </c>
      <c r="B2" s="1410" t="s">
        <v>278</v>
      </c>
      <c r="C2" s="1412" t="s">
        <v>952</v>
      </c>
      <c r="D2" s="1414" t="s">
        <v>845</v>
      </c>
      <c r="E2" s="1414" t="s">
        <v>953</v>
      </c>
    </row>
    <row r="3" spans="1:5" x14ac:dyDescent="0.25">
      <c r="A3" s="1409"/>
      <c r="B3" s="1411"/>
      <c r="C3" s="1413"/>
      <c r="D3" s="1415"/>
      <c r="E3" s="1415"/>
    </row>
    <row r="4" spans="1:5" x14ac:dyDescent="0.25">
      <c r="A4" s="1409"/>
      <c r="B4" s="1411"/>
      <c r="C4" s="1413"/>
      <c r="D4" s="1415"/>
      <c r="E4" s="1415"/>
    </row>
    <row r="5" spans="1:5" x14ac:dyDescent="0.25">
      <c r="A5" s="1409"/>
      <c r="B5" s="1411"/>
      <c r="C5" s="1413"/>
      <c r="D5" s="1415"/>
      <c r="E5" s="1415"/>
    </row>
    <row r="6" spans="1:5" x14ac:dyDescent="0.25">
      <c r="A6" s="635" t="s">
        <v>300</v>
      </c>
      <c r="B6" s="636" t="s">
        <v>307</v>
      </c>
      <c r="C6" s="651" t="s">
        <v>301</v>
      </c>
      <c r="D6" s="656" t="s">
        <v>302</v>
      </c>
      <c r="E6" s="656" t="s">
        <v>303</v>
      </c>
    </row>
    <row r="7" spans="1:5" x14ac:dyDescent="0.25">
      <c r="A7" s="637">
        <v>1</v>
      </c>
      <c r="B7" s="116" t="s">
        <v>262</v>
      </c>
      <c r="C7" s="652">
        <v>3</v>
      </c>
      <c r="D7" s="657"/>
      <c r="E7" s="657">
        <f>+C7+D7</f>
        <v>3</v>
      </c>
    </row>
    <row r="8" spans="1:5" x14ac:dyDescent="0.25">
      <c r="A8" s="637">
        <v>2</v>
      </c>
      <c r="B8" s="116" t="s">
        <v>359</v>
      </c>
      <c r="C8" s="652"/>
      <c r="D8" s="657"/>
      <c r="E8" s="657"/>
    </row>
    <row r="9" spans="1:5" x14ac:dyDescent="0.25">
      <c r="A9" s="637">
        <v>3</v>
      </c>
      <c r="B9" s="638" t="s">
        <v>288</v>
      </c>
      <c r="C9" s="653">
        <v>35.5</v>
      </c>
      <c r="D9" s="653"/>
      <c r="E9" s="658">
        <f>+C9+D9</f>
        <v>35.5</v>
      </c>
    </row>
    <row r="10" spans="1:5" x14ac:dyDescent="0.25">
      <c r="A10" s="637">
        <v>4</v>
      </c>
      <c r="B10" s="638" t="s">
        <v>360</v>
      </c>
      <c r="C10" s="653">
        <v>9</v>
      </c>
      <c r="D10" s="658"/>
      <c r="E10" s="658">
        <f>+C10+D10</f>
        <v>9</v>
      </c>
    </row>
    <row r="11" spans="1:5" x14ac:dyDescent="0.25">
      <c r="A11" s="637">
        <v>5</v>
      </c>
      <c r="B11" s="116" t="s">
        <v>361</v>
      </c>
      <c r="C11" s="654">
        <f t="shared" ref="C11:E11" si="0">SUM(C9:C10)</f>
        <v>44.5</v>
      </c>
      <c r="D11" s="659">
        <f t="shared" ref="D11" si="1">SUM(D9:D10)</f>
        <v>0</v>
      </c>
      <c r="E11" s="659">
        <f t="shared" si="0"/>
        <v>44.5</v>
      </c>
    </row>
    <row r="12" spans="1:5" x14ac:dyDescent="0.25">
      <c r="A12" s="637">
        <v>6</v>
      </c>
      <c r="B12" s="116" t="s">
        <v>379</v>
      </c>
      <c r="C12" s="644" t="s">
        <v>633</v>
      </c>
      <c r="D12" s="660" t="s">
        <v>633</v>
      </c>
      <c r="E12" s="660" t="s">
        <v>633</v>
      </c>
    </row>
    <row r="13" spans="1:5" x14ac:dyDescent="0.25">
      <c r="A13" s="637"/>
      <c r="B13" s="116" t="s">
        <v>587</v>
      </c>
      <c r="C13" s="652"/>
      <c r="D13" s="657"/>
      <c r="E13" s="657"/>
    </row>
    <row r="14" spans="1:5" x14ac:dyDescent="0.25">
      <c r="A14" s="637">
        <v>7</v>
      </c>
      <c r="B14" s="116" t="s">
        <v>362</v>
      </c>
      <c r="C14" s="652">
        <v>3</v>
      </c>
      <c r="D14" s="657"/>
      <c r="E14" s="657">
        <f>+C14+D14</f>
        <v>3</v>
      </c>
    </row>
    <row r="15" spans="1:5" x14ac:dyDescent="0.25">
      <c r="A15" s="637">
        <v>8</v>
      </c>
      <c r="B15" s="116" t="s">
        <v>363</v>
      </c>
      <c r="C15" s="652">
        <v>1</v>
      </c>
      <c r="D15" s="657"/>
      <c r="E15" s="657">
        <f>+C15+D15</f>
        <v>1</v>
      </c>
    </row>
    <row r="16" spans="1:5" ht="15.75" thickBot="1" x14ac:dyDescent="0.3">
      <c r="A16" s="639">
        <v>9</v>
      </c>
      <c r="B16" s="640" t="s">
        <v>364</v>
      </c>
      <c r="C16" s="655">
        <f>SUM(C11:C15)+C7</f>
        <v>51.5</v>
      </c>
      <c r="D16" s="661">
        <f>SUM(D11:D15)+D7</f>
        <v>0</v>
      </c>
      <c r="E16" s="661">
        <f>SUM(E11:E15)+E7</f>
        <v>51.5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2020.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3" sqref="E23"/>
    </sheetView>
  </sheetViews>
  <sheetFormatPr defaultColWidth="9.140625" defaultRowHeight="15" x14ac:dyDescent="0.25"/>
  <cols>
    <col min="1" max="1" width="5.85546875" style="203" customWidth="1"/>
    <col min="2" max="2" width="42.5703125" style="204" customWidth="1"/>
    <col min="3" max="8" width="11" style="204" customWidth="1"/>
    <col min="9" max="9" width="12.140625" style="204" customWidth="1"/>
    <col min="10" max="10" width="13.28515625" style="204" customWidth="1"/>
    <col min="11" max="16384" width="9.140625" style="204"/>
  </cols>
  <sheetData>
    <row r="1" spans="1:11" s="239" customFormat="1" ht="26.25" customHeight="1" thickBot="1" x14ac:dyDescent="0.3">
      <c r="A1" s="203"/>
      <c r="B1" s="204"/>
      <c r="C1" s="204"/>
      <c r="D1" s="204"/>
      <c r="E1" s="204"/>
      <c r="F1" s="204"/>
      <c r="G1" s="204"/>
      <c r="H1" s="204"/>
      <c r="I1" s="204"/>
      <c r="J1" s="238" t="s">
        <v>448</v>
      </c>
    </row>
    <row r="2" spans="1:11" s="240" customFormat="1" ht="32.25" customHeight="1" thickBot="1" x14ac:dyDescent="0.3">
      <c r="A2" s="1423" t="s">
        <v>463</v>
      </c>
      <c r="B2" s="1425" t="s">
        <v>464</v>
      </c>
      <c r="C2" s="1423" t="s">
        <v>465</v>
      </c>
      <c r="D2" s="1423" t="s">
        <v>466</v>
      </c>
      <c r="E2" s="1416" t="s">
        <v>467</v>
      </c>
      <c r="F2" s="1417"/>
      <c r="G2" s="1417"/>
      <c r="H2" s="1417"/>
      <c r="I2" s="1418"/>
      <c r="J2" s="1419" t="s">
        <v>179</v>
      </c>
    </row>
    <row r="3" spans="1:11" s="244" customFormat="1" ht="37.5" customHeight="1" thickBot="1" x14ac:dyDescent="0.3">
      <c r="A3" s="1424"/>
      <c r="B3" s="1426"/>
      <c r="C3" s="1420"/>
      <c r="D3" s="1424"/>
      <c r="E3" s="241" t="s">
        <v>468</v>
      </c>
      <c r="F3" s="242" t="s">
        <v>469</v>
      </c>
      <c r="G3" s="242" t="s">
        <v>470</v>
      </c>
      <c r="H3" s="242" t="s">
        <v>471</v>
      </c>
      <c r="I3" s="243" t="s">
        <v>561</v>
      </c>
      <c r="J3" s="1420"/>
    </row>
    <row r="4" spans="1:11" ht="20.100000000000001" customHeight="1" x14ac:dyDescent="0.25">
      <c r="A4" s="245">
        <v>1</v>
      </c>
      <c r="B4" s="246">
        <v>2</v>
      </c>
      <c r="C4" s="245">
        <v>3</v>
      </c>
      <c r="D4" s="245">
        <v>4</v>
      </c>
      <c r="E4" s="247">
        <v>5</v>
      </c>
      <c r="F4" s="248">
        <v>6</v>
      </c>
      <c r="G4" s="248">
        <v>7</v>
      </c>
      <c r="H4" s="248">
        <v>8</v>
      </c>
      <c r="I4" s="249">
        <v>9</v>
      </c>
      <c r="J4" s="245" t="s">
        <v>472</v>
      </c>
    </row>
    <row r="5" spans="1:11" s="258" customFormat="1" ht="20.100000000000001" customHeight="1" x14ac:dyDescent="0.25">
      <c r="A5" s="250" t="s">
        <v>304</v>
      </c>
      <c r="B5" s="251" t="s">
        <v>473</v>
      </c>
      <c r="C5" s="252"/>
      <c r="D5" s="253"/>
      <c r="E5" s="254">
        <f>SUM(E6:E6)</f>
        <v>0</v>
      </c>
      <c r="F5" s="255"/>
      <c r="G5" s="255"/>
      <c r="H5" s="255"/>
      <c r="I5" s="256"/>
      <c r="J5" s="257"/>
    </row>
    <row r="6" spans="1:11" ht="20.100000000000001" customHeight="1" x14ac:dyDescent="0.25">
      <c r="A6" s="250" t="s">
        <v>393</v>
      </c>
      <c r="B6" s="259"/>
      <c r="C6" s="260"/>
      <c r="D6" s="261"/>
      <c r="E6" s="262"/>
      <c r="F6" s="263"/>
      <c r="G6" s="263"/>
      <c r="H6" s="263"/>
      <c r="I6" s="264"/>
      <c r="J6" s="257"/>
    </row>
    <row r="7" spans="1:11" ht="20.100000000000001" customHeight="1" x14ac:dyDescent="0.25">
      <c r="A7" s="250" t="s">
        <v>449</v>
      </c>
      <c r="B7" s="265"/>
      <c r="C7" s="266"/>
      <c r="D7" s="261"/>
      <c r="E7" s="262"/>
      <c r="F7" s="263"/>
      <c r="G7" s="263"/>
      <c r="H7" s="263"/>
      <c r="I7" s="264"/>
      <c r="J7" s="257"/>
    </row>
    <row r="8" spans="1:11" ht="20.100000000000001" customHeight="1" x14ac:dyDescent="0.25">
      <c r="A8" s="250" t="s">
        <v>450</v>
      </c>
      <c r="B8" s="265"/>
      <c r="C8" s="266"/>
      <c r="D8" s="261"/>
      <c r="E8" s="262"/>
      <c r="F8" s="263"/>
      <c r="G8" s="263"/>
      <c r="H8" s="263"/>
      <c r="I8" s="264"/>
      <c r="J8" s="257"/>
    </row>
    <row r="9" spans="1:11" s="258" customFormat="1" ht="20.100000000000001" customHeight="1" x14ac:dyDescent="0.25">
      <c r="A9" s="250" t="s">
        <v>451</v>
      </c>
      <c r="B9" s="267" t="s">
        <v>474</v>
      </c>
      <c r="C9" s="268"/>
      <c r="D9" s="253">
        <f t="shared" ref="D9:J9" si="0">SUM(D10:D11)</f>
        <v>0</v>
      </c>
      <c r="E9" s="254">
        <f t="shared" si="0"/>
        <v>0</v>
      </c>
      <c r="F9" s="255">
        <f t="shared" si="0"/>
        <v>0</v>
      </c>
      <c r="G9" s="255">
        <f t="shared" si="0"/>
        <v>0</v>
      </c>
      <c r="H9" s="255">
        <f t="shared" si="0"/>
        <v>0</v>
      </c>
      <c r="I9" s="256">
        <f t="shared" si="0"/>
        <v>0</v>
      </c>
      <c r="J9" s="253">
        <f t="shared" si="0"/>
        <v>0</v>
      </c>
    </row>
    <row r="10" spans="1:11" ht="20.100000000000001" customHeight="1" x14ac:dyDescent="0.25">
      <c r="A10" s="250" t="s">
        <v>452</v>
      </c>
      <c r="B10" s="259"/>
      <c r="C10" s="260"/>
      <c r="D10" s="261">
        <v>0</v>
      </c>
      <c r="E10" s="262">
        <v>0</v>
      </c>
      <c r="F10" s="263">
        <v>0</v>
      </c>
      <c r="G10" s="263">
        <v>0</v>
      </c>
      <c r="H10" s="263">
        <v>0</v>
      </c>
      <c r="I10" s="264">
        <v>0</v>
      </c>
      <c r="J10" s="257">
        <f>SUM(D10:I10)</f>
        <v>0</v>
      </c>
    </row>
    <row r="11" spans="1:11" ht="20.100000000000001" customHeight="1" x14ac:dyDescent="0.25">
      <c r="A11" s="250" t="s">
        <v>453</v>
      </c>
      <c r="B11" s="259"/>
      <c r="C11" s="260"/>
      <c r="D11" s="261"/>
      <c r="E11" s="262"/>
      <c r="F11" s="263"/>
      <c r="G11" s="263"/>
      <c r="H11" s="263"/>
      <c r="I11" s="264"/>
      <c r="J11" s="257">
        <f>SUM(D11:I11)</f>
        <v>0</v>
      </c>
      <c r="K11" s="269"/>
    </row>
    <row r="12" spans="1:11" ht="19.5" customHeight="1" x14ac:dyDescent="0.25">
      <c r="A12" s="250" t="s">
        <v>454</v>
      </c>
      <c r="B12" s="259"/>
      <c r="C12" s="260"/>
      <c r="D12" s="261"/>
      <c r="E12" s="262"/>
      <c r="F12" s="263"/>
      <c r="G12" s="263"/>
      <c r="H12" s="263"/>
      <c r="I12" s="264"/>
      <c r="J12" s="257"/>
    </row>
    <row r="13" spans="1:11" ht="20.100000000000001" customHeight="1" x14ac:dyDescent="0.25">
      <c r="A13" s="250" t="s">
        <v>455</v>
      </c>
      <c r="B13" s="270"/>
      <c r="C13" s="271"/>
      <c r="D13" s="272"/>
      <c r="E13" s="273"/>
      <c r="F13" s="274"/>
      <c r="G13" s="274"/>
      <c r="H13" s="274"/>
      <c r="I13" s="275"/>
      <c r="J13" s="257"/>
    </row>
    <row r="14" spans="1:11" s="258" customFormat="1" ht="12.75" x14ac:dyDescent="0.25">
      <c r="A14" s="250" t="s">
        <v>456</v>
      </c>
      <c r="B14" s="276" t="s">
        <v>475</v>
      </c>
      <c r="C14" s="268"/>
      <c r="D14" s="277">
        <f>+D15+D16</f>
        <v>0</v>
      </c>
      <c r="E14" s="277">
        <f t="shared" ref="E14:J14" si="1">+E15+E16</f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  <c r="J14" s="277">
        <f t="shared" si="1"/>
        <v>0</v>
      </c>
    </row>
    <row r="15" spans="1:11" s="282" customFormat="1" x14ac:dyDescent="0.25">
      <c r="A15" s="250"/>
      <c r="B15" s="489"/>
      <c r="C15" s="278"/>
      <c r="D15" s="279"/>
      <c r="E15" s="280"/>
      <c r="F15" s="205"/>
      <c r="G15" s="205"/>
      <c r="H15" s="205"/>
      <c r="I15" s="281"/>
      <c r="J15" s="257"/>
    </row>
    <row r="16" spans="1:11" ht="15.75" thickBot="1" x14ac:dyDescent="0.3">
      <c r="A16" s="283"/>
      <c r="B16" s="489"/>
      <c r="C16" s="278"/>
      <c r="D16" s="284"/>
      <c r="E16" s="285"/>
      <c r="F16" s="286"/>
      <c r="G16" s="286"/>
      <c r="H16" s="286"/>
      <c r="I16" s="287"/>
      <c r="J16" s="257"/>
    </row>
    <row r="17" spans="1:10" s="258" customFormat="1" ht="13.5" thickBot="1" x14ac:dyDescent="0.3">
      <c r="A17" s="1421" t="s">
        <v>476</v>
      </c>
      <c r="B17" s="1422"/>
      <c r="C17" s="288"/>
      <c r="D17" s="289">
        <f>+D14+D9</f>
        <v>0</v>
      </c>
      <c r="E17" s="290">
        <f t="shared" ref="E17:J17" si="2">+E14+E9</f>
        <v>0</v>
      </c>
      <c r="F17" s="291">
        <f t="shared" si="2"/>
        <v>0</v>
      </c>
      <c r="G17" s="291">
        <f t="shared" si="2"/>
        <v>0</v>
      </c>
      <c r="H17" s="291">
        <f t="shared" si="2"/>
        <v>0</v>
      </c>
      <c r="I17" s="292">
        <f t="shared" si="2"/>
        <v>0</v>
      </c>
      <c r="J17" s="289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G34" sqref="G34"/>
    </sheetView>
  </sheetViews>
  <sheetFormatPr defaultColWidth="9.140625" defaultRowHeight="12.75" x14ac:dyDescent="0.2"/>
  <cols>
    <col min="1" max="1" width="31.42578125" style="207" customWidth="1"/>
    <col min="2" max="2" width="9.28515625" style="207" customWidth="1"/>
    <col min="3" max="10" width="8.85546875" style="207" bestFit="1" customWidth="1"/>
    <col min="11" max="11" width="10.42578125" style="207" customWidth="1"/>
    <col min="12" max="12" width="8.85546875" style="207" bestFit="1" customWidth="1"/>
    <col min="13" max="13" width="9.42578125" style="207" bestFit="1" customWidth="1"/>
    <col min="14" max="14" width="9.28515625" style="207" bestFit="1" customWidth="1"/>
    <col min="15" max="15" width="9.7109375" style="206" customWidth="1"/>
    <col min="16" max="16384" width="9.140625" style="207"/>
  </cols>
  <sheetData>
    <row r="1" spans="1:16" ht="13.5" thickBot="1" x14ac:dyDescent="0.25">
      <c r="O1" s="208" t="s">
        <v>458</v>
      </c>
    </row>
    <row r="2" spans="1:16" s="206" customFormat="1" ht="25.5" x14ac:dyDescent="0.2">
      <c r="A2" s="209" t="s">
        <v>278</v>
      </c>
      <c r="B2" s="210" t="s">
        <v>459</v>
      </c>
      <c r="C2" s="209" t="s">
        <v>435</v>
      </c>
      <c r="D2" s="209" t="s">
        <v>436</v>
      </c>
      <c r="E2" s="209" t="s">
        <v>437</v>
      </c>
      <c r="F2" s="209" t="s">
        <v>438</v>
      </c>
      <c r="G2" s="209" t="s">
        <v>439</v>
      </c>
      <c r="H2" s="209" t="s">
        <v>440</v>
      </c>
      <c r="I2" s="209" t="s">
        <v>441</v>
      </c>
      <c r="J2" s="209" t="s">
        <v>460</v>
      </c>
      <c r="K2" s="209" t="s">
        <v>442</v>
      </c>
      <c r="L2" s="209" t="s">
        <v>443</v>
      </c>
      <c r="M2" s="209" t="s">
        <v>444</v>
      </c>
      <c r="N2" s="209" t="s">
        <v>445</v>
      </c>
      <c r="O2" s="211" t="s">
        <v>457</v>
      </c>
    </row>
    <row r="3" spans="1:16" s="212" customFormat="1" x14ac:dyDescent="0.25">
      <c r="A3" s="648" t="s">
        <v>691</v>
      </c>
      <c r="B3" s="648">
        <v>1281960</v>
      </c>
      <c r="C3" s="648">
        <f t="shared" ref="C3:O3" si="0">+B40</f>
        <v>1281960.23</v>
      </c>
      <c r="D3" s="648">
        <f t="shared" si="0"/>
        <v>1251322.4158333333</v>
      </c>
      <c r="E3" s="648">
        <f t="shared" si="0"/>
        <v>1275391.6016666666</v>
      </c>
      <c r="F3" s="648">
        <f t="shared" si="0"/>
        <v>1264049.7875000001</v>
      </c>
      <c r="G3" s="648">
        <f t="shared" si="0"/>
        <v>1242184.9733333336</v>
      </c>
      <c r="H3" s="648">
        <f t="shared" si="0"/>
        <v>1256952.1591666671</v>
      </c>
      <c r="I3" s="648">
        <f t="shared" si="0"/>
        <v>1251746.3450000007</v>
      </c>
      <c r="J3" s="648">
        <f t="shared" si="0"/>
        <v>1240404.5308333342</v>
      </c>
      <c r="K3" s="648">
        <f t="shared" si="0"/>
        <v>1264473.7166666677</v>
      </c>
      <c r="L3" s="648">
        <f t="shared" si="0"/>
        <v>1259267.9025000012</v>
      </c>
      <c r="M3" s="648">
        <f t="shared" si="0"/>
        <v>1283343.0883333348</v>
      </c>
      <c r="N3" s="648">
        <f t="shared" si="0"/>
        <v>1279137.2741666683</v>
      </c>
      <c r="O3" s="648">
        <f t="shared" si="0"/>
        <v>1281960.4600000018</v>
      </c>
    </row>
    <row r="4" spans="1:16" s="215" customFormat="1" ht="15" customHeight="1" x14ac:dyDescent="0.25">
      <c r="A4" s="54" t="s">
        <v>327</v>
      </c>
      <c r="B4" s="72">
        <f>+'1.mell. Mérleg'!E5</f>
        <v>519355</v>
      </c>
      <c r="C4" s="213">
        <f>+$B$4/12</f>
        <v>43279.583333333336</v>
      </c>
      <c r="D4" s="213">
        <f t="shared" ref="D4:N4" si="1">+$B$4/12</f>
        <v>43279.583333333336</v>
      </c>
      <c r="E4" s="213">
        <f t="shared" si="1"/>
        <v>43279.583333333336</v>
      </c>
      <c r="F4" s="213">
        <f t="shared" si="1"/>
        <v>43279.583333333336</v>
      </c>
      <c r="G4" s="213">
        <f t="shared" si="1"/>
        <v>43279.583333333336</v>
      </c>
      <c r="H4" s="213">
        <f t="shared" si="1"/>
        <v>43279.583333333336</v>
      </c>
      <c r="I4" s="213">
        <f t="shared" si="1"/>
        <v>43279.583333333336</v>
      </c>
      <c r="J4" s="213">
        <f t="shared" si="1"/>
        <v>43279.583333333336</v>
      </c>
      <c r="K4" s="213">
        <f t="shared" si="1"/>
        <v>43279.583333333336</v>
      </c>
      <c r="L4" s="213">
        <f t="shared" si="1"/>
        <v>43279.583333333336</v>
      </c>
      <c r="M4" s="213">
        <f t="shared" si="1"/>
        <v>43279.583333333336</v>
      </c>
      <c r="N4" s="213">
        <f t="shared" si="1"/>
        <v>43279.583333333336</v>
      </c>
      <c r="O4" s="214">
        <f>SUM(C4:N4)</f>
        <v>519354.99999999994</v>
      </c>
    </row>
    <row r="5" spans="1:16" s="215" customFormat="1" ht="25.5" x14ac:dyDescent="0.25">
      <c r="A5" s="54" t="s">
        <v>203</v>
      </c>
      <c r="B5" s="72">
        <f>+'1.mell. Mérleg'!E6</f>
        <v>41152</v>
      </c>
      <c r="C5" s="213">
        <f>+$B$5/12</f>
        <v>3429.3333333333335</v>
      </c>
      <c r="D5" s="213">
        <f t="shared" ref="D5:N5" si="2">+$B$5/12</f>
        <v>3429.3333333333335</v>
      </c>
      <c r="E5" s="213">
        <f t="shared" si="2"/>
        <v>3429.3333333333335</v>
      </c>
      <c r="F5" s="213">
        <f t="shared" si="2"/>
        <v>3429.3333333333335</v>
      </c>
      <c r="G5" s="213">
        <f t="shared" si="2"/>
        <v>3429.3333333333335</v>
      </c>
      <c r="H5" s="213">
        <f t="shared" si="2"/>
        <v>3429.3333333333335</v>
      </c>
      <c r="I5" s="213">
        <f t="shared" si="2"/>
        <v>3429.3333333333335</v>
      </c>
      <c r="J5" s="213">
        <f t="shared" si="2"/>
        <v>3429.3333333333335</v>
      </c>
      <c r="K5" s="213">
        <f t="shared" si="2"/>
        <v>3429.3333333333335</v>
      </c>
      <c r="L5" s="213">
        <f t="shared" si="2"/>
        <v>3429.3333333333335</v>
      </c>
      <c r="M5" s="213">
        <f t="shared" si="2"/>
        <v>3429.3333333333335</v>
      </c>
      <c r="N5" s="213">
        <f t="shared" si="2"/>
        <v>3429.3333333333335</v>
      </c>
      <c r="O5" s="214">
        <f>SUM(C5:N5)</f>
        <v>41152</v>
      </c>
    </row>
    <row r="6" spans="1:16" s="218" customFormat="1" ht="25.5" x14ac:dyDescent="0.25">
      <c r="A6" s="990" t="s">
        <v>325</v>
      </c>
      <c r="B6" s="76">
        <f>+B4+B5</f>
        <v>560507</v>
      </c>
      <c r="C6" s="216">
        <f>SUM(C4:C5)</f>
        <v>46708.916666666672</v>
      </c>
      <c r="D6" s="216">
        <f t="shared" ref="D6:O6" si="3">SUM(D4:D5)</f>
        <v>46708.916666666672</v>
      </c>
      <c r="E6" s="216">
        <f t="shared" si="3"/>
        <v>46708.916666666672</v>
      </c>
      <c r="F6" s="216">
        <f t="shared" si="3"/>
        <v>46708.916666666672</v>
      </c>
      <c r="G6" s="216">
        <f t="shared" si="3"/>
        <v>46708.916666666672</v>
      </c>
      <c r="H6" s="216">
        <f t="shared" si="3"/>
        <v>46708.916666666672</v>
      </c>
      <c r="I6" s="216">
        <f t="shared" si="3"/>
        <v>46708.916666666672</v>
      </c>
      <c r="J6" s="216">
        <f t="shared" si="3"/>
        <v>46708.916666666672</v>
      </c>
      <c r="K6" s="216">
        <f t="shared" si="3"/>
        <v>46708.916666666672</v>
      </c>
      <c r="L6" s="216">
        <f t="shared" si="3"/>
        <v>46708.916666666672</v>
      </c>
      <c r="M6" s="216">
        <f t="shared" si="3"/>
        <v>46708.916666666672</v>
      </c>
      <c r="N6" s="216">
        <f t="shared" si="3"/>
        <v>46708.916666666672</v>
      </c>
      <c r="O6" s="217">
        <f t="shared" si="3"/>
        <v>560507</v>
      </c>
      <c r="P6" s="215"/>
    </row>
    <row r="7" spans="1:16" s="215" customFormat="1" x14ac:dyDescent="0.25">
      <c r="A7" s="54" t="s">
        <v>218</v>
      </c>
      <c r="B7" s="72">
        <f>+'1.mell. Mérleg'!E10</f>
        <v>157800</v>
      </c>
      <c r="C7" s="213">
        <f>+$B$7/12</f>
        <v>13150</v>
      </c>
      <c r="D7" s="213">
        <f t="shared" ref="D7:N7" si="4">+$B$7/12</f>
        <v>13150</v>
      </c>
      <c r="E7" s="213">
        <f t="shared" si="4"/>
        <v>13150</v>
      </c>
      <c r="F7" s="213">
        <f t="shared" si="4"/>
        <v>13150</v>
      </c>
      <c r="G7" s="213">
        <f t="shared" si="4"/>
        <v>13150</v>
      </c>
      <c r="H7" s="213">
        <f t="shared" si="4"/>
        <v>13150</v>
      </c>
      <c r="I7" s="213">
        <f t="shared" si="4"/>
        <v>13150</v>
      </c>
      <c r="J7" s="213">
        <f t="shared" si="4"/>
        <v>13150</v>
      </c>
      <c r="K7" s="213">
        <f t="shared" si="4"/>
        <v>13150</v>
      </c>
      <c r="L7" s="213">
        <f t="shared" si="4"/>
        <v>13150</v>
      </c>
      <c r="M7" s="213">
        <f t="shared" si="4"/>
        <v>13150</v>
      </c>
      <c r="N7" s="213">
        <f t="shared" si="4"/>
        <v>13150</v>
      </c>
      <c r="O7" s="214">
        <f t="shared" ref="O7:O12" si="5">SUM(C7:N7)</f>
        <v>157800</v>
      </c>
    </row>
    <row r="8" spans="1:16" s="215" customFormat="1" x14ac:dyDescent="0.25">
      <c r="A8" s="54" t="s">
        <v>330</v>
      </c>
      <c r="B8" s="72">
        <f>+'1.mell. Mérleg'!E11</f>
        <v>168600</v>
      </c>
      <c r="C8" s="213">
        <f>+$B$8/12</f>
        <v>14050</v>
      </c>
      <c r="D8" s="213">
        <f t="shared" ref="D8:N8" si="6">+$B$8/12</f>
        <v>14050</v>
      </c>
      <c r="E8" s="213">
        <f t="shared" si="6"/>
        <v>14050</v>
      </c>
      <c r="F8" s="213">
        <f t="shared" si="6"/>
        <v>14050</v>
      </c>
      <c r="G8" s="213">
        <f t="shared" si="6"/>
        <v>14050</v>
      </c>
      <c r="H8" s="213">
        <f t="shared" si="6"/>
        <v>14050</v>
      </c>
      <c r="I8" s="213">
        <f t="shared" si="6"/>
        <v>14050</v>
      </c>
      <c r="J8" s="213">
        <f t="shared" si="6"/>
        <v>14050</v>
      </c>
      <c r="K8" s="213">
        <f t="shared" si="6"/>
        <v>14050</v>
      </c>
      <c r="L8" s="213">
        <f t="shared" si="6"/>
        <v>14050</v>
      </c>
      <c r="M8" s="213">
        <f t="shared" si="6"/>
        <v>14050</v>
      </c>
      <c r="N8" s="213">
        <f t="shared" si="6"/>
        <v>14050</v>
      </c>
      <c r="O8" s="214">
        <f t="shared" si="5"/>
        <v>168600</v>
      </c>
    </row>
    <row r="9" spans="1:16" s="215" customFormat="1" x14ac:dyDescent="0.25">
      <c r="A9" s="54" t="s">
        <v>231</v>
      </c>
      <c r="B9" s="72">
        <f>+'1.mell. Mérleg'!E12</f>
        <v>18459</v>
      </c>
      <c r="C9" s="213">
        <f>+$B$9/12</f>
        <v>1538.25</v>
      </c>
      <c r="D9" s="213">
        <f t="shared" ref="D9:N9" si="7">+$B$9/12</f>
        <v>1538.25</v>
      </c>
      <c r="E9" s="213">
        <f t="shared" si="7"/>
        <v>1538.25</v>
      </c>
      <c r="F9" s="213">
        <f t="shared" si="7"/>
        <v>1538.25</v>
      </c>
      <c r="G9" s="213">
        <f t="shared" si="7"/>
        <v>1538.25</v>
      </c>
      <c r="H9" s="213">
        <f t="shared" si="7"/>
        <v>1538.25</v>
      </c>
      <c r="I9" s="213">
        <f t="shared" si="7"/>
        <v>1538.25</v>
      </c>
      <c r="J9" s="213">
        <f t="shared" si="7"/>
        <v>1538.25</v>
      </c>
      <c r="K9" s="213">
        <f t="shared" si="7"/>
        <v>1538.25</v>
      </c>
      <c r="L9" s="213">
        <f t="shared" si="7"/>
        <v>1538.25</v>
      </c>
      <c r="M9" s="213">
        <f t="shared" si="7"/>
        <v>1538.25</v>
      </c>
      <c r="N9" s="213">
        <f t="shared" si="7"/>
        <v>1538.25</v>
      </c>
      <c r="O9" s="214">
        <f t="shared" si="5"/>
        <v>18459</v>
      </c>
    </row>
    <row r="10" spans="1:16" s="218" customFormat="1" x14ac:dyDescent="0.25">
      <c r="A10" s="990" t="s">
        <v>331</v>
      </c>
      <c r="B10" s="76">
        <f>SUM(B7:B9)</f>
        <v>344859</v>
      </c>
      <c r="C10" s="216">
        <f>SUM(C7:C9)</f>
        <v>28738.25</v>
      </c>
      <c r="D10" s="216">
        <f t="shared" ref="D10:O10" si="8">SUM(D7:D9)</f>
        <v>28738.25</v>
      </c>
      <c r="E10" s="216">
        <f t="shared" si="8"/>
        <v>28738.25</v>
      </c>
      <c r="F10" s="216">
        <f t="shared" si="8"/>
        <v>28738.25</v>
      </c>
      <c r="G10" s="216">
        <f t="shared" si="8"/>
        <v>28738.25</v>
      </c>
      <c r="H10" s="216">
        <f t="shared" si="8"/>
        <v>28738.25</v>
      </c>
      <c r="I10" s="216">
        <f t="shared" si="8"/>
        <v>28738.25</v>
      </c>
      <c r="J10" s="216">
        <f t="shared" si="8"/>
        <v>28738.25</v>
      </c>
      <c r="K10" s="216">
        <f t="shared" si="8"/>
        <v>28738.25</v>
      </c>
      <c r="L10" s="216">
        <f t="shared" si="8"/>
        <v>28738.25</v>
      </c>
      <c r="M10" s="216">
        <f t="shared" si="8"/>
        <v>28738.25</v>
      </c>
      <c r="N10" s="216">
        <f t="shared" si="8"/>
        <v>28738.25</v>
      </c>
      <c r="O10" s="217">
        <f t="shared" si="8"/>
        <v>344859</v>
      </c>
      <c r="P10" s="215"/>
    </row>
    <row r="11" spans="1:16" s="215" customFormat="1" x14ac:dyDescent="0.25">
      <c r="A11" s="54" t="s">
        <v>276</v>
      </c>
      <c r="B11" s="72">
        <f>+'1.mell. Mérleg'!E13</f>
        <v>85570</v>
      </c>
      <c r="C11" s="213">
        <f>+$B$11/12</f>
        <v>7130.833333333333</v>
      </c>
      <c r="D11" s="213">
        <f t="shared" ref="D11:N11" si="9">+$B$11/12</f>
        <v>7130.833333333333</v>
      </c>
      <c r="E11" s="213">
        <f t="shared" si="9"/>
        <v>7130.833333333333</v>
      </c>
      <c r="F11" s="213">
        <f t="shared" si="9"/>
        <v>7130.833333333333</v>
      </c>
      <c r="G11" s="213">
        <f t="shared" si="9"/>
        <v>7130.833333333333</v>
      </c>
      <c r="H11" s="213">
        <f t="shared" si="9"/>
        <v>7130.833333333333</v>
      </c>
      <c r="I11" s="213">
        <f t="shared" si="9"/>
        <v>7130.833333333333</v>
      </c>
      <c r="J11" s="213">
        <f t="shared" si="9"/>
        <v>7130.833333333333</v>
      </c>
      <c r="K11" s="213">
        <f t="shared" si="9"/>
        <v>7130.833333333333</v>
      </c>
      <c r="L11" s="213">
        <f t="shared" si="9"/>
        <v>7130.833333333333</v>
      </c>
      <c r="M11" s="213">
        <f t="shared" si="9"/>
        <v>7130.833333333333</v>
      </c>
      <c r="N11" s="213">
        <f t="shared" si="9"/>
        <v>7130.833333333333</v>
      </c>
      <c r="O11" s="214">
        <f t="shared" si="5"/>
        <v>85570</v>
      </c>
    </row>
    <row r="12" spans="1:16" s="215" customFormat="1" x14ac:dyDescent="0.25">
      <c r="A12" s="54" t="s">
        <v>274</v>
      </c>
      <c r="B12" s="72">
        <f>+'1.mell. Mérleg'!E14</f>
        <v>743</v>
      </c>
      <c r="C12" s="213">
        <f>+$B$12/12</f>
        <v>61.916666666666664</v>
      </c>
      <c r="D12" s="213">
        <f t="shared" ref="D12:N12" si="10">+$B$12/12</f>
        <v>61.916666666666664</v>
      </c>
      <c r="E12" s="213">
        <f t="shared" si="10"/>
        <v>61.916666666666664</v>
      </c>
      <c r="F12" s="213">
        <f t="shared" si="10"/>
        <v>61.916666666666664</v>
      </c>
      <c r="G12" s="213">
        <f t="shared" si="10"/>
        <v>61.916666666666664</v>
      </c>
      <c r="H12" s="213">
        <f t="shared" si="10"/>
        <v>61.916666666666664</v>
      </c>
      <c r="I12" s="213">
        <f t="shared" si="10"/>
        <v>61.916666666666664</v>
      </c>
      <c r="J12" s="213">
        <f t="shared" si="10"/>
        <v>61.916666666666664</v>
      </c>
      <c r="K12" s="213">
        <f t="shared" si="10"/>
        <v>61.916666666666664</v>
      </c>
      <c r="L12" s="213">
        <f t="shared" si="10"/>
        <v>61.916666666666664</v>
      </c>
      <c r="M12" s="213">
        <f t="shared" si="10"/>
        <v>61.916666666666664</v>
      </c>
      <c r="N12" s="213">
        <f t="shared" si="10"/>
        <v>61.916666666666664</v>
      </c>
      <c r="O12" s="214">
        <f t="shared" si="5"/>
        <v>742.99999999999989</v>
      </c>
    </row>
    <row r="13" spans="1:16" s="218" customFormat="1" x14ac:dyDescent="0.25">
      <c r="A13" s="219" t="s">
        <v>391</v>
      </c>
      <c r="B13" s="220">
        <f>+B12+B11+B10+B6</f>
        <v>991679</v>
      </c>
      <c r="C13" s="220">
        <f t="shared" ref="C13:O13" si="11">+C12+C11+C10+C6</f>
        <v>82639.916666666672</v>
      </c>
      <c r="D13" s="220">
        <f t="shared" si="11"/>
        <v>82639.916666666672</v>
      </c>
      <c r="E13" s="220">
        <f t="shared" si="11"/>
        <v>82639.916666666672</v>
      </c>
      <c r="F13" s="220">
        <f t="shared" si="11"/>
        <v>82639.916666666672</v>
      </c>
      <c r="G13" s="220">
        <f t="shared" si="11"/>
        <v>82639.916666666672</v>
      </c>
      <c r="H13" s="220">
        <f t="shared" si="11"/>
        <v>82639.916666666672</v>
      </c>
      <c r="I13" s="220">
        <f t="shared" si="11"/>
        <v>82639.916666666672</v>
      </c>
      <c r="J13" s="220">
        <f t="shared" si="11"/>
        <v>82639.916666666672</v>
      </c>
      <c r="K13" s="220">
        <f t="shared" si="11"/>
        <v>82639.916666666672</v>
      </c>
      <c r="L13" s="220">
        <f t="shared" si="11"/>
        <v>82639.916666666672</v>
      </c>
      <c r="M13" s="220">
        <f t="shared" si="11"/>
        <v>82639.916666666672</v>
      </c>
      <c r="N13" s="220">
        <f t="shared" si="11"/>
        <v>82639.916666666672</v>
      </c>
      <c r="O13" s="221">
        <f t="shared" si="11"/>
        <v>991679</v>
      </c>
      <c r="P13" s="215"/>
    </row>
    <row r="14" spans="1:16" s="215" customFormat="1" ht="25.5" x14ac:dyDescent="0.25">
      <c r="A14" s="54" t="s">
        <v>326</v>
      </c>
      <c r="B14" s="72">
        <f>+'1.mell. Mérleg'!E16</f>
        <v>117106</v>
      </c>
      <c r="C14" s="213"/>
      <c r="D14" s="213">
        <v>29275</v>
      </c>
      <c r="E14" s="213"/>
      <c r="F14" s="213"/>
      <c r="G14" s="213">
        <v>29275</v>
      </c>
      <c r="H14" s="213"/>
      <c r="I14" s="213"/>
      <c r="J14" s="213">
        <v>29275</v>
      </c>
      <c r="K14" s="213"/>
      <c r="L14" s="213">
        <v>29281</v>
      </c>
      <c r="M14" s="213"/>
      <c r="N14" s="213"/>
      <c r="O14" s="217">
        <f>SUM(C14:N14)</f>
        <v>117106</v>
      </c>
    </row>
    <row r="15" spans="1:16" s="215" customFormat="1" ht="14.1" customHeight="1" x14ac:dyDescent="0.25">
      <c r="A15" s="54" t="s">
        <v>275</v>
      </c>
      <c r="B15" s="72">
        <f>'1.mell. Mérleg'!E17</f>
        <v>33000</v>
      </c>
      <c r="C15" s="213">
        <v>2000</v>
      </c>
      <c r="D15" s="213">
        <v>2000</v>
      </c>
      <c r="E15" s="213">
        <v>2000</v>
      </c>
      <c r="F15" s="213">
        <v>2000</v>
      </c>
      <c r="G15" s="213">
        <v>2000</v>
      </c>
      <c r="H15" s="213">
        <v>2000</v>
      </c>
      <c r="I15" s="213">
        <v>2000</v>
      </c>
      <c r="J15" s="213">
        <v>2000</v>
      </c>
      <c r="K15" s="213">
        <v>2000</v>
      </c>
      <c r="L15" s="213">
        <v>2000</v>
      </c>
      <c r="M15" s="213">
        <v>3000</v>
      </c>
      <c r="N15" s="213">
        <v>10000</v>
      </c>
      <c r="O15" s="217">
        <f>SUM(C15:N15)</f>
        <v>33000</v>
      </c>
    </row>
    <row r="16" spans="1:16" s="215" customFormat="1" ht="14.1" customHeight="1" x14ac:dyDescent="0.25">
      <c r="A16" s="54" t="s">
        <v>279</v>
      </c>
      <c r="B16" s="72">
        <f>+'1.mell. Mérleg'!E18</f>
        <v>960</v>
      </c>
      <c r="C16" s="213"/>
      <c r="D16" s="213"/>
      <c r="E16" s="213"/>
      <c r="F16" s="213">
        <v>960</v>
      </c>
      <c r="G16" s="213"/>
      <c r="H16" s="213"/>
      <c r="I16" s="213"/>
      <c r="J16" s="213"/>
      <c r="K16" s="213"/>
      <c r="L16" s="213"/>
      <c r="M16" s="213"/>
      <c r="N16" s="213"/>
      <c r="O16" s="217">
        <f>SUM(C16:N16)</f>
        <v>960</v>
      </c>
    </row>
    <row r="17" spans="1:16" s="215" customFormat="1" ht="14.1" customHeight="1" x14ac:dyDescent="0.25">
      <c r="A17" s="219" t="s">
        <v>275</v>
      </c>
      <c r="B17" s="220">
        <f>+B16+B15+B14</f>
        <v>151066</v>
      </c>
      <c r="C17" s="220">
        <f t="shared" ref="C17:O17" si="12">+C16+C15+C14</f>
        <v>2000</v>
      </c>
      <c r="D17" s="220">
        <f t="shared" si="12"/>
        <v>31275</v>
      </c>
      <c r="E17" s="220">
        <f t="shared" si="12"/>
        <v>2000</v>
      </c>
      <c r="F17" s="220">
        <f t="shared" si="12"/>
        <v>2960</v>
      </c>
      <c r="G17" s="220">
        <f t="shared" si="12"/>
        <v>31275</v>
      </c>
      <c r="H17" s="220">
        <f t="shared" si="12"/>
        <v>2000</v>
      </c>
      <c r="I17" s="220">
        <f t="shared" si="12"/>
        <v>2000</v>
      </c>
      <c r="J17" s="220">
        <f t="shared" si="12"/>
        <v>31275</v>
      </c>
      <c r="K17" s="220">
        <f t="shared" si="12"/>
        <v>2000</v>
      </c>
      <c r="L17" s="220">
        <f t="shared" si="12"/>
        <v>31281</v>
      </c>
      <c r="M17" s="220">
        <f t="shared" si="12"/>
        <v>3000</v>
      </c>
      <c r="N17" s="220">
        <f t="shared" si="12"/>
        <v>10000</v>
      </c>
      <c r="O17" s="221">
        <f t="shared" si="12"/>
        <v>151066</v>
      </c>
    </row>
    <row r="18" spans="1:16" s="215" customFormat="1" ht="26.25" customHeight="1" x14ac:dyDescent="0.25">
      <c r="A18" s="54" t="s">
        <v>690</v>
      </c>
      <c r="B18" s="72">
        <f>+'1.mell. Mérleg'!E21</f>
        <v>0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7">
        <f>SUM(C18:N18)</f>
        <v>0</v>
      </c>
    </row>
    <row r="19" spans="1:16" s="215" customFormat="1" ht="14.1" customHeight="1" x14ac:dyDescent="0.25">
      <c r="A19" s="54" t="s">
        <v>375</v>
      </c>
      <c r="B19" s="72">
        <f>+'1.mell. Mérleg'!E23</f>
        <v>262038</v>
      </c>
      <c r="C19" s="213">
        <f>+$B$19/12</f>
        <v>21836.5</v>
      </c>
      <c r="D19" s="213">
        <f t="shared" ref="D19:N19" si="13">+$B$19/12</f>
        <v>21836.5</v>
      </c>
      <c r="E19" s="213">
        <f t="shared" si="13"/>
        <v>21836.5</v>
      </c>
      <c r="F19" s="213">
        <f t="shared" si="13"/>
        <v>21836.5</v>
      </c>
      <c r="G19" s="213">
        <f t="shared" si="13"/>
        <v>21836.5</v>
      </c>
      <c r="H19" s="213">
        <f t="shared" si="13"/>
        <v>21836.5</v>
      </c>
      <c r="I19" s="213">
        <f t="shared" si="13"/>
        <v>21836.5</v>
      </c>
      <c r="J19" s="213">
        <f t="shared" si="13"/>
        <v>21836.5</v>
      </c>
      <c r="K19" s="213">
        <f t="shared" si="13"/>
        <v>21836.5</v>
      </c>
      <c r="L19" s="213">
        <f t="shared" si="13"/>
        <v>21836.5</v>
      </c>
      <c r="M19" s="213">
        <f t="shared" si="13"/>
        <v>21836.5</v>
      </c>
      <c r="N19" s="213">
        <f t="shared" si="13"/>
        <v>21836.5</v>
      </c>
      <c r="O19" s="217">
        <f>SUM(C19:N19)</f>
        <v>262038</v>
      </c>
    </row>
    <row r="20" spans="1:16" s="215" customFormat="1" ht="14.1" customHeight="1" x14ac:dyDescent="0.25">
      <c r="A20" s="54" t="s">
        <v>376</v>
      </c>
      <c r="B20" s="72">
        <f>+'1.mell. Mérleg'!E24</f>
        <v>1038645</v>
      </c>
      <c r="C20" s="213">
        <f>+$B$20/12</f>
        <v>86553.75</v>
      </c>
      <c r="D20" s="213">
        <f t="shared" ref="D20:N20" si="14">+$B$20/12</f>
        <v>86553.75</v>
      </c>
      <c r="E20" s="213">
        <f t="shared" si="14"/>
        <v>86553.75</v>
      </c>
      <c r="F20" s="213">
        <f t="shared" si="14"/>
        <v>86553.75</v>
      </c>
      <c r="G20" s="213">
        <f t="shared" si="14"/>
        <v>86553.75</v>
      </c>
      <c r="H20" s="213">
        <f t="shared" si="14"/>
        <v>86553.75</v>
      </c>
      <c r="I20" s="213">
        <f t="shared" si="14"/>
        <v>86553.75</v>
      </c>
      <c r="J20" s="213">
        <f t="shared" si="14"/>
        <v>86553.75</v>
      </c>
      <c r="K20" s="213">
        <f t="shared" si="14"/>
        <v>86553.75</v>
      </c>
      <c r="L20" s="213">
        <f t="shared" si="14"/>
        <v>86553.75</v>
      </c>
      <c r="M20" s="213">
        <f t="shared" si="14"/>
        <v>86553.75</v>
      </c>
      <c r="N20" s="213">
        <f t="shared" si="14"/>
        <v>86553.75</v>
      </c>
      <c r="O20" s="217">
        <f>SUM(C20:N20)</f>
        <v>1038645</v>
      </c>
    </row>
    <row r="21" spans="1:16" s="218" customFormat="1" ht="14.1" customHeight="1" x14ac:dyDescent="0.25">
      <c r="A21" s="990"/>
      <c r="B21" s="76">
        <f>+B20+B19</f>
        <v>1300683</v>
      </c>
      <c r="C21" s="76">
        <f t="shared" ref="C21:O21" si="15">+C20+C19</f>
        <v>108390.25</v>
      </c>
      <c r="D21" s="76">
        <f t="shared" si="15"/>
        <v>108390.25</v>
      </c>
      <c r="E21" s="76">
        <f t="shared" si="15"/>
        <v>108390.25</v>
      </c>
      <c r="F21" s="76">
        <f t="shared" si="15"/>
        <v>108390.25</v>
      </c>
      <c r="G21" s="76">
        <f t="shared" si="15"/>
        <v>108390.25</v>
      </c>
      <c r="H21" s="76">
        <f t="shared" si="15"/>
        <v>108390.25</v>
      </c>
      <c r="I21" s="76">
        <f t="shared" si="15"/>
        <v>108390.25</v>
      </c>
      <c r="J21" s="76">
        <f t="shared" si="15"/>
        <v>108390.25</v>
      </c>
      <c r="K21" s="76">
        <f t="shared" si="15"/>
        <v>108390.25</v>
      </c>
      <c r="L21" s="76">
        <f t="shared" si="15"/>
        <v>108390.25</v>
      </c>
      <c r="M21" s="76">
        <f t="shared" si="15"/>
        <v>108390.25</v>
      </c>
      <c r="N21" s="76">
        <f t="shared" si="15"/>
        <v>108390.25</v>
      </c>
      <c r="O21" s="222">
        <f t="shared" si="15"/>
        <v>1300683</v>
      </c>
      <c r="P21" s="215"/>
    </row>
    <row r="22" spans="1:16" s="215" customFormat="1" ht="14.1" customHeight="1" x14ac:dyDescent="0.25">
      <c r="A22" s="223" t="s">
        <v>282</v>
      </c>
      <c r="B22" s="220">
        <f>+B21+B18</f>
        <v>1300683</v>
      </c>
      <c r="C22" s="220">
        <f t="shared" ref="C22:N22" si="16">+C21+C18</f>
        <v>108390.25</v>
      </c>
      <c r="D22" s="220">
        <f t="shared" si="16"/>
        <v>108390.25</v>
      </c>
      <c r="E22" s="220">
        <f t="shared" si="16"/>
        <v>108390.25</v>
      </c>
      <c r="F22" s="220">
        <f t="shared" si="16"/>
        <v>108390.25</v>
      </c>
      <c r="G22" s="220">
        <f t="shared" si="16"/>
        <v>108390.25</v>
      </c>
      <c r="H22" s="220">
        <f t="shared" si="16"/>
        <v>108390.25</v>
      </c>
      <c r="I22" s="220">
        <f t="shared" si="16"/>
        <v>108390.25</v>
      </c>
      <c r="J22" s="220">
        <f t="shared" si="16"/>
        <v>108390.25</v>
      </c>
      <c r="K22" s="220">
        <f t="shared" si="16"/>
        <v>108390.25</v>
      </c>
      <c r="L22" s="220">
        <f t="shared" si="16"/>
        <v>108390.25</v>
      </c>
      <c r="M22" s="220">
        <f t="shared" si="16"/>
        <v>108390.25</v>
      </c>
      <c r="N22" s="220">
        <f t="shared" si="16"/>
        <v>108390.25</v>
      </c>
      <c r="O22" s="220">
        <f>+O21+O18</f>
        <v>1300683</v>
      </c>
    </row>
    <row r="23" spans="1:16" s="212" customFormat="1" ht="15.95" customHeight="1" thickBot="1" x14ac:dyDescent="0.3">
      <c r="A23" s="224" t="s">
        <v>378</v>
      </c>
      <c r="B23" s="225">
        <f>+B22+B17+B13</f>
        <v>2443428</v>
      </c>
      <c r="C23" s="225">
        <f t="shared" ref="C23:N23" si="17">+C22+C17+C13</f>
        <v>193030.16666666669</v>
      </c>
      <c r="D23" s="225">
        <f t="shared" si="17"/>
        <v>222305.16666666669</v>
      </c>
      <c r="E23" s="225">
        <f t="shared" si="17"/>
        <v>193030.16666666669</v>
      </c>
      <c r="F23" s="225">
        <f t="shared" si="17"/>
        <v>193990.16666666669</v>
      </c>
      <c r="G23" s="225">
        <f t="shared" si="17"/>
        <v>222305.16666666669</v>
      </c>
      <c r="H23" s="225">
        <f t="shared" si="17"/>
        <v>193030.16666666669</v>
      </c>
      <c r="I23" s="225">
        <f t="shared" si="17"/>
        <v>193030.16666666669</v>
      </c>
      <c r="J23" s="225">
        <f t="shared" si="17"/>
        <v>222305.16666666669</v>
      </c>
      <c r="K23" s="225">
        <f t="shared" si="17"/>
        <v>193030.16666666669</v>
      </c>
      <c r="L23" s="225">
        <f t="shared" si="17"/>
        <v>222311.16666666669</v>
      </c>
      <c r="M23" s="225">
        <f t="shared" si="17"/>
        <v>194030.16666666669</v>
      </c>
      <c r="N23" s="225">
        <f t="shared" si="17"/>
        <v>201030.16666666669</v>
      </c>
      <c r="O23" s="226">
        <f>+O22+O17+O13</f>
        <v>2443428</v>
      </c>
      <c r="P23" s="215"/>
    </row>
    <row r="24" spans="1:16" s="212" customFormat="1" ht="15" customHeight="1" thickBot="1" x14ac:dyDescent="0.3">
      <c r="A24" s="1427"/>
      <c r="B24" s="1427"/>
      <c r="C24" s="1427"/>
      <c r="D24" s="1427"/>
      <c r="E24" s="1427"/>
      <c r="F24" s="1427"/>
      <c r="G24" s="1427"/>
      <c r="H24" s="1427"/>
      <c r="I24" s="1427"/>
      <c r="J24" s="1427"/>
      <c r="K24" s="1427"/>
      <c r="L24" s="1427"/>
      <c r="M24" s="1427"/>
      <c r="N24" s="1427"/>
      <c r="O24" s="1427"/>
      <c r="P24" s="215"/>
    </row>
    <row r="25" spans="1:16" s="206" customFormat="1" ht="26.1" customHeight="1" x14ac:dyDescent="0.2">
      <c r="A25" s="209" t="s">
        <v>278</v>
      </c>
      <c r="B25" s="210" t="s">
        <v>459</v>
      </c>
      <c r="C25" s="209" t="s">
        <v>435</v>
      </c>
      <c r="D25" s="209" t="s">
        <v>436</v>
      </c>
      <c r="E25" s="209" t="s">
        <v>437</v>
      </c>
      <c r="F25" s="209" t="s">
        <v>438</v>
      </c>
      <c r="G25" s="209" t="s">
        <v>439</v>
      </c>
      <c r="H25" s="209" t="s">
        <v>440</v>
      </c>
      <c r="I25" s="209" t="s">
        <v>441</v>
      </c>
      <c r="J25" s="209" t="s">
        <v>460</v>
      </c>
      <c r="K25" s="209" t="s">
        <v>442</v>
      </c>
      <c r="L25" s="209" t="s">
        <v>443</v>
      </c>
      <c r="M25" s="209" t="s">
        <v>444</v>
      </c>
      <c r="N25" s="209" t="s">
        <v>445</v>
      </c>
      <c r="O25" s="211" t="s">
        <v>457</v>
      </c>
      <c r="P25" s="215"/>
    </row>
    <row r="26" spans="1:16" s="215" customFormat="1" ht="14.1" customHeight="1" x14ac:dyDescent="0.2">
      <c r="A26" s="111" t="s">
        <v>171</v>
      </c>
      <c r="B26" s="130">
        <f>+'1.mell. Mérleg'!E31</f>
        <v>344662</v>
      </c>
      <c r="C26" s="213">
        <f>+$B$26/12</f>
        <v>28721.833333333332</v>
      </c>
      <c r="D26" s="213">
        <f t="shared" ref="D26:N26" si="18">+$B$26/12</f>
        <v>28721.833333333332</v>
      </c>
      <c r="E26" s="213">
        <f t="shared" si="18"/>
        <v>28721.833333333332</v>
      </c>
      <c r="F26" s="213">
        <f t="shared" si="18"/>
        <v>28721.833333333332</v>
      </c>
      <c r="G26" s="213">
        <f t="shared" si="18"/>
        <v>28721.833333333332</v>
      </c>
      <c r="H26" s="213">
        <f t="shared" si="18"/>
        <v>28721.833333333332</v>
      </c>
      <c r="I26" s="213">
        <f t="shared" si="18"/>
        <v>28721.833333333332</v>
      </c>
      <c r="J26" s="213">
        <f t="shared" si="18"/>
        <v>28721.833333333332</v>
      </c>
      <c r="K26" s="213">
        <f t="shared" si="18"/>
        <v>28721.833333333332</v>
      </c>
      <c r="L26" s="213">
        <f t="shared" si="18"/>
        <v>28721.833333333332</v>
      </c>
      <c r="M26" s="213">
        <f t="shared" si="18"/>
        <v>28721.833333333332</v>
      </c>
      <c r="N26" s="213">
        <f t="shared" si="18"/>
        <v>28721.833333333332</v>
      </c>
      <c r="O26" s="214">
        <f t="shared" ref="O26:O31" si="19">SUM(C26:N26)</f>
        <v>344662</v>
      </c>
    </row>
    <row r="27" spans="1:16" s="215" customFormat="1" ht="22.5" customHeight="1" x14ac:dyDescent="0.2">
      <c r="A27" s="111" t="s">
        <v>170</v>
      </c>
      <c r="B27" s="130">
        <f>+'1.mell. Mérleg'!E32</f>
        <v>67040</v>
      </c>
      <c r="C27" s="213">
        <f>+$B$27/12</f>
        <v>5586.666666666667</v>
      </c>
      <c r="D27" s="213">
        <f t="shared" ref="D27:N27" si="20">+$B$27/12</f>
        <v>5586.666666666667</v>
      </c>
      <c r="E27" s="213">
        <f t="shared" si="20"/>
        <v>5586.666666666667</v>
      </c>
      <c r="F27" s="213">
        <f t="shared" si="20"/>
        <v>5586.666666666667</v>
      </c>
      <c r="G27" s="213">
        <f t="shared" si="20"/>
        <v>5586.666666666667</v>
      </c>
      <c r="H27" s="213">
        <f t="shared" si="20"/>
        <v>5586.666666666667</v>
      </c>
      <c r="I27" s="213">
        <f t="shared" si="20"/>
        <v>5586.666666666667</v>
      </c>
      <c r="J27" s="213">
        <f t="shared" si="20"/>
        <v>5586.666666666667</v>
      </c>
      <c r="K27" s="213">
        <f t="shared" si="20"/>
        <v>5586.666666666667</v>
      </c>
      <c r="L27" s="213">
        <f t="shared" si="20"/>
        <v>5586.666666666667</v>
      </c>
      <c r="M27" s="213">
        <f t="shared" si="20"/>
        <v>5586.666666666667</v>
      </c>
      <c r="N27" s="213">
        <f t="shared" si="20"/>
        <v>5586.666666666667</v>
      </c>
      <c r="O27" s="214">
        <f t="shared" si="19"/>
        <v>67039.999999999985</v>
      </c>
    </row>
    <row r="28" spans="1:16" s="215" customFormat="1" ht="14.1" customHeight="1" x14ac:dyDescent="0.2">
      <c r="A28" s="111" t="s">
        <v>150</v>
      </c>
      <c r="B28" s="130">
        <f>+'1.mell. Mérleg'!E33</f>
        <v>383030.77</v>
      </c>
      <c r="C28" s="213">
        <f>+$B$28/12</f>
        <v>31919.230833333335</v>
      </c>
      <c r="D28" s="213">
        <f t="shared" ref="D28:N28" si="21">+$B$28/12</f>
        <v>31919.230833333335</v>
      </c>
      <c r="E28" s="213">
        <f t="shared" si="21"/>
        <v>31919.230833333335</v>
      </c>
      <c r="F28" s="213">
        <f t="shared" si="21"/>
        <v>31919.230833333335</v>
      </c>
      <c r="G28" s="213">
        <f t="shared" si="21"/>
        <v>31919.230833333335</v>
      </c>
      <c r="H28" s="213">
        <f t="shared" si="21"/>
        <v>31919.230833333335</v>
      </c>
      <c r="I28" s="213">
        <f t="shared" si="21"/>
        <v>31919.230833333335</v>
      </c>
      <c r="J28" s="213">
        <f t="shared" si="21"/>
        <v>31919.230833333335</v>
      </c>
      <c r="K28" s="213">
        <f t="shared" si="21"/>
        <v>31919.230833333335</v>
      </c>
      <c r="L28" s="213">
        <f t="shared" si="21"/>
        <v>31919.230833333335</v>
      </c>
      <c r="M28" s="213">
        <f t="shared" si="21"/>
        <v>31919.230833333335</v>
      </c>
      <c r="N28" s="213">
        <f t="shared" si="21"/>
        <v>31919.230833333335</v>
      </c>
      <c r="O28" s="214">
        <f t="shared" si="19"/>
        <v>383030.77</v>
      </c>
    </row>
    <row r="29" spans="1:16" s="215" customFormat="1" ht="14.1" customHeight="1" x14ac:dyDescent="0.2">
      <c r="A29" s="112" t="s">
        <v>149</v>
      </c>
      <c r="B29" s="130">
        <f>+'1.mell. Mérleg'!E34</f>
        <v>5072</v>
      </c>
      <c r="C29" s="213">
        <f>+$B$29/12</f>
        <v>422.66666666666669</v>
      </c>
      <c r="D29" s="213">
        <f t="shared" ref="D29:N29" si="22">+$B$29/12</f>
        <v>422.66666666666669</v>
      </c>
      <c r="E29" s="213">
        <f t="shared" si="22"/>
        <v>422.66666666666669</v>
      </c>
      <c r="F29" s="213">
        <f t="shared" si="22"/>
        <v>422.66666666666669</v>
      </c>
      <c r="G29" s="213">
        <f t="shared" si="22"/>
        <v>422.66666666666669</v>
      </c>
      <c r="H29" s="213">
        <f t="shared" si="22"/>
        <v>422.66666666666669</v>
      </c>
      <c r="I29" s="213">
        <f t="shared" si="22"/>
        <v>422.66666666666669</v>
      </c>
      <c r="J29" s="213">
        <f t="shared" si="22"/>
        <v>422.66666666666669</v>
      </c>
      <c r="K29" s="213">
        <f t="shared" si="22"/>
        <v>422.66666666666669</v>
      </c>
      <c r="L29" s="213">
        <f t="shared" si="22"/>
        <v>422.66666666666669</v>
      </c>
      <c r="M29" s="213">
        <f t="shared" si="22"/>
        <v>422.66666666666669</v>
      </c>
      <c r="N29" s="213">
        <f t="shared" si="22"/>
        <v>422.66666666666669</v>
      </c>
      <c r="O29" s="214">
        <f t="shared" si="19"/>
        <v>5072</v>
      </c>
    </row>
    <row r="30" spans="1:16" s="215" customFormat="1" ht="14.1" customHeight="1" x14ac:dyDescent="0.2">
      <c r="A30" s="111" t="s">
        <v>162</v>
      </c>
      <c r="B30" s="130">
        <f>+'1.mell. Mérleg'!E35</f>
        <v>314092</v>
      </c>
      <c r="C30" s="213">
        <f>+$B$30/12</f>
        <v>26174.333333333332</v>
      </c>
      <c r="D30" s="213">
        <f t="shared" ref="D30:N30" si="23">+$B$30/12</f>
        <v>26174.333333333332</v>
      </c>
      <c r="E30" s="213">
        <f t="shared" si="23"/>
        <v>26174.333333333332</v>
      </c>
      <c r="F30" s="213">
        <f t="shared" si="23"/>
        <v>26174.333333333332</v>
      </c>
      <c r="G30" s="213">
        <f t="shared" si="23"/>
        <v>26174.333333333332</v>
      </c>
      <c r="H30" s="213">
        <f t="shared" si="23"/>
        <v>26174.333333333332</v>
      </c>
      <c r="I30" s="213">
        <f t="shared" si="23"/>
        <v>26174.333333333332</v>
      </c>
      <c r="J30" s="213">
        <f t="shared" si="23"/>
        <v>26174.333333333332</v>
      </c>
      <c r="K30" s="213">
        <f t="shared" si="23"/>
        <v>26174.333333333332</v>
      </c>
      <c r="L30" s="213">
        <f t="shared" si="23"/>
        <v>26174.333333333332</v>
      </c>
      <c r="M30" s="213">
        <f t="shared" si="23"/>
        <v>26174.333333333332</v>
      </c>
      <c r="N30" s="213">
        <f t="shared" si="23"/>
        <v>26174.333333333332</v>
      </c>
      <c r="O30" s="214">
        <f t="shared" si="19"/>
        <v>314092</v>
      </c>
    </row>
    <row r="31" spans="1:16" s="215" customFormat="1" ht="14.1" customHeight="1" x14ac:dyDescent="0.2">
      <c r="A31" s="111" t="s">
        <v>413</v>
      </c>
      <c r="B31" s="130">
        <f>+'1.mell. Mérleg'!E36</f>
        <v>265395</v>
      </c>
      <c r="C31" s="213">
        <f>+$B$31/12</f>
        <v>22116.25</v>
      </c>
      <c r="D31" s="213">
        <f t="shared" ref="D31:N31" si="24">+$B$31/12</f>
        <v>22116.25</v>
      </c>
      <c r="E31" s="213">
        <f t="shared" si="24"/>
        <v>22116.25</v>
      </c>
      <c r="F31" s="213">
        <f t="shared" si="24"/>
        <v>22116.25</v>
      </c>
      <c r="G31" s="213">
        <f t="shared" si="24"/>
        <v>22116.25</v>
      </c>
      <c r="H31" s="213">
        <f t="shared" si="24"/>
        <v>22116.25</v>
      </c>
      <c r="I31" s="213">
        <f t="shared" si="24"/>
        <v>22116.25</v>
      </c>
      <c r="J31" s="213">
        <f t="shared" si="24"/>
        <v>22116.25</v>
      </c>
      <c r="K31" s="213">
        <f t="shared" si="24"/>
        <v>22116.25</v>
      </c>
      <c r="L31" s="213">
        <f t="shared" si="24"/>
        <v>22116.25</v>
      </c>
      <c r="M31" s="213">
        <f t="shared" si="24"/>
        <v>22116.25</v>
      </c>
      <c r="N31" s="213">
        <f t="shared" si="24"/>
        <v>22116.25</v>
      </c>
      <c r="O31" s="214">
        <f t="shared" si="19"/>
        <v>265395</v>
      </c>
    </row>
    <row r="32" spans="1:16" s="215" customFormat="1" ht="14.1" customHeight="1" x14ac:dyDescent="0.25">
      <c r="A32" s="219" t="s">
        <v>403</v>
      </c>
      <c r="B32" s="227">
        <f>SUM(B26:B31)</f>
        <v>1379291.77</v>
      </c>
      <c r="C32" s="227">
        <f t="shared" ref="C32:O32" si="25">SUM(C26:C31)</f>
        <v>114940.98083333333</v>
      </c>
      <c r="D32" s="227">
        <f t="shared" si="25"/>
        <v>114940.98083333333</v>
      </c>
      <c r="E32" s="227">
        <f t="shared" si="25"/>
        <v>114940.98083333333</v>
      </c>
      <c r="F32" s="227">
        <f t="shared" si="25"/>
        <v>114940.98083333333</v>
      </c>
      <c r="G32" s="227">
        <f t="shared" si="25"/>
        <v>114940.98083333333</v>
      </c>
      <c r="H32" s="227">
        <f t="shared" si="25"/>
        <v>114940.98083333333</v>
      </c>
      <c r="I32" s="227">
        <f t="shared" si="25"/>
        <v>114940.98083333333</v>
      </c>
      <c r="J32" s="227">
        <f t="shared" si="25"/>
        <v>114940.98083333333</v>
      </c>
      <c r="K32" s="227">
        <f t="shared" si="25"/>
        <v>114940.98083333333</v>
      </c>
      <c r="L32" s="227">
        <f t="shared" si="25"/>
        <v>114940.98083333333</v>
      </c>
      <c r="M32" s="227">
        <f t="shared" si="25"/>
        <v>114940.98083333333</v>
      </c>
      <c r="N32" s="227">
        <f t="shared" si="25"/>
        <v>114940.98083333333</v>
      </c>
      <c r="O32" s="228">
        <f t="shared" si="25"/>
        <v>1379291.77</v>
      </c>
    </row>
    <row r="33" spans="1:16" s="215" customFormat="1" ht="14.1" customHeight="1" x14ac:dyDescent="0.2">
      <c r="A33" s="111" t="s">
        <v>160</v>
      </c>
      <c r="B33" s="130">
        <f>+'1.mell. Mérleg'!E38</f>
        <v>917353</v>
      </c>
      <c r="C33" s="213">
        <f>73795+6136</f>
        <v>79931</v>
      </c>
      <c r="D33" s="213">
        <v>73795</v>
      </c>
      <c r="E33" s="213">
        <f t="shared" ref="E33:I33" si="26">73795+6136</f>
        <v>79931</v>
      </c>
      <c r="F33" s="213">
        <f>73795+4103</f>
        <v>77898</v>
      </c>
      <c r="G33" s="213">
        <f>73795+6136+3166</f>
        <v>83097</v>
      </c>
      <c r="H33" s="213">
        <v>73795</v>
      </c>
      <c r="I33" s="213">
        <f t="shared" si="26"/>
        <v>79931</v>
      </c>
      <c r="J33" s="213">
        <v>73795</v>
      </c>
      <c r="K33" s="213">
        <v>73795</v>
      </c>
      <c r="L33" s="213">
        <v>73795</v>
      </c>
      <c r="M33" s="213">
        <v>73795</v>
      </c>
      <c r="N33" s="213">
        <v>73795</v>
      </c>
      <c r="O33" s="214">
        <f>SUM(C33:N33)</f>
        <v>917353</v>
      </c>
    </row>
    <row r="34" spans="1:16" s="215" customFormat="1" ht="14.1" customHeight="1" x14ac:dyDescent="0.2">
      <c r="A34" s="111" t="s">
        <v>159</v>
      </c>
      <c r="B34" s="130">
        <f>+'1.mell. Mérleg'!E39</f>
        <v>127487</v>
      </c>
      <c r="C34" s="213">
        <v>9500</v>
      </c>
      <c r="D34" s="213">
        <v>9500</v>
      </c>
      <c r="E34" s="213">
        <v>9500</v>
      </c>
      <c r="F34" s="213">
        <f>9500+13516</f>
        <v>23016</v>
      </c>
      <c r="G34" s="213">
        <v>9500</v>
      </c>
      <c r="H34" s="213">
        <v>9500</v>
      </c>
      <c r="I34" s="213">
        <v>9500</v>
      </c>
      <c r="J34" s="213">
        <v>9500</v>
      </c>
      <c r="K34" s="213">
        <v>9500</v>
      </c>
      <c r="L34" s="213">
        <v>9500</v>
      </c>
      <c r="M34" s="213">
        <v>9500</v>
      </c>
      <c r="N34" s="213">
        <v>9471</v>
      </c>
      <c r="O34" s="214">
        <f>SUM(C34:N34)</f>
        <v>127487</v>
      </c>
    </row>
    <row r="35" spans="1:16" s="215" customFormat="1" ht="14.1" customHeight="1" x14ac:dyDescent="0.2">
      <c r="A35" s="111" t="s">
        <v>157</v>
      </c>
      <c r="B35" s="130">
        <f>+'1.mell. Mérleg'!E40</f>
        <v>0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4">
        <f>SUM(C35:N35)</f>
        <v>0</v>
      </c>
    </row>
    <row r="36" spans="1:16" s="215" customFormat="1" ht="14.1" customHeight="1" x14ac:dyDescent="0.2">
      <c r="A36" s="219" t="s">
        <v>405</v>
      </c>
      <c r="B36" s="229">
        <f>SUM(B33:B35)</f>
        <v>1044840</v>
      </c>
      <c r="C36" s="229">
        <f t="shared" ref="C36:O36" si="27">SUM(C33:C35)</f>
        <v>89431</v>
      </c>
      <c r="D36" s="229">
        <f t="shared" si="27"/>
        <v>83295</v>
      </c>
      <c r="E36" s="229">
        <f t="shared" si="27"/>
        <v>89431</v>
      </c>
      <c r="F36" s="229">
        <f t="shared" si="27"/>
        <v>100914</v>
      </c>
      <c r="G36" s="229">
        <f t="shared" si="27"/>
        <v>92597</v>
      </c>
      <c r="H36" s="229">
        <f t="shared" si="27"/>
        <v>83295</v>
      </c>
      <c r="I36" s="229">
        <f t="shared" si="27"/>
        <v>89431</v>
      </c>
      <c r="J36" s="229">
        <f t="shared" si="27"/>
        <v>83295</v>
      </c>
      <c r="K36" s="229">
        <f t="shared" si="27"/>
        <v>83295</v>
      </c>
      <c r="L36" s="229">
        <f t="shared" si="27"/>
        <v>83295</v>
      </c>
      <c r="M36" s="229">
        <f t="shared" si="27"/>
        <v>83295</v>
      </c>
      <c r="N36" s="229">
        <f t="shared" si="27"/>
        <v>83266</v>
      </c>
      <c r="O36" s="230">
        <f t="shared" si="27"/>
        <v>1044840</v>
      </c>
    </row>
    <row r="37" spans="1:16" s="215" customFormat="1" ht="14.1" customHeight="1" x14ac:dyDescent="0.2">
      <c r="A37" s="231" t="s">
        <v>273</v>
      </c>
      <c r="B37" s="229">
        <f>+'1.mell. Mérleg'!E42</f>
        <v>19296</v>
      </c>
      <c r="C37" s="232">
        <v>19296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>
        <f>SUM(C37:N37)</f>
        <v>19296</v>
      </c>
    </row>
    <row r="38" spans="1:16" s="212" customFormat="1" ht="15.95" customHeight="1" thickBot="1" x14ac:dyDescent="0.3">
      <c r="A38" s="225" t="s">
        <v>402</v>
      </c>
      <c r="B38" s="225">
        <f>+B37+B36+B32</f>
        <v>2443427.77</v>
      </c>
      <c r="C38" s="225">
        <f>+C37+C36+C32</f>
        <v>223667.98083333333</v>
      </c>
      <c r="D38" s="225">
        <f t="shared" ref="D38:O38" si="28">+D37+D36+D32</f>
        <v>198235.98083333333</v>
      </c>
      <c r="E38" s="225">
        <f t="shared" si="28"/>
        <v>204371.98083333333</v>
      </c>
      <c r="F38" s="225">
        <f t="shared" si="28"/>
        <v>215854.98083333333</v>
      </c>
      <c r="G38" s="225">
        <f t="shared" si="28"/>
        <v>207537.98083333333</v>
      </c>
      <c r="H38" s="225">
        <f t="shared" si="28"/>
        <v>198235.98083333333</v>
      </c>
      <c r="I38" s="225">
        <f t="shared" si="28"/>
        <v>204371.98083333333</v>
      </c>
      <c r="J38" s="225">
        <f t="shared" si="28"/>
        <v>198235.98083333333</v>
      </c>
      <c r="K38" s="225">
        <f t="shared" si="28"/>
        <v>198235.98083333333</v>
      </c>
      <c r="L38" s="225">
        <f t="shared" si="28"/>
        <v>198235.98083333333</v>
      </c>
      <c r="M38" s="225">
        <f t="shared" si="28"/>
        <v>198235.98083333333</v>
      </c>
      <c r="N38" s="225">
        <f t="shared" si="28"/>
        <v>198206.98083333333</v>
      </c>
      <c r="O38" s="226">
        <f t="shared" si="28"/>
        <v>2443427.77</v>
      </c>
      <c r="P38" s="215"/>
    </row>
    <row r="39" spans="1:16" s="235" customFormat="1" ht="15.95" customHeight="1" thickBot="1" x14ac:dyDescent="0.3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15"/>
    </row>
    <row r="40" spans="1:16" ht="13.5" thickBot="1" x14ac:dyDescent="0.25">
      <c r="A40" s="236" t="s">
        <v>461</v>
      </c>
      <c r="B40" s="237">
        <f>+B23-B38+B3</f>
        <v>1281960.23</v>
      </c>
      <c r="C40" s="237">
        <f>+C23-C38+C3</f>
        <v>1251322.4158333333</v>
      </c>
      <c r="D40" s="237">
        <f>+D3+D23-D38</f>
        <v>1275391.6016666666</v>
      </c>
      <c r="E40" s="237">
        <f t="shared" ref="E40:O40" si="29">+E3+E23-E38</f>
        <v>1264049.7875000001</v>
      </c>
      <c r="F40" s="237">
        <f t="shared" si="29"/>
        <v>1242184.9733333336</v>
      </c>
      <c r="G40" s="237">
        <f t="shared" si="29"/>
        <v>1256952.1591666671</v>
      </c>
      <c r="H40" s="237">
        <f t="shared" si="29"/>
        <v>1251746.3450000007</v>
      </c>
      <c r="I40" s="237">
        <f t="shared" si="29"/>
        <v>1240404.5308333342</v>
      </c>
      <c r="J40" s="237">
        <f t="shared" si="29"/>
        <v>1264473.7166666677</v>
      </c>
      <c r="K40" s="237">
        <f t="shared" si="29"/>
        <v>1259267.9025000012</v>
      </c>
      <c r="L40" s="237">
        <f t="shared" si="29"/>
        <v>1283343.0883333348</v>
      </c>
      <c r="M40" s="237">
        <f t="shared" si="29"/>
        <v>1279137.2741666683</v>
      </c>
      <c r="N40" s="237">
        <f t="shared" si="29"/>
        <v>1281960.4600000018</v>
      </c>
      <c r="O40" s="237">
        <f t="shared" si="29"/>
        <v>1281960.6900000018</v>
      </c>
      <c r="P40" s="215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Roman,Félkövér"&amp;12Előirányzat-felhasználási és likviditási ütemterv 2020.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3" sqref="R3:R4"/>
    </sheetView>
  </sheetViews>
  <sheetFormatPr defaultColWidth="9.140625" defaultRowHeight="12.75" x14ac:dyDescent="0.2"/>
  <cols>
    <col min="1" max="1" width="4.42578125" style="685" customWidth="1"/>
    <col min="2" max="2" width="18" style="732" bestFit="1" customWidth="1"/>
    <col min="3" max="3" width="45.5703125" style="685" customWidth="1"/>
    <col min="4" max="4" width="7.7109375" style="685" customWidth="1"/>
    <col min="5" max="5" width="7.5703125" style="685" customWidth="1"/>
    <col min="6" max="6" width="8.28515625" style="684" customWidth="1"/>
    <col min="7" max="7" width="7.42578125" style="685" customWidth="1"/>
    <col min="8" max="8" width="7.85546875" style="685" customWidth="1"/>
    <col min="9" max="9" width="6.5703125" style="685" customWidth="1"/>
    <col min="10" max="10" width="9.42578125" style="685" customWidth="1"/>
    <col min="11" max="11" width="10" style="716" customWidth="1"/>
    <col min="12" max="12" width="9.140625" style="685" customWidth="1"/>
    <col min="13" max="13" width="7.28515625" style="685" customWidth="1"/>
    <col min="14" max="14" width="8.140625" style="685" customWidth="1"/>
    <col min="15" max="15" width="7.28515625" style="685" customWidth="1"/>
    <col min="16" max="16" width="9.28515625" style="684" customWidth="1"/>
    <col min="17" max="18" width="8.42578125" style="684" customWidth="1"/>
    <col min="19" max="20" width="9.85546875" style="684" customWidth="1"/>
    <col min="21" max="21" width="9.85546875" style="685" customWidth="1"/>
    <col min="22" max="22" width="9.5703125" style="685" bestFit="1" customWidth="1"/>
    <col min="23" max="23" width="8" style="685" customWidth="1"/>
    <col min="24" max="24" width="15" style="685" bestFit="1" customWidth="1"/>
    <col min="25" max="25" width="9" style="684" customWidth="1"/>
    <col min="26" max="26" width="7.85546875" style="685" customWidth="1"/>
    <col min="27" max="27" width="10.5703125" style="685" customWidth="1"/>
    <col min="28" max="28" width="8.7109375" style="685" customWidth="1"/>
    <col min="29" max="29" width="9.140625" style="685" customWidth="1"/>
    <col min="30" max="30" width="9.7109375" style="685" customWidth="1"/>
    <col min="31" max="31" width="11.42578125" style="685" customWidth="1"/>
    <col min="32" max="32" width="9.5703125" style="685" customWidth="1"/>
    <col min="33" max="34" width="9.28515625" style="685" customWidth="1"/>
    <col min="35" max="35" width="10.85546875" style="685" customWidth="1"/>
    <col min="36" max="36" width="11.140625" style="685" customWidth="1"/>
    <col min="37" max="41" width="9.140625" style="685" customWidth="1"/>
    <col min="42" max="16384" width="9.140625" style="685"/>
  </cols>
  <sheetData>
    <row r="1" spans="1:41" ht="13.5" thickBot="1" x14ac:dyDescent="0.25">
      <c r="A1" s="1429"/>
      <c r="B1" s="1429"/>
      <c r="C1" s="1429"/>
      <c r="D1" s="1429"/>
      <c r="E1" s="1429"/>
      <c r="F1" s="1429"/>
      <c r="G1" s="1429"/>
      <c r="H1" s="1429"/>
      <c r="I1" s="1429"/>
      <c r="J1" s="1429"/>
      <c r="K1" s="1429"/>
      <c r="L1" s="1429"/>
      <c r="M1" s="1429"/>
      <c r="N1" s="1429"/>
      <c r="O1" s="1429"/>
      <c r="P1" s="1429"/>
      <c r="Q1" s="1429"/>
      <c r="R1" s="1429"/>
      <c r="S1" s="1429"/>
      <c r="T1" s="1429"/>
      <c r="U1" s="1429"/>
      <c r="V1" s="1429"/>
      <c r="W1" s="1429"/>
      <c r="X1" s="1429"/>
      <c r="AH1" s="1430" t="s">
        <v>383</v>
      </c>
      <c r="AI1" s="1430"/>
      <c r="AJ1" s="1430"/>
    </row>
    <row r="2" spans="1:41" ht="16.5" customHeight="1" x14ac:dyDescent="0.2">
      <c r="A2" s="1431" t="s">
        <v>660</v>
      </c>
      <c r="B2" s="1433"/>
      <c r="C2" s="1436" t="s">
        <v>696</v>
      </c>
      <c r="D2" s="1438" t="s">
        <v>305</v>
      </c>
      <c r="E2" s="1438"/>
      <c r="F2" s="1438"/>
      <c r="G2" s="1438"/>
      <c r="H2" s="1438"/>
      <c r="I2" s="1438"/>
      <c r="J2" s="1438"/>
      <c r="K2" s="1438"/>
      <c r="L2" s="1438"/>
      <c r="M2" s="1438"/>
      <c r="N2" s="1438"/>
      <c r="O2" s="1438"/>
      <c r="P2" s="1438"/>
      <c r="Q2" s="1438"/>
      <c r="R2" s="1438"/>
      <c r="S2" s="1438"/>
      <c r="T2" s="1438"/>
      <c r="U2" s="1438"/>
      <c r="V2" s="1439"/>
      <c r="W2" s="686"/>
      <c r="X2" s="1440" t="s">
        <v>284</v>
      </c>
      <c r="Y2" s="1438" t="s">
        <v>298</v>
      </c>
      <c r="Z2" s="1438"/>
      <c r="AA2" s="1438"/>
      <c r="AB2" s="1438"/>
      <c r="AC2" s="1438"/>
      <c r="AD2" s="1438"/>
      <c r="AE2" s="1438"/>
      <c r="AF2" s="1438"/>
      <c r="AG2" s="1438"/>
      <c r="AH2" s="1438"/>
      <c r="AI2" s="1438"/>
      <c r="AJ2" s="1442" t="s">
        <v>697</v>
      </c>
      <c r="AO2" s="687"/>
    </row>
    <row r="3" spans="1:41" ht="25.5" customHeight="1" x14ac:dyDescent="0.2">
      <c r="A3" s="1432"/>
      <c r="B3" s="1434"/>
      <c r="C3" s="1437"/>
      <c r="D3" s="1437" t="s">
        <v>698</v>
      </c>
      <c r="E3" s="1437" t="s">
        <v>699</v>
      </c>
      <c r="F3" s="1444" t="s">
        <v>150</v>
      </c>
      <c r="G3" s="1437" t="s">
        <v>700</v>
      </c>
      <c r="H3" s="1437" t="s">
        <v>162</v>
      </c>
      <c r="I3" s="1445"/>
      <c r="J3" s="1437" t="s">
        <v>701</v>
      </c>
      <c r="K3" s="1428" t="s">
        <v>702</v>
      </c>
      <c r="L3" s="1437" t="s">
        <v>703</v>
      </c>
      <c r="M3" s="1437" t="s">
        <v>704</v>
      </c>
      <c r="N3" s="1437" t="s">
        <v>705</v>
      </c>
      <c r="O3" s="1437" t="s">
        <v>706</v>
      </c>
      <c r="P3" s="1444" t="s">
        <v>605</v>
      </c>
      <c r="Q3" s="1444" t="s">
        <v>894</v>
      </c>
      <c r="R3" s="1444" t="s">
        <v>1005</v>
      </c>
      <c r="S3" s="1444" t="s">
        <v>902</v>
      </c>
      <c r="T3" s="1444" t="s">
        <v>901</v>
      </c>
      <c r="U3" s="1448" t="s">
        <v>814</v>
      </c>
      <c r="V3" s="1437" t="s">
        <v>707</v>
      </c>
      <c r="W3" s="1437" t="s">
        <v>708</v>
      </c>
      <c r="X3" s="1441"/>
      <c r="Y3" s="1437" t="s">
        <v>709</v>
      </c>
      <c r="Z3" s="1437" t="s">
        <v>710</v>
      </c>
      <c r="AA3" s="1437" t="s">
        <v>711</v>
      </c>
      <c r="AB3" s="1437" t="s">
        <v>712</v>
      </c>
      <c r="AC3" s="1437" t="s">
        <v>713</v>
      </c>
      <c r="AD3" s="1437" t="s">
        <v>632</v>
      </c>
      <c r="AE3" s="1437" t="s">
        <v>714</v>
      </c>
      <c r="AF3" s="1437" t="s">
        <v>715</v>
      </c>
      <c r="AG3" s="1437" t="s">
        <v>716</v>
      </c>
      <c r="AH3" s="1437" t="s">
        <v>717</v>
      </c>
      <c r="AI3" s="1437" t="s">
        <v>736</v>
      </c>
      <c r="AJ3" s="1443"/>
    </row>
    <row r="4" spans="1:41" ht="35.25" customHeight="1" x14ac:dyDescent="0.2">
      <c r="A4" s="1432"/>
      <c r="B4" s="1435"/>
      <c r="C4" s="1437"/>
      <c r="D4" s="1437"/>
      <c r="E4" s="1437"/>
      <c r="F4" s="1444"/>
      <c r="G4" s="1437"/>
      <c r="H4" s="688" t="s">
        <v>718</v>
      </c>
      <c r="I4" s="688" t="s">
        <v>719</v>
      </c>
      <c r="J4" s="1437"/>
      <c r="K4" s="1428"/>
      <c r="L4" s="1437"/>
      <c r="M4" s="1446"/>
      <c r="N4" s="1437"/>
      <c r="O4" s="1437"/>
      <c r="P4" s="1444"/>
      <c r="Q4" s="1444"/>
      <c r="R4" s="1444"/>
      <c r="S4" s="1444"/>
      <c r="T4" s="1447"/>
      <c r="U4" s="1449"/>
      <c r="V4" s="1446"/>
      <c r="W4" s="1437"/>
      <c r="X4" s="1441"/>
      <c r="Y4" s="1437"/>
      <c r="Z4" s="1437"/>
      <c r="AA4" s="1445"/>
      <c r="AB4" s="1445"/>
      <c r="AC4" s="1437"/>
      <c r="AD4" s="1445"/>
      <c r="AE4" s="1445"/>
      <c r="AF4" s="1445"/>
      <c r="AG4" s="1437"/>
      <c r="AH4" s="1437"/>
      <c r="AI4" s="1437"/>
      <c r="AJ4" s="1443"/>
    </row>
    <row r="5" spans="1:41" s="684" customFormat="1" x14ac:dyDescent="0.2">
      <c r="A5" s="689">
        <v>1</v>
      </c>
      <c r="B5" s="743" t="s">
        <v>954</v>
      </c>
      <c r="C5" s="757" t="s">
        <v>955</v>
      </c>
      <c r="D5" s="720"/>
      <c r="E5" s="720"/>
      <c r="F5" s="720"/>
      <c r="G5" s="694"/>
      <c r="H5" s="694"/>
      <c r="I5" s="694"/>
      <c r="J5" s="694">
        <v>850</v>
      </c>
      <c r="K5" s="973"/>
      <c r="L5" s="695"/>
      <c r="M5" s="695"/>
      <c r="N5" s="694"/>
      <c r="O5" s="695"/>
      <c r="P5" s="694"/>
      <c r="Q5" s="695"/>
      <c r="R5" s="695"/>
      <c r="S5" s="694"/>
      <c r="T5" s="694"/>
      <c r="U5" s="694"/>
      <c r="V5" s="694">
        <v>-850</v>
      </c>
      <c r="W5" s="695"/>
      <c r="X5" s="692">
        <f t="shared" ref="X5:X29" si="0">SUM(D5:W5)</f>
        <v>0</v>
      </c>
      <c r="Y5" s="693"/>
      <c r="Z5" s="694"/>
      <c r="AA5" s="694"/>
      <c r="AB5" s="695"/>
      <c r="AC5" s="695"/>
      <c r="AD5" s="695"/>
      <c r="AE5" s="695"/>
      <c r="AF5" s="695"/>
      <c r="AG5" s="695"/>
      <c r="AH5" s="695"/>
      <c r="AI5" s="694"/>
      <c r="AJ5" s="696">
        <f>SUM(Y5:AI5)</f>
        <v>0</v>
      </c>
    </row>
    <row r="6" spans="1:41" s="684" customFormat="1" ht="25.5" x14ac:dyDescent="0.2">
      <c r="A6" s="689">
        <v>2</v>
      </c>
      <c r="B6" s="743" t="s">
        <v>957</v>
      </c>
      <c r="C6" s="757" t="s">
        <v>958</v>
      </c>
      <c r="D6" s="720"/>
      <c r="E6" s="720"/>
      <c r="F6" s="720">
        <v>137</v>
      </c>
      <c r="G6" s="694"/>
      <c r="H6" s="694"/>
      <c r="I6" s="694"/>
      <c r="J6" s="694"/>
      <c r="K6" s="973"/>
      <c r="L6" s="695"/>
      <c r="M6" s="695"/>
      <c r="N6" s="694"/>
      <c r="O6" s="695"/>
      <c r="P6" s="694"/>
      <c r="Q6" s="695"/>
      <c r="R6" s="695"/>
      <c r="S6" s="694"/>
      <c r="T6" s="694"/>
      <c r="U6" s="694"/>
      <c r="V6" s="694">
        <v>-137</v>
      </c>
      <c r="W6" s="695"/>
      <c r="X6" s="692">
        <f t="shared" si="0"/>
        <v>0</v>
      </c>
      <c r="Y6" s="693"/>
      <c r="Z6" s="694"/>
      <c r="AA6" s="694"/>
      <c r="AB6" s="695"/>
      <c r="AC6" s="695"/>
      <c r="AD6" s="695"/>
      <c r="AE6" s="695"/>
      <c r="AF6" s="695"/>
      <c r="AG6" s="695"/>
      <c r="AH6" s="695"/>
      <c r="AI6" s="694"/>
      <c r="AJ6" s="696">
        <f>SUM(Y6:AI6)</f>
        <v>0</v>
      </c>
    </row>
    <row r="7" spans="1:41" s="684" customFormat="1" x14ac:dyDescent="0.2">
      <c r="A7" s="689">
        <v>3</v>
      </c>
      <c r="B7" s="743" t="s">
        <v>959</v>
      </c>
      <c r="C7" s="757" t="s">
        <v>960</v>
      </c>
      <c r="D7" s="720"/>
      <c r="E7" s="720"/>
      <c r="F7" s="720">
        <v>100</v>
      </c>
      <c r="G7" s="694"/>
      <c r="H7" s="694"/>
      <c r="I7" s="694"/>
      <c r="J7" s="694"/>
      <c r="K7" s="973"/>
      <c r="L7" s="695"/>
      <c r="M7" s="695"/>
      <c r="N7" s="694"/>
      <c r="O7" s="695"/>
      <c r="P7" s="694"/>
      <c r="Q7" s="695"/>
      <c r="R7" s="695"/>
      <c r="S7" s="694"/>
      <c r="T7" s="694"/>
      <c r="U7" s="694"/>
      <c r="V7" s="694">
        <v>-100</v>
      </c>
      <c r="W7" s="695"/>
      <c r="X7" s="692">
        <f t="shared" ref="X7" si="1">SUM(D7:W7)</f>
        <v>0</v>
      </c>
      <c r="Y7" s="693"/>
      <c r="Z7" s="694"/>
      <c r="AA7" s="694"/>
      <c r="AB7" s="695"/>
      <c r="AC7" s="695"/>
      <c r="AD7" s="695"/>
      <c r="AE7" s="695"/>
      <c r="AF7" s="695"/>
      <c r="AG7" s="695"/>
      <c r="AH7" s="695"/>
      <c r="AI7" s="694"/>
      <c r="AJ7" s="696">
        <f>SUM(Y7:AI7)</f>
        <v>0</v>
      </c>
    </row>
    <row r="8" spans="1:41" s="684" customFormat="1" ht="25.5" x14ac:dyDescent="0.2">
      <c r="A8" s="689">
        <v>4</v>
      </c>
      <c r="B8" s="743" t="s">
        <v>961</v>
      </c>
      <c r="C8" s="757" t="s">
        <v>962</v>
      </c>
      <c r="D8" s="694"/>
      <c r="E8" s="694"/>
      <c r="F8" s="694">
        <v>-2</v>
      </c>
      <c r="G8" s="694"/>
      <c r="H8" s="694">
        <v>2</v>
      </c>
      <c r="I8" s="694"/>
      <c r="J8" s="694"/>
      <c r="K8" s="973"/>
      <c r="L8" s="695"/>
      <c r="M8" s="695"/>
      <c r="N8" s="694"/>
      <c r="O8" s="695"/>
      <c r="P8" s="694"/>
      <c r="Q8" s="695"/>
      <c r="R8" s="695"/>
      <c r="S8" s="694"/>
      <c r="T8" s="694"/>
      <c r="U8" s="694"/>
      <c r="V8" s="694"/>
      <c r="W8" s="695"/>
      <c r="X8" s="692">
        <f t="shared" si="0"/>
        <v>0</v>
      </c>
      <c r="Y8" s="693"/>
      <c r="Z8" s="694"/>
      <c r="AA8" s="694"/>
      <c r="AB8" s="695"/>
      <c r="AC8" s="695"/>
      <c r="AD8" s="695"/>
      <c r="AE8" s="695"/>
      <c r="AF8" s="695"/>
      <c r="AG8" s="695"/>
      <c r="AH8" s="695"/>
      <c r="AI8" s="695"/>
      <c r="AJ8" s="696">
        <f t="shared" ref="AJ8:AJ47" si="2">SUM(Y8:AI8)</f>
        <v>0</v>
      </c>
    </row>
    <row r="9" spans="1:41" s="684" customFormat="1" x14ac:dyDescent="0.2">
      <c r="A9" s="689">
        <v>5</v>
      </c>
      <c r="B9" s="743" t="s">
        <v>963</v>
      </c>
      <c r="C9" s="698" t="s">
        <v>964</v>
      </c>
      <c r="D9" s="694"/>
      <c r="E9" s="694"/>
      <c r="F9" s="694">
        <v>111</v>
      </c>
      <c r="G9" s="694"/>
      <c r="H9" s="694"/>
      <c r="I9" s="694"/>
      <c r="J9" s="694"/>
      <c r="K9" s="973"/>
      <c r="L9" s="695"/>
      <c r="M9" s="695"/>
      <c r="N9" s="694"/>
      <c r="O9" s="695"/>
      <c r="P9" s="694"/>
      <c r="Q9" s="695"/>
      <c r="R9" s="695"/>
      <c r="S9" s="694">
        <v>-111</v>
      </c>
      <c r="T9" s="694"/>
      <c r="U9" s="694"/>
      <c r="V9" s="694"/>
      <c r="W9" s="695"/>
      <c r="X9" s="692">
        <f t="shared" si="0"/>
        <v>0</v>
      </c>
      <c r="Y9" s="693"/>
      <c r="Z9" s="694"/>
      <c r="AA9" s="694"/>
      <c r="AB9" s="695"/>
      <c r="AC9" s="695"/>
      <c r="AD9" s="695"/>
      <c r="AE9" s="695"/>
      <c r="AF9" s="695"/>
      <c r="AG9" s="695"/>
      <c r="AH9" s="695"/>
      <c r="AI9" s="695"/>
      <c r="AJ9" s="696">
        <f t="shared" si="2"/>
        <v>0</v>
      </c>
    </row>
    <row r="10" spans="1:41" s="684" customFormat="1" x14ac:dyDescent="0.2">
      <c r="A10" s="689">
        <v>6</v>
      </c>
      <c r="B10" s="743" t="s">
        <v>965</v>
      </c>
      <c r="C10" s="698" t="s">
        <v>966</v>
      </c>
      <c r="D10" s="694"/>
      <c r="E10" s="694"/>
      <c r="F10" s="694"/>
      <c r="G10" s="694"/>
      <c r="H10" s="694"/>
      <c r="I10" s="694"/>
      <c r="J10" s="694"/>
      <c r="K10" s="973"/>
      <c r="L10" s="695"/>
      <c r="M10" s="695"/>
      <c r="N10" s="694"/>
      <c r="O10" s="695"/>
      <c r="P10" s="694"/>
      <c r="Q10" s="695"/>
      <c r="R10" s="695"/>
      <c r="S10" s="694"/>
      <c r="T10" s="694"/>
      <c r="U10" s="694"/>
      <c r="V10" s="694">
        <v>12000</v>
      </c>
      <c r="W10" s="695"/>
      <c r="X10" s="692">
        <f t="shared" si="0"/>
        <v>12000</v>
      </c>
      <c r="Y10" s="693"/>
      <c r="Z10" s="694">
        <v>12000</v>
      </c>
      <c r="AA10" s="694"/>
      <c r="AB10" s="694"/>
      <c r="AC10" s="695"/>
      <c r="AD10" s="694"/>
      <c r="AE10" s="695"/>
      <c r="AF10" s="694"/>
      <c r="AG10" s="695"/>
      <c r="AH10" s="695"/>
      <c r="AI10" s="695"/>
      <c r="AJ10" s="696">
        <f t="shared" si="2"/>
        <v>12000</v>
      </c>
    </row>
    <row r="11" spans="1:41" s="684" customFormat="1" ht="25.5" x14ac:dyDescent="0.2">
      <c r="A11" s="689">
        <v>7</v>
      </c>
      <c r="B11" s="743" t="s">
        <v>968</v>
      </c>
      <c r="C11" s="698" t="s">
        <v>969</v>
      </c>
      <c r="D11" s="694"/>
      <c r="E11" s="694"/>
      <c r="F11" s="694"/>
      <c r="G11" s="694"/>
      <c r="H11" s="694"/>
      <c r="I11" s="694">
        <v>900</v>
      </c>
      <c r="J11" s="694"/>
      <c r="K11" s="973"/>
      <c r="L11" s="695"/>
      <c r="M11" s="695"/>
      <c r="N11" s="694"/>
      <c r="O11" s="695"/>
      <c r="P11" s="694">
        <v>-900</v>
      </c>
      <c r="Q11" s="695"/>
      <c r="R11" s="695"/>
      <c r="S11" s="694"/>
      <c r="T11" s="694"/>
      <c r="U11" s="694"/>
      <c r="V11" s="694"/>
      <c r="W11" s="695"/>
      <c r="X11" s="692">
        <f t="shared" si="0"/>
        <v>0</v>
      </c>
      <c r="Y11" s="693"/>
      <c r="Z11" s="694"/>
      <c r="AA11" s="694"/>
      <c r="AB11" s="695"/>
      <c r="AC11" s="695"/>
      <c r="AD11" s="695"/>
      <c r="AE11" s="695"/>
      <c r="AF11" s="694"/>
      <c r="AG11" s="695"/>
      <c r="AH11" s="695"/>
      <c r="AI11" s="694"/>
      <c r="AJ11" s="696">
        <f t="shared" si="2"/>
        <v>0</v>
      </c>
    </row>
    <row r="12" spans="1:41" s="684" customFormat="1" ht="25.5" x14ac:dyDescent="0.2">
      <c r="A12" s="689">
        <v>8</v>
      </c>
      <c r="B12" s="743" t="s">
        <v>970</v>
      </c>
      <c r="C12" s="757" t="s">
        <v>972</v>
      </c>
      <c r="D12" s="694"/>
      <c r="E12" s="694"/>
      <c r="F12" s="694">
        <v>-834</v>
      </c>
      <c r="G12" s="694"/>
      <c r="H12" s="694"/>
      <c r="I12" s="694"/>
      <c r="J12" s="694">
        <v>834</v>
      </c>
      <c r="K12" s="973"/>
      <c r="L12" s="695"/>
      <c r="M12" s="695"/>
      <c r="N12" s="694"/>
      <c r="O12" s="694"/>
      <c r="P12" s="694"/>
      <c r="Q12" s="695"/>
      <c r="R12" s="695"/>
      <c r="S12" s="694"/>
      <c r="T12" s="694"/>
      <c r="U12" s="694"/>
      <c r="V12" s="694"/>
      <c r="W12" s="695"/>
      <c r="X12" s="692">
        <f t="shared" si="0"/>
        <v>0</v>
      </c>
      <c r="Y12" s="693"/>
      <c r="Z12" s="694"/>
      <c r="AA12" s="694"/>
      <c r="AB12" s="695"/>
      <c r="AC12" s="694"/>
      <c r="AD12" s="695"/>
      <c r="AE12" s="694"/>
      <c r="AF12" s="694"/>
      <c r="AG12" s="695"/>
      <c r="AH12" s="695"/>
      <c r="AI12" s="695"/>
      <c r="AJ12" s="696">
        <f t="shared" si="2"/>
        <v>0</v>
      </c>
    </row>
    <row r="13" spans="1:41" s="684" customFormat="1" ht="25.5" x14ac:dyDescent="0.2">
      <c r="A13" s="689">
        <v>9</v>
      </c>
      <c r="B13" s="743" t="s">
        <v>973</v>
      </c>
      <c r="C13" s="698" t="s">
        <v>974</v>
      </c>
      <c r="D13" s="694"/>
      <c r="E13" s="694"/>
      <c r="F13" s="694"/>
      <c r="G13" s="694"/>
      <c r="H13" s="694"/>
      <c r="I13" s="694"/>
      <c r="J13" s="694"/>
      <c r="K13" s="973"/>
      <c r="L13" s="695"/>
      <c r="M13" s="695"/>
      <c r="N13" s="694">
        <v>55</v>
      </c>
      <c r="O13" s="695"/>
      <c r="P13" s="694"/>
      <c r="Q13" s="695"/>
      <c r="R13" s="695"/>
      <c r="S13" s="694"/>
      <c r="T13" s="694"/>
      <c r="U13" s="694"/>
      <c r="V13" s="694">
        <v>-55</v>
      </c>
      <c r="W13" s="695"/>
      <c r="X13" s="692">
        <f t="shared" si="0"/>
        <v>0</v>
      </c>
      <c r="Y13" s="693"/>
      <c r="Z13" s="694"/>
      <c r="AA13" s="694"/>
      <c r="AB13" s="694"/>
      <c r="AC13" s="695"/>
      <c r="AD13" s="695"/>
      <c r="AE13" s="695"/>
      <c r="AF13" s="694"/>
      <c r="AG13" s="695"/>
      <c r="AH13" s="695"/>
      <c r="AI13" s="695"/>
      <c r="AJ13" s="696">
        <f t="shared" si="2"/>
        <v>0</v>
      </c>
    </row>
    <row r="14" spans="1:41" s="684" customFormat="1" x14ac:dyDescent="0.2">
      <c r="A14" s="689">
        <v>10</v>
      </c>
      <c r="B14" s="743" t="s">
        <v>975</v>
      </c>
      <c r="C14" s="698" t="s">
        <v>976</v>
      </c>
      <c r="D14" s="694"/>
      <c r="E14" s="694"/>
      <c r="F14" s="694">
        <v>110</v>
      </c>
      <c r="G14" s="694"/>
      <c r="H14" s="694"/>
      <c r="I14" s="694"/>
      <c r="J14" s="694"/>
      <c r="K14" s="973"/>
      <c r="L14" s="695"/>
      <c r="M14" s="695"/>
      <c r="N14" s="694"/>
      <c r="O14" s="695"/>
      <c r="P14" s="694"/>
      <c r="Q14" s="694"/>
      <c r="R14" s="694"/>
      <c r="S14" s="694"/>
      <c r="T14" s="694"/>
      <c r="U14" s="694"/>
      <c r="V14" s="694">
        <v>-110</v>
      </c>
      <c r="W14" s="695"/>
      <c r="X14" s="692">
        <f t="shared" si="0"/>
        <v>0</v>
      </c>
      <c r="Y14" s="693"/>
      <c r="Z14" s="694"/>
      <c r="AA14" s="694"/>
      <c r="AB14" s="694"/>
      <c r="AC14" s="695"/>
      <c r="AD14" s="695"/>
      <c r="AE14" s="695"/>
      <c r="AF14" s="694"/>
      <c r="AG14" s="695"/>
      <c r="AH14" s="695"/>
      <c r="AI14" s="695"/>
      <c r="AJ14" s="696">
        <f t="shared" si="2"/>
        <v>0</v>
      </c>
    </row>
    <row r="15" spans="1:41" s="684" customFormat="1" x14ac:dyDescent="0.2">
      <c r="A15" s="689">
        <v>11</v>
      </c>
      <c r="B15" s="743" t="s">
        <v>977</v>
      </c>
      <c r="C15" s="698" t="s">
        <v>978</v>
      </c>
      <c r="D15" s="694"/>
      <c r="E15" s="694"/>
      <c r="F15" s="694">
        <v>381</v>
      </c>
      <c r="G15" s="694"/>
      <c r="H15" s="694"/>
      <c r="I15" s="694"/>
      <c r="J15" s="694"/>
      <c r="K15" s="973"/>
      <c r="L15" s="695"/>
      <c r="M15" s="694"/>
      <c r="N15" s="694"/>
      <c r="O15" s="695"/>
      <c r="P15" s="694"/>
      <c r="Q15" s="694"/>
      <c r="R15" s="694"/>
      <c r="S15" s="694"/>
      <c r="T15" s="694"/>
      <c r="U15" s="694"/>
      <c r="V15" s="694">
        <v>-381</v>
      </c>
      <c r="W15" s="694"/>
      <c r="X15" s="692">
        <f t="shared" si="0"/>
        <v>0</v>
      </c>
      <c r="Y15" s="693"/>
      <c r="Z15" s="694"/>
      <c r="AA15" s="694"/>
      <c r="AB15" s="695"/>
      <c r="AC15" s="695"/>
      <c r="AD15" s="695"/>
      <c r="AE15" s="695"/>
      <c r="AF15" s="694"/>
      <c r="AG15" s="695"/>
      <c r="AH15" s="695"/>
      <c r="AI15" s="694"/>
      <c r="AJ15" s="696">
        <f t="shared" si="2"/>
        <v>0</v>
      </c>
    </row>
    <row r="16" spans="1:41" ht="25.5" x14ac:dyDescent="0.2">
      <c r="A16" s="689">
        <v>12</v>
      </c>
      <c r="B16" s="743" t="s">
        <v>979</v>
      </c>
      <c r="C16" s="698" t="s">
        <v>980</v>
      </c>
      <c r="D16" s="702"/>
      <c r="E16" s="702"/>
      <c r="F16" s="694">
        <v>54</v>
      </c>
      <c r="G16" s="702"/>
      <c r="H16" s="702"/>
      <c r="I16" s="702"/>
      <c r="J16" s="702"/>
      <c r="K16" s="974"/>
      <c r="L16" s="702"/>
      <c r="M16" s="702"/>
      <c r="N16" s="702"/>
      <c r="O16" s="702"/>
      <c r="P16" s="694"/>
      <c r="Q16" s="694"/>
      <c r="R16" s="694"/>
      <c r="S16" s="694"/>
      <c r="T16" s="694"/>
      <c r="U16" s="694"/>
      <c r="V16" s="694">
        <v>-54</v>
      </c>
      <c r="W16" s="702"/>
      <c r="X16" s="692">
        <f t="shared" si="0"/>
        <v>0</v>
      </c>
      <c r="Y16" s="693"/>
      <c r="Z16" s="702"/>
      <c r="AA16" s="702"/>
      <c r="AB16" s="702"/>
      <c r="AC16" s="702"/>
      <c r="AD16" s="702"/>
      <c r="AE16" s="702"/>
      <c r="AF16" s="702"/>
      <c r="AG16" s="702"/>
      <c r="AH16" s="706"/>
      <c r="AI16" s="706"/>
      <c r="AJ16" s="696">
        <f t="shared" si="2"/>
        <v>0</v>
      </c>
    </row>
    <row r="17" spans="1:36" s="739" customFormat="1" x14ac:dyDescent="0.25">
      <c r="A17" s="689">
        <v>13</v>
      </c>
      <c r="B17" s="743" t="s">
        <v>981</v>
      </c>
      <c r="C17" s="1066" t="s">
        <v>982</v>
      </c>
      <c r="D17" s="745"/>
      <c r="E17" s="745"/>
      <c r="F17" s="746">
        <v>100</v>
      </c>
      <c r="G17" s="745"/>
      <c r="H17" s="745"/>
      <c r="I17" s="745"/>
      <c r="J17" s="745"/>
      <c r="K17" s="975"/>
      <c r="L17" s="745"/>
      <c r="M17" s="745"/>
      <c r="N17" s="745"/>
      <c r="O17" s="745"/>
      <c r="P17" s="746"/>
      <c r="Q17" s="746"/>
      <c r="R17" s="746"/>
      <c r="S17" s="746"/>
      <c r="T17" s="746"/>
      <c r="U17" s="746"/>
      <c r="V17" s="746">
        <v>-100</v>
      </c>
      <c r="W17" s="745"/>
      <c r="X17" s="747">
        <f t="shared" si="0"/>
        <v>0</v>
      </c>
      <c r="Y17" s="742"/>
      <c r="Z17" s="745"/>
      <c r="AA17" s="745"/>
      <c r="AB17" s="745"/>
      <c r="AC17" s="745"/>
      <c r="AD17" s="745"/>
      <c r="AE17" s="745"/>
      <c r="AF17" s="745"/>
      <c r="AG17" s="745"/>
      <c r="AH17" s="879"/>
      <c r="AI17" s="879"/>
      <c r="AJ17" s="748">
        <f t="shared" si="2"/>
        <v>0</v>
      </c>
    </row>
    <row r="18" spans="1:36" s="684" customFormat="1" ht="25.5" x14ac:dyDescent="0.2">
      <c r="A18" s="689">
        <v>14</v>
      </c>
      <c r="B18" s="743" t="s">
        <v>984</v>
      </c>
      <c r="C18" s="698" t="s">
        <v>985</v>
      </c>
      <c r="D18" s="694"/>
      <c r="E18" s="694"/>
      <c r="F18" s="694"/>
      <c r="G18" s="694"/>
      <c r="H18" s="694"/>
      <c r="I18" s="694">
        <f>588+153</f>
        <v>741</v>
      </c>
      <c r="J18" s="694"/>
      <c r="K18" s="973"/>
      <c r="L18" s="694"/>
      <c r="M18" s="695"/>
      <c r="N18" s="694"/>
      <c r="O18" s="695"/>
      <c r="P18" s="694">
        <v>-153</v>
      </c>
      <c r="Q18" s="694">
        <v>-588</v>
      </c>
      <c r="R18" s="694"/>
      <c r="S18" s="694"/>
      <c r="T18" s="694"/>
      <c r="U18" s="694"/>
      <c r="V18" s="694"/>
      <c r="W18" s="695"/>
      <c r="X18" s="692">
        <f t="shared" si="0"/>
        <v>0</v>
      </c>
      <c r="Y18" s="693"/>
      <c r="Z18" s="694"/>
      <c r="AA18" s="694"/>
      <c r="AB18" s="695"/>
      <c r="AC18" s="695"/>
      <c r="AD18" s="695"/>
      <c r="AE18" s="695"/>
      <c r="AF18" s="694"/>
      <c r="AG18" s="695"/>
      <c r="AH18" s="695"/>
      <c r="AI18" s="695"/>
      <c r="AJ18" s="696">
        <f t="shared" si="2"/>
        <v>0</v>
      </c>
    </row>
    <row r="19" spans="1:36" s="684" customFormat="1" x14ac:dyDescent="0.2">
      <c r="A19" s="689">
        <v>15</v>
      </c>
      <c r="B19" s="743" t="s">
        <v>971</v>
      </c>
      <c r="C19" s="733" t="s">
        <v>986</v>
      </c>
      <c r="D19" s="746"/>
      <c r="E19" s="746"/>
      <c r="F19" s="746"/>
      <c r="G19" s="746"/>
      <c r="H19" s="746"/>
      <c r="I19" s="746"/>
      <c r="J19" s="746">
        <v>1397</v>
      </c>
      <c r="K19" s="976"/>
      <c r="L19" s="746"/>
      <c r="M19" s="956"/>
      <c r="N19" s="746"/>
      <c r="O19" s="956"/>
      <c r="P19" s="746"/>
      <c r="Q19" s="746"/>
      <c r="R19" s="746"/>
      <c r="S19" s="746"/>
      <c r="T19" s="746"/>
      <c r="U19" s="746"/>
      <c r="V19" s="746">
        <v>-1397</v>
      </c>
      <c r="W19" s="746"/>
      <c r="X19" s="747">
        <f t="shared" si="0"/>
        <v>0</v>
      </c>
      <c r="Y19" s="742"/>
      <c r="Z19" s="746"/>
      <c r="AA19" s="746"/>
      <c r="AB19" s="956"/>
      <c r="AC19" s="956"/>
      <c r="AD19" s="956"/>
      <c r="AE19" s="956"/>
      <c r="AF19" s="746"/>
      <c r="AG19" s="956"/>
      <c r="AH19" s="956"/>
      <c r="AI19" s="956"/>
      <c r="AJ19" s="748">
        <f t="shared" si="2"/>
        <v>0</v>
      </c>
    </row>
    <row r="20" spans="1:36" s="684" customFormat="1" ht="25.5" x14ac:dyDescent="0.2">
      <c r="A20" s="689">
        <v>16</v>
      </c>
      <c r="B20" s="743" t="s">
        <v>995</v>
      </c>
      <c r="C20" s="698" t="s">
        <v>996</v>
      </c>
      <c r="D20" s="694"/>
      <c r="E20" s="694"/>
      <c r="F20" s="694"/>
      <c r="G20" s="694"/>
      <c r="H20" s="694"/>
      <c r="I20" s="694">
        <v>21273</v>
      </c>
      <c r="J20" s="694"/>
      <c r="K20" s="973"/>
      <c r="L20" s="694"/>
      <c r="M20" s="695"/>
      <c r="N20" s="694">
        <v>-21273</v>
      </c>
      <c r="O20" s="695"/>
      <c r="P20" s="694"/>
      <c r="Q20" s="694"/>
      <c r="R20" s="694"/>
      <c r="S20" s="694"/>
      <c r="T20" s="694"/>
      <c r="U20" s="694"/>
      <c r="V20" s="694"/>
      <c r="W20" s="694"/>
      <c r="X20" s="692">
        <f t="shared" si="0"/>
        <v>0</v>
      </c>
      <c r="Y20" s="693"/>
      <c r="Z20" s="694"/>
      <c r="AA20" s="694"/>
      <c r="AB20" s="695"/>
      <c r="AC20" s="695"/>
      <c r="AD20" s="695"/>
      <c r="AE20" s="695"/>
      <c r="AF20" s="694"/>
      <c r="AG20" s="695"/>
      <c r="AH20" s="695"/>
      <c r="AI20" s="695"/>
      <c r="AJ20" s="696">
        <f t="shared" si="2"/>
        <v>0</v>
      </c>
    </row>
    <row r="21" spans="1:36" s="684" customFormat="1" ht="25.5" x14ac:dyDescent="0.2">
      <c r="A21" s="689">
        <v>17</v>
      </c>
      <c r="B21" s="743" t="s">
        <v>997</v>
      </c>
      <c r="C21" s="733" t="s">
        <v>998</v>
      </c>
      <c r="D21" s="694"/>
      <c r="E21" s="694"/>
      <c r="F21" s="694"/>
      <c r="G21" s="694"/>
      <c r="H21" s="694"/>
      <c r="I21" s="694">
        <v>988</v>
      </c>
      <c r="J21" s="694"/>
      <c r="K21" s="973"/>
      <c r="L21" s="694"/>
      <c r="M21" s="695"/>
      <c r="N21" s="694">
        <f>-3438-103</f>
        <v>-3541</v>
      </c>
      <c r="O21" s="695"/>
      <c r="P21" s="694">
        <v>28</v>
      </c>
      <c r="Q21" s="694"/>
      <c r="R21" s="694"/>
      <c r="S21" s="694">
        <v>2525</v>
      </c>
      <c r="T21" s="694"/>
      <c r="U21" s="694"/>
      <c r="V21" s="694"/>
      <c r="W21" s="694"/>
      <c r="X21" s="692">
        <f t="shared" si="0"/>
        <v>0</v>
      </c>
      <c r="Y21" s="693"/>
      <c r="Z21" s="694"/>
      <c r="AA21" s="694"/>
      <c r="AB21" s="695"/>
      <c r="AC21" s="695"/>
      <c r="AD21" s="695"/>
      <c r="AE21" s="695"/>
      <c r="AF21" s="694"/>
      <c r="AG21" s="695"/>
      <c r="AH21" s="695"/>
      <c r="AI21" s="695"/>
      <c r="AJ21" s="696">
        <f t="shared" si="2"/>
        <v>0</v>
      </c>
    </row>
    <row r="22" spans="1:36" s="684" customFormat="1" ht="25.5" x14ac:dyDescent="0.2">
      <c r="A22" s="689">
        <v>18</v>
      </c>
      <c r="B22" s="743" t="s">
        <v>999</v>
      </c>
      <c r="C22" s="698" t="s">
        <v>1000</v>
      </c>
      <c r="D22" s="694">
        <v>4046</v>
      </c>
      <c r="E22" s="694">
        <v>627</v>
      </c>
      <c r="F22" s="694">
        <f>3373+158+554</f>
        <v>4085</v>
      </c>
      <c r="G22" s="694"/>
      <c r="H22" s="694"/>
      <c r="I22" s="694"/>
      <c r="J22" s="694"/>
      <c r="K22" s="973"/>
      <c r="L22" s="694"/>
      <c r="M22" s="695"/>
      <c r="N22" s="694"/>
      <c r="O22" s="695"/>
      <c r="P22" s="694"/>
      <c r="Q22" s="694"/>
      <c r="R22" s="694"/>
      <c r="S22" s="694"/>
      <c r="T22" s="694"/>
      <c r="U22" s="694"/>
      <c r="V22" s="694"/>
      <c r="W22" s="694"/>
      <c r="X22" s="692">
        <f t="shared" si="0"/>
        <v>8758</v>
      </c>
      <c r="Y22" s="693"/>
      <c r="Z22" s="694"/>
      <c r="AA22" s="694"/>
      <c r="AB22" s="694">
        <v>8758</v>
      </c>
      <c r="AC22" s="695"/>
      <c r="AD22" s="695"/>
      <c r="AE22" s="695"/>
      <c r="AF22" s="694"/>
      <c r="AG22" s="695"/>
      <c r="AH22" s="695"/>
      <c r="AI22" s="695"/>
      <c r="AJ22" s="696">
        <f t="shared" si="2"/>
        <v>8758</v>
      </c>
    </row>
    <row r="23" spans="1:36" s="684" customFormat="1" x14ac:dyDescent="0.2">
      <c r="A23" s="689">
        <v>19</v>
      </c>
      <c r="B23" s="743" t="s">
        <v>1003</v>
      </c>
      <c r="C23" s="698" t="s">
        <v>1004</v>
      </c>
      <c r="D23" s="694"/>
      <c r="E23" s="694"/>
      <c r="F23" s="694"/>
      <c r="G23" s="694"/>
      <c r="H23" s="694"/>
      <c r="I23" s="694"/>
      <c r="J23" s="694"/>
      <c r="K23" s="973"/>
      <c r="L23" s="694"/>
      <c r="M23" s="695"/>
      <c r="N23" s="694">
        <v>1257</v>
      </c>
      <c r="O23" s="695"/>
      <c r="P23" s="694">
        <v>-1257</v>
      </c>
      <c r="Q23" s="694"/>
      <c r="R23" s="694"/>
      <c r="S23" s="694"/>
      <c r="T23" s="694"/>
      <c r="U23" s="694"/>
      <c r="V23" s="694"/>
      <c r="W23" s="694"/>
      <c r="X23" s="692">
        <f t="shared" si="0"/>
        <v>0</v>
      </c>
      <c r="Y23" s="693"/>
      <c r="Z23" s="694"/>
      <c r="AA23" s="694"/>
      <c r="AB23" s="695"/>
      <c r="AC23" s="695"/>
      <c r="AD23" s="695"/>
      <c r="AE23" s="695"/>
      <c r="AF23" s="694"/>
      <c r="AG23" s="695"/>
      <c r="AH23" s="695"/>
      <c r="AI23" s="695"/>
      <c r="AJ23" s="696">
        <f t="shared" si="2"/>
        <v>0</v>
      </c>
    </row>
    <row r="24" spans="1:36" s="684" customFormat="1" ht="25.5" x14ac:dyDescent="0.2">
      <c r="A24" s="689">
        <v>20</v>
      </c>
      <c r="B24" s="743" t="s">
        <v>1006</v>
      </c>
      <c r="C24" s="698" t="s">
        <v>1007</v>
      </c>
      <c r="D24" s="694"/>
      <c r="E24" s="694"/>
      <c r="F24" s="694">
        <v>-8214</v>
      </c>
      <c r="G24" s="694"/>
      <c r="H24" s="694"/>
      <c r="I24" s="694"/>
      <c r="J24" s="694"/>
      <c r="K24" s="973"/>
      <c r="L24" s="694"/>
      <c r="M24" s="694"/>
      <c r="N24" s="694"/>
      <c r="O24" s="695"/>
      <c r="P24" s="694"/>
      <c r="Q24" s="694"/>
      <c r="R24" s="694">
        <v>8214</v>
      </c>
      <c r="S24" s="694"/>
      <c r="T24" s="694"/>
      <c r="U24" s="694"/>
      <c r="V24" s="694"/>
      <c r="W24" s="694"/>
      <c r="X24" s="692">
        <f t="shared" si="0"/>
        <v>0</v>
      </c>
      <c r="Y24" s="693"/>
      <c r="Z24" s="694"/>
      <c r="AA24" s="694"/>
      <c r="AB24" s="695"/>
      <c r="AC24" s="695"/>
      <c r="AD24" s="695"/>
      <c r="AE24" s="691"/>
      <c r="AF24" s="694"/>
      <c r="AG24" s="695"/>
      <c r="AH24" s="695"/>
      <c r="AI24" s="694"/>
      <c r="AJ24" s="696">
        <f t="shared" si="2"/>
        <v>0</v>
      </c>
    </row>
    <row r="25" spans="1:36" s="684" customFormat="1" x14ac:dyDescent="0.2">
      <c r="A25" s="689">
        <v>21</v>
      </c>
      <c r="B25" s="743" t="s">
        <v>1009</v>
      </c>
      <c r="C25" s="698" t="s">
        <v>1010</v>
      </c>
      <c r="D25" s="694"/>
      <c r="E25" s="694"/>
      <c r="F25" s="694">
        <v>746</v>
      </c>
      <c r="G25" s="694"/>
      <c r="H25" s="694"/>
      <c r="I25" s="694"/>
      <c r="J25" s="694"/>
      <c r="K25" s="973"/>
      <c r="L25" s="694"/>
      <c r="M25" s="695"/>
      <c r="N25" s="694">
        <v>-746</v>
      </c>
      <c r="O25" s="695"/>
      <c r="P25" s="694"/>
      <c r="Q25" s="694"/>
      <c r="R25" s="694"/>
      <c r="S25" s="694"/>
      <c r="T25" s="694"/>
      <c r="U25" s="694"/>
      <c r="V25" s="694"/>
      <c r="W25" s="694"/>
      <c r="X25" s="692">
        <f t="shared" si="0"/>
        <v>0</v>
      </c>
      <c r="Y25" s="693"/>
      <c r="Z25" s="694"/>
      <c r="AA25" s="694"/>
      <c r="AB25" s="694"/>
      <c r="AC25" s="694"/>
      <c r="AD25" s="695"/>
      <c r="AE25" s="695"/>
      <c r="AF25" s="695"/>
      <c r="AG25" s="695"/>
      <c r="AH25" s="695"/>
      <c r="AI25" s="695"/>
      <c r="AJ25" s="696">
        <f t="shared" si="2"/>
        <v>0</v>
      </c>
    </row>
    <row r="26" spans="1:36" s="684" customFormat="1" x14ac:dyDescent="0.2">
      <c r="A26" s="689">
        <v>22</v>
      </c>
      <c r="B26" s="743" t="s">
        <v>1011</v>
      </c>
      <c r="C26" s="969" t="s">
        <v>1012</v>
      </c>
      <c r="D26" s="694">
        <f>4+11+6</f>
        <v>21</v>
      </c>
      <c r="E26" s="694">
        <f>8-6</f>
        <v>2</v>
      </c>
      <c r="F26" s="694"/>
      <c r="G26" s="694"/>
      <c r="H26" s="694"/>
      <c r="I26" s="694"/>
      <c r="J26" s="694"/>
      <c r="K26" s="973"/>
      <c r="L26" s="694"/>
      <c r="M26" s="695"/>
      <c r="N26" s="694"/>
      <c r="O26" s="695"/>
      <c r="P26" s="694"/>
      <c r="Q26" s="694"/>
      <c r="R26" s="694"/>
      <c r="S26" s="694"/>
      <c r="T26" s="694"/>
      <c r="U26" s="694"/>
      <c r="V26" s="694"/>
      <c r="W26" s="694"/>
      <c r="X26" s="692">
        <f t="shared" si="0"/>
        <v>23</v>
      </c>
      <c r="Y26" s="693"/>
      <c r="Z26" s="694"/>
      <c r="AA26" s="694"/>
      <c r="AB26" s="694">
        <v>23</v>
      </c>
      <c r="AC26" s="695"/>
      <c r="AD26" s="694"/>
      <c r="AE26" s="694"/>
      <c r="AF26" s="694"/>
      <c r="AG26" s="695"/>
      <c r="AH26" s="695"/>
      <c r="AI26" s="694"/>
      <c r="AJ26" s="696">
        <f t="shared" si="2"/>
        <v>23</v>
      </c>
    </row>
    <row r="27" spans="1:36" s="684" customFormat="1" ht="25.5" x14ac:dyDescent="0.2">
      <c r="A27" s="689">
        <v>23</v>
      </c>
      <c r="B27" s="1124" t="s">
        <v>1025</v>
      </c>
      <c r="C27" s="698" t="s">
        <v>1015</v>
      </c>
      <c r="D27" s="694"/>
      <c r="E27" s="694"/>
      <c r="F27" s="694"/>
      <c r="G27" s="694"/>
      <c r="H27" s="694">
        <f>43+2408+43+2411</f>
        <v>4905</v>
      </c>
      <c r="I27" s="694"/>
      <c r="J27" s="694"/>
      <c r="K27" s="973"/>
      <c r="L27" s="694"/>
      <c r="M27" s="694"/>
      <c r="N27" s="694">
        <f>4+12+150+85+4+12+150+149</f>
        <v>566</v>
      </c>
      <c r="O27" s="695"/>
      <c r="P27" s="694"/>
      <c r="Q27" s="694"/>
      <c r="R27" s="694"/>
      <c r="S27" s="694"/>
      <c r="T27" s="694"/>
      <c r="U27" s="694"/>
      <c r="V27" s="694"/>
      <c r="W27" s="694"/>
      <c r="X27" s="692">
        <f t="shared" si="0"/>
        <v>5471</v>
      </c>
      <c r="Y27" s="693"/>
      <c r="Z27" s="694"/>
      <c r="AA27" s="694">
        <f>59+2408+150+85+59+2411+150+149</f>
        <v>5471</v>
      </c>
      <c r="AB27" s="694"/>
      <c r="AC27" s="695"/>
      <c r="AD27" s="695"/>
      <c r="AE27" s="695"/>
      <c r="AF27" s="695"/>
      <c r="AG27" s="695"/>
      <c r="AH27" s="695"/>
      <c r="AI27" s="694"/>
      <c r="AJ27" s="696">
        <f t="shared" si="2"/>
        <v>5471</v>
      </c>
    </row>
    <row r="28" spans="1:36" s="684" customFormat="1" ht="25.5" x14ac:dyDescent="0.2">
      <c r="A28" s="689">
        <v>24</v>
      </c>
      <c r="B28" s="743" t="s">
        <v>1016</v>
      </c>
      <c r="C28" s="698" t="s">
        <v>1017</v>
      </c>
      <c r="D28" s="690"/>
      <c r="E28" s="694"/>
      <c r="F28" s="694"/>
      <c r="G28" s="694"/>
      <c r="H28" s="694"/>
      <c r="I28" s="694"/>
      <c r="J28" s="694"/>
      <c r="K28" s="691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>
        <v>960</v>
      </c>
      <c r="W28" s="694"/>
      <c r="X28" s="692">
        <f t="shared" si="0"/>
        <v>960</v>
      </c>
      <c r="Y28" s="693"/>
      <c r="Z28" s="694"/>
      <c r="AA28" s="694"/>
      <c r="AB28" s="694"/>
      <c r="AC28" s="694"/>
      <c r="AD28" s="694"/>
      <c r="AE28" s="694"/>
      <c r="AF28" s="694"/>
      <c r="AG28" s="694">
        <v>960</v>
      </c>
      <c r="AH28" s="694"/>
      <c r="AI28" s="694"/>
      <c r="AJ28" s="696">
        <f t="shared" si="2"/>
        <v>960</v>
      </c>
    </row>
    <row r="29" spans="1:36" s="684" customFormat="1" x14ac:dyDescent="0.2">
      <c r="A29" s="689">
        <v>25</v>
      </c>
      <c r="B29" s="1064" t="s">
        <v>1019</v>
      </c>
      <c r="C29" s="757" t="s">
        <v>1020</v>
      </c>
      <c r="D29" s="1064">
        <v>1500</v>
      </c>
      <c r="E29" s="1064">
        <f>175+88</f>
        <v>263</v>
      </c>
      <c r="F29" s="1064"/>
      <c r="G29" s="1064"/>
      <c r="H29" s="1064"/>
      <c r="I29" s="1064"/>
      <c r="J29" s="1064"/>
      <c r="K29" s="1064"/>
      <c r="L29" s="1064"/>
      <c r="M29" s="1064"/>
      <c r="N29" s="1064"/>
      <c r="O29" s="1064"/>
      <c r="P29" s="1064"/>
      <c r="Q29" s="1064"/>
      <c r="R29" s="1064"/>
      <c r="S29" s="1064"/>
      <c r="T29" s="1064"/>
      <c r="U29" s="1064"/>
      <c r="V29" s="1064"/>
      <c r="W29" s="694"/>
      <c r="X29" s="692">
        <f t="shared" si="0"/>
        <v>1763</v>
      </c>
      <c r="Y29" s="693"/>
      <c r="Z29" s="699"/>
      <c r="AA29" s="694"/>
      <c r="AB29" s="694">
        <f>1175+588</f>
        <v>1763</v>
      </c>
      <c r="AC29" s="700"/>
      <c r="AD29" s="700"/>
      <c r="AE29" s="700"/>
      <c r="AF29" s="700"/>
      <c r="AG29" s="700"/>
      <c r="AH29" s="700"/>
      <c r="AI29" s="700"/>
      <c r="AJ29" s="696">
        <f t="shared" si="2"/>
        <v>1763</v>
      </c>
    </row>
    <row r="30" spans="1:36" s="684" customFormat="1" ht="25.5" x14ac:dyDescent="0.2">
      <c r="A30" s="689">
        <v>26</v>
      </c>
      <c r="B30" s="743" t="s">
        <v>1022</v>
      </c>
      <c r="C30" s="698" t="s">
        <v>1021</v>
      </c>
      <c r="D30" s="690"/>
      <c r="E30" s="694"/>
      <c r="F30" s="694">
        <f>121+141</f>
        <v>262</v>
      </c>
      <c r="G30" s="694">
        <f>-121-141</f>
        <v>-262</v>
      </c>
      <c r="H30" s="694"/>
      <c r="I30" s="694"/>
      <c r="J30" s="694"/>
      <c r="K30" s="691"/>
      <c r="L30" s="694"/>
      <c r="M30" s="695"/>
      <c r="N30" s="694"/>
      <c r="O30" s="695"/>
      <c r="P30" s="694"/>
      <c r="Q30" s="694"/>
      <c r="R30" s="694"/>
      <c r="S30" s="694"/>
      <c r="T30" s="694"/>
      <c r="U30" s="694"/>
      <c r="V30" s="694"/>
      <c r="W30" s="694"/>
      <c r="X30" s="692">
        <f t="shared" ref="X30:X48" si="3">SUM(D30:W30)</f>
        <v>0</v>
      </c>
      <c r="Y30" s="693"/>
      <c r="Z30" s="699"/>
      <c r="AA30" s="699"/>
      <c r="AB30" s="694"/>
      <c r="AC30" s="700"/>
      <c r="AD30" s="700"/>
      <c r="AE30" s="700"/>
      <c r="AF30" s="700"/>
      <c r="AG30" s="700"/>
      <c r="AH30" s="700"/>
      <c r="AI30" s="700"/>
      <c r="AJ30" s="696">
        <f t="shared" si="2"/>
        <v>0</v>
      </c>
    </row>
    <row r="31" spans="1:36" s="684" customFormat="1" ht="25.5" x14ac:dyDescent="0.2">
      <c r="A31" s="689">
        <v>27</v>
      </c>
      <c r="B31" s="743" t="s">
        <v>1023</v>
      </c>
      <c r="C31" s="698" t="s">
        <v>1024</v>
      </c>
      <c r="D31" s="690">
        <v>-810</v>
      </c>
      <c r="E31" s="694">
        <v>-142</v>
      </c>
      <c r="F31" s="694">
        <v>952</v>
      </c>
      <c r="G31" s="694"/>
      <c r="H31" s="694"/>
      <c r="I31" s="694"/>
      <c r="J31" s="694"/>
      <c r="K31" s="691"/>
      <c r="L31" s="694"/>
      <c r="M31" s="695"/>
      <c r="N31" s="694"/>
      <c r="O31" s="694"/>
      <c r="P31" s="694"/>
      <c r="Q31" s="694"/>
      <c r="R31" s="694"/>
      <c r="S31" s="694"/>
      <c r="T31" s="694"/>
      <c r="U31" s="694"/>
      <c r="V31" s="694"/>
      <c r="W31" s="694"/>
      <c r="X31" s="692">
        <f t="shared" si="3"/>
        <v>0</v>
      </c>
      <c r="Y31" s="693"/>
      <c r="Z31" s="699"/>
      <c r="AA31" s="699"/>
      <c r="AB31" s="700"/>
      <c r="AC31" s="700"/>
      <c r="AD31" s="700"/>
      <c r="AE31" s="700"/>
      <c r="AF31" s="700"/>
      <c r="AG31" s="700"/>
      <c r="AH31" s="700"/>
      <c r="AI31" s="700"/>
      <c r="AJ31" s="696">
        <f t="shared" si="2"/>
        <v>0</v>
      </c>
    </row>
    <row r="32" spans="1:36" s="684" customFormat="1" ht="25.5" x14ac:dyDescent="0.2">
      <c r="A32" s="689">
        <v>28</v>
      </c>
      <c r="B32" s="743" t="s">
        <v>1026</v>
      </c>
      <c r="C32" s="698" t="s">
        <v>1027</v>
      </c>
      <c r="D32" s="690"/>
      <c r="E32" s="694"/>
      <c r="F32" s="694"/>
      <c r="G32" s="694"/>
      <c r="H32" s="694"/>
      <c r="I32" s="694"/>
      <c r="J32" s="694"/>
      <c r="K32" s="691"/>
      <c r="L32" s="694"/>
      <c r="M32" s="695"/>
      <c r="N32" s="694">
        <v>129</v>
      </c>
      <c r="O32" s="695"/>
      <c r="P32" s="694">
        <v>-129</v>
      </c>
      <c r="Q32" s="694"/>
      <c r="R32" s="694"/>
      <c r="S32" s="694"/>
      <c r="T32" s="694"/>
      <c r="U32" s="694"/>
      <c r="V32" s="694"/>
      <c r="W32" s="694"/>
      <c r="X32" s="692">
        <f t="shared" si="3"/>
        <v>0</v>
      </c>
      <c r="Y32" s="693"/>
      <c r="Z32" s="699"/>
      <c r="AA32" s="699"/>
      <c r="AB32" s="700"/>
      <c r="AC32" s="700"/>
      <c r="AD32" s="700"/>
      <c r="AE32" s="700"/>
      <c r="AF32" s="700"/>
      <c r="AG32" s="700"/>
      <c r="AH32" s="700"/>
      <c r="AI32" s="700"/>
      <c r="AJ32" s="696">
        <f t="shared" si="2"/>
        <v>0</v>
      </c>
    </row>
    <row r="33" spans="1:36" s="684" customFormat="1" hidden="1" x14ac:dyDescent="0.2">
      <c r="A33" s="689">
        <v>29</v>
      </c>
      <c r="B33" s="743"/>
      <c r="C33" s="698"/>
      <c r="D33" s="690"/>
      <c r="E33" s="694"/>
      <c r="F33" s="694"/>
      <c r="G33" s="694"/>
      <c r="H33" s="694"/>
      <c r="I33" s="694"/>
      <c r="J33" s="694"/>
      <c r="K33" s="691"/>
      <c r="L33" s="694"/>
      <c r="M33" s="695"/>
      <c r="N33" s="694"/>
      <c r="O33" s="695"/>
      <c r="P33" s="694"/>
      <c r="Q33" s="694"/>
      <c r="R33" s="694"/>
      <c r="S33" s="694"/>
      <c r="T33" s="694"/>
      <c r="U33" s="694"/>
      <c r="V33" s="694"/>
      <c r="W33" s="694"/>
      <c r="X33" s="692">
        <f t="shared" si="3"/>
        <v>0</v>
      </c>
      <c r="Y33" s="693"/>
      <c r="Z33" s="699"/>
      <c r="AA33" s="699"/>
      <c r="AB33" s="700"/>
      <c r="AC33" s="700"/>
      <c r="AD33" s="700"/>
      <c r="AE33" s="700"/>
      <c r="AF33" s="700"/>
      <c r="AG33" s="700"/>
      <c r="AH33" s="700"/>
      <c r="AI33" s="700"/>
      <c r="AJ33" s="696">
        <f t="shared" si="2"/>
        <v>0</v>
      </c>
    </row>
    <row r="34" spans="1:36" s="684" customFormat="1" hidden="1" x14ac:dyDescent="0.2">
      <c r="A34" s="689">
        <v>30</v>
      </c>
      <c r="B34" s="743"/>
      <c r="C34" s="698"/>
      <c r="D34" s="690"/>
      <c r="E34" s="694"/>
      <c r="F34" s="694"/>
      <c r="G34" s="694"/>
      <c r="H34" s="694"/>
      <c r="I34" s="694"/>
      <c r="J34" s="694"/>
      <c r="K34" s="691"/>
      <c r="L34" s="694"/>
      <c r="M34" s="695"/>
      <c r="N34" s="694"/>
      <c r="O34" s="695"/>
      <c r="P34" s="694"/>
      <c r="Q34" s="694"/>
      <c r="R34" s="694"/>
      <c r="S34" s="694"/>
      <c r="T34" s="694"/>
      <c r="U34" s="694"/>
      <c r="V34" s="694"/>
      <c r="W34" s="694"/>
      <c r="X34" s="692">
        <f t="shared" si="3"/>
        <v>0</v>
      </c>
      <c r="Y34" s="693"/>
      <c r="Z34" s="699"/>
      <c r="AA34" s="699"/>
      <c r="AB34" s="700"/>
      <c r="AC34" s="700"/>
      <c r="AD34" s="700"/>
      <c r="AE34" s="700"/>
      <c r="AF34" s="700"/>
      <c r="AG34" s="700"/>
      <c r="AH34" s="700"/>
      <c r="AI34" s="700"/>
      <c r="AJ34" s="696">
        <f t="shared" si="2"/>
        <v>0</v>
      </c>
    </row>
    <row r="35" spans="1:36" s="684" customFormat="1" hidden="1" x14ac:dyDescent="0.2">
      <c r="A35" s="689">
        <v>31</v>
      </c>
      <c r="B35" s="743"/>
      <c r="C35" s="698"/>
      <c r="D35" s="690"/>
      <c r="E35" s="694"/>
      <c r="F35" s="694"/>
      <c r="G35" s="694"/>
      <c r="H35" s="694"/>
      <c r="I35" s="694"/>
      <c r="J35" s="694"/>
      <c r="K35" s="691"/>
      <c r="L35" s="694"/>
      <c r="M35" s="695"/>
      <c r="N35" s="694"/>
      <c r="O35" s="695"/>
      <c r="P35" s="694"/>
      <c r="Q35" s="694"/>
      <c r="R35" s="694"/>
      <c r="S35" s="694"/>
      <c r="T35" s="694"/>
      <c r="U35" s="694"/>
      <c r="V35" s="694"/>
      <c r="W35" s="694"/>
      <c r="X35" s="692">
        <f t="shared" si="3"/>
        <v>0</v>
      </c>
      <c r="Y35" s="693"/>
      <c r="Z35" s="699"/>
      <c r="AA35" s="699"/>
      <c r="AB35" s="700"/>
      <c r="AC35" s="700"/>
      <c r="AD35" s="700"/>
      <c r="AE35" s="700"/>
      <c r="AF35" s="700"/>
      <c r="AG35" s="700"/>
      <c r="AH35" s="700"/>
      <c r="AI35" s="700"/>
      <c r="AJ35" s="696">
        <f t="shared" si="2"/>
        <v>0</v>
      </c>
    </row>
    <row r="36" spans="1:36" hidden="1" x14ac:dyDescent="0.2">
      <c r="A36" s="689">
        <v>32</v>
      </c>
      <c r="B36" s="743"/>
      <c r="C36" s="697"/>
      <c r="D36" s="701"/>
      <c r="E36" s="702"/>
      <c r="F36" s="694"/>
      <c r="G36" s="702"/>
      <c r="H36" s="702"/>
      <c r="I36" s="702"/>
      <c r="J36" s="694"/>
      <c r="K36" s="703"/>
      <c r="L36" s="702"/>
      <c r="M36" s="702"/>
      <c r="N36" s="702"/>
      <c r="O36" s="702"/>
      <c r="P36" s="694"/>
      <c r="Q36" s="694"/>
      <c r="R36" s="694"/>
      <c r="S36" s="694"/>
      <c r="T36" s="694"/>
      <c r="U36" s="702"/>
      <c r="V36" s="702"/>
      <c r="W36" s="702"/>
      <c r="X36" s="692">
        <f t="shared" si="3"/>
        <v>0</v>
      </c>
      <c r="Y36" s="693"/>
      <c r="Z36" s="702"/>
      <c r="AA36" s="702"/>
      <c r="AB36" s="702"/>
      <c r="AC36" s="702"/>
      <c r="AD36" s="702"/>
      <c r="AE36" s="702"/>
      <c r="AF36" s="702"/>
      <c r="AG36" s="702"/>
      <c r="AH36" s="705"/>
      <c r="AI36" s="705"/>
      <c r="AJ36" s="696">
        <f t="shared" si="2"/>
        <v>0</v>
      </c>
    </row>
    <row r="37" spans="1:36" hidden="1" x14ac:dyDescent="0.2">
      <c r="A37" s="689">
        <v>33</v>
      </c>
      <c r="B37" s="743"/>
      <c r="C37" s="697"/>
      <c r="D37" s="701"/>
      <c r="E37" s="702"/>
      <c r="F37" s="694"/>
      <c r="G37" s="702"/>
      <c r="H37" s="702"/>
      <c r="I37" s="702"/>
      <c r="J37" s="702"/>
      <c r="K37" s="703"/>
      <c r="L37" s="702"/>
      <c r="M37" s="702"/>
      <c r="N37" s="702"/>
      <c r="O37" s="706"/>
      <c r="P37" s="694"/>
      <c r="Q37" s="695"/>
      <c r="R37" s="695"/>
      <c r="S37" s="694"/>
      <c r="T37" s="694"/>
      <c r="U37" s="702"/>
      <c r="V37" s="702"/>
      <c r="W37" s="702"/>
      <c r="X37" s="692">
        <f t="shared" si="3"/>
        <v>0</v>
      </c>
      <c r="Y37" s="693"/>
      <c r="Z37" s="702"/>
      <c r="AA37" s="702"/>
      <c r="AB37" s="702"/>
      <c r="AC37" s="702"/>
      <c r="AD37" s="702"/>
      <c r="AE37" s="702"/>
      <c r="AF37" s="702"/>
      <c r="AG37" s="702"/>
      <c r="AH37" s="704"/>
      <c r="AI37" s="704"/>
      <c r="AJ37" s="696">
        <f t="shared" si="2"/>
        <v>0</v>
      </c>
    </row>
    <row r="38" spans="1:36" hidden="1" x14ac:dyDescent="0.2">
      <c r="A38" s="689">
        <v>34</v>
      </c>
      <c r="B38" s="743"/>
      <c r="C38" s="697"/>
      <c r="D38" s="707"/>
      <c r="E38" s="707"/>
      <c r="F38" s="693"/>
      <c r="G38" s="707"/>
      <c r="H38" s="707"/>
      <c r="I38" s="707"/>
      <c r="J38" s="707"/>
      <c r="K38" s="708"/>
      <c r="L38" s="707"/>
      <c r="M38" s="707"/>
      <c r="N38" s="707"/>
      <c r="O38" s="707"/>
      <c r="P38" s="693"/>
      <c r="Q38" s="693"/>
      <c r="R38" s="693"/>
      <c r="S38" s="693"/>
      <c r="T38" s="693"/>
      <c r="U38" s="707"/>
      <c r="V38" s="707"/>
      <c r="W38" s="707"/>
      <c r="X38" s="692">
        <f t="shared" si="3"/>
        <v>0</v>
      </c>
      <c r="Y38" s="693"/>
      <c r="Z38" s="707"/>
      <c r="AA38" s="707"/>
      <c r="AB38" s="707"/>
      <c r="AC38" s="707"/>
      <c r="AD38" s="707"/>
      <c r="AE38" s="707"/>
      <c r="AF38" s="707"/>
      <c r="AG38" s="707"/>
      <c r="AH38" s="707"/>
      <c r="AI38" s="707"/>
      <c r="AJ38" s="696">
        <f t="shared" si="2"/>
        <v>0</v>
      </c>
    </row>
    <row r="39" spans="1:36" hidden="1" x14ac:dyDescent="0.2">
      <c r="A39" s="689">
        <v>35</v>
      </c>
      <c r="B39" s="743"/>
      <c r="C39" s="697"/>
      <c r="D39" s="707"/>
      <c r="E39" s="707"/>
      <c r="F39" s="693"/>
      <c r="G39" s="707"/>
      <c r="H39" s="707"/>
      <c r="I39" s="707"/>
      <c r="J39" s="707"/>
      <c r="K39" s="708"/>
      <c r="L39" s="707"/>
      <c r="M39" s="707"/>
      <c r="N39" s="707"/>
      <c r="O39" s="707"/>
      <c r="P39" s="693"/>
      <c r="Q39" s="693"/>
      <c r="R39" s="693"/>
      <c r="S39" s="693"/>
      <c r="T39" s="693"/>
      <c r="U39" s="707"/>
      <c r="V39" s="707"/>
      <c r="W39" s="707"/>
      <c r="X39" s="692">
        <f t="shared" si="3"/>
        <v>0</v>
      </c>
      <c r="Y39" s="693"/>
      <c r="Z39" s="707"/>
      <c r="AA39" s="707"/>
      <c r="AB39" s="707"/>
      <c r="AC39" s="707"/>
      <c r="AD39" s="707"/>
      <c r="AE39" s="707"/>
      <c r="AF39" s="707"/>
      <c r="AG39" s="707"/>
      <c r="AH39" s="707"/>
      <c r="AI39" s="707"/>
      <c r="AJ39" s="696">
        <f t="shared" si="2"/>
        <v>0</v>
      </c>
    </row>
    <row r="40" spans="1:36" hidden="1" x14ac:dyDescent="0.2">
      <c r="A40" s="689">
        <v>36</v>
      </c>
      <c r="B40" s="743"/>
      <c r="C40" s="697"/>
      <c r="D40" s="707"/>
      <c r="E40" s="707"/>
      <c r="F40" s="693"/>
      <c r="G40" s="707"/>
      <c r="H40" s="707"/>
      <c r="I40" s="707"/>
      <c r="J40" s="707"/>
      <c r="K40" s="708"/>
      <c r="L40" s="707"/>
      <c r="M40" s="707"/>
      <c r="N40" s="707"/>
      <c r="O40" s="707"/>
      <c r="P40" s="693"/>
      <c r="Q40" s="693"/>
      <c r="R40" s="693"/>
      <c r="S40" s="693"/>
      <c r="T40" s="693"/>
      <c r="U40" s="707"/>
      <c r="V40" s="707"/>
      <c r="W40" s="707"/>
      <c r="X40" s="692">
        <f t="shared" si="3"/>
        <v>0</v>
      </c>
      <c r="Y40" s="693"/>
      <c r="Z40" s="707"/>
      <c r="AA40" s="707"/>
      <c r="AB40" s="707"/>
      <c r="AC40" s="707"/>
      <c r="AD40" s="707"/>
      <c r="AE40" s="707"/>
      <c r="AF40" s="707"/>
      <c r="AG40" s="707"/>
      <c r="AH40" s="707"/>
      <c r="AI40" s="707"/>
      <c r="AJ40" s="696">
        <f t="shared" si="2"/>
        <v>0</v>
      </c>
    </row>
    <row r="41" spans="1:36" hidden="1" x14ac:dyDescent="0.2">
      <c r="A41" s="689">
        <v>37</v>
      </c>
      <c r="B41" s="743"/>
      <c r="C41" s="697"/>
      <c r="D41" s="707"/>
      <c r="E41" s="707"/>
      <c r="F41" s="693"/>
      <c r="G41" s="707"/>
      <c r="H41" s="707"/>
      <c r="I41" s="707"/>
      <c r="J41" s="707"/>
      <c r="K41" s="708"/>
      <c r="L41" s="707"/>
      <c r="M41" s="707"/>
      <c r="N41" s="707"/>
      <c r="O41" s="707"/>
      <c r="P41" s="693"/>
      <c r="Q41" s="693"/>
      <c r="R41" s="693"/>
      <c r="S41" s="693"/>
      <c r="T41" s="693"/>
      <c r="U41" s="707"/>
      <c r="V41" s="707"/>
      <c r="W41" s="707"/>
      <c r="X41" s="692">
        <f t="shared" si="3"/>
        <v>0</v>
      </c>
      <c r="Y41" s="693"/>
      <c r="Z41" s="707"/>
      <c r="AA41" s="707"/>
      <c r="AB41" s="707"/>
      <c r="AC41" s="707"/>
      <c r="AD41" s="707"/>
      <c r="AE41" s="707"/>
      <c r="AF41" s="707"/>
      <c r="AG41" s="707"/>
      <c r="AH41" s="707"/>
      <c r="AI41" s="707"/>
      <c r="AJ41" s="696">
        <f t="shared" si="2"/>
        <v>0</v>
      </c>
    </row>
    <row r="42" spans="1:36" hidden="1" x14ac:dyDescent="0.2">
      <c r="A42" s="689">
        <v>38</v>
      </c>
      <c r="B42" s="743"/>
      <c r="C42" s="697"/>
      <c r="D42" s="707"/>
      <c r="E42" s="707"/>
      <c r="F42" s="693"/>
      <c r="G42" s="707"/>
      <c r="H42" s="707"/>
      <c r="I42" s="707"/>
      <c r="J42" s="707"/>
      <c r="K42" s="708"/>
      <c r="L42" s="707"/>
      <c r="M42" s="707"/>
      <c r="N42" s="707"/>
      <c r="O42" s="707"/>
      <c r="P42" s="693"/>
      <c r="Q42" s="693"/>
      <c r="R42" s="693"/>
      <c r="S42" s="693"/>
      <c r="T42" s="693"/>
      <c r="U42" s="707"/>
      <c r="V42" s="707"/>
      <c r="W42" s="707"/>
      <c r="X42" s="692">
        <f t="shared" si="3"/>
        <v>0</v>
      </c>
      <c r="Y42" s="693"/>
      <c r="Z42" s="707"/>
      <c r="AA42" s="707"/>
      <c r="AB42" s="707"/>
      <c r="AC42" s="707"/>
      <c r="AD42" s="707"/>
      <c r="AE42" s="707"/>
      <c r="AF42" s="707"/>
      <c r="AG42" s="707"/>
      <c r="AH42" s="707"/>
      <c r="AI42" s="707"/>
      <c r="AJ42" s="696">
        <f t="shared" si="2"/>
        <v>0</v>
      </c>
    </row>
    <row r="43" spans="1:36" hidden="1" x14ac:dyDescent="0.2">
      <c r="A43" s="689">
        <v>39</v>
      </c>
      <c r="B43" s="743"/>
      <c r="C43" s="697"/>
      <c r="D43" s="707"/>
      <c r="E43" s="707"/>
      <c r="F43" s="693"/>
      <c r="G43" s="707"/>
      <c r="H43" s="707"/>
      <c r="I43" s="707"/>
      <c r="J43" s="707"/>
      <c r="K43" s="708"/>
      <c r="L43" s="707"/>
      <c r="M43" s="707"/>
      <c r="N43" s="707"/>
      <c r="O43" s="707"/>
      <c r="P43" s="693"/>
      <c r="Q43" s="693"/>
      <c r="R43" s="693"/>
      <c r="S43" s="693"/>
      <c r="T43" s="693"/>
      <c r="U43" s="707"/>
      <c r="V43" s="707"/>
      <c r="W43" s="707"/>
      <c r="X43" s="692">
        <f t="shared" si="3"/>
        <v>0</v>
      </c>
      <c r="Y43" s="693"/>
      <c r="Z43" s="707"/>
      <c r="AA43" s="707"/>
      <c r="AB43" s="707"/>
      <c r="AC43" s="707"/>
      <c r="AD43" s="707"/>
      <c r="AE43" s="707"/>
      <c r="AF43" s="707"/>
      <c r="AG43" s="707"/>
      <c r="AH43" s="707"/>
      <c r="AI43" s="707"/>
      <c r="AJ43" s="696">
        <f t="shared" si="2"/>
        <v>0</v>
      </c>
    </row>
    <row r="44" spans="1:36" hidden="1" x14ac:dyDescent="0.2">
      <c r="A44" s="689">
        <v>40</v>
      </c>
      <c r="B44" s="743"/>
      <c r="C44" s="698"/>
      <c r="D44" s="707"/>
      <c r="E44" s="707"/>
      <c r="F44" s="693"/>
      <c r="G44" s="707"/>
      <c r="H44" s="707"/>
      <c r="I44" s="707"/>
      <c r="J44" s="707"/>
      <c r="K44" s="708"/>
      <c r="L44" s="707"/>
      <c r="M44" s="707"/>
      <c r="N44" s="707"/>
      <c r="O44" s="707"/>
      <c r="P44" s="693"/>
      <c r="Q44" s="693"/>
      <c r="R44" s="693"/>
      <c r="S44" s="693"/>
      <c r="T44" s="693"/>
      <c r="U44" s="707"/>
      <c r="V44" s="707"/>
      <c r="W44" s="707"/>
      <c r="X44" s="692">
        <f t="shared" si="3"/>
        <v>0</v>
      </c>
      <c r="Y44" s="693"/>
      <c r="Z44" s="707"/>
      <c r="AA44" s="707"/>
      <c r="AB44" s="707"/>
      <c r="AC44" s="707"/>
      <c r="AD44" s="707"/>
      <c r="AE44" s="707"/>
      <c r="AF44" s="707"/>
      <c r="AG44" s="707"/>
      <c r="AH44" s="707"/>
      <c r="AI44" s="707"/>
      <c r="AJ44" s="696">
        <f t="shared" si="2"/>
        <v>0</v>
      </c>
    </row>
    <row r="45" spans="1:36" hidden="1" x14ac:dyDescent="0.2">
      <c r="A45" s="689">
        <v>41</v>
      </c>
      <c r="B45" s="743"/>
      <c r="C45" s="698"/>
      <c r="D45" s="707"/>
      <c r="E45" s="707"/>
      <c r="F45" s="693"/>
      <c r="G45" s="707"/>
      <c r="H45" s="707"/>
      <c r="I45" s="707"/>
      <c r="J45" s="707"/>
      <c r="K45" s="708"/>
      <c r="L45" s="707"/>
      <c r="M45" s="707"/>
      <c r="N45" s="707"/>
      <c r="O45" s="707"/>
      <c r="P45" s="693"/>
      <c r="Q45" s="693"/>
      <c r="R45" s="693"/>
      <c r="S45" s="693"/>
      <c r="T45" s="693"/>
      <c r="U45" s="707"/>
      <c r="V45" s="707"/>
      <c r="W45" s="707"/>
      <c r="X45" s="692">
        <f t="shared" si="3"/>
        <v>0</v>
      </c>
      <c r="Y45" s="693"/>
      <c r="Z45" s="707"/>
      <c r="AA45" s="707"/>
      <c r="AB45" s="707"/>
      <c r="AC45" s="707"/>
      <c r="AD45" s="707"/>
      <c r="AE45" s="707"/>
      <c r="AF45" s="707"/>
      <c r="AG45" s="707"/>
      <c r="AH45" s="707"/>
      <c r="AI45" s="707"/>
      <c r="AJ45" s="696">
        <f t="shared" si="2"/>
        <v>0</v>
      </c>
    </row>
    <row r="46" spans="1:36" hidden="1" x14ac:dyDescent="0.2">
      <c r="A46" s="689">
        <v>42</v>
      </c>
      <c r="B46" s="743"/>
      <c r="C46" s="697"/>
      <c r="D46" s="707"/>
      <c r="E46" s="707"/>
      <c r="F46" s="693"/>
      <c r="G46" s="707"/>
      <c r="H46" s="707"/>
      <c r="I46" s="707"/>
      <c r="J46" s="707"/>
      <c r="K46" s="708"/>
      <c r="L46" s="707"/>
      <c r="M46" s="707"/>
      <c r="N46" s="707"/>
      <c r="O46" s="707"/>
      <c r="P46" s="693"/>
      <c r="Q46" s="693"/>
      <c r="R46" s="693"/>
      <c r="S46" s="693"/>
      <c r="T46" s="693"/>
      <c r="U46" s="707"/>
      <c r="V46" s="707"/>
      <c r="W46" s="707"/>
      <c r="X46" s="692">
        <f t="shared" si="3"/>
        <v>0</v>
      </c>
      <c r="Y46" s="693"/>
      <c r="Z46" s="707"/>
      <c r="AA46" s="707"/>
      <c r="AB46" s="707"/>
      <c r="AC46" s="707"/>
      <c r="AD46" s="707"/>
      <c r="AE46" s="707"/>
      <c r="AF46" s="707"/>
      <c r="AG46" s="707"/>
      <c r="AH46" s="707"/>
      <c r="AI46" s="707"/>
      <c r="AJ46" s="696">
        <f t="shared" si="2"/>
        <v>0</v>
      </c>
    </row>
    <row r="47" spans="1:36" hidden="1" x14ac:dyDescent="0.2">
      <c r="A47" s="689">
        <v>43</v>
      </c>
      <c r="B47" s="743"/>
      <c r="C47" s="697"/>
      <c r="D47" s="707"/>
      <c r="E47" s="707"/>
      <c r="F47" s="693"/>
      <c r="G47" s="707"/>
      <c r="H47" s="707"/>
      <c r="I47" s="707"/>
      <c r="J47" s="707"/>
      <c r="K47" s="708"/>
      <c r="L47" s="707"/>
      <c r="M47" s="707"/>
      <c r="N47" s="707"/>
      <c r="O47" s="707"/>
      <c r="P47" s="693"/>
      <c r="Q47" s="693"/>
      <c r="R47" s="693"/>
      <c r="S47" s="693"/>
      <c r="T47" s="693"/>
      <c r="U47" s="707"/>
      <c r="V47" s="707"/>
      <c r="W47" s="707"/>
      <c r="X47" s="692">
        <f t="shared" si="3"/>
        <v>0</v>
      </c>
      <c r="Y47" s="693"/>
      <c r="Z47" s="707"/>
      <c r="AA47" s="707"/>
      <c r="AB47" s="707"/>
      <c r="AC47" s="707"/>
      <c r="AD47" s="707"/>
      <c r="AE47" s="707"/>
      <c r="AF47" s="707"/>
      <c r="AG47" s="707"/>
      <c r="AH47" s="707"/>
      <c r="AI47" s="707"/>
      <c r="AJ47" s="696">
        <f t="shared" si="2"/>
        <v>0</v>
      </c>
    </row>
    <row r="48" spans="1:36" s="715" customFormat="1" ht="13.5" thickBot="1" x14ac:dyDescent="0.25">
      <c r="A48" s="709"/>
      <c r="B48" s="744"/>
      <c r="C48" s="710" t="s">
        <v>179</v>
      </c>
      <c r="D48" s="711">
        <f t="shared" ref="D48:W48" si="4">SUM(D5:D47)</f>
        <v>4757</v>
      </c>
      <c r="E48" s="711">
        <f t="shared" si="4"/>
        <v>750</v>
      </c>
      <c r="F48" s="712">
        <f t="shared" si="4"/>
        <v>-2012</v>
      </c>
      <c r="G48" s="711">
        <f t="shared" si="4"/>
        <v>-262</v>
      </c>
      <c r="H48" s="711">
        <f t="shared" si="4"/>
        <v>4907</v>
      </c>
      <c r="I48" s="711">
        <f t="shared" si="4"/>
        <v>23902</v>
      </c>
      <c r="J48" s="711">
        <f t="shared" si="4"/>
        <v>3081</v>
      </c>
      <c r="K48" s="713">
        <f t="shared" si="4"/>
        <v>0</v>
      </c>
      <c r="L48" s="711">
        <f t="shared" si="4"/>
        <v>0</v>
      </c>
      <c r="M48" s="711">
        <f t="shared" si="4"/>
        <v>0</v>
      </c>
      <c r="N48" s="711">
        <f t="shared" si="4"/>
        <v>-23553</v>
      </c>
      <c r="O48" s="711">
        <f t="shared" si="4"/>
        <v>0</v>
      </c>
      <c r="P48" s="712">
        <f t="shared" si="4"/>
        <v>-2411</v>
      </c>
      <c r="Q48" s="712">
        <f t="shared" ref="Q48" si="5">SUM(Q5:Q47)</f>
        <v>-588</v>
      </c>
      <c r="R48" s="712">
        <f t="shared" si="4"/>
        <v>8214</v>
      </c>
      <c r="S48" s="712">
        <f t="shared" si="4"/>
        <v>2414</v>
      </c>
      <c r="T48" s="712">
        <f t="shared" si="4"/>
        <v>0</v>
      </c>
      <c r="U48" s="711">
        <f t="shared" si="4"/>
        <v>0</v>
      </c>
      <c r="V48" s="711">
        <f t="shared" si="4"/>
        <v>9776</v>
      </c>
      <c r="W48" s="711">
        <f t="shared" si="4"/>
        <v>0</v>
      </c>
      <c r="X48" s="692">
        <f t="shared" si="3"/>
        <v>28975</v>
      </c>
      <c r="Y48" s="714">
        <f t="shared" ref="Y48:AI48" si="6">SUM(Y5:Y47)</f>
        <v>0</v>
      </c>
      <c r="Z48" s="714">
        <f t="shared" si="6"/>
        <v>12000</v>
      </c>
      <c r="AA48" s="714">
        <f t="shared" si="6"/>
        <v>5471</v>
      </c>
      <c r="AB48" s="714">
        <f t="shared" si="6"/>
        <v>10544</v>
      </c>
      <c r="AC48" s="714">
        <f t="shared" si="6"/>
        <v>0</v>
      </c>
      <c r="AD48" s="714">
        <f t="shared" si="6"/>
        <v>0</v>
      </c>
      <c r="AE48" s="714">
        <f t="shared" si="6"/>
        <v>0</v>
      </c>
      <c r="AF48" s="714">
        <f t="shared" si="6"/>
        <v>0</v>
      </c>
      <c r="AG48" s="714">
        <f t="shared" si="6"/>
        <v>960</v>
      </c>
      <c r="AH48" s="714">
        <f t="shared" si="6"/>
        <v>0</v>
      </c>
      <c r="AI48" s="714">
        <f t="shared" si="6"/>
        <v>0</v>
      </c>
      <c r="AJ48" s="696">
        <f t="shared" ref="AJ48" si="7">SUM(Y48:AI48)</f>
        <v>28975</v>
      </c>
    </row>
    <row r="51" spans="24:24" x14ac:dyDescent="0.2">
      <c r="X51" s="861"/>
    </row>
  </sheetData>
  <mergeCells count="39"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AE3:AE4"/>
    <mergeCell ref="Y3:Y4"/>
    <mergeCell ref="L3:L4"/>
    <mergeCell ref="M3:M4"/>
    <mergeCell ref="N3:N4"/>
    <mergeCell ref="O3:O4"/>
    <mergeCell ref="P3:P4"/>
    <mergeCell ref="R3:R4"/>
    <mergeCell ref="S3:S4"/>
    <mergeCell ref="T3:T4"/>
    <mergeCell ref="U3:U4"/>
    <mergeCell ref="V3:V4"/>
    <mergeCell ref="W3:W4"/>
    <mergeCell ref="Q3:Q4"/>
    <mergeCell ref="K3:K4"/>
    <mergeCell ref="A1:X1"/>
    <mergeCell ref="AH1:AJ1"/>
    <mergeCell ref="A2:A4"/>
    <mergeCell ref="B2:B4"/>
    <mergeCell ref="C2:C4"/>
    <mergeCell ref="D2:V2"/>
    <mergeCell ref="X2:X4"/>
    <mergeCell ref="Y2:AI2"/>
    <mergeCell ref="AJ2:AJ4"/>
    <mergeCell ref="D3:D4"/>
    <mergeCell ref="E3:E4"/>
    <mergeCell ref="F3:F4"/>
    <mergeCell ref="G3:G4"/>
    <mergeCell ref="H3:I3"/>
    <mergeCell ref="J3:J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2020. évi költségvetés módosításainak részletezése&amp;R&amp;"Times New Roman,Félkövér"&amp;12 12.a melléklet</oddHeader>
  </headerFooter>
  <colBreaks count="1" manualBreakCount="1">
    <brk id="2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Normal="100" workbookViewId="0">
      <selection activeCell="N4" sqref="N4"/>
    </sheetView>
  </sheetViews>
  <sheetFormatPr defaultRowHeight="15" x14ac:dyDescent="0.25"/>
  <cols>
    <col min="2" max="2" width="53.7109375" customWidth="1"/>
    <col min="4" max="4" width="6.7109375" customWidth="1"/>
  </cols>
  <sheetData>
    <row r="1" spans="1:22" ht="15" customHeight="1" x14ac:dyDescent="0.25">
      <c r="A1" s="1431" t="s">
        <v>344</v>
      </c>
      <c r="B1" s="1457" t="s">
        <v>696</v>
      </c>
      <c r="C1" s="1438" t="s">
        <v>305</v>
      </c>
      <c r="D1" s="1438"/>
      <c r="E1" s="1438"/>
      <c r="F1" s="1438"/>
      <c r="G1" s="1438"/>
      <c r="H1" s="1438"/>
      <c r="I1" s="1438"/>
      <c r="J1" s="1438"/>
      <c r="K1" s="1440" t="s">
        <v>284</v>
      </c>
      <c r="L1" s="1438" t="s">
        <v>298</v>
      </c>
      <c r="M1" s="1438"/>
      <c r="N1" s="1438"/>
      <c r="O1" s="1438"/>
      <c r="P1" s="1438"/>
      <c r="Q1" s="1438"/>
      <c r="R1" s="1438"/>
      <c r="S1" s="1438"/>
      <c r="T1" s="1439"/>
      <c r="U1" s="1450" t="s">
        <v>697</v>
      </c>
      <c r="V1" s="1452" t="s">
        <v>720</v>
      </c>
    </row>
    <row r="2" spans="1:22" ht="31.5" customHeight="1" x14ac:dyDescent="0.25">
      <c r="A2" s="1432"/>
      <c r="B2" s="1458"/>
      <c r="C2" s="1437" t="s">
        <v>721</v>
      </c>
      <c r="D2" s="1437" t="s">
        <v>722</v>
      </c>
      <c r="E2" s="1437" t="s">
        <v>150</v>
      </c>
      <c r="F2" s="1437" t="s">
        <v>162</v>
      </c>
      <c r="G2" s="1445"/>
      <c r="H2" s="1437" t="s">
        <v>701</v>
      </c>
      <c r="I2" s="1437" t="s">
        <v>648</v>
      </c>
      <c r="J2" s="1437" t="s">
        <v>723</v>
      </c>
      <c r="K2" s="1441"/>
      <c r="L2" s="1437" t="s">
        <v>709</v>
      </c>
      <c r="M2" s="1437" t="s">
        <v>710</v>
      </c>
      <c r="N2" s="1437" t="s">
        <v>705</v>
      </c>
      <c r="O2" s="1437" t="s">
        <v>724</v>
      </c>
      <c r="P2" s="1445"/>
      <c r="Q2" s="1454" t="s">
        <v>725</v>
      </c>
      <c r="R2" s="1437" t="s">
        <v>726</v>
      </c>
      <c r="S2" s="1445"/>
      <c r="T2" s="1454" t="s">
        <v>734</v>
      </c>
      <c r="U2" s="1451"/>
      <c r="V2" s="1453"/>
    </row>
    <row r="3" spans="1:22" ht="25.5" customHeight="1" x14ac:dyDescent="0.25">
      <c r="A3" s="1432"/>
      <c r="B3" s="1459"/>
      <c r="C3" s="1437"/>
      <c r="D3" s="1437"/>
      <c r="E3" s="1437"/>
      <c r="F3" s="1108" t="s">
        <v>718</v>
      </c>
      <c r="G3" s="1108" t="s">
        <v>719</v>
      </c>
      <c r="H3" s="1437"/>
      <c r="I3" s="1437"/>
      <c r="J3" s="1437"/>
      <c r="K3" s="1441"/>
      <c r="L3" s="1437"/>
      <c r="M3" s="1437"/>
      <c r="N3" s="1437"/>
      <c r="O3" s="1108" t="s">
        <v>727</v>
      </c>
      <c r="P3" s="1108" t="s">
        <v>728</v>
      </c>
      <c r="Q3" s="1455"/>
      <c r="R3" s="1108" t="s">
        <v>727</v>
      </c>
      <c r="S3" s="1108" t="s">
        <v>728</v>
      </c>
      <c r="T3" s="1456"/>
      <c r="U3" s="1451"/>
      <c r="V3" s="1453"/>
    </row>
    <row r="4" spans="1:22" ht="23.25" customHeight="1" x14ac:dyDescent="0.25">
      <c r="A4" s="1107" t="s">
        <v>304</v>
      </c>
      <c r="B4" s="740" t="s">
        <v>542</v>
      </c>
      <c r="C4" s="735">
        <f>10+10</f>
        <v>20</v>
      </c>
      <c r="D4" s="735">
        <f>2+2</f>
        <v>4</v>
      </c>
      <c r="E4" s="741"/>
      <c r="F4" s="735"/>
      <c r="G4" s="735"/>
      <c r="H4" s="735"/>
      <c r="I4" s="735"/>
      <c r="J4" s="735"/>
      <c r="K4" s="736">
        <f t="shared" ref="K4:K8" si="0">SUM(C4:J4)</f>
        <v>24</v>
      </c>
      <c r="L4" s="735"/>
      <c r="M4" s="735"/>
      <c r="N4" s="735">
        <f>12+12</f>
        <v>24</v>
      </c>
      <c r="O4" s="735"/>
      <c r="P4" s="735"/>
      <c r="Q4" s="735"/>
      <c r="R4" s="735"/>
      <c r="S4" s="735"/>
      <c r="T4" s="737"/>
      <c r="U4" s="1063"/>
      <c r="V4" s="738">
        <f>SUM(L4:U4)</f>
        <v>24</v>
      </c>
    </row>
    <row r="5" spans="1:22" x14ac:dyDescent="0.25">
      <c r="A5" s="1107" t="s">
        <v>393</v>
      </c>
      <c r="B5" s="740" t="s">
        <v>930</v>
      </c>
      <c r="C5" s="735"/>
      <c r="D5" s="735"/>
      <c r="E5" s="741"/>
      <c r="F5" s="735"/>
      <c r="G5" s="735">
        <v>-3438</v>
      </c>
      <c r="H5" s="735"/>
      <c r="I5" s="735"/>
      <c r="J5" s="735"/>
      <c r="K5" s="736">
        <f t="shared" si="0"/>
        <v>-3438</v>
      </c>
      <c r="L5" s="735"/>
      <c r="M5" s="735"/>
      <c r="N5" s="735">
        <v>-3438</v>
      </c>
      <c r="O5" s="735"/>
      <c r="P5" s="735"/>
      <c r="Q5" s="735"/>
      <c r="R5" s="735"/>
      <c r="S5" s="735"/>
      <c r="T5" s="737"/>
      <c r="U5" s="1063"/>
      <c r="V5" s="738">
        <f t="shared" ref="V5:V8" si="1">SUM(L5:U5)</f>
        <v>-3438</v>
      </c>
    </row>
    <row r="6" spans="1:22" x14ac:dyDescent="0.25">
      <c r="A6" s="1107" t="s">
        <v>449</v>
      </c>
      <c r="B6" s="740" t="s">
        <v>931</v>
      </c>
      <c r="C6" s="735">
        <f>161+119</f>
        <v>280</v>
      </c>
      <c r="D6" s="735">
        <f>28+21</f>
        <v>49</v>
      </c>
      <c r="E6" s="741"/>
      <c r="F6" s="735"/>
      <c r="G6" s="735"/>
      <c r="H6" s="735"/>
      <c r="I6" s="735"/>
      <c r="J6" s="735"/>
      <c r="K6" s="736">
        <f t="shared" si="0"/>
        <v>329</v>
      </c>
      <c r="L6" s="735"/>
      <c r="M6" s="735">
        <f>189+140</f>
        <v>329</v>
      </c>
      <c r="N6" s="735"/>
      <c r="O6" s="735"/>
      <c r="P6" s="735"/>
      <c r="Q6" s="735"/>
      <c r="R6" s="735"/>
      <c r="S6" s="735"/>
      <c r="T6" s="737"/>
      <c r="U6" s="1063"/>
      <c r="V6" s="738">
        <f t="shared" si="1"/>
        <v>329</v>
      </c>
    </row>
    <row r="7" spans="1:22" x14ac:dyDescent="0.25">
      <c r="A7" s="1107" t="s">
        <v>450</v>
      </c>
      <c r="B7" s="740" t="s">
        <v>932</v>
      </c>
      <c r="C7" s="735">
        <v>55</v>
      </c>
      <c r="D7" s="735"/>
      <c r="E7" s="741"/>
      <c r="F7" s="735"/>
      <c r="G7" s="735"/>
      <c r="H7" s="735"/>
      <c r="I7" s="735"/>
      <c r="J7" s="735"/>
      <c r="K7" s="736">
        <f t="shared" si="0"/>
        <v>55</v>
      </c>
      <c r="L7" s="735"/>
      <c r="M7" s="735"/>
      <c r="N7" s="735">
        <v>55</v>
      </c>
      <c r="O7" s="735"/>
      <c r="P7" s="735"/>
      <c r="Q7" s="735"/>
      <c r="R7" s="735"/>
      <c r="S7" s="735"/>
      <c r="T7" s="737"/>
      <c r="U7" s="1063"/>
      <c r="V7" s="738">
        <f t="shared" si="1"/>
        <v>55</v>
      </c>
    </row>
    <row r="8" spans="1:22" x14ac:dyDescent="0.25">
      <c r="A8" s="1107" t="s">
        <v>451</v>
      </c>
      <c r="B8" s="740" t="s">
        <v>933</v>
      </c>
      <c r="C8" s="741"/>
      <c r="D8" s="741">
        <v>-160</v>
      </c>
      <c r="E8" s="741">
        <v>160</v>
      </c>
      <c r="F8" s="741"/>
      <c r="G8" s="741"/>
      <c r="H8" s="741"/>
      <c r="I8" s="741"/>
      <c r="J8" s="741"/>
      <c r="K8" s="736">
        <f t="shared" si="0"/>
        <v>0</v>
      </c>
      <c r="L8" s="741"/>
      <c r="M8" s="741"/>
      <c r="N8" s="741"/>
      <c r="O8" s="741"/>
      <c r="P8" s="741"/>
      <c r="Q8" s="741"/>
      <c r="R8" s="741"/>
      <c r="S8" s="741"/>
      <c r="T8" s="742"/>
      <c r="U8" s="734"/>
      <c r="V8" s="738">
        <f t="shared" si="1"/>
        <v>0</v>
      </c>
    </row>
    <row r="9" spans="1:22" ht="12.75" customHeight="1" x14ac:dyDescent="0.25">
      <c r="A9" s="1107" t="s">
        <v>452</v>
      </c>
      <c r="B9" s="740"/>
      <c r="C9" s="741"/>
      <c r="D9" s="741"/>
      <c r="E9" s="741"/>
      <c r="F9" s="741"/>
      <c r="G9" s="741"/>
      <c r="H9" s="741"/>
      <c r="I9" s="741"/>
      <c r="J9" s="741"/>
      <c r="K9" s="736">
        <f>C9+D9+E9++F9+G9+H9+I9+J9</f>
        <v>0</v>
      </c>
      <c r="L9" s="741"/>
      <c r="M9" s="741"/>
      <c r="N9" s="741"/>
      <c r="O9" s="741"/>
      <c r="P9" s="741"/>
      <c r="Q9" s="741"/>
      <c r="R9" s="741"/>
      <c r="S9" s="741"/>
      <c r="T9" s="742"/>
      <c r="U9" s="734"/>
      <c r="V9" s="738">
        <f t="shared" ref="V9:V12" si="2">SUM(L9:U9)</f>
        <v>0</v>
      </c>
    </row>
    <row r="10" spans="1:22" ht="12.75" customHeight="1" x14ac:dyDescent="0.25">
      <c r="A10" s="1107" t="s">
        <v>453</v>
      </c>
      <c r="B10" s="740"/>
      <c r="C10" s="741"/>
      <c r="D10" s="741"/>
      <c r="E10" s="741"/>
      <c r="F10" s="741"/>
      <c r="G10" s="741"/>
      <c r="H10" s="741"/>
      <c r="I10" s="741"/>
      <c r="J10" s="741"/>
      <c r="K10" s="736">
        <f>C10+D10+E10++F10+G10+H10+I10+J10</f>
        <v>0</v>
      </c>
      <c r="L10" s="741"/>
      <c r="M10" s="741"/>
      <c r="N10" s="741"/>
      <c r="O10" s="741"/>
      <c r="P10" s="741"/>
      <c r="Q10" s="741"/>
      <c r="R10" s="741"/>
      <c r="S10" s="741"/>
      <c r="T10" s="742"/>
      <c r="U10" s="734"/>
      <c r="V10" s="738">
        <f t="shared" si="2"/>
        <v>0</v>
      </c>
    </row>
    <row r="11" spans="1:22" ht="12.75" customHeight="1" x14ac:dyDescent="0.25">
      <c r="A11" s="1107"/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ht="12.75" customHeight="1" x14ac:dyDescent="0.25">
      <c r="A12" s="1107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6">
        <f t="shared" si="2"/>
        <v>0</v>
      </c>
    </row>
    <row r="13" spans="1:22" ht="12.75" customHeight="1" thickBot="1" x14ac:dyDescent="0.3">
      <c r="A13" s="721"/>
      <c r="B13" s="954" t="s">
        <v>179</v>
      </c>
      <c r="C13" s="955">
        <f t="shared" ref="C13:J13" si="3">SUM(C4:C12)</f>
        <v>355</v>
      </c>
      <c r="D13" s="955">
        <f t="shared" si="3"/>
        <v>-107</v>
      </c>
      <c r="E13" s="955">
        <f t="shared" si="3"/>
        <v>160</v>
      </c>
      <c r="F13" s="955">
        <f t="shared" si="3"/>
        <v>0</v>
      </c>
      <c r="G13" s="955">
        <f t="shared" si="3"/>
        <v>-3438</v>
      </c>
      <c r="H13" s="955">
        <f t="shared" si="3"/>
        <v>0</v>
      </c>
      <c r="I13" s="955">
        <f t="shared" si="3"/>
        <v>0</v>
      </c>
      <c r="J13" s="955">
        <f t="shared" si="3"/>
        <v>0</v>
      </c>
      <c r="K13" s="736">
        <f>C13+D13+E13++F13+G13+H13+I13+J13</f>
        <v>-3030</v>
      </c>
      <c r="L13" s="955">
        <f>SUM(L4:L12)</f>
        <v>0</v>
      </c>
      <c r="M13" s="955">
        <f t="shared" ref="M13:V13" si="4">SUM(M4:M12)</f>
        <v>329</v>
      </c>
      <c r="N13" s="955">
        <f t="shared" si="4"/>
        <v>-3359</v>
      </c>
      <c r="O13" s="955">
        <f t="shared" si="4"/>
        <v>0</v>
      </c>
      <c r="P13" s="955">
        <f t="shared" si="4"/>
        <v>0</v>
      </c>
      <c r="Q13" s="955">
        <f t="shared" si="4"/>
        <v>0</v>
      </c>
      <c r="R13" s="955">
        <f t="shared" si="4"/>
        <v>0</v>
      </c>
      <c r="S13" s="955">
        <f t="shared" si="4"/>
        <v>0</v>
      </c>
      <c r="T13" s="955">
        <f t="shared" si="4"/>
        <v>0</v>
      </c>
      <c r="U13" s="955">
        <f t="shared" si="4"/>
        <v>0</v>
      </c>
      <c r="V13" s="736">
        <f t="shared" si="4"/>
        <v>-3030</v>
      </c>
    </row>
    <row r="14" spans="1:22" x14ac:dyDescent="0.25">
      <c r="A14" s="685"/>
      <c r="B14" s="685"/>
      <c r="C14" s="685"/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685"/>
      <c r="O14" s="685"/>
      <c r="P14" s="685"/>
      <c r="Q14" s="685"/>
      <c r="R14" s="685"/>
      <c r="S14" s="685"/>
      <c r="T14" s="685"/>
      <c r="U14" s="685"/>
      <c r="V14" s="685"/>
    </row>
  </sheetData>
  <mergeCells count="21">
    <mergeCell ref="A1:A3"/>
    <mergeCell ref="B1:B3"/>
    <mergeCell ref="C1:J1"/>
    <mergeCell ref="K1:K3"/>
    <mergeCell ref="L1:T1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U1:U3"/>
    <mergeCell ref="V1:V3"/>
    <mergeCell ref="Q2:Q3"/>
    <mergeCell ref="R2:S2"/>
    <mergeCell ref="T2:T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&amp;C&amp;"Times New Roman,Félkövér"&amp;12Martonvásár Város Önkormányzatának 2020.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Normal="100" workbookViewId="0">
      <selection activeCell="N14" sqref="N14"/>
    </sheetView>
  </sheetViews>
  <sheetFormatPr defaultRowHeight="15" x14ac:dyDescent="0.25"/>
  <cols>
    <col min="1" max="1" width="4.7109375" customWidth="1"/>
    <col min="2" max="2" width="53.42578125" customWidth="1"/>
    <col min="4" max="4" width="6.7109375" customWidth="1"/>
  </cols>
  <sheetData>
    <row r="1" spans="1:22" ht="15" customHeight="1" x14ac:dyDescent="0.25">
      <c r="A1" s="1431" t="s">
        <v>344</v>
      </c>
      <c r="B1" s="1457" t="s">
        <v>696</v>
      </c>
      <c r="C1" s="1438" t="s">
        <v>305</v>
      </c>
      <c r="D1" s="1438"/>
      <c r="E1" s="1438"/>
      <c r="F1" s="1438"/>
      <c r="G1" s="1438"/>
      <c r="H1" s="1438"/>
      <c r="I1" s="1438"/>
      <c r="J1" s="1438"/>
      <c r="K1" s="1440" t="s">
        <v>284</v>
      </c>
      <c r="L1" s="1438" t="s">
        <v>298</v>
      </c>
      <c r="M1" s="1438"/>
      <c r="N1" s="1438"/>
      <c r="O1" s="1438"/>
      <c r="P1" s="1438"/>
      <c r="Q1" s="1438"/>
      <c r="R1" s="1438"/>
      <c r="S1" s="1438"/>
      <c r="T1" s="1439"/>
      <c r="U1" s="1450" t="s">
        <v>697</v>
      </c>
      <c r="V1" s="1452" t="s">
        <v>720</v>
      </c>
    </row>
    <row r="2" spans="1:22" ht="31.5" customHeight="1" x14ac:dyDescent="0.25">
      <c r="A2" s="1432"/>
      <c r="B2" s="1458"/>
      <c r="C2" s="1437" t="s">
        <v>721</v>
      </c>
      <c r="D2" s="1437" t="s">
        <v>722</v>
      </c>
      <c r="E2" s="1437" t="s">
        <v>150</v>
      </c>
      <c r="F2" s="1437" t="s">
        <v>162</v>
      </c>
      <c r="G2" s="1445"/>
      <c r="H2" s="1437" t="s">
        <v>701</v>
      </c>
      <c r="I2" s="1437" t="s">
        <v>648</v>
      </c>
      <c r="J2" s="1437" t="s">
        <v>723</v>
      </c>
      <c r="K2" s="1441"/>
      <c r="L2" s="1437" t="s">
        <v>709</v>
      </c>
      <c r="M2" s="1437" t="s">
        <v>710</v>
      </c>
      <c r="N2" s="1437" t="s">
        <v>705</v>
      </c>
      <c r="O2" s="1437" t="s">
        <v>724</v>
      </c>
      <c r="P2" s="1445"/>
      <c r="Q2" s="1454" t="s">
        <v>725</v>
      </c>
      <c r="R2" s="1437" t="s">
        <v>726</v>
      </c>
      <c r="S2" s="1445"/>
      <c r="T2" s="1454" t="s">
        <v>734</v>
      </c>
      <c r="U2" s="1451"/>
      <c r="V2" s="1453"/>
    </row>
    <row r="3" spans="1:22" ht="25.5" customHeight="1" x14ac:dyDescent="0.25">
      <c r="A3" s="1432"/>
      <c r="B3" s="1459"/>
      <c r="C3" s="1437"/>
      <c r="D3" s="1437"/>
      <c r="E3" s="1437"/>
      <c r="F3" s="1108" t="s">
        <v>718</v>
      </c>
      <c r="G3" s="1108" t="s">
        <v>719</v>
      </c>
      <c r="H3" s="1437"/>
      <c r="I3" s="1437"/>
      <c r="J3" s="1437"/>
      <c r="K3" s="1441"/>
      <c r="L3" s="1437"/>
      <c r="M3" s="1437"/>
      <c r="N3" s="1437"/>
      <c r="O3" s="1108" t="s">
        <v>727</v>
      </c>
      <c r="P3" s="1108" t="s">
        <v>728</v>
      </c>
      <c r="Q3" s="1455"/>
      <c r="R3" s="1108" t="s">
        <v>727</v>
      </c>
      <c r="S3" s="1108" t="s">
        <v>728</v>
      </c>
      <c r="T3" s="1456"/>
      <c r="U3" s="1451"/>
      <c r="V3" s="1453"/>
    </row>
    <row r="4" spans="1:22" ht="23.25" customHeight="1" x14ac:dyDescent="0.25">
      <c r="A4" s="1107" t="s">
        <v>304</v>
      </c>
      <c r="B4" s="733" t="s">
        <v>542</v>
      </c>
      <c r="C4" s="735">
        <f>3+3</f>
        <v>6</v>
      </c>
      <c r="D4" s="735">
        <v>1</v>
      </c>
      <c r="E4" s="741"/>
      <c r="F4" s="735"/>
      <c r="G4" s="735"/>
      <c r="H4" s="735"/>
      <c r="I4" s="735"/>
      <c r="J4" s="735"/>
      <c r="K4" s="736">
        <f t="shared" ref="K4:K9" si="0">SUM(C4:J4)</f>
        <v>7</v>
      </c>
      <c r="L4" s="735"/>
      <c r="M4" s="735"/>
      <c r="N4" s="735">
        <v>7</v>
      </c>
      <c r="O4" s="735"/>
      <c r="P4" s="735"/>
      <c r="Q4" s="735"/>
      <c r="R4" s="735"/>
      <c r="S4" s="735"/>
      <c r="T4" s="737"/>
      <c r="U4" s="1063"/>
      <c r="V4" s="738">
        <f>SUM(L4:U4)</f>
        <v>7</v>
      </c>
    </row>
    <row r="5" spans="1:22" x14ac:dyDescent="0.25">
      <c r="A5" s="1107" t="s">
        <v>393</v>
      </c>
      <c r="B5" s="740" t="s">
        <v>934</v>
      </c>
      <c r="C5" s="735"/>
      <c r="D5" s="735"/>
      <c r="E5" s="741"/>
      <c r="F5" s="735"/>
      <c r="G5" s="735">
        <v>-103</v>
      </c>
      <c r="H5" s="735"/>
      <c r="I5" s="735"/>
      <c r="J5" s="735"/>
      <c r="K5" s="736">
        <f t="shared" si="0"/>
        <v>-103</v>
      </c>
      <c r="L5" s="735"/>
      <c r="M5" s="735"/>
      <c r="N5" s="735">
        <v>-103</v>
      </c>
      <c r="O5" s="735"/>
      <c r="P5" s="735"/>
      <c r="Q5" s="735"/>
      <c r="R5" s="735"/>
      <c r="S5" s="735"/>
      <c r="T5" s="737"/>
      <c r="U5" s="1063"/>
      <c r="V5" s="738">
        <f t="shared" ref="V5:V9" si="1">SUM(L5:U5)</f>
        <v>-103</v>
      </c>
    </row>
    <row r="6" spans="1:22" x14ac:dyDescent="0.25">
      <c r="A6" s="1107" t="s">
        <v>449</v>
      </c>
      <c r="B6" s="740" t="s">
        <v>935</v>
      </c>
      <c r="C6" s="735">
        <f>-51+10+41+31</f>
        <v>31</v>
      </c>
      <c r="D6" s="735">
        <v>-41</v>
      </c>
      <c r="E6" s="741">
        <f>51-31</f>
        <v>20</v>
      </c>
      <c r="F6" s="735"/>
      <c r="G6" s="735"/>
      <c r="H6" s="735"/>
      <c r="I6" s="735"/>
      <c r="J6" s="735"/>
      <c r="K6" s="736">
        <f t="shared" si="0"/>
        <v>10</v>
      </c>
      <c r="L6" s="735"/>
      <c r="M6" s="735">
        <v>10</v>
      </c>
      <c r="N6" s="735"/>
      <c r="O6" s="735"/>
      <c r="P6" s="735"/>
      <c r="Q6" s="735"/>
      <c r="R6" s="735"/>
      <c r="S6" s="735"/>
      <c r="T6" s="737"/>
      <c r="U6" s="1063"/>
      <c r="V6" s="738">
        <f t="shared" si="1"/>
        <v>10</v>
      </c>
    </row>
    <row r="7" spans="1:22" x14ac:dyDescent="0.25">
      <c r="A7" s="1107" t="s">
        <v>450</v>
      </c>
      <c r="B7" s="740"/>
      <c r="C7" s="735"/>
      <c r="D7" s="735"/>
      <c r="E7" s="741"/>
      <c r="F7" s="735"/>
      <c r="G7" s="735"/>
      <c r="H7" s="735"/>
      <c r="I7" s="735"/>
      <c r="J7" s="735"/>
      <c r="K7" s="736">
        <f t="shared" si="0"/>
        <v>0</v>
      </c>
      <c r="L7" s="735"/>
      <c r="M7" s="735"/>
      <c r="N7" s="735"/>
      <c r="O7" s="735"/>
      <c r="P7" s="735"/>
      <c r="Q7" s="735"/>
      <c r="R7" s="735"/>
      <c r="S7" s="735"/>
      <c r="T7" s="737"/>
      <c r="U7" s="1063"/>
      <c r="V7" s="738">
        <f t="shared" si="1"/>
        <v>0</v>
      </c>
    </row>
    <row r="8" spans="1:22" x14ac:dyDescent="0.25">
      <c r="A8" s="1107" t="s">
        <v>451</v>
      </c>
      <c r="B8" s="733"/>
      <c r="C8" s="741"/>
      <c r="D8" s="741"/>
      <c r="E8" s="741"/>
      <c r="F8" s="741"/>
      <c r="G8" s="741"/>
      <c r="H8" s="741"/>
      <c r="I8" s="741"/>
      <c r="J8" s="741"/>
      <c r="K8" s="736">
        <f t="shared" si="0"/>
        <v>0</v>
      </c>
      <c r="L8" s="741"/>
      <c r="M8" s="741"/>
      <c r="N8" s="741"/>
      <c r="O8" s="741"/>
      <c r="P8" s="741"/>
      <c r="Q8" s="741"/>
      <c r="R8" s="741"/>
      <c r="S8" s="741"/>
      <c r="T8" s="742"/>
      <c r="U8" s="734"/>
      <c r="V8" s="738">
        <f t="shared" si="1"/>
        <v>0</v>
      </c>
    </row>
    <row r="9" spans="1:22" x14ac:dyDescent="0.25">
      <c r="A9" s="1107" t="s">
        <v>452</v>
      </c>
      <c r="B9" s="740"/>
      <c r="C9" s="741"/>
      <c r="D9" s="741"/>
      <c r="E9" s="741"/>
      <c r="F9" s="741"/>
      <c r="G9" s="741"/>
      <c r="H9" s="741"/>
      <c r="I9" s="741"/>
      <c r="J9" s="741"/>
      <c r="K9" s="736">
        <f t="shared" si="0"/>
        <v>0</v>
      </c>
      <c r="L9" s="741"/>
      <c r="M9" s="741"/>
      <c r="N9" s="741"/>
      <c r="O9" s="741"/>
      <c r="P9" s="741"/>
      <c r="Q9" s="741"/>
      <c r="R9" s="741"/>
      <c r="S9" s="741"/>
      <c r="T9" s="742"/>
      <c r="U9" s="734"/>
      <c r="V9" s="738">
        <f t="shared" si="1"/>
        <v>0</v>
      </c>
    </row>
    <row r="10" spans="1:22" x14ac:dyDescent="0.25">
      <c r="A10" s="1107" t="s">
        <v>453</v>
      </c>
      <c r="B10" s="740"/>
      <c r="C10" s="741"/>
      <c r="D10" s="741"/>
      <c r="E10" s="741"/>
      <c r="F10" s="741"/>
      <c r="G10" s="741"/>
      <c r="H10" s="741"/>
      <c r="I10" s="741"/>
      <c r="J10" s="741"/>
      <c r="K10" s="736">
        <f>C10+D10+E10++F10+G10+H10+I10+J10</f>
        <v>0</v>
      </c>
      <c r="L10" s="741"/>
      <c r="M10" s="741"/>
      <c r="N10" s="741"/>
      <c r="O10" s="741"/>
      <c r="P10" s="741"/>
      <c r="Q10" s="741"/>
      <c r="R10" s="741"/>
      <c r="S10" s="741"/>
      <c r="T10" s="742"/>
      <c r="U10" s="734"/>
      <c r="V10" s="738">
        <f t="shared" ref="V10:V13" si="2">SUM(L10:U10)</f>
        <v>0</v>
      </c>
    </row>
    <row r="11" spans="1:22" ht="14.45" customHeight="1" x14ac:dyDescent="0.25">
      <c r="A11" s="1107" t="s">
        <v>454</v>
      </c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ht="14.45" customHeight="1" x14ac:dyDescent="0.25">
      <c r="A12" s="1107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8">
        <f t="shared" si="2"/>
        <v>0</v>
      </c>
    </row>
    <row r="13" spans="1:22" ht="14.45" customHeight="1" x14ac:dyDescent="0.25">
      <c r="A13" s="1107"/>
      <c r="B13" s="740"/>
      <c r="C13" s="741"/>
      <c r="D13" s="741"/>
      <c r="E13" s="741"/>
      <c r="F13" s="741"/>
      <c r="G13" s="741"/>
      <c r="H13" s="741"/>
      <c r="I13" s="741"/>
      <c r="J13" s="741"/>
      <c r="K13" s="736">
        <f>C13+D13+E13++F13+G13+H13+I13+J13</f>
        <v>0</v>
      </c>
      <c r="L13" s="741"/>
      <c r="M13" s="741"/>
      <c r="N13" s="741"/>
      <c r="O13" s="741"/>
      <c r="P13" s="741"/>
      <c r="Q13" s="741"/>
      <c r="R13" s="741"/>
      <c r="S13" s="741"/>
      <c r="T13" s="742"/>
      <c r="U13" s="734"/>
      <c r="V13" s="736">
        <f t="shared" si="2"/>
        <v>0</v>
      </c>
    </row>
    <row r="14" spans="1:22" ht="15" customHeight="1" thickBot="1" x14ac:dyDescent="0.3">
      <c r="A14" s="721"/>
      <c r="B14" s="954" t="s">
        <v>179</v>
      </c>
      <c r="C14" s="955">
        <f t="shared" ref="C14:J14" si="3">SUM(C4:C13)</f>
        <v>37</v>
      </c>
      <c r="D14" s="955">
        <f t="shared" si="3"/>
        <v>-40</v>
      </c>
      <c r="E14" s="955">
        <f t="shared" si="3"/>
        <v>20</v>
      </c>
      <c r="F14" s="955">
        <f t="shared" si="3"/>
        <v>0</v>
      </c>
      <c r="G14" s="955">
        <f t="shared" si="3"/>
        <v>-103</v>
      </c>
      <c r="H14" s="955">
        <f t="shared" si="3"/>
        <v>0</v>
      </c>
      <c r="I14" s="955">
        <f t="shared" si="3"/>
        <v>0</v>
      </c>
      <c r="J14" s="955">
        <f t="shared" si="3"/>
        <v>0</v>
      </c>
      <c r="K14" s="736">
        <f>C14+D14+E14++F14+G14+H14+I14+J14</f>
        <v>-86</v>
      </c>
      <c r="L14" s="955">
        <f>SUM(L4:L13)</f>
        <v>0</v>
      </c>
      <c r="M14" s="955">
        <f t="shared" ref="M14:V14" si="4">SUM(M4:M13)</f>
        <v>10</v>
      </c>
      <c r="N14" s="955">
        <f t="shared" si="4"/>
        <v>-96</v>
      </c>
      <c r="O14" s="955">
        <f t="shared" si="4"/>
        <v>0</v>
      </c>
      <c r="P14" s="955">
        <f t="shared" si="4"/>
        <v>0</v>
      </c>
      <c r="Q14" s="955">
        <f t="shared" si="4"/>
        <v>0</v>
      </c>
      <c r="R14" s="955">
        <f t="shared" si="4"/>
        <v>0</v>
      </c>
      <c r="S14" s="955">
        <f t="shared" si="4"/>
        <v>0</v>
      </c>
      <c r="T14" s="955">
        <f t="shared" si="4"/>
        <v>0</v>
      </c>
      <c r="U14" s="955">
        <f t="shared" si="4"/>
        <v>0</v>
      </c>
      <c r="V14" s="736">
        <f t="shared" si="4"/>
        <v>-86</v>
      </c>
    </row>
    <row r="15" spans="1:22" ht="14.45" customHeight="1" x14ac:dyDescent="0.25">
      <c r="A15" s="685"/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685"/>
    </row>
    <row r="16" spans="1:22" ht="14.45" customHeight="1" x14ac:dyDescent="0.25"/>
    <row r="17" ht="14.45" customHeight="1" x14ac:dyDescent="0.25"/>
    <row r="18" ht="14.45" customHeight="1" x14ac:dyDescent="0.25"/>
    <row r="19" ht="14.45" customHeight="1" x14ac:dyDescent="0.25"/>
    <row r="20" ht="14.45" customHeight="1" x14ac:dyDescent="0.25"/>
  </sheetData>
  <mergeCells count="21">
    <mergeCell ref="U1:U3"/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A1:A3"/>
    <mergeCell ref="B1:B3"/>
    <mergeCell ref="C1:J1"/>
    <mergeCell ref="K1:K3"/>
    <mergeCell ref="L1:T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Roman,Félkövér"&amp;12Martonvásár Város Önkormányzatának 2020.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topLeftCell="A4" zoomScaleNormal="100" workbookViewId="0">
      <selection activeCell="F26" sqref="F26"/>
    </sheetView>
  </sheetViews>
  <sheetFormatPr defaultColWidth="8.7109375" defaultRowHeight="12.75" customHeight="1" x14ac:dyDescent="0.25"/>
  <cols>
    <col min="1" max="1" width="18.85546875" style="156" customWidth="1"/>
    <col min="2" max="2" width="35.140625" style="157" customWidth="1"/>
    <col min="3" max="3" width="12.42578125" style="157" customWidth="1"/>
    <col min="4" max="4" width="11.7109375" style="157" customWidth="1"/>
    <col min="5" max="5" width="13.28515625" style="157" customWidth="1"/>
    <col min="6" max="6" width="45.42578125" style="157" customWidth="1"/>
    <col min="7" max="7" width="12.85546875" style="157" customWidth="1"/>
    <col min="8" max="9" width="12.42578125" style="157" customWidth="1"/>
    <col min="10" max="11" width="8.7109375" style="157"/>
    <col min="12" max="16384" width="8.7109375" style="156"/>
  </cols>
  <sheetData>
    <row r="1" spans="2:11" ht="16.5" customHeight="1" thickBot="1" x14ac:dyDescent="0.3">
      <c r="B1" s="158"/>
      <c r="C1" s="158"/>
      <c r="D1" s="158"/>
      <c r="E1" s="158"/>
      <c r="F1" s="158"/>
      <c r="G1" s="158"/>
      <c r="H1" s="158"/>
      <c r="I1" s="159"/>
      <c r="J1" s="155"/>
      <c r="K1" s="155"/>
    </row>
    <row r="2" spans="2:11" ht="26.25" customHeight="1" thickBot="1" x14ac:dyDescent="0.3">
      <c r="B2" s="160" t="s">
        <v>334</v>
      </c>
      <c r="C2" s="192" t="s">
        <v>889</v>
      </c>
      <c r="D2" s="161" t="s">
        <v>694</v>
      </c>
      <c r="E2" s="192" t="s">
        <v>944</v>
      </c>
      <c r="F2" s="160" t="s">
        <v>335</v>
      </c>
      <c r="G2" s="192" t="s">
        <v>889</v>
      </c>
      <c r="H2" s="192" t="s">
        <v>694</v>
      </c>
      <c r="I2" s="192" t="s">
        <v>944</v>
      </c>
      <c r="J2" s="162"/>
      <c r="K2" s="155"/>
    </row>
    <row r="3" spans="2:11" ht="13.5" customHeight="1" x14ac:dyDescent="0.25">
      <c r="B3" s="163" t="s">
        <v>336</v>
      </c>
      <c r="C3" s="372">
        <f>SUM(C4:C8)</f>
        <v>963708</v>
      </c>
      <c r="D3" s="372">
        <f t="shared" ref="D3:E3" si="0">SUM(D4:D8)</f>
        <v>27971</v>
      </c>
      <c r="E3" s="372">
        <f t="shared" si="0"/>
        <v>991679</v>
      </c>
      <c r="F3" s="1068" t="s">
        <v>433</v>
      </c>
      <c r="G3" s="1069">
        <f>+G4+G5+G6+G8+G9+G10</f>
        <v>1353526.77</v>
      </c>
      <c r="H3" s="1069">
        <f t="shared" ref="H3:I3" si="1">+H4+H5+H6+H8+H9+H10</f>
        <v>25765</v>
      </c>
      <c r="I3" s="1069">
        <f t="shared" si="1"/>
        <v>1379291.77</v>
      </c>
      <c r="J3" s="162"/>
      <c r="K3" s="155"/>
    </row>
    <row r="4" spans="2:11" ht="15" customHeight="1" x14ac:dyDescent="0.25">
      <c r="B4" s="164" t="s">
        <v>410</v>
      </c>
      <c r="C4" s="165">
        <f>+'1.mell. Mérleg'!C7</f>
        <v>544492</v>
      </c>
      <c r="D4" s="193">
        <f>+'1.mell. Mérleg'!D7</f>
        <v>16015</v>
      </c>
      <c r="E4" s="193">
        <f>+'1.mell. Mérleg'!E7</f>
        <v>560507</v>
      </c>
      <c r="F4" s="466" t="s">
        <v>337</v>
      </c>
      <c r="G4" s="467">
        <f>+'1.mell. Mérleg'!C31</f>
        <v>350024</v>
      </c>
      <c r="H4" s="467">
        <f>+'1.mell. Mérleg'!D31</f>
        <v>-5362</v>
      </c>
      <c r="I4" s="467">
        <f>+'1.mell. Mérleg'!E31</f>
        <v>344662</v>
      </c>
      <c r="J4" s="162"/>
      <c r="K4" s="155"/>
    </row>
    <row r="5" spans="2:11" ht="15" customHeight="1" x14ac:dyDescent="0.25">
      <c r="B5" s="164" t="s">
        <v>434</v>
      </c>
      <c r="C5" s="313">
        <f>+'3.mell. Bevétel'!C54</f>
        <v>344859</v>
      </c>
      <c r="D5" s="313">
        <f>+'3.mell. Bevétel'!D54</f>
        <v>0</v>
      </c>
      <c r="E5" s="313">
        <f>+'3.mell. Bevétel'!E54</f>
        <v>344859</v>
      </c>
      <c r="F5" s="196" t="s">
        <v>338</v>
      </c>
      <c r="G5" s="167">
        <f>+'1.mell. Mérleg'!C32</f>
        <v>68342</v>
      </c>
      <c r="H5" s="167">
        <f>+'1.mell. Mérleg'!D32</f>
        <v>-1302</v>
      </c>
      <c r="I5" s="167">
        <f>+'1.mell. Mérleg'!E32</f>
        <v>67040</v>
      </c>
      <c r="J5" s="162"/>
      <c r="K5" s="155"/>
    </row>
    <row r="6" spans="2:11" ht="15" customHeight="1" x14ac:dyDescent="0.25">
      <c r="B6" s="164" t="s">
        <v>336</v>
      </c>
      <c r="C6" s="313">
        <f>+'1.mell. Mérleg'!C13</f>
        <v>73614</v>
      </c>
      <c r="D6" s="313">
        <f>+'1.mell. Mérleg'!D13</f>
        <v>11956</v>
      </c>
      <c r="E6" s="313">
        <f>+'1.mell. Mérleg'!E13</f>
        <v>85570</v>
      </c>
      <c r="F6" s="196" t="s">
        <v>339</v>
      </c>
      <c r="G6" s="193">
        <f>+'1.mell. Mérleg'!C33</f>
        <v>394410.77</v>
      </c>
      <c r="H6" s="193">
        <f>+'1.mell. Mérleg'!D33</f>
        <v>-11380</v>
      </c>
      <c r="I6" s="193">
        <f>+'1.mell. Mérleg'!E33</f>
        <v>383030.77</v>
      </c>
      <c r="J6" s="162"/>
      <c r="K6" s="155"/>
    </row>
    <row r="7" spans="2:11" ht="15" customHeight="1" x14ac:dyDescent="0.25">
      <c r="B7" s="190" t="s">
        <v>411</v>
      </c>
      <c r="C7" s="313">
        <f>+'1.mell. Mérleg'!C14</f>
        <v>743</v>
      </c>
      <c r="D7" s="313">
        <f>+'1.mell. Mérleg'!D14</f>
        <v>0</v>
      </c>
      <c r="E7" s="313">
        <f>+'1.mell. Mérleg'!E14</f>
        <v>743</v>
      </c>
      <c r="F7" s="464" t="s">
        <v>556</v>
      </c>
      <c r="G7" s="193">
        <f>+'5.b. mell. VF saját forrásból'!D30+'5.c. mell. VF Eu forrásból'!D30</f>
        <v>162765</v>
      </c>
      <c r="H7" s="193">
        <f>+'5.b. mell. VF saját forrásból'!E30+'5.c. mell. VF Eu forrásból'!E30</f>
        <v>85</v>
      </c>
      <c r="I7" s="193">
        <f>+'5.b. mell. VF saját forrásból'!F30+'5.c. mell. VF Eu forrásból'!F30</f>
        <v>162850</v>
      </c>
      <c r="J7" s="162"/>
      <c r="K7" s="155"/>
    </row>
    <row r="8" spans="2:11" ht="15" customHeight="1" x14ac:dyDescent="0.25">
      <c r="B8" s="164"/>
      <c r="C8" s="313"/>
      <c r="D8" s="165"/>
      <c r="E8" s="294"/>
      <c r="F8" s="196" t="s">
        <v>340</v>
      </c>
      <c r="G8" s="193">
        <f>+'5. mell. Önk.össz kiadás'!D16</f>
        <v>5334</v>
      </c>
      <c r="H8" s="193">
        <f>+'5. mell. Önk.össz kiadás'!E16</f>
        <v>-262</v>
      </c>
      <c r="I8" s="193">
        <f>+'5. mell. Önk.össz kiadás'!F16</f>
        <v>5072</v>
      </c>
      <c r="J8" s="162"/>
      <c r="K8" s="155"/>
    </row>
    <row r="9" spans="2:11" ht="15" customHeight="1" x14ac:dyDescent="0.25">
      <c r="B9" s="164"/>
      <c r="C9" s="165"/>
      <c r="D9" s="165"/>
      <c r="E9" s="294"/>
      <c r="F9" s="196" t="s">
        <v>370</v>
      </c>
      <c r="G9" s="193">
        <f>+'1.mell. Mérleg'!C35</f>
        <v>287426</v>
      </c>
      <c r="H9" s="193">
        <f>+'1.mell. Mérleg'!D35</f>
        <v>26666</v>
      </c>
      <c r="I9" s="193">
        <f>+'1.mell. Mérleg'!E35</f>
        <v>314092</v>
      </c>
      <c r="J9" s="162"/>
      <c r="K9" s="155"/>
    </row>
    <row r="10" spans="2:11" ht="15" customHeight="1" x14ac:dyDescent="0.25">
      <c r="B10" s="168" t="s">
        <v>282</v>
      </c>
      <c r="C10" s="169">
        <f>+C11</f>
        <v>262038</v>
      </c>
      <c r="D10" s="169">
        <f t="shared" ref="D10:E10" si="2">+D11</f>
        <v>0</v>
      </c>
      <c r="E10" s="169">
        <f t="shared" si="2"/>
        <v>262038</v>
      </c>
      <c r="F10" s="196" t="s">
        <v>676</v>
      </c>
      <c r="G10" s="193">
        <f>+'5. mell. Önk.össz kiadás'!D19</f>
        <v>247990</v>
      </c>
      <c r="H10" s="193">
        <f>+'5. mell. Önk.össz kiadás'!E19</f>
        <v>17405</v>
      </c>
      <c r="I10" s="193">
        <f>+'5. mell. Önk.össz kiadás'!F19</f>
        <v>265395</v>
      </c>
      <c r="J10" s="162"/>
      <c r="K10" s="155"/>
    </row>
    <row r="11" spans="2:11" ht="15" customHeight="1" x14ac:dyDescent="0.25">
      <c r="B11" s="164" t="s">
        <v>375</v>
      </c>
      <c r="C11" s="165">
        <f>+'1.mell. Mérleg'!C23</f>
        <v>262038</v>
      </c>
      <c r="D11" s="193">
        <f>+'1.mell. Mérleg'!D23</f>
        <v>0</v>
      </c>
      <c r="E11" s="193">
        <f>+'1.mell. Mérleg'!E23</f>
        <v>262038</v>
      </c>
      <c r="F11" s="1065" t="s">
        <v>867</v>
      </c>
      <c r="G11" s="193">
        <f>+'5.g. mell. Egyéb tev.'!D65</f>
        <v>11200</v>
      </c>
      <c r="H11" s="193">
        <f>+'5.g. mell. Egyéb tev.'!E65</f>
        <v>0</v>
      </c>
      <c r="I11" s="193">
        <f>+'5.g. mell. Egyéb tev.'!F65</f>
        <v>11200</v>
      </c>
      <c r="J11" s="162"/>
      <c r="K11" s="155"/>
    </row>
    <row r="12" spans="2:11" ht="15" customHeight="1" x14ac:dyDescent="0.25">
      <c r="B12" s="190"/>
      <c r="C12" s="193"/>
      <c r="D12" s="193"/>
      <c r="E12" s="193"/>
      <c r="F12" s="1065" t="s">
        <v>893</v>
      </c>
      <c r="G12" s="193">
        <f>+'5.g. mell. Egyéb tev.'!D63</f>
        <v>588</v>
      </c>
      <c r="H12" s="193">
        <f>+'5.g. mell. Egyéb tev.'!E63</f>
        <v>-588</v>
      </c>
      <c r="I12" s="193">
        <f>+'5.g. mell. Egyéb tev.'!F63</f>
        <v>0</v>
      </c>
      <c r="J12" s="162"/>
      <c r="K12" s="155"/>
    </row>
    <row r="13" spans="2:11" ht="15" customHeight="1" x14ac:dyDescent="0.25">
      <c r="B13" s="190"/>
      <c r="C13" s="191"/>
      <c r="D13" s="191"/>
      <c r="E13" s="191"/>
      <c r="F13" s="618" t="s">
        <v>707</v>
      </c>
      <c r="G13" s="193">
        <f>+'5.g. mell. Egyéb tev.'!AH66</f>
        <v>100375</v>
      </c>
      <c r="H13" s="193">
        <f>+'5.g. mell. Egyéb tev.'!AI66</f>
        <v>9776</v>
      </c>
      <c r="I13" s="193">
        <f>+'5.g. mell. Egyéb tev.'!AJ66</f>
        <v>110151</v>
      </c>
      <c r="J13" s="162"/>
      <c r="K13" s="155"/>
    </row>
    <row r="14" spans="2:11" ht="15" customHeight="1" x14ac:dyDescent="0.25">
      <c r="B14" s="190"/>
      <c r="C14" s="191"/>
      <c r="D14" s="191"/>
      <c r="E14" s="191"/>
      <c r="F14" s="1131" t="s">
        <v>1005</v>
      </c>
      <c r="G14" s="193">
        <f>+'5.g. mell. Egyéb tev.'!AH67</f>
        <v>0</v>
      </c>
      <c r="H14" s="193">
        <f>+'5.g. mell. Egyéb tev.'!AI67</f>
        <v>8214</v>
      </c>
      <c r="I14" s="193">
        <f>+'5.g. mell. Egyéb tev.'!AJ67</f>
        <v>8214</v>
      </c>
      <c r="J14" s="162"/>
      <c r="K14" s="155"/>
    </row>
    <row r="15" spans="2:11" ht="15" customHeight="1" x14ac:dyDescent="0.25">
      <c r="B15" s="164"/>
      <c r="C15" s="165"/>
      <c r="D15" s="193"/>
      <c r="E15" s="193"/>
      <c r="F15" s="1065" t="s">
        <v>902</v>
      </c>
      <c r="G15" s="193">
        <f>+'5.g. mell. Egyéb tev.'!AH68</f>
        <v>112753</v>
      </c>
      <c r="H15" s="193">
        <f>+'5.g. mell. Egyéb tev.'!AI68</f>
        <v>2414</v>
      </c>
      <c r="I15" s="193">
        <f>+'5.g. mell. Egyéb tev.'!AJ68</f>
        <v>115167</v>
      </c>
      <c r="J15" s="162"/>
      <c r="K15" s="155"/>
    </row>
    <row r="16" spans="2:11" s="173" customFormat="1" ht="15" customHeight="1" x14ac:dyDescent="0.25">
      <c r="B16" s="164"/>
      <c r="C16" s="165"/>
      <c r="D16" s="165"/>
      <c r="E16" s="294"/>
      <c r="F16" s="618" t="s">
        <v>605</v>
      </c>
      <c r="G16" s="193">
        <f>+'5.g. mell. Egyéb tev.'!AH69</f>
        <v>9187</v>
      </c>
      <c r="H16" s="193">
        <f>+'5.g. mell. Egyéb tev.'!AI69</f>
        <v>-2411</v>
      </c>
      <c r="I16" s="193">
        <f>+'5.g. mell. Egyéb tev.'!AJ69</f>
        <v>6776</v>
      </c>
      <c r="J16" s="162"/>
      <c r="K16" s="155"/>
    </row>
    <row r="17" spans="2:11" s="176" customFormat="1" ht="15.75" thickBot="1" x14ac:dyDescent="0.3">
      <c r="B17" s="171"/>
      <c r="C17" s="172"/>
      <c r="D17" s="172"/>
      <c r="E17" s="295"/>
      <c r="F17" s="618" t="s">
        <v>900</v>
      </c>
      <c r="G17" s="193">
        <f>+'5.g. mell. Egyéb tev.'!AH70</f>
        <v>13887</v>
      </c>
      <c r="H17" s="193">
        <f>+'5.g. mell. Egyéb tev.'!AI70</f>
        <v>0</v>
      </c>
      <c r="I17" s="193">
        <f>+'5.g. mell. Egyéb tev.'!AJ70</f>
        <v>13887</v>
      </c>
      <c r="J17" s="162"/>
      <c r="K17" s="155"/>
    </row>
    <row r="18" spans="2:11" ht="15.75" thickBot="1" x14ac:dyDescent="0.3">
      <c r="B18" s="174" t="s">
        <v>341</v>
      </c>
      <c r="C18" s="175">
        <f>+C10+C3</f>
        <v>1225746</v>
      </c>
      <c r="D18" s="175">
        <f t="shared" ref="D18:E18" si="3">+D10+D3</f>
        <v>27971</v>
      </c>
      <c r="E18" s="175">
        <f t="shared" si="3"/>
        <v>1253717</v>
      </c>
      <c r="F18" s="465" t="s">
        <v>341</v>
      </c>
      <c r="G18" s="175">
        <f>+G3</f>
        <v>1353526.77</v>
      </c>
      <c r="H18" s="175">
        <f>+H3</f>
        <v>25765</v>
      </c>
      <c r="I18" s="175">
        <f t="shared" ref="I18" si="4">+I3</f>
        <v>1379291.77</v>
      </c>
      <c r="J18" s="155"/>
      <c r="K18" s="621"/>
    </row>
    <row r="19" spans="2:11" ht="13.5" customHeight="1" x14ac:dyDescent="0.25">
      <c r="B19" s="177"/>
      <c r="C19" s="177"/>
      <c r="D19" s="177"/>
      <c r="E19" s="178"/>
      <c r="F19" s="179"/>
      <c r="G19" s="457"/>
      <c r="H19" s="179"/>
      <c r="I19" s="178"/>
      <c r="J19" s="155"/>
      <c r="K19" s="155"/>
    </row>
    <row r="20" spans="2:11" s="157" customFormat="1" ht="25.5" customHeight="1" thickBot="1" x14ac:dyDescent="0.3">
      <c r="B20" s="198"/>
      <c r="C20" s="457"/>
      <c r="D20" s="457"/>
      <c r="E20" s="619"/>
      <c r="F20" s="180"/>
      <c r="G20" s="180"/>
      <c r="H20" s="180"/>
      <c r="I20" s="181"/>
      <c r="J20" s="198"/>
      <c r="K20" s="155"/>
    </row>
    <row r="21" spans="2:11" s="157" customFormat="1" ht="26.25" thickBot="1" x14ac:dyDescent="0.3">
      <c r="B21" s="194" t="s">
        <v>334</v>
      </c>
      <c r="C21" s="192" t="s">
        <v>889</v>
      </c>
      <c r="D21" s="192" t="s">
        <v>694</v>
      </c>
      <c r="E21" s="192" t="s">
        <v>944</v>
      </c>
      <c r="F21" s="160" t="s">
        <v>335</v>
      </c>
      <c r="G21" s="192" t="s">
        <v>889</v>
      </c>
      <c r="H21" s="192" t="s">
        <v>694</v>
      </c>
      <c r="I21" s="192" t="s">
        <v>944</v>
      </c>
      <c r="J21" s="162"/>
      <c r="K21" s="155"/>
    </row>
    <row r="22" spans="2:11" s="157" customFormat="1" ht="15" x14ac:dyDescent="0.25">
      <c r="B22" s="197" t="s">
        <v>447</v>
      </c>
      <c r="C22" s="620">
        <f>+C23+C24+C25</f>
        <v>150106</v>
      </c>
      <c r="D22" s="620">
        <f t="shared" ref="D22:E22" si="5">+D23+D24+D25</f>
        <v>960</v>
      </c>
      <c r="E22" s="620">
        <f t="shared" si="5"/>
        <v>151066</v>
      </c>
      <c r="F22" s="1070" t="s">
        <v>405</v>
      </c>
      <c r="G22" s="463">
        <f>(+G23+G24)+G25</f>
        <v>1041674</v>
      </c>
      <c r="H22" s="463">
        <f t="shared" ref="H22:I22" si="6">(+H23+H24)+H25</f>
        <v>3166</v>
      </c>
      <c r="I22" s="463">
        <f t="shared" si="6"/>
        <v>1044840</v>
      </c>
      <c r="J22" s="162"/>
      <c r="K22" s="183"/>
    </row>
    <row r="23" spans="2:11" s="157" customFormat="1" ht="15" x14ac:dyDescent="0.25">
      <c r="B23" s="196" t="s">
        <v>677</v>
      </c>
      <c r="C23" s="313">
        <f>+'1.mell. Mérleg'!C16</f>
        <v>117106</v>
      </c>
      <c r="D23" s="313">
        <f>+'1.mell. Mérleg'!D16</f>
        <v>0</v>
      </c>
      <c r="E23" s="313">
        <f>+'1.mell. Mérleg'!E16</f>
        <v>117106</v>
      </c>
      <c r="F23" s="164" t="s">
        <v>160</v>
      </c>
      <c r="G23" s="182">
        <f>+'1.mell. Mérleg'!C38</f>
        <v>914187</v>
      </c>
      <c r="H23" s="182">
        <f>+'1.mell. Mérleg'!D38</f>
        <v>3166</v>
      </c>
      <c r="I23" s="182">
        <f>+'1.mell. Mérleg'!E38</f>
        <v>917353</v>
      </c>
      <c r="J23" s="162"/>
      <c r="K23" s="155"/>
    </row>
    <row r="24" spans="2:11" s="157" customFormat="1" ht="15" x14ac:dyDescent="0.25">
      <c r="B24" s="196" t="s">
        <v>342</v>
      </c>
      <c r="C24" s="313">
        <f>+'3.mell. Bevétel'!C70</f>
        <v>0</v>
      </c>
      <c r="D24" s="313">
        <f>+'3.mell. Bevétel'!D70</f>
        <v>960</v>
      </c>
      <c r="E24" s="313">
        <f>+'3.mell. Bevétel'!E70</f>
        <v>960</v>
      </c>
      <c r="F24" s="164" t="s">
        <v>310</v>
      </c>
      <c r="G24" s="182">
        <f>+'5. mell. Önk.össz kiadás'!D23</f>
        <v>127487</v>
      </c>
      <c r="H24" s="182">
        <f>+'5. mell. Önk.össz kiadás'!E23</f>
        <v>0</v>
      </c>
      <c r="I24" s="182">
        <f>+'5. mell. Önk.össz kiadás'!F23</f>
        <v>127487</v>
      </c>
      <c r="J24" s="162"/>
      <c r="K24" s="155"/>
    </row>
    <row r="25" spans="2:11" s="157" customFormat="1" ht="15" x14ac:dyDescent="0.25">
      <c r="B25" s="196" t="s">
        <v>632</v>
      </c>
      <c r="C25" s="193">
        <f>+'3.mell. Bevétel'!C66</f>
        <v>33000</v>
      </c>
      <c r="D25" s="190">
        <f>+'3.mell. Bevétel'!D66</f>
        <v>0</v>
      </c>
      <c r="E25" s="190">
        <f>+'3.mell. Bevétel'!E66</f>
        <v>33000</v>
      </c>
      <c r="F25" s="164" t="s">
        <v>412</v>
      </c>
      <c r="G25" s="182">
        <f>+'5. mell. Önk.össz kiadás'!D25</f>
        <v>0</v>
      </c>
      <c r="H25" s="182">
        <f>+'5. mell. Önk.össz kiadás'!E25</f>
        <v>0</v>
      </c>
      <c r="I25" s="182">
        <f>+'5. mell. Önk.össz kiadás'!F25</f>
        <v>0</v>
      </c>
      <c r="J25" s="162"/>
      <c r="K25" s="155"/>
    </row>
    <row r="26" spans="2:11" s="157" customFormat="1" ht="15" x14ac:dyDescent="0.25">
      <c r="B26" s="195" t="s">
        <v>282</v>
      </c>
      <c r="C26" s="373">
        <f>+C27+C28</f>
        <v>1038645</v>
      </c>
      <c r="D26" s="373">
        <f t="shared" ref="D26:E26" si="7">+D27+D28</f>
        <v>0</v>
      </c>
      <c r="E26" s="373">
        <f t="shared" si="7"/>
        <v>1038645</v>
      </c>
      <c r="F26" s="164"/>
      <c r="G26" s="164"/>
      <c r="H26" s="184"/>
      <c r="I26" s="166"/>
      <c r="J26" s="162"/>
      <c r="K26" s="155"/>
    </row>
    <row r="27" spans="2:11" s="157" customFormat="1" ht="15" x14ac:dyDescent="0.25">
      <c r="B27" s="196" t="s">
        <v>376</v>
      </c>
      <c r="C27" s="193">
        <f>+'3.mell. Bevétel'!C77</f>
        <v>1038645</v>
      </c>
      <c r="D27" s="193">
        <f>+'3.mell. Bevétel'!D77</f>
        <v>0</v>
      </c>
      <c r="E27" s="193">
        <f>+'3.mell. Bevétel'!E77</f>
        <v>1038645</v>
      </c>
      <c r="F27" s="170" t="s">
        <v>273</v>
      </c>
      <c r="G27" s="185">
        <f>+'1.mell. Mérleg'!C42</f>
        <v>19296</v>
      </c>
      <c r="H27" s="185">
        <f>+'1.mell. Mérleg'!D42</f>
        <v>0</v>
      </c>
      <c r="I27" s="185">
        <f>+'1.mell. Mérleg'!E42</f>
        <v>19296</v>
      </c>
      <c r="J27" s="162"/>
      <c r="K27" s="155"/>
    </row>
    <row r="28" spans="2:11" s="176" customFormat="1" ht="18.75" customHeight="1" x14ac:dyDescent="0.25">
      <c r="B28" s="614" t="s">
        <v>675</v>
      </c>
      <c r="C28" s="193">
        <f>+'3.mell. Bevétel'!C74</f>
        <v>0</v>
      </c>
      <c r="D28" s="193">
        <f>+'3.mell. Bevétel'!D74</f>
        <v>0</v>
      </c>
      <c r="E28" s="193">
        <f>+'3.mell. Bevétel'!E74</f>
        <v>0</v>
      </c>
      <c r="F28" s="164"/>
      <c r="G28" s="184"/>
      <c r="H28" s="182"/>
      <c r="I28" s="166"/>
      <c r="J28" s="162"/>
      <c r="K28" s="155"/>
    </row>
    <row r="29" spans="2:11" s="176" customFormat="1" ht="15.75" thickBot="1" x14ac:dyDescent="0.3">
      <c r="B29" s="459" t="s">
        <v>343</v>
      </c>
      <c r="C29" s="460">
        <f>+C22+C26</f>
        <v>1188751</v>
      </c>
      <c r="D29" s="460">
        <f t="shared" ref="D29:E29" si="8">+D22+D26</f>
        <v>960</v>
      </c>
      <c r="E29" s="460">
        <f t="shared" si="8"/>
        <v>1189711</v>
      </c>
      <c r="F29" s="1073" t="s">
        <v>343</v>
      </c>
      <c r="G29" s="1074">
        <f>+G27+G22</f>
        <v>1060970</v>
      </c>
      <c r="H29" s="1074">
        <f t="shared" ref="H29:I29" si="9">+H27+H22</f>
        <v>3166</v>
      </c>
      <c r="I29" s="1074">
        <f t="shared" si="9"/>
        <v>1064136</v>
      </c>
      <c r="J29" s="162"/>
      <c r="K29" s="155"/>
    </row>
    <row r="30" spans="2:11" ht="15.75" thickBot="1" x14ac:dyDescent="0.3">
      <c r="B30" s="461" t="s">
        <v>277</v>
      </c>
      <c r="C30" s="462">
        <f>C18+C29</f>
        <v>2414497</v>
      </c>
      <c r="D30" s="462">
        <f t="shared" ref="D30:E30" si="10">D18+D29</f>
        <v>28931</v>
      </c>
      <c r="E30" s="462">
        <f t="shared" si="10"/>
        <v>2443428</v>
      </c>
      <c r="F30" s="1071" t="s">
        <v>277</v>
      </c>
      <c r="G30" s="1072">
        <f>G18+G29</f>
        <v>2414496.77</v>
      </c>
      <c r="H30" s="1072">
        <f t="shared" ref="H30:I30" si="11">H18+H29</f>
        <v>28931</v>
      </c>
      <c r="I30" s="1072">
        <f t="shared" si="11"/>
        <v>2443427.77</v>
      </c>
      <c r="J30" s="155"/>
      <c r="K30" s="622"/>
    </row>
    <row r="31" spans="2:11" ht="15" x14ac:dyDescent="0.25">
      <c r="B31" s="186"/>
      <c r="C31" s="458"/>
      <c r="D31" s="187"/>
      <c r="E31" s="187"/>
      <c r="F31" s="186"/>
      <c r="G31" s="186"/>
      <c r="H31" s="186"/>
      <c r="I31" s="186"/>
      <c r="J31" s="155"/>
      <c r="K31" s="155"/>
    </row>
    <row r="32" spans="2:11" ht="15" x14ac:dyDescent="0.25">
      <c r="B32" s="189"/>
      <c r="C32" s="188"/>
      <c r="D32" s="188"/>
      <c r="E32" s="188"/>
      <c r="F32" s="188"/>
      <c r="G32" s="188"/>
      <c r="H32" s="188"/>
      <c r="I32" s="188"/>
      <c r="J32" s="155"/>
      <c r="K32" s="155"/>
    </row>
    <row r="33" spans="2:11" ht="15" x14ac:dyDescent="0.25">
      <c r="B33" s="155"/>
      <c r="C33" s="188"/>
      <c r="D33" s="188"/>
      <c r="E33" s="188"/>
      <c r="F33" s="188"/>
      <c r="G33" s="188"/>
      <c r="H33" s="188"/>
      <c r="I33" s="155"/>
      <c r="J33" s="155"/>
      <c r="K33" s="155"/>
    </row>
    <row r="34" spans="2:11" ht="15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2:11" ht="12.75" customHeight="1" x14ac:dyDescent="0.25">
      <c r="B35" s="155"/>
      <c r="C35" s="188"/>
      <c r="D35" s="188"/>
      <c r="E35" s="188"/>
      <c r="F35" s="155"/>
      <c r="G35" s="155"/>
      <c r="H35" s="155"/>
      <c r="I35" s="18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Roman,Félkövér"&amp;14Martonvásár Város Önkormányzata 2020.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zoomScaleNormal="100" workbookViewId="0">
      <selection activeCell="F18" sqref="F18"/>
    </sheetView>
  </sheetViews>
  <sheetFormatPr defaultRowHeight="15" x14ac:dyDescent="0.25"/>
  <cols>
    <col min="2" max="2" width="63.140625" customWidth="1"/>
    <col min="4" max="4" width="6.7109375" customWidth="1"/>
  </cols>
  <sheetData>
    <row r="1" spans="1:22" ht="15" customHeight="1" x14ac:dyDescent="0.25">
      <c r="A1" s="1431" t="s">
        <v>344</v>
      </c>
      <c r="B1" s="1457" t="s">
        <v>696</v>
      </c>
      <c r="C1" s="1438" t="s">
        <v>305</v>
      </c>
      <c r="D1" s="1438"/>
      <c r="E1" s="1438"/>
      <c r="F1" s="1438"/>
      <c r="G1" s="1438"/>
      <c r="H1" s="1438"/>
      <c r="I1" s="1438"/>
      <c r="J1" s="1438"/>
      <c r="K1" s="1440" t="s">
        <v>284</v>
      </c>
      <c r="L1" s="1438" t="s">
        <v>298</v>
      </c>
      <c r="M1" s="1438"/>
      <c r="N1" s="1438"/>
      <c r="O1" s="1438"/>
      <c r="P1" s="1438"/>
      <c r="Q1" s="1438"/>
      <c r="R1" s="1438"/>
      <c r="S1" s="1438"/>
      <c r="T1" s="1439"/>
      <c r="U1" s="1450" t="s">
        <v>697</v>
      </c>
      <c r="V1" s="1452" t="s">
        <v>720</v>
      </c>
    </row>
    <row r="2" spans="1:22" ht="31.5" customHeight="1" x14ac:dyDescent="0.25">
      <c r="A2" s="1432"/>
      <c r="B2" s="1458"/>
      <c r="C2" s="1437" t="s">
        <v>721</v>
      </c>
      <c r="D2" s="1437" t="s">
        <v>722</v>
      </c>
      <c r="E2" s="1437" t="s">
        <v>150</v>
      </c>
      <c r="F2" s="1437" t="s">
        <v>162</v>
      </c>
      <c r="G2" s="1445"/>
      <c r="H2" s="1437" t="s">
        <v>701</v>
      </c>
      <c r="I2" s="1437" t="s">
        <v>648</v>
      </c>
      <c r="J2" s="1437" t="s">
        <v>723</v>
      </c>
      <c r="K2" s="1441"/>
      <c r="L2" s="1437" t="s">
        <v>709</v>
      </c>
      <c r="M2" s="1437" t="s">
        <v>710</v>
      </c>
      <c r="N2" s="1437" t="s">
        <v>705</v>
      </c>
      <c r="O2" s="1437" t="s">
        <v>724</v>
      </c>
      <c r="P2" s="1445"/>
      <c r="Q2" s="1454" t="s">
        <v>725</v>
      </c>
      <c r="R2" s="1437" t="s">
        <v>726</v>
      </c>
      <c r="S2" s="1445"/>
      <c r="T2" s="1454" t="s">
        <v>734</v>
      </c>
      <c r="U2" s="1451"/>
      <c r="V2" s="1453"/>
    </row>
    <row r="3" spans="1:22" ht="25.5" customHeight="1" x14ac:dyDescent="0.25">
      <c r="A3" s="1432"/>
      <c r="B3" s="1459"/>
      <c r="C3" s="1437"/>
      <c r="D3" s="1437"/>
      <c r="E3" s="1437"/>
      <c r="F3" s="1108" t="s">
        <v>718</v>
      </c>
      <c r="G3" s="1108" t="s">
        <v>719</v>
      </c>
      <c r="H3" s="1437"/>
      <c r="I3" s="1437"/>
      <c r="J3" s="1437"/>
      <c r="K3" s="1441"/>
      <c r="L3" s="1437"/>
      <c r="M3" s="1437"/>
      <c r="N3" s="1437"/>
      <c r="O3" s="1108" t="s">
        <v>727</v>
      </c>
      <c r="P3" s="1108" t="s">
        <v>728</v>
      </c>
      <c r="Q3" s="1455"/>
      <c r="R3" s="1108" t="s">
        <v>727</v>
      </c>
      <c r="S3" s="1108" t="s">
        <v>728</v>
      </c>
      <c r="T3" s="1456"/>
      <c r="U3" s="1451"/>
      <c r="V3" s="1453"/>
    </row>
    <row r="4" spans="1:22" ht="23.25" customHeight="1" x14ac:dyDescent="0.25">
      <c r="A4" s="1107" t="s">
        <v>304</v>
      </c>
      <c r="B4" s="733" t="s">
        <v>876</v>
      </c>
      <c r="C4" s="735">
        <f>45+82+45+83+45+82</f>
        <v>382</v>
      </c>
      <c r="D4" s="735">
        <f>14+8+14+8+14+8</f>
        <v>66</v>
      </c>
      <c r="E4" s="741"/>
      <c r="F4" s="735"/>
      <c r="G4" s="735"/>
      <c r="H4" s="735"/>
      <c r="I4" s="735"/>
      <c r="J4" s="735"/>
      <c r="K4" s="736">
        <f t="shared" ref="K4:K9" si="0">SUM(C4:J4)</f>
        <v>448</v>
      </c>
      <c r="L4" s="735"/>
      <c r="M4" s="735"/>
      <c r="N4" s="735">
        <v>448</v>
      </c>
      <c r="O4" s="735"/>
      <c r="P4" s="735"/>
      <c r="Q4" s="735"/>
      <c r="R4" s="735"/>
      <c r="S4" s="735"/>
      <c r="T4" s="737"/>
      <c r="U4" s="1063"/>
      <c r="V4" s="738">
        <f>SUM(L4:U4)</f>
        <v>448</v>
      </c>
    </row>
    <row r="5" spans="1:22" x14ac:dyDescent="0.25">
      <c r="A5" s="1107" t="s">
        <v>393</v>
      </c>
      <c r="B5" s="740" t="s">
        <v>936</v>
      </c>
      <c r="C5" s="735"/>
      <c r="D5" s="735"/>
      <c r="E5" s="741">
        <v>-746</v>
      </c>
      <c r="F5" s="735"/>
      <c r="G5" s="735"/>
      <c r="H5" s="735"/>
      <c r="I5" s="735"/>
      <c r="J5" s="735"/>
      <c r="K5" s="736">
        <f t="shared" si="0"/>
        <v>-746</v>
      </c>
      <c r="L5" s="735"/>
      <c r="M5" s="735"/>
      <c r="N5" s="735">
        <v>-746</v>
      </c>
      <c r="O5" s="735"/>
      <c r="P5" s="735"/>
      <c r="Q5" s="735"/>
      <c r="R5" s="735"/>
      <c r="S5" s="735"/>
      <c r="T5" s="737"/>
      <c r="U5" s="1063"/>
      <c r="V5" s="738">
        <f>SUM(L5:U5)</f>
        <v>-746</v>
      </c>
    </row>
    <row r="6" spans="1:22" x14ac:dyDescent="0.25">
      <c r="A6" s="1107" t="s">
        <v>449</v>
      </c>
      <c r="B6" s="740" t="s">
        <v>937</v>
      </c>
      <c r="C6" s="735">
        <f>-217-240-27-252-119-2-5174-2813</f>
        <v>-8844</v>
      </c>
      <c r="D6" s="735">
        <f>-46-7-399-1120-30</f>
        <v>-1602</v>
      </c>
      <c r="E6" s="741">
        <f>-202-81-63-200-54-3-423-83-29-10-25-53-61-267-15-204-53-43-20-134-37-1-5-178-375-54-790-4</f>
        <v>-3467</v>
      </c>
      <c r="F6" s="735"/>
      <c r="G6" s="735">
        <f>-5542-378-1440</f>
        <v>-7360</v>
      </c>
      <c r="H6" s="735"/>
      <c r="I6" s="735"/>
      <c r="J6" s="735"/>
      <c r="K6" s="736">
        <f t="shared" si="0"/>
        <v>-21273</v>
      </c>
      <c r="L6" s="735"/>
      <c r="M6" s="735"/>
      <c r="N6" s="735">
        <v>-21273</v>
      </c>
      <c r="O6" s="735"/>
      <c r="P6" s="735"/>
      <c r="Q6" s="735"/>
      <c r="R6" s="735"/>
      <c r="S6" s="735"/>
      <c r="T6" s="737"/>
      <c r="U6" s="1063"/>
      <c r="V6" s="738">
        <f t="shared" ref="V6:V9" si="1">SUM(L6:U6)</f>
        <v>-21273</v>
      </c>
    </row>
    <row r="7" spans="1:22" x14ac:dyDescent="0.25">
      <c r="A7" s="1107" t="s">
        <v>450</v>
      </c>
      <c r="B7" s="740" t="s">
        <v>938</v>
      </c>
      <c r="C7" s="735">
        <f>-2727-100-9-40</f>
        <v>-2876</v>
      </c>
      <c r="D7" s="735">
        <v>-571</v>
      </c>
      <c r="E7" s="741">
        <f>-16-586-158-787-213-255-3296</f>
        <v>-5311</v>
      </c>
      <c r="F7" s="735">
        <v>8758</v>
      </c>
      <c r="G7" s="735"/>
      <c r="H7" s="735"/>
      <c r="I7" s="735"/>
      <c r="J7" s="735"/>
      <c r="K7" s="736">
        <f t="shared" si="0"/>
        <v>0</v>
      </c>
      <c r="L7" s="735"/>
      <c r="M7" s="735"/>
      <c r="N7" s="735"/>
      <c r="O7" s="735"/>
      <c r="P7" s="735"/>
      <c r="Q7" s="735"/>
      <c r="R7" s="735"/>
      <c r="S7" s="735"/>
      <c r="T7" s="737"/>
      <c r="U7" s="1063"/>
      <c r="V7" s="738">
        <f t="shared" si="1"/>
        <v>0</v>
      </c>
    </row>
    <row r="8" spans="1:22" x14ac:dyDescent="0.25">
      <c r="A8" s="1107" t="s">
        <v>451</v>
      </c>
      <c r="B8" s="733" t="s">
        <v>939</v>
      </c>
      <c r="C8" s="741">
        <v>1071</v>
      </c>
      <c r="D8" s="741">
        <v>186</v>
      </c>
      <c r="E8" s="741"/>
      <c r="F8" s="741"/>
      <c r="G8" s="741"/>
      <c r="H8" s="741"/>
      <c r="I8" s="741"/>
      <c r="J8" s="741"/>
      <c r="K8" s="736">
        <f t="shared" si="0"/>
        <v>1257</v>
      </c>
      <c r="L8" s="741"/>
      <c r="M8" s="741"/>
      <c r="N8" s="741">
        <v>1257</v>
      </c>
      <c r="O8" s="741"/>
      <c r="P8" s="741"/>
      <c r="Q8" s="741"/>
      <c r="R8" s="741"/>
      <c r="S8" s="741"/>
      <c r="T8" s="742"/>
      <c r="U8" s="734"/>
      <c r="V8" s="738">
        <f t="shared" si="1"/>
        <v>1257</v>
      </c>
    </row>
    <row r="9" spans="1:22" x14ac:dyDescent="0.25">
      <c r="A9" s="1107" t="s">
        <v>452</v>
      </c>
      <c r="B9" s="740" t="s">
        <v>940</v>
      </c>
      <c r="C9" s="741"/>
      <c r="D9" s="741"/>
      <c r="E9" s="741"/>
      <c r="F9" s="741"/>
      <c r="G9" s="741"/>
      <c r="H9" s="741">
        <v>85</v>
      </c>
      <c r="I9" s="741"/>
      <c r="J9" s="741"/>
      <c r="K9" s="736">
        <f t="shared" si="0"/>
        <v>85</v>
      </c>
      <c r="L9" s="741"/>
      <c r="M9" s="741"/>
      <c r="N9" s="741">
        <v>85</v>
      </c>
      <c r="O9" s="741"/>
      <c r="P9" s="741"/>
      <c r="Q9" s="741"/>
      <c r="R9" s="741"/>
      <c r="S9" s="741"/>
      <c r="T9" s="742"/>
      <c r="U9" s="734"/>
      <c r="V9" s="738">
        <f t="shared" si="1"/>
        <v>85</v>
      </c>
    </row>
    <row r="10" spans="1:22" x14ac:dyDescent="0.25">
      <c r="A10" s="1107" t="s">
        <v>454</v>
      </c>
      <c r="B10" s="740" t="s">
        <v>941</v>
      </c>
      <c r="C10" s="741">
        <f>-9+20-5-217-2-1-30</f>
        <v>-244</v>
      </c>
      <c r="D10" s="741">
        <f>-8+18-45-26+12+65</f>
        <v>16</v>
      </c>
      <c r="E10" s="741">
        <f>48-2-35-32-3</f>
        <v>-24</v>
      </c>
      <c r="F10" s="741"/>
      <c r="G10" s="741"/>
      <c r="H10" s="741"/>
      <c r="I10" s="741"/>
      <c r="J10" s="741"/>
      <c r="K10" s="736">
        <f>C10+D10+E10++F10+G10+H10+I10+J10</f>
        <v>-252</v>
      </c>
      <c r="L10" s="741"/>
      <c r="M10" s="741">
        <v>-383</v>
      </c>
      <c r="N10" s="741">
        <f>-249+383-3</f>
        <v>131</v>
      </c>
      <c r="O10" s="741"/>
      <c r="P10" s="741"/>
      <c r="Q10" s="741"/>
      <c r="R10" s="741"/>
      <c r="S10" s="741"/>
      <c r="T10" s="742"/>
      <c r="U10" s="734"/>
      <c r="V10" s="738">
        <f t="shared" ref="V10:V13" si="2">SUM(L10:U10)</f>
        <v>-252</v>
      </c>
    </row>
    <row r="11" spans="1:22" x14ac:dyDescent="0.25">
      <c r="A11" s="1107"/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x14ac:dyDescent="0.25">
      <c r="A12" s="1107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8">
        <f t="shared" si="2"/>
        <v>0</v>
      </c>
    </row>
    <row r="13" spans="1:22" x14ac:dyDescent="0.25">
      <c r="A13" s="1107"/>
      <c r="B13" s="740"/>
      <c r="C13" s="741"/>
      <c r="D13" s="741"/>
      <c r="E13" s="741"/>
      <c r="F13" s="741"/>
      <c r="G13" s="741"/>
      <c r="H13" s="741"/>
      <c r="I13" s="741"/>
      <c r="J13" s="741"/>
      <c r="K13" s="736">
        <f>C13+D13+E13++F13+G13+H13+I13+J13</f>
        <v>0</v>
      </c>
      <c r="L13" s="741"/>
      <c r="M13" s="741"/>
      <c r="N13" s="741"/>
      <c r="O13" s="741"/>
      <c r="P13" s="741"/>
      <c r="Q13" s="741"/>
      <c r="R13" s="741"/>
      <c r="S13" s="741"/>
      <c r="T13" s="742"/>
      <c r="U13" s="734"/>
      <c r="V13" s="736">
        <f t="shared" si="2"/>
        <v>0</v>
      </c>
    </row>
    <row r="14" spans="1:22" ht="15.75" thickBot="1" x14ac:dyDescent="0.3">
      <c r="A14" s="721"/>
      <c r="B14" s="954" t="s">
        <v>179</v>
      </c>
      <c r="C14" s="955">
        <f t="shared" ref="C14:J14" si="3">SUM(C4:C13)</f>
        <v>-10511</v>
      </c>
      <c r="D14" s="955">
        <f t="shared" si="3"/>
        <v>-1905</v>
      </c>
      <c r="E14" s="955">
        <f t="shared" si="3"/>
        <v>-9548</v>
      </c>
      <c r="F14" s="1125">
        <f t="shared" si="3"/>
        <v>8758</v>
      </c>
      <c r="G14" s="1125">
        <f t="shared" si="3"/>
        <v>-7360</v>
      </c>
      <c r="H14" s="955">
        <f t="shared" si="3"/>
        <v>85</v>
      </c>
      <c r="I14" s="955">
        <f t="shared" si="3"/>
        <v>0</v>
      </c>
      <c r="J14" s="955">
        <f t="shared" si="3"/>
        <v>0</v>
      </c>
      <c r="K14" s="736">
        <f>C14+D14+E14++F14+G14+H14+I14+J14</f>
        <v>-20481</v>
      </c>
      <c r="L14" s="955">
        <f>SUM(L4:L13)</f>
        <v>0</v>
      </c>
      <c r="M14" s="955">
        <f t="shared" ref="M14:V14" si="4">SUM(M4:M13)</f>
        <v>-383</v>
      </c>
      <c r="N14" s="955">
        <f t="shared" si="4"/>
        <v>-20098</v>
      </c>
      <c r="O14" s="955">
        <f t="shared" si="4"/>
        <v>0</v>
      </c>
      <c r="P14" s="955">
        <f t="shared" si="4"/>
        <v>0</v>
      </c>
      <c r="Q14" s="955">
        <f t="shared" si="4"/>
        <v>0</v>
      </c>
      <c r="R14" s="955">
        <f t="shared" si="4"/>
        <v>0</v>
      </c>
      <c r="S14" s="955">
        <f t="shared" si="4"/>
        <v>0</v>
      </c>
      <c r="T14" s="955">
        <f t="shared" si="4"/>
        <v>0</v>
      </c>
      <c r="U14" s="955">
        <f t="shared" si="4"/>
        <v>0</v>
      </c>
      <c r="V14" s="736">
        <f t="shared" si="4"/>
        <v>-20481</v>
      </c>
    </row>
    <row r="15" spans="1:22" x14ac:dyDescent="0.25">
      <c r="A15" s="685"/>
      <c r="B15" s="685"/>
      <c r="C15" s="685"/>
      <c r="D15" s="685"/>
      <c r="E15" s="685"/>
      <c r="F15" s="1460"/>
      <c r="G15" s="1460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685"/>
    </row>
  </sheetData>
  <mergeCells count="22">
    <mergeCell ref="U1:U3"/>
    <mergeCell ref="L1:T1"/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F15:G15"/>
    <mergeCell ref="A1:A3"/>
    <mergeCell ref="B1:B3"/>
    <mergeCell ref="C1:J1"/>
    <mergeCell ref="K1:K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&amp;C&amp;"Times New Roman,Félkövér"&amp;12Martonvásár Város Önkormányzatának 2020.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zoomScaleNormal="100" workbookViewId="0">
      <selection activeCell="R29" sqref="R29"/>
    </sheetView>
  </sheetViews>
  <sheetFormatPr defaultColWidth="9.140625" defaultRowHeight="12.75" x14ac:dyDescent="0.2"/>
  <cols>
    <col min="1" max="1" width="5.7109375" style="685" customWidth="1"/>
    <col min="2" max="2" width="21" style="685" customWidth="1"/>
    <col min="3" max="3" width="7.42578125" style="685" customWidth="1"/>
    <col min="4" max="4" width="7.5703125" style="685" customWidth="1"/>
    <col min="5" max="5" width="7.28515625" style="685" customWidth="1"/>
    <col min="6" max="6" width="7.42578125" style="685" customWidth="1"/>
    <col min="7" max="7" width="6.7109375" style="685" customWidth="1"/>
    <col min="8" max="8" width="7.85546875" style="685" customWidth="1"/>
    <col min="9" max="9" width="7.5703125" style="685" bestFit="1" customWidth="1"/>
    <col min="10" max="10" width="8.7109375" style="685" customWidth="1"/>
    <col min="11" max="11" width="8" style="685" customWidth="1"/>
    <col min="12" max="12" width="8.85546875" style="685" customWidth="1"/>
    <col min="13" max="13" width="8.140625" style="685" customWidth="1"/>
    <col min="14" max="14" width="8.5703125" style="685" customWidth="1"/>
    <col min="15" max="15" width="7.85546875" style="685" customWidth="1"/>
    <col min="16" max="19" width="8.140625" style="685" customWidth="1"/>
    <col min="20" max="20" width="10" style="685" customWidth="1"/>
    <col min="21" max="21" width="8.140625" style="685" customWidth="1"/>
    <col min="22" max="22" width="8.85546875" style="685" customWidth="1"/>
    <col min="23" max="23" width="9" style="685" customWidth="1"/>
    <col min="24" max="24" width="9.42578125" style="685" customWidth="1"/>
    <col min="25" max="26" width="7.140625" style="685" customWidth="1"/>
    <col min="27" max="28" width="8.140625" style="685" customWidth="1"/>
    <col min="29" max="29" width="7.28515625" style="685" customWidth="1"/>
    <col min="30" max="30" width="7.85546875" style="685" customWidth="1"/>
    <col min="31" max="31" width="9.140625" style="685" customWidth="1"/>
    <col min="32" max="32" width="8.5703125" style="685" customWidth="1"/>
    <col min="33" max="33" width="7.7109375" style="685" customWidth="1"/>
    <col min="34" max="34" width="7.5703125" style="685" customWidth="1"/>
    <col min="35" max="35" width="8.7109375" style="685" customWidth="1"/>
    <col min="36" max="36" width="9.28515625" style="685" customWidth="1"/>
    <col min="37" max="16384" width="9.140625" style="685"/>
  </cols>
  <sheetData>
    <row r="1" spans="1:41" ht="13.5" thickBot="1" x14ac:dyDescent="0.25">
      <c r="AH1" s="1430" t="s">
        <v>383</v>
      </c>
      <c r="AI1" s="1430"/>
      <c r="AJ1" s="1430"/>
    </row>
    <row r="2" spans="1:41" ht="31.5" customHeight="1" x14ac:dyDescent="0.2">
      <c r="A2" s="1431" t="s">
        <v>344</v>
      </c>
      <c r="B2" s="1436" t="s">
        <v>696</v>
      </c>
      <c r="C2" s="1438" t="s">
        <v>305</v>
      </c>
      <c r="D2" s="1438"/>
      <c r="E2" s="1438"/>
      <c r="F2" s="1438"/>
      <c r="G2" s="1438"/>
      <c r="H2" s="1438"/>
      <c r="I2" s="1438"/>
      <c r="J2" s="1438"/>
      <c r="K2" s="1438"/>
      <c r="L2" s="1438"/>
      <c r="M2" s="1438"/>
      <c r="N2" s="1438"/>
      <c r="O2" s="1438"/>
      <c r="P2" s="1438"/>
      <c r="Q2" s="1438"/>
      <c r="R2" s="1438"/>
      <c r="S2" s="1438"/>
      <c r="T2" s="1438"/>
      <c r="U2" s="1438"/>
      <c r="V2" s="1438"/>
      <c r="W2" s="1461" t="s">
        <v>284</v>
      </c>
      <c r="X2" s="1463" t="s">
        <v>298</v>
      </c>
      <c r="Y2" s="1464"/>
      <c r="Z2" s="1464"/>
      <c r="AA2" s="1464"/>
      <c r="AB2" s="1464"/>
      <c r="AC2" s="1464"/>
      <c r="AD2" s="1464"/>
      <c r="AE2" s="1464"/>
      <c r="AF2" s="1464"/>
      <c r="AG2" s="1464"/>
      <c r="AH2" s="1464"/>
      <c r="AI2" s="1464"/>
      <c r="AJ2" s="1461" t="s">
        <v>697</v>
      </c>
      <c r="AO2" s="687"/>
    </row>
    <row r="3" spans="1:41" ht="25.5" customHeight="1" x14ac:dyDescent="0.2">
      <c r="A3" s="1432"/>
      <c r="B3" s="1437"/>
      <c r="C3" s="1437" t="s">
        <v>721</v>
      </c>
      <c r="D3" s="1437" t="s">
        <v>722</v>
      </c>
      <c r="E3" s="1437" t="s">
        <v>150</v>
      </c>
      <c r="F3" s="1437" t="s">
        <v>729</v>
      </c>
      <c r="G3" s="1437" t="s">
        <v>162</v>
      </c>
      <c r="H3" s="1446"/>
      <c r="I3" s="1437" t="s">
        <v>701</v>
      </c>
      <c r="J3" s="1437" t="s">
        <v>648</v>
      </c>
      <c r="K3" s="1437" t="s">
        <v>730</v>
      </c>
      <c r="L3" s="1437" t="s">
        <v>731</v>
      </c>
      <c r="M3" s="1437" t="s">
        <v>705</v>
      </c>
      <c r="N3" s="1437" t="s">
        <v>706</v>
      </c>
      <c r="O3" s="1437" t="s">
        <v>605</v>
      </c>
      <c r="P3" s="1444" t="s">
        <v>894</v>
      </c>
      <c r="Q3" s="1444" t="s">
        <v>1005</v>
      </c>
      <c r="R3" s="1437" t="s">
        <v>902</v>
      </c>
      <c r="S3" s="1444" t="s">
        <v>901</v>
      </c>
      <c r="T3" s="1448" t="s">
        <v>814</v>
      </c>
      <c r="U3" s="1437" t="s">
        <v>707</v>
      </c>
      <c r="V3" s="1437" t="s">
        <v>732</v>
      </c>
      <c r="W3" s="1462"/>
      <c r="X3" s="1465" t="s">
        <v>709</v>
      </c>
      <c r="Y3" s="1437" t="s">
        <v>710</v>
      </c>
      <c r="Z3" s="1448" t="s">
        <v>705</v>
      </c>
      <c r="AA3" s="1437" t="s">
        <v>711</v>
      </c>
      <c r="AB3" s="1437" t="s">
        <v>712</v>
      </c>
      <c r="AC3" s="1437" t="s">
        <v>713</v>
      </c>
      <c r="AD3" s="1437" t="s">
        <v>632</v>
      </c>
      <c r="AE3" s="1437" t="s">
        <v>714</v>
      </c>
      <c r="AF3" s="1437" t="s">
        <v>715</v>
      </c>
      <c r="AG3" s="1437" t="s">
        <v>716</v>
      </c>
      <c r="AH3" s="1437" t="s">
        <v>717</v>
      </c>
      <c r="AI3" s="1437" t="s">
        <v>734</v>
      </c>
      <c r="AJ3" s="1462"/>
    </row>
    <row r="4" spans="1:41" ht="27" customHeight="1" x14ac:dyDescent="0.2">
      <c r="A4" s="1432"/>
      <c r="B4" s="1437"/>
      <c r="C4" s="1437"/>
      <c r="D4" s="1437"/>
      <c r="E4" s="1437"/>
      <c r="F4" s="1437"/>
      <c r="G4" s="760" t="s">
        <v>718</v>
      </c>
      <c r="H4" s="760" t="s">
        <v>719</v>
      </c>
      <c r="I4" s="1437"/>
      <c r="J4" s="1437"/>
      <c r="K4" s="1437"/>
      <c r="L4" s="1437"/>
      <c r="M4" s="1437"/>
      <c r="N4" s="1437"/>
      <c r="O4" s="1437"/>
      <c r="P4" s="1444"/>
      <c r="Q4" s="1444"/>
      <c r="R4" s="1437"/>
      <c r="S4" s="1447"/>
      <c r="T4" s="1449"/>
      <c r="U4" s="1437"/>
      <c r="V4" s="1446"/>
      <c r="W4" s="1462"/>
      <c r="X4" s="1465"/>
      <c r="Y4" s="1437"/>
      <c r="Z4" s="1449"/>
      <c r="AA4" s="1445"/>
      <c r="AB4" s="1445"/>
      <c r="AC4" s="1437"/>
      <c r="AD4" s="1445"/>
      <c r="AE4" s="1445"/>
      <c r="AF4" s="1445"/>
      <c r="AG4" s="1437"/>
      <c r="AH4" s="1437"/>
      <c r="AI4" s="1437"/>
      <c r="AJ4" s="1462"/>
    </row>
    <row r="5" spans="1:41" x14ac:dyDescent="0.2">
      <c r="A5" s="717">
        <v>1</v>
      </c>
      <c r="B5" s="723" t="s">
        <v>733</v>
      </c>
      <c r="C5" s="724">
        <f>+'12.a Tételes mód ÖNK'!D48</f>
        <v>4757</v>
      </c>
      <c r="D5" s="724">
        <f>+'12.a Tételes mód ÖNK'!E48</f>
        <v>750</v>
      </c>
      <c r="E5" s="724">
        <f>+'12.a Tételes mód ÖNK'!F48</f>
        <v>-2012</v>
      </c>
      <c r="F5" s="724">
        <f>+'12.a Tételes mód ÖNK'!G48</f>
        <v>-262</v>
      </c>
      <c r="G5" s="724">
        <f>+'12.a Tételes mód ÖNK'!H48</f>
        <v>4907</v>
      </c>
      <c r="H5" s="724">
        <f>+'12.a Tételes mód ÖNK'!I48</f>
        <v>23902</v>
      </c>
      <c r="I5" s="724">
        <f>+'12.a Tételes mód ÖNK'!J48</f>
        <v>3081</v>
      </c>
      <c r="J5" s="724">
        <f>+'12.a Tételes mód ÖNK'!K48</f>
        <v>0</v>
      </c>
      <c r="K5" s="724">
        <f>+'12.a Tételes mód ÖNK'!L48</f>
        <v>0</v>
      </c>
      <c r="L5" s="724">
        <f>+'12.a Tételes mód ÖNK'!M48</f>
        <v>0</v>
      </c>
      <c r="M5" s="724">
        <f>+'12.a Tételes mód ÖNK'!N48</f>
        <v>-23553</v>
      </c>
      <c r="N5" s="724">
        <f>+'12.a Tételes mód ÖNK'!O48</f>
        <v>0</v>
      </c>
      <c r="O5" s="724">
        <f>+'12.a Tételes mód ÖNK'!P48</f>
        <v>-2411</v>
      </c>
      <c r="P5" s="724">
        <f>+'12.a Tételes mód ÖNK'!R48</f>
        <v>8214</v>
      </c>
      <c r="Q5" s="724">
        <f>+'12.a Tételes mód ÖNK'!Q48</f>
        <v>-588</v>
      </c>
      <c r="R5" s="724">
        <f>+'12.a Tételes mód ÖNK'!S48</f>
        <v>2414</v>
      </c>
      <c r="S5" s="724">
        <f>+'12.a Tételes mód ÖNK'!T48</f>
        <v>0</v>
      </c>
      <c r="T5" s="724">
        <f>+'12.a Tételes mód ÖNK'!U48</f>
        <v>0</v>
      </c>
      <c r="U5" s="724">
        <f>+'12.a Tételes mód ÖNK'!V48</f>
        <v>9776</v>
      </c>
      <c r="V5" s="724">
        <f>+'12.a Tételes mód ÖNK'!W48</f>
        <v>0</v>
      </c>
      <c r="W5" s="725">
        <f>SUM(C5:V5)</f>
        <v>28975</v>
      </c>
      <c r="X5" s="887">
        <f>+'12.a Tételes mód ÖNK'!Y48</f>
        <v>0</v>
      </c>
      <c r="Y5" s="722">
        <f>+'12.a Tételes mód ÖNK'!Z48</f>
        <v>12000</v>
      </c>
      <c r="Z5" s="722"/>
      <c r="AA5" s="722">
        <f>+'12.a Tételes mód ÖNK'!AA48</f>
        <v>5471</v>
      </c>
      <c r="AB5" s="722">
        <f>+'12.a Tételes mód ÖNK'!AB48</f>
        <v>10544</v>
      </c>
      <c r="AC5" s="722">
        <f>+'12.a Tételes mód ÖNK'!AC48</f>
        <v>0</v>
      </c>
      <c r="AD5" s="722">
        <f>+'12.a Tételes mód ÖNK'!AE48</f>
        <v>0</v>
      </c>
      <c r="AE5" s="722"/>
      <c r="AF5" s="722">
        <f>+'12.a Tételes mód ÖNK'!AF48</f>
        <v>0</v>
      </c>
      <c r="AG5" s="722">
        <f>+'12.a Tételes mód ÖNK'!AG48</f>
        <v>960</v>
      </c>
      <c r="AH5" s="722">
        <f>+'12.a Tételes mód ÖNK'!AH48</f>
        <v>0</v>
      </c>
      <c r="AI5" s="722">
        <f>+'12.a Tételes mód ÖNK'!AI48</f>
        <v>0</v>
      </c>
      <c r="AJ5" s="725">
        <f>SUM(X5:AI5)</f>
        <v>28975</v>
      </c>
    </row>
    <row r="6" spans="1:41" x14ac:dyDescent="0.2">
      <c r="A6" s="717">
        <v>2</v>
      </c>
      <c r="B6" s="718"/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718"/>
      <c r="O6" s="718"/>
      <c r="P6" s="718"/>
      <c r="Q6" s="718"/>
      <c r="R6" s="718"/>
      <c r="S6" s="718"/>
      <c r="T6" s="718"/>
      <c r="U6" s="718"/>
      <c r="V6" s="718"/>
      <c r="W6" s="725">
        <f t="shared" ref="W6:W8" si="0">SUM(C6:V6)</f>
        <v>0</v>
      </c>
      <c r="X6" s="888"/>
      <c r="Y6" s="718"/>
      <c r="Z6" s="718"/>
      <c r="AA6" s="718"/>
      <c r="AB6" s="718"/>
      <c r="AC6" s="718"/>
      <c r="AD6" s="718"/>
      <c r="AE6" s="718"/>
      <c r="AF6" s="718"/>
      <c r="AG6" s="718"/>
      <c r="AH6" s="718"/>
      <c r="AI6" s="718"/>
      <c r="AJ6" s="726"/>
    </row>
    <row r="7" spans="1:41" x14ac:dyDescent="0.2">
      <c r="A7" s="717">
        <v>3</v>
      </c>
      <c r="B7" s="718" t="s">
        <v>287</v>
      </c>
      <c r="C7" s="719">
        <f>+'12.b Tételes mód PH'!C13</f>
        <v>355</v>
      </c>
      <c r="D7" s="719">
        <f>+'12.b Tételes mód PH'!D13</f>
        <v>-107</v>
      </c>
      <c r="E7" s="719">
        <f>+'12.b Tételes mód PH'!E13</f>
        <v>160</v>
      </c>
      <c r="F7" s="719"/>
      <c r="G7" s="719">
        <f>+'12.b Tételes mód PH'!F13</f>
        <v>0</v>
      </c>
      <c r="H7" s="719">
        <f>+'12.b Tételes mód PH'!G13</f>
        <v>-3438</v>
      </c>
      <c r="I7" s="719">
        <f>+'12.b Tételes mód PH'!H13</f>
        <v>0</v>
      </c>
      <c r="J7" s="719">
        <f>+'12.b Tételes mód PH'!I13</f>
        <v>0</v>
      </c>
      <c r="K7" s="719">
        <f>+'12.b Tételes mód PH'!J13</f>
        <v>0</v>
      </c>
      <c r="L7" s="719"/>
      <c r="M7" s="719"/>
      <c r="N7" s="718"/>
      <c r="O7" s="718"/>
      <c r="P7" s="718"/>
      <c r="Q7" s="718"/>
      <c r="R7" s="718"/>
      <c r="S7" s="718"/>
      <c r="T7" s="718"/>
      <c r="U7" s="718"/>
      <c r="V7" s="718"/>
      <c r="W7" s="725">
        <f t="shared" si="0"/>
        <v>-3030</v>
      </c>
      <c r="X7" s="889"/>
      <c r="Y7" s="719">
        <f>+'12.b Tételes mód PH'!M13</f>
        <v>329</v>
      </c>
      <c r="Z7" s="719">
        <f>+'12.b Tételes mód PH'!N13</f>
        <v>-3359</v>
      </c>
      <c r="AA7" s="719"/>
      <c r="AB7" s="719">
        <f>+'12.b Tételes mód PH'!O13</f>
        <v>0</v>
      </c>
      <c r="AC7" s="719">
        <f>+'12.b Tételes mód PH'!P13</f>
        <v>0</v>
      </c>
      <c r="AD7" s="719"/>
      <c r="AE7" s="719"/>
      <c r="AF7" s="718"/>
      <c r="AG7" s="719"/>
      <c r="AH7" s="719"/>
      <c r="AI7" s="719">
        <f>+'12.b Tételes mód PH'!T13</f>
        <v>0</v>
      </c>
      <c r="AJ7" s="727">
        <f>SUM(X7:AI7)</f>
        <v>-3030</v>
      </c>
    </row>
    <row r="8" spans="1:41" x14ac:dyDescent="0.2">
      <c r="A8" s="717">
        <v>4</v>
      </c>
      <c r="B8" s="718" t="s">
        <v>288</v>
      </c>
      <c r="C8" s="719">
        <f>+'12.c Tételes mód Óvoda'!C14</f>
        <v>37</v>
      </c>
      <c r="D8" s="719">
        <f>+'12.c Tételes mód Óvoda'!D14</f>
        <v>-40</v>
      </c>
      <c r="E8" s="719">
        <f>+'12.c Tételes mód Óvoda'!E14</f>
        <v>20</v>
      </c>
      <c r="F8" s="719"/>
      <c r="G8" s="719">
        <f>+'12.c Tételes mód Óvoda'!F14</f>
        <v>0</v>
      </c>
      <c r="H8" s="719">
        <f>+'12.c Tételes mód Óvoda'!G14</f>
        <v>-103</v>
      </c>
      <c r="I8" s="719">
        <f>+'12.c Tételes mód Óvoda'!H14</f>
        <v>0</v>
      </c>
      <c r="J8" s="719"/>
      <c r="K8" s="719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25">
        <f t="shared" si="0"/>
        <v>-86</v>
      </c>
      <c r="X8" s="889"/>
      <c r="Y8" s="719">
        <f>+'12.c Tételes mód Óvoda'!M14</f>
        <v>10</v>
      </c>
      <c r="Z8" s="719">
        <f>+'12.c Tételes mód Óvoda'!N14</f>
        <v>-96</v>
      </c>
      <c r="AA8" s="719"/>
      <c r="AB8" s="719"/>
      <c r="AC8" s="719"/>
      <c r="AD8" s="719"/>
      <c r="AE8" s="719"/>
      <c r="AF8" s="719"/>
      <c r="AG8" s="719"/>
      <c r="AH8" s="719"/>
      <c r="AI8" s="719">
        <f>+'12.c Tételes mód Óvoda'!T14</f>
        <v>0</v>
      </c>
      <c r="AJ8" s="727">
        <f>SUM(X8:AI8)</f>
        <v>-86</v>
      </c>
    </row>
    <row r="9" spans="1:41" x14ac:dyDescent="0.2">
      <c r="A9" s="717">
        <v>5</v>
      </c>
      <c r="B9" s="718" t="s">
        <v>360</v>
      </c>
      <c r="C9" s="719">
        <f>+'12.d Tételes mód BBK'!C14</f>
        <v>-10511</v>
      </c>
      <c r="D9" s="719">
        <f>+'12.d Tételes mód BBK'!D14</f>
        <v>-1905</v>
      </c>
      <c r="E9" s="719">
        <f>+'12.d Tételes mód BBK'!E14</f>
        <v>-9548</v>
      </c>
      <c r="F9" s="719"/>
      <c r="G9" s="719">
        <f>+'12.d Tételes mód BBK'!F14</f>
        <v>8758</v>
      </c>
      <c r="H9" s="719">
        <f>+'12.d Tételes mód BBK'!G14</f>
        <v>-7360</v>
      </c>
      <c r="I9" s="719">
        <f>+'12.d Tételes mód BBK'!H14</f>
        <v>85</v>
      </c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8"/>
      <c r="W9" s="725">
        <f>SUM(C9:V9)</f>
        <v>-20481</v>
      </c>
      <c r="X9" s="889"/>
      <c r="Y9" s="719">
        <f>+'12.d Tételes mód BBK'!M14</f>
        <v>-383</v>
      </c>
      <c r="Z9" s="719">
        <f>+'12.d Tételes mód BBK'!N14</f>
        <v>-20098</v>
      </c>
      <c r="AA9" s="719"/>
      <c r="AB9" s="719"/>
      <c r="AC9" s="719"/>
      <c r="AD9" s="719"/>
      <c r="AE9" s="719"/>
      <c r="AF9" s="719"/>
      <c r="AG9" s="719"/>
      <c r="AH9" s="719"/>
      <c r="AI9" s="719">
        <f>+'12.d Tételes mód BBK'!T14</f>
        <v>0</v>
      </c>
      <c r="AJ9" s="728">
        <f>SUM(Y9:AI9)</f>
        <v>-20481</v>
      </c>
    </row>
    <row r="10" spans="1:41" x14ac:dyDescent="0.2">
      <c r="A10" s="717">
        <v>6</v>
      </c>
      <c r="B10" s="723" t="s">
        <v>296</v>
      </c>
      <c r="C10" s="723">
        <f t="shared" ref="C10:K10" si="1">SUM(C7:C9)</f>
        <v>-10119</v>
      </c>
      <c r="D10" s="723">
        <f t="shared" si="1"/>
        <v>-2052</v>
      </c>
      <c r="E10" s="723">
        <f t="shared" si="1"/>
        <v>-9368</v>
      </c>
      <c r="F10" s="723">
        <f t="shared" si="1"/>
        <v>0</v>
      </c>
      <c r="G10" s="723">
        <f t="shared" si="1"/>
        <v>8758</v>
      </c>
      <c r="H10" s="724">
        <f t="shared" si="1"/>
        <v>-10901</v>
      </c>
      <c r="I10" s="724">
        <f t="shared" si="1"/>
        <v>85</v>
      </c>
      <c r="J10" s="723">
        <f t="shared" si="1"/>
        <v>0</v>
      </c>
      <c r="K10" s="723">
        <f t="shared" si="1"/>
        <v>0</v>
      </c>
      <c r="L10" s="723"/>
      <c r="M10" s="723">
        <f>SUM(M7:M9)</f>
        <v>0</v>
      </c>
      <c r="N10" s="723">
        <f>SUM(N7:N9)</f>
        <v>0</v>
      </c>
      <c r="O10" s="723">
        <f>SUM(O7:O9)</f>
        <v>0</v>
      </c>
      <c r="P10" s="723"/>
      <c r="Q10" s="723"/>
      <c r="R10" s="723"/>
      <c r="S10" s="723"/>
      <c r="T10" s="723">
        <f t="shared" ref="T10:AE10" si="2">SUM(T7:T9)</f>
        <v>0</v>
      </c>
      <c r="U10" s="723"/>
      <c r="V10" s="723">
        <f t="shared" si="2"/>
        <v>0</v>
      </c>
      <c r="W10" s="725">
        <f>SUM(C10:V10)</f>
        <v>-23597</v>
      </c>
      <c r="X10" s="890">
        <f t="shared" si="2"/>
        <v>0</v>
      </c>
      <c r="Y10" s="724">
        <f>SUM(Y7:Y9)</f>
        <v>-44</v>
      </c>
      <c r="Z10" s="724">
        <f>SUM(Z7:Z9)</f>
        <v>-23553</v>
      </c>
      <c r="AA10" s="723">
        <f t="shared" si="2"/>
        <v>0</v>
      </c>
      <c r="AB10" s="723">
        <f t="shared" si="2"/>
        <v>0</v>
      </c>
      <c r="AC10" s="723">
        <f t="shared" si="2"/>
        <v>0</v>
      </c>
      <c r="AD10" s="723">
        <f t="shared" si="2"/>
        <v>0</v>
      </c>
      <c r="AE10" s="723">
        <f t="shared" si="2"/>
        <v>0</v>
      </c>
      <c r="AF10" s="723"/>
      <c r="AG10" s="723">
        <f>SUM(AG7:AG9)</f>
        <v>0</v>
      </c>
      <c r="AH10" s="723">
        <f>SUM(AH7:AH9)</f>
        <v>0</v>
      </c>
      <c r="AI10" s="723">
        <f>SUM(AI7:AI9)</f>
        <v>0</v>
      </c>
      <c r="AJ10" s="728">
        <f>SUM(AJ7:AJ9)</f>
        <v>-23597</v>
      </c>
    </row>
    <row r="11" spans="1:41" x14ac:dyDescent="0.2">
      <c r="A11" s="717">
        <v>7</v>
      </c>
      <c r="B11" s="718"/>
      <c r="C11" s="718"/>
      <c r="D11" s="718"/>
      <c r="E11" s="718"/>
      <c r="F11" s="718"/>
      <c r="G11" s="718"/>
      <c r="H11" s="718"/>
      <c r="I11" s="718"/>
      <c r="J11" s="718"/>
      <c r="K11" s="718"/>
      <c r="L11" s="718"/>
      <c r="M11" s="718"/>
      <c r="N11" s="718"/>
      <c r="O11" s="718"/>
      <c r="P11" s="718"/>
      <c r="Q11" s="718"/>
      <c r="R11" s="718"/>
      <c r="S11" s="718"/>
      <c r="T11" s="718"/>
      <c r="U11" s="718"/>
      <c r="V11" s="718"/>
      <c r="W11" s="726">
        <f>SUM(C11:V11)</f>
        <v>0</v>
      </c>
      <c r="X11" s="888"/>
      <c r="Y11" s="718"/>
      <c r="Z11" s="718"/>
      <c r="AA11" s="718"/>
      <c r="AB11" s="718"/>
      <c r="AC11" s="718"/>
      <c r="AD11" s="718"/>
      <c r="AE11" s="718"/>
      <c r="AF11" s="718"/>
      <c r="AG11" s="718"/>
      <c r="AH11" s="718"/>
      <c r="AI11" s="718"/>
      <c r="AJ11" s="728">
        <f>SUM(Y11:AI11)</f>
        <v>0</v>
      </c>
    </row>
    <row r="12" spans="1:41" ht="13.5" thickBot="1" x14ac:dyDescent="0.25">
      <c r="A12" s="721">
        <v>8</v>
      </c>
      <c r="B12" s="729" t="s">
        <v>277</v>
      </c>
      <c r="C12" s="730">
        <f t="shared" ref="C12:L12" si="3">C5+C10</f>
        <v>-5362</v>
      </c>
      <c r="D12" s="730">
        <f t="shared" si="3"/>
        <v>-1302</v>
      </c>
      <c r="E12" s="730">
        <f t="shared" si="3"/>
        <v>-11380</v>
      </c>
      <c r="F12" s="730">
        <f t="shared" si="3"/>
        <v>-262</v>
      </c>
      <c r="G12" s="730">
        <f t="shared" si="3"/>
        <v>13665</v>
      </c>
      <c r="H12" s="730">
        <f t="shared" si="3"/>
        <v>13001</v>
      </c>
      <c r="I12" s="730">
        <f t="shared" si="3"/>
        <v>3166</v>
      </c>
      <c r="J12" s="730">
        <f t="shared" si="3"/>
        <v>0</v>
      </c>
      <c r="K12" s="730">
        <f t="shared" si="3"/>
        <v>0</v>
      </c>
      <c r="L12" s="730">
        <f t="shared" si="3"/>
        <v>0</v>
      </c>
      <c r="M12" s="730"/>
      <c r="N12" s="730">
        <f t="shared" ref="N12:V12" si="4">N5+N10</f>
        <v>0</v>
      </c>
      <c r="O12" s="730">
        <f t="shared" si="4"/>
        <v>-2411</v>
      </c>
      <c r="P12" s="730">
        <f t="shared" si="4"/>
        <v>8214</v>
      </c>
      <c r="Q12" s="730">
        <f t="shared" ref="Q12" si="5">Q5+Q10</f>
        <v>-588</v>
      </c>
      <c r="R12" s="730">
        <f t="shared" si="4"/>
        <v>2414</v>
      </c>
      <c r="S12" s="730">
        <f t="shared" si="4"/>
        <v>0</v>
      </c>
      <c r="T12" s="730">
        <f t="shared" si="4"/>
        <v>0</v>
      </c>
      <c r="U12" s="730">
        <f t="shared" si="4"/>
        <v>9776</v>
      </c>
      <c r="V12" s="730">
        <f t="shared" si="4"/>
        <v>0</v>
      </c>
      <c r="W12" s="731">
        <f>SUM(C12:V12)</f>
        <v>28931</v>
      </c>
      <c r="X12" s="891">
        <f>X5+X10</f>
        <v>0</v>
      </c>
      <c r="Y12" s="730">
        <f>Y5+Y10</f>
        <v>11956</v>
      </c>
      <c r="Z12" s="730"/>
      <c r="AA12" s="730">
        <f>SUM(AA5+AA10)</f>
        <v>5471</v>
      </c>
      <c r="AB12" s="730">
        <f t="shared" ref="AB12:AI12" si="6">AB5+AB10</f>
        <v>10544</v>
      </c>
      <c r="AC12" s="730">
        <f t="shared" si="6"/>
        <v>0</v>
      </c>
      <c r="AD12" s="730">
        <f t="shared" si="6"/>
        <v>0</v>
      </c>
      <c r="AE12" s="730">
        <f t="shared" si="6"/>
        <v>0</v>
      </c>
      <c r="AF12" s="730">
        <f t="shared" si="6"/>
        <v>0</v>
      </c>
      <c r="AG12" s="730">
        <f t="shared" si="6"/>
        <v>960</v>
      </c>
      <c r="AH12" s="730">
        <f t="shared" si="6"/>
        <v>0</v>
      </c>
      <c r="AI12" s="730">
        <f t="shared" si="6"/>
        <v>0</v>
      </c>
      <c r="AJ12" s="731">
        <f>SUM(X12:AI12)</f>
        <v>28931</v>
      </c>
    </row>
  </sheetData>
  <mergeCells count="38">
    <mergeCell ref="AG3:AG4"/>
    <mergeCell ref="AH3:AH4"/>
    <mergeCell ref="AI3:AI4"/>
    <mergeCell ref="AA3:AA4"/>
    <mergeCell ref="AB3:AB4"/>
    <mergeCell ref="AC3:AC4"/>
    <mergeCell ref="AD3:AD4"/>
    <mergeCell ref="AE3:AE4"/>
    <mergeCell ref="AF3:AF4"/>
    <mergeCell ref="Z3:Z4"/>
    <mergeCell ref="M3:M4"/>
    <mergeCell ref="N3:N4"/>
    <mergeCell ref="O3:O4"/>
    <mergeCell ref="P3:P4"/>
    <mergeCell ref="R3:R4"/>
    <mergeCell ref="S3:S4"/>
    <mergeCell ref="T3:T4"/>
    <mergeCell ref="U3:U4"/>
    <mergeCell ref="V3:V4"/>
    <mergeCell ref="X3:X4"/>
    <mergeCell ref="Y3:Y4"/>
    <mergeCell ref="Q3:Q4"/>
    <mergeCell ref="L3:L4"/>
    <mergeCell ref="AH1:AJ1"/>
    <mergeCell ref="A2:A4"/>
    <mergeCell ref="B2:B4"/>
    <mergeCell ref="C2:V2"/>
    <mergeCell ref="W2:W4"/>
    <mergeCell ref="X2:AI2"/>
    <mergeCell ref="AJ2:AJ4"/>
    <mergeCell ref="C3:C4"/>
    <mergeCell ref="D3:D4"/>
    <mergeCell ref="E3:E4"/>
    <mergeCell ref="F3:F4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2020. évi költségvetés módosításainak részletezése
&amp;"Times New Roman,Normál"(Intézményekkel együtt)&amp;R&amp;"Times New Roman,Félkövér"&amp;12 12.e. melléklet</oddHeader>
  </headerFooter>
  <colBreaks count="1" manualBreakCount="1">
    <brk id="23" max="11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H30"/>
    </sheetView>
  </sheetViews>
  <sheetFormatPr defaultRowHeight="15" x14ac:dyDescent="0.25"/>
  <cols>
    <col min="1" max="1" width="32.85546875" bestFit="1" customWidth="1"/>
    <col min="2" max="4" width="12" bestFit="1" customWidth="1"/>
    <col min="5" max="5" width="34.42578125" bestFit="1" customWidth="1"/>
    <col min="6" max="8" width="12" bestFit="1" customWidth="1"/>
  </cols>
  <sheetData>
    <row r="1" spans="1:8" ht="16.5" thickBot="1" x14ac:dyDescent="0.3">
      <c r="A1" s="1500" t="s">
        <v>1035</v>
      </c>
      <c r="B1" s="1500"/>
      <c r="C1" s="1500"/>
      <c r="D1" s="1500"/>
      <c r="E1" s="1500"/>
      <c r="F1" s="1500"/>
      <c r="G1" s="1500"/>
      <c r="H1" s="1500"/>
    </row>
    <row r="2" spans="1:8" ht="64.5" thickBot="1" x14ac:dyDescent="0.3">
      <c r="A2" s="1502" t="s">
        <v>334</v>
      </c>
      <c r="B2" s="1503" t="s">
        <v>1036</v>
      </c>
      <c r="C2" s="1504" t="s">
        <v>1037</v>
      </c>
      <c r="D2" s="1505" t="s">
        <v>1038</v>
      </c>
      <c r="E2" s="1502" t="s">
        <v>335</v>
      </c>
      <c r="F2" s="1506" t="s">
        <v>1036</v>
      </c>
      <c r="G2" s="1504" t="s">
        <v>1037</v>
      </c>
      <c r="H2" s="1507" t="s">
        <v>1038</v>
      </c>
    </row>
    <row r="3" spans="1:8" x14ac:dyDescent="0.25">
      <c r="A3" s="1508" t="s">
        <v>336</v>
      </c>
      <c r="B3" s="1509">
        <v>1180084</v>
      </c>
      <c r="C3" s="1509">
        <v>954542</v>
      </c>
      <c r="D3" s="1510">
        <v>948716</v>
      </c>
      <c r="E3" s="1511" t="s">
        <v>433</v>
      </c>
      <c r="F3" s="1512">
        <v>1132666</v>
      </c>
      <c r="G3" s="1509">
        <v>1383699</v>
      </c>
      <c r="H3" s="1513">
        <v>1216981.06</v>
      </c>
    </row>
    <row r="4" spans="1:8" x14ac:dyDescent="0.25">
      <c r="A4" s="1514" t="s">
        <v>410</v>
      </c>
      <c r="B4" s="1515">
        <v>564011</v>
      </c>
      <c r="C4" s="1515">
        <v>556486</v>
      </c>
      <c r="D4" s="1516">
        <v>530425</v>
      </c>
      <c r="E4" s="1517" t="s">
        <v>337</v>
      </c>
      <c r="F4" s="1518">
        <v>336182</v>
      </c>
      <c r="G4" s="1519">
        <v>367217</v>
      </c>
      <c r="H4" s="1517">
        <v>376586</v>
      </c>
    </row>
    <row r="5" spans="1:8" x14ac:dyDescent="0.25">
      <c r="A5" s="1514" t="s">
        <v>434</v>
      </c>
      <c r="B5" s="1515">
        <v>364964</v>
      </c>
      <c r="C5" s="1515">
        <v>298459</v>
      </c>
      <c r="D5" s="1516">
        <v>344291</v>
      </c>
      <c r="E5" s="1520" t="s">
        <v>338</v>
      </c>
      <c r="F5" s="1521">
        <v>72148</v>
      </c>
      <c r="G5" s="1515">
        <v>75730</v>
      </c>
      <c r="H5" s="1522">
        <v>73113.5</v>
      </c>
    </row>
    <row r="6" spans="1:8" x14ac:dyDescent="0.25">
      <c r="A6" s="1514" t="s">
        <v>336</v>
      </c>
      <c r="B6" s="1515">
        <v>249318</v>
      </c>
      <c r="C6" s="1515">
        <v>98854</v>
      </c>
      <c r="D6" s="1516">
        <v>73257</v>
      </c>
      <c r="E6" s="1520" t="s">
        <v>339</v>
      </c>
      <c r="F6" s="1521">
        <v>429882</v>
      </c>
      <c r="G6" s="1515">
        <v>492267</v>
      </c>
      <c r="H6" s="1522">
        <v>405913.56</v>
      </c>
    </row>
    <row r="7" spans="1:8" x14ac:dyDescent="0.25">
      <c r="A7" s="1514" t="s">
        <v>411</v>
      </c>
      <c r="B7" s="1515">
        <v>1791</v>
      </c>
      <c r="C7" s="1515">
        <v>743</v>
      </c>
      <c r="D7" s="1516">
        <v>743</v>
      </c>
      <c r="E7" s="1520" t="s">
        <v>340</v>
      </c>
      <c r="F7" s="1521">
        <v>23530</v>
      </c>
      <c r="G7" s="1515">
        <v>16536</v>
      </c>
      <c r="H7" s="1520">
        <v>6761</v>
      </c>
    </row>
    <row r="8" spans="1:8" x14ac:dyDescent="0.25">
      <c r="A8" s="1514"/>
      <c r="B8" s="1515"/>
      <c r="C8" s="1515"/>
      <c r="D8" s="1516"/>
      <c r="E8" s="1520" t="s">
        <v>370</v>
      </c>
      <c r="F8" s="1521">
        <v>270924</v>
      </c>
      <c r="G8" s="1515">
        <v>314373</v>
      </c>
      <c r="H8" s="1520">
        <v>290849</v>
      </c>
    </row>
    <row r="9" spans="1:8" x14ac:dyDescent="0.25">
      <c r="A9" s="1514"/>
      <c r="B9" s="1515"/>
      <c r="C9" s="1515"/>
      <c r="D9" s="1516"/>
      <c r="E9" s="1520" t="s">
        <v>413</v>
      </c>
      <c r="F9" s="1521"/>
      <c r="G9" s="1515">
        <v>117576</v>
      </c>
      <c r="H9" s="1520">
        <v>63758</v>
      </c>
    </row>
    <row r="10" spans="1:8" x14ac:dyDescent="0.25">
      <c r="A10" s="1523" t="s">
        <v>282</v>
      </c>
      <c r="B10" s="1524">
        <v>1919333</v>
      </c>
      <c r="C10" s="1524">
        <v>574969</v>
      </c>
      <c r="D10" s="1525">
        <v>220187</v>
      </c>
      <c r="E10" s="1526"/>
      <c r="F10" s="1527"/>
      <c r="G10" s="1515"/>
      <c r="H10" s="1528"/>
    </row>
    <row r="11" spans="1:8" x14ac:dyDescent="0.25">
      <c r="A11" s="1529" t="s">
        <v>375</v>
      </c>
      <c r="B11" s="1515">
        <v>790742</v>
      </c>
      <c r="C11" s="1515">
        <v>457469</v>
      </c>
      <c r="D11" s="1530">
        <v>220187</v>
      </c>
      <c r="E11" s="1520"/>
      <c r="F11" s="1521"/>
      <c r="G11" s="1515"/>
      <c r="H11" s="1520"/>
    </row>
    <row r="12" spans="1:8" x14ac:dyDescent="0.25">
      <c r="A12" s="1529" t="s">
        <v>1039</v>
      </c>
      <c r="B12" s="1515">
        <v>1112500</v>
      </c>
      <c r="C12" s="1515">
        <v>117500</v>
      </c>
      <c r="D12" s="1531">
        <v>0</v>
      </c>
      <c r="E12" s="1532" t="s">
        <v>273</v>
      </c>
      <c r="F12" s="1533">
        <v>866154</v>
      </c>
      <c r="G12" s="1534">
        <v>16091</v>
      </c>
      <c r="H12" s="1535">
        <v>0</v>
      </c>
    </row>
    <row r="13" spans="1:8" x14ac:dyDescent="0.25">
      <c r="A13" s="1529" t="s">
        <v>1040</v>
      </c>
      <c r="B13" s="1515">
        <v>16091</v>
      </c>
      <c r="C13" s="1515"/>
      <c r="D13" s="1516"/>
      <c r="E13" s="1536"/>
      <c r="F13" s="1537"/>
      <c r="G13" s="1538"/>
      <c r="H13" s="1536"/>
    </row>
    <row r="14" spans="1:8" x14ac:dyDescent="0.25">
      <c r="A14" s="1539"/>
      <c r="B14" s="1540"/>
      <c r="C14" s="1540"/>
      <c r="D14" s="1541"/>
      <c r="E14" s="1536" t="s">
        <v>732</v>
      </c>
      <c r="F14" s="1537">
        <v>850000</v>
      </c>
      <c r="G14" s="1538"/>
      <c r="H14" s="1536"/>
    </row>
    <row r="15" spans="1:8" ht="15.75" thickBot="1" x14ac:dyDescent="0.3">
      <c r="A15" s="1542"/>
      <c r="B15" s="1543"/>
      <c r="C15" s="1543"/>
      <c r="D15" s="1544"/>
      <c r="E15" s="1545" t="s">
        <v>1041</v>
      </c>
      <c r="F15" s="1537">
        <v>16154</v>
      </c>
      <c r="G15" s="1538">
        <v>16091</v>
      </c>
      <c r="H15" s="1545"/>
    </row>
    <row r="16" spans="1:8" ht="15.75" thickBot="1" x14ac:dyDescent="0.3">
      <c r="A16" s="1546" t="s">
        <v>341</v>
      </c>
      <c r="B16" s="1547">
        <v>3099417</v>
      </c>
      <c r="C16" s="1547">
        <v>1529511</v>
      </c>
      <c r="D16" s="1548">
        <v>1168903</v>
      </c>
      <c r="E16" s="1549" t="s">
        <v>341</v>
      </c>
      <c r="F16" s="1550">
        <v>1998820</v>
      </c>
      <c r="G16" s="1547">
        <v>1399790</v>
      </c>
      <c r="H16" s="1551">
        <v>1216981.06</v>
      </c>
    </row>
    <row r="17" spans="1:8" x14ac:dyDescent="0.25">
      <c r="A17" s="1552"/>
      <c r="B17" s="1553"/>
      <c r="C17" s="1553"/>
      <c r="D17" s="1554"/>
      <c r="E17" s="1555"/>
      <c r="F17" s="1556"/>
      <c r="G17" s="1556"/>
      <c r="H17" s="1555"/>
    </row>
    <row r="18" spans="1:8" ht="15.75" thickBot="1" x14ac:dyDescent="0.3">
      <c r="A18" s="1557"/>
      <c r="B18" s="1558"/>
      <c r="C18" s="1558"/>
      <c r="D18" s="1559"/>
      <c r="E18" s="1557"/>
      <c r="F18" s="1558"/>
      <c r="G18" s="1558"/>
      <c r="H18" s="1557"/>
    </row>
    <row r="19" spans="1:8" ht="64.5" thickBot="1" x14ac:dyDescent="0.3">
      <c r="A19" s="1560" t="s">
        <v>334</v>
      </c>
      <c r="B19" s="1503" t="s">
        <v>1036</v>
      </c>
      <c r="C19" s="1504" t="s">
        <v>1037</v>
      </c>
      <c r="D19" s="1507" t="s">
        <v>1038</v>
      </c>
      <c r="E19" s="1502" t="s">
        <v>335</v>
      </c>
      <c r="F19" s="1503" t="s">
        <v>1036</v>
      </c>
      <c r="G19" s="1504" t="s">
        <v>1037</v>
      </c>
      <c r="H19" s="1507" t="s">
        <v>1038</v>
      </c>
    </row>
    <row r="20" spans="1:8" x14ac:dyDescent="0.25">
      <c r="A20" s="1561" t="s">
        <v>447</v>
      </c>
      <c r="B20" s="1562">
        <v>746385</v>
      </c>
      <c r="C20" s="1562">
        <v>216166</v>
      </c>
      <c r="D20" s="1563">
        <v>150106</v>
      </c>
      <c r="E20" s="1564" t="s">
        <v>405</v>
      </c>
      <c r="F20" s="1562">
        <v>798192</v>
      </c>
      <c r="G20" s="1562">
        <v>1560115</v>
      </c>
      <c r="H20" s="1565">
        <v>999511</v>
      </c>
    </row>
    <row r="21" spans="1:8" x14ac:dyDescent="0.25">
      <c r="A21" s="1566" t="s">
        <v>1042</v>
      </c>
      <c r="B21" s="1515">
        <v>746077</v>
      </c>
      <c r="C21" s="1515">
        <v>196666</v>
      </c>
      <c r="D21" s="1531">
        <v>117106</v>
      </c>
      <c r="E21" s="1520" t="s">
        <v>160</v>
      </c>
      <c r="F21" s="1515">
        <v>687160</v>
      </c>
      <c r="G21" s="1515">
        <v>1494006</v>
      </c>
      <c r="H21" s="1520">
        <v>885540</v>
      </c>
    </row>
    <row r="22" spans="1:8" x14ac:dyDescent="0.25">
      <c r="A22" s="1566" t="s">
        <v>342</v>
      </c>
      <c r="B22" s="1515"/>
      <c r="C22" s="1515"/>
      <c r="D22" s="1531">
        <v>0</v>
      </c>
      <c r="E22" s="1520" t="s">
        <v>310</v>
      </c>
      <c r="F22" s="1515">
        <v>111032</v>
      </c>
      <c r="G22" s="1515">
        <v>61109</v>
      </c>
      <c r="H22" s="1520">
        <v>113971</v>
      </c>
    </row>
    <row r="23" spans="1:8" x14ac:dyDescent="0.25">
      <c r="A23" s="1566" t="s">
        <v>447</v>
      </c>
      <c r="B23" s="1515">
        <v>308</v>
      </c>
      <c r="C23" s="1515">
        <v>19500</v>
      </c>
      <c r="D23" s="1531">
        <v>33000</v>
      </c>
      <c r="E23" s="1520" t="s">
        <v>412</v>
      </c>
      <c r="F23" s="1515">
        <v>0</v>
      </c>
      <c r="G23" s="1515">
        <v>5000</v>
      </c>
      <c r="H23" s="1520">
        <v>0</v>
      </c>
    </row>
    <row r="24" spans="1:8" x14ac:dyDescent="0.25">
      <c r="A24" s="1567" t="s">
        <v>282</v>
      </c>
      <c r="B24" s="1524">
        <v>622908</v>
      </c>
      <c r="C24" s="1524">
        <v>1214228</v>
      </c>
      <c r="D24" s="1568">
        <v>897483</v>
      </c>
      <c r="E24" s="1532" t="s">
        <v>273</v>
      </c>
      <c r="F24" s="1534">
        <v>0</v>
      </c>
      <c r="G24" s="1534">
        <v>0</v>
      </c>
      <c r="H24" s="1535">
        <v>0</v>
      </c>
    </row>
    <row r="25" spans="1:8" x14ac:dyDescent="0.25">
      <c r="A25" s="1566" t="s">
        <v>376</v>
      </c>
      <c r="B25" s="1515">
        <v>622908</v>
      </c>
      <c r="C25" s="1515">
        <v>1214228</v>
      </c>
      <c r="D25" s="1531">
        <v>897483</v>
      </c>
      <c r="E25" s="1520" t="s">
        <v>1043</v>
      </c>
      <c r="F25" s="1515"/>
      <c r="G25" s="1515"/>
      <c r="H25" s="1520"/>
    </row>
    <row r="26" spans="1:8" x14ac:dyDescent="0.25">
      <c r="A26" s="1566"/>
      <c r="B26" s="1515"/>
      <c r="C26" s="1515"/>
      <c r="D26" s="1531"/>
      <c r="E26" s="1520" t="s">
        <v>1044</v>
      </c>
      <c r="F26" s="1515"/>
      <c r="G26" s="1515"/>
      <c r="H26" s="1569"/>
    </row>
    <row r="27" spans="1:8" x14ac:dyDescent="0.25">
      <c r="A27" s="1566"/>
      <c r="B27" s="1515"/>
      <c r="C27" s="1515"/>
      <c r="D27" s="1531"/>
      <c r="E27" s="1520" t="s">
        <v>1045</v>
      </c>
      <c r="F27" s="1515"/>
      <c r="G27" s="1515"/>
      <c r="H27" s="1569"/>
    </row>
    <row r="28" spans="1:8" x14ac:dyDescent="0.25">
      <c r="A28" s="1566"/>
      <c r="B28" s="1515"/>
      <c r="C28" s="1515"/>
      <c r="D28" s="1531"/>
      <c r="E28" s="1520" t="s">
        <v>1046</v>
      </c>
      <c r="F28" s="1515"/>
      <c r="G28" s="1515"/>
      <c r="H28" s="1569"/>
    </row>
    <row r="29" spans="1:8" x14ac:dyDescent="0.25">
      <c r="A29" s="1570" t="s">
        <v>343</v>
      </c>
      <c r="B29" s="1524">
        <v>1369293</v>
      </c>
      <c r="C29" s="1524">
        <v>1430394</v>
      </c>
      <c r="D29" s="1571">
        <v>1047589</v>
      </c>
      <c r="E29" s="1572" t="s">
        <v>343</v>
      </c>
      <c r="F29" s="1524">
        <v>798192</v>
      </c>
      <c r="G29" s="1524">
        <v>1560115</v>
      </c>
      <c r="H29" s="1568">
        <v>999511</v>
      </c>
    </row>
    <row r="30" spans="1:8" ht="15.75" thickBot="1" x14ac:dyDescent="0.3">
      <c r="A30" s="1573" t="s">
        <v>277</v>
      </c>
      <c r="B30" s="1574">
        <v>4468710</v>
      </c>
      <c r="C30" s="1574">
        <v>2959905</v>
      </c>
      <c r="D30" s="1575">
        <v>2216492</v>
      </c>
      <c r="E30" s="1576" t="s">
        <v>277</v>
      </c>
      <c r="F30" s="1574">
        <v>2797012</v>
      </c>
      <c r="G30" s="1574">
        <v>2959905</v>
      </c>
      <c r="H30" s="1577">
        <v>2216492.06</v>
      </c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U25" sqref="U25"/>
    </sheetView>
  </sheetViews>
  <sheetFormatPr defaultRowHeight="15" x14ac:dyDescent="0.25"/>
  <cols>
    <col min="1" max="1" width="25" bestFit="1" customWidth="1"/>
    <col min="2" max="2" width="10.140625" bestFit="1" customWidth="1"/>
    <col min="3" max="3" width="8.42578125" bestFit="1" customWidth="1"/>
    <col min="4" max="4" width="8.140625" bestFit="1" customWidth="1"/>
    <col min="5" max="5" width="10.140625" bestFit="1" customWidth="1"/>
    <col min="6" max="7" width="8.85546875" bestFit="1" customWidth="1"/>
    <col min="8" max="8" width="10.140625" bestFit="1" customWidth="1"/>
    <col min="9" max="9" width="8.7109375" bestFit="1" customWidth="1"/>
    <col min="11" max="11" width="10.140625" bestFit="1" customWidth="1"/>
  </cols>
  <sheetData>
    <row r="1" spans="1:11" ht="110.25" x14ac:dyDescent="0.25">
      <c r="A1" s="1499" t="s">
        <v>1047</v>
      </c>
      <c r="B1" s="1498" t="s">
        <v>1048</v>
      </c>
      <c r="C1" s="1498" t="s">
        <v>1049</v>
      </c>
      <c r="D1" s="1498" t="s">
        <v>1050</v>
      </c>
      <c r="E1" s="1498" t="s">
        <v>1051</v>
      </c>
      <c r="F1" s="1498" t="s">
        <v>1052</v>
      </c>
      <c r="G1" s="1498" t="s">
        <v>1053</v>
      </c>
      <c r="H1" s="1498" t="s">
        <v>1054</v>
      </c>
      <c r="I1" s="1498" t="s">
        <v>1055</v>
      </c>
      <c r="J1" s="1498" t="s">
        <v>1056</v>
      </c>
      <c r="K1" s="1498" t="s">
        <v>1057</v>
      </c>
    </row>
    <row r="2" spans="1:11" ht="15.75" x14ac:dyDescent="0.25">
      <c r="A2" s="1493" t="s">
        <v>304</v>
      </c>
      <c r="B2" s="1492" t="s">
        <v>393</v>
      </c>
      <c r="C2" s="1492" t="s">
        <v>449</v>
      </c>
      <c r="D2" s="1492" t="s">
        <v>450</v>
      </c>
      <c r="E2" s="1492" t="s">
        <v>451</v>
      </c>
      <c r="F2" s="1492" t="s">
        <v>452</v>
      </c>
      <c r="G2" s="1492" t="s">
        <v>453</v>
      </c>
      <c r="H2" s="1492" t="s">
        <v>454</v>
      </c>
      <c r="I2" s="1492" t="s">
        <v>455</v>
      </c>
      <c r="J2" s="1492" t="s">
        <v>456</v>
      </c>
      <c r="K2" s="1491" t="s">
        <v>765</v>
      </c>
    </row>
    <row r="3" spans="1:11" ht="15.75" x14ac:dyDescent="0.25">
      <c r="A3" s="1490" t="s">
        <v>1058</v>
      </c>
      <c r="B3" s="1489">
        <v>448500</v>
      </c>
      <c r="C3" s="1489">
        <v>2403</v>
      </c>
      <c r="D3" s="1489">
        <v>4206</v>
      </c>
      <c r="E3" s="1497">
        <f>B3+C3+D3</f>
        <v>455109</v>
      </c>
      <c r="F3" s="1489">
        <v>49157</v>
      </c>
      <c r="G3" s="1489">
        <v>84074</v>
      </c>
      <c r="H3" s="1496">
        <f>E3-F3-G3</f>
        <v>321878</v>
      </c>
      <c r="I3" s="1497"/>
      <c r="J3" s="1488">
        <v>52884</v>
      </c>
      <c r="K3" s="1469">
        <f>H3+I3+J3</f>
        <v>374762</v>
      </c>
    </row>
    <row r="4" spans="1:11" ht="15.75" x14ac:dyDescent="0.25">
      <c r="A4" s="1468" t="s">
        <v>1059</v>
      </c>
      <c r="B4" s="1487">
        <v>87750</v>
      </c>
      <c r="C4" s="1487">
        <v>85797</v>
      </c>
      <c r="D4" s="1487">
        <v>375</v>
      </c>
      <c r="E4" s="1486">
        <f>B4+C4+D4</f>
        <v>173922</v>
      </c>
      <c r="F4" s="1487">
        <v>30674</v>
      </c>
      <c r="G4" s="1487">
        <v>141278</v>
      </c>
      <c r="H4" s="1485">
        <f>E4-F4-G4</f>
        <v>1970</v>
      </c>
      <c r="I4" s="1486"/>
      <c r="J4" s="1486"/>
      <c r="K4" s="1469">
        <f t="shared" ref="K4:K16" si="0">H4+I4+J4</f>
        <v>1970</v>
      </c>
    </row>
    <row r="5" spans="1:11" ht="15.75" x14ac:dyDescent="0.25">
      <c r="A5" s="1484" t="s">
        <v>1060</v>
      </c>
      <c r="B5" s="1483">
        <v>65561</v>
      </c>
      <c r="C5" s="1483">
        <v>0</v>
      </c>
      <c r="D5" s="1483">
        <v>0</v>
      </c>
      <c r="E5" s="1488">
        <f t="shared" ref="E5:E15" si="1">B5+C5+D5</f>
        <v>65561</v>
      </c>
      <c r="F5" s="1483">
        <v>7669</v>
      </c>
      <c r="G5" s="1483">
        <v>43554</v>
      </c>
      <c r="H5" s="1488">
        <f t="shared" ref="H5:H15" si="2">E5-F5-G5</f>
        <v>14338</v>
      </c>
      <c r="I5" s="1488"/>
      <c r="J5" s="1488"/>
      <c r="K5" s="1469">
        <f t="shared" si="0"/>
        <v>14338</v>
      </c>
    </row>
    <row r="6" spans="1:11" ht="15.75" x14ac:dyDescent="0.25">
      <c r="A6" s="1484" t="s">
        <v>1061</v>
      </c>
      <c r="B6" s="1483">
        <v>59755</v>
      </c>
      <c r="C6" s="1483">
        <v>0</v>
      </c>
      <c r="D6" s="1483">
        <v>0</v>
      </c>
      <c r="E6" s="1488">
        <f t="shared" si="1"/>
        <v>59755</v>
      </c>
      <c r="F6" s="1483">
        <v>4620</v>
      </c>
      <c r="G6" s="1483">
        <v>40553</v>
      </c>
      <c r="H6" s="1488">
        <f t="shared" si="2"/>
        <v>14582</v>
      </c>
      <c r="I6" s="1488"/>
      <c r="J6" s="1488"/>
      <c r="K6" s="1469">
        <f t="shared" si="0"/>
        <v>14582</v>
      </c>
    </row>
    <row r="7" spans="1:11" ht="15.75" x14ac:dyDescent="0.25">
      <c r="A7" s="1484" t="s">
        <v>1062</v>
      </c>
      <c r="B7" s="1482">
        <v>22723</v>
      </c>
      <c r="C7" s="1483">
        <v>0</v>
      </c>
      <c r="D7" s="1483">
        <v>0</v>
      </c>
      <c r="E7" s="1488">
        <f t="shared" si="1"/>
        <v>22723</v>
      </c>
      <c r="F7" s="1483">
        <v>3653</v>
      </c>
      <c r="G7" s="1483">
        <v>4814</v>
      </c>
      <c r="H7" s="1488">
        <f t="shared" si="2"/>
        <v>14256</v>
      </c>
      <c r="I7" s="1488"/>
      <c r="J7" s="1488"/>
      <c r="K7" s="1469">
        <f t="shared" si="0"/>
        <v>14256</v>
      </c>
    </row>
    <row r="8" spans="1:11" ht="15.75" x14ac:dyDescent="0.25">
      <c r="A8" s="1484" t="s">
        <v>792</v>
      </c>
      <c r="B8" s="1483">
        <v>24745</v>
      </c>
      <c r="C8" s="1483">
        <v>1314</v>
      </c>
      <c r="D8" s="1483">
        <v>0</v>
      </c>
      <c r="E8" s="1488">
        <f t="shared" si="1"/>
        <v>26059</v>
      </c>
      <c r="F8" s="1483">
        <v>24115</v>
      </c>
      <c r="G8" s="1483">
        <v>1944</v>
      </c>
      <c r="H8" s="1488">
        <f t="shared" si="2"/>
        <v>0</v>
      </c>
      <c r="I8" s="1488"/>
      <c r="J8" s="1488"/>
      <c r="K8" s="1469">
        <f t="shared" si="0"/>
        <v>0</v>
      </c>
    </row>
    <row r="9" spans="1:11" ht="15.75" x14ac:dyDescent="0.25">
      <c r="A9" s="1481" t="s">
        <v>1063</v>
      </c>
      <c r="B9" s="1483">
        <v>50979</v>
      </c>
      <c r="C9" s="1483">
        <v>89910</v>
      </c>
      <c r="D9" s="1483">
        <v>0</v>
      </c>
      <c r="E9" s="1488">
        <f>B9+C9+D9</f>
        <v>140889</v>
      </c>
      <c r="F9" s="1483">
        <v>8880</v>
      </c>
      <c r="G9" s="1483">
        <v>4536</v>
      </c>
      <c r="H9" s="1488">
        <f t="shared" si="2"/>
        <v>127473</v>
      </c>
      <c r="I9" s="1488">
        <v>58309</v>
      </c>
      <c r="J9" s="1488"/>
      <c r="K9" s="1469">
        <f t="shared" si="0"/>
        <v>185782</v>
      </c>
    </row>
    <row r="10" spans="1:11" ht="15.75" x14ac:dyDescent="0.25">
      <c r="A10" s="1481" t="s">
        <v>1064</v>
      </c>
      <c r="B10" s="1483">
        <v>0</v>
      </c>
      <c r="C10" s="1483">
        <v>8823</v>
      </c>
      <c r="D10" s="1483">
        <v>0</v>
      </c>
      <c r="E10" s="1488">
        <f>B10+C10+D10</f>
        <v>8823</v>
      </c>
      <c r="F10" s="1483">
        <v>0</v>
      </c>
      <c r="G10" s="1483">
        <v>234</v>
      </c>
      <c r="H10" s="1488">
        <f t="shared" si="2"/>
        <v>8589</v>
      </c>
      <c r="I10" s="1488">
        <v>50000</v>
      </c>
      <c r="J10" s="1488"/>
      <c r="K10" s="1469">
        <f t="shared" si="0"/>
        <v>58589</v>
      </c>
    </row>
    <row r="11" spans="1:11" ht="15.75" x14ac:dyDescent="0.25">
      <c r="A11" s="1468" t="s">
        <v>1065</v>
      </c>
      <c r="B11" s="1487">
        <v>77819</v>
      </c>
      <c r="C11" s="1487">
        <v>12008</v>
      </c>
      <c r="D11" s="1487">
        <v>263</v>
      </c>
      <c r="E11" s="1486">
        <f>B11+C11+D11</f>
        <v>90090</v>
      </c>
      <c r="F11" s="1487">
        <v>88868</v>
      </c>
      <c r="G11" s="1487">
        <v>787</v>
      </c>
      <c r="H11" s="1480">
        <f>E11-F11-G11</f>
        <v>435</v>
      </c>
      <c r="I11" s="1486"/>
      <c r="J11" s="1486"/>
      <c r="K11" s="1469">
        <f t="shared" si="0"/>
        <v>435</v>
      </c>
    </row>
    <row r="12" spans="1:11" ht="15.75" x14ac:dyDescent="0.25">
      <c r="A12" s="1484" t="s">
        <v>1066</v>
      </c>
      <c r="B12" s="1483">
        <v>800000</v>
      </c>
      <c r="C12" s="1483"/>
      <c r="D12" s="1483"/>
      <c r="E12" s="1488">
        <f t="shared" si="1"/>
        <v>800000</v>
      </c>
      <c r="F12" s="1479">
        <v>458002</v>
      </c>
      <c r="G12" s="1479">
        <v>211350</v>
      </c>
      <c r="H12" s="1488">
        <f t="shared" si="2"/>
        <v>130648</v>
      </c>
      <c r="I12" s="1488"/>
      <c r="J12" s="1488"/>
      <c r="K12" s="1469">
        <f t="shared" si="0"/>
        <v>130648</v>
      </c>
    </row>
    <row r="13" spans="1:11" ht="15.75" x14ac:dyDescent="0.25">
      <c r="A13" s="1484" t="s">
        <v>1067</v>
      </c>
      <c r="B13" s="1483">
        <v>400000</v>
      </c>
      <c r="C13" s="1483">
        <v>20014</v>
      </c>
      <c r="D13" s="1483">
        <v>0</v>
      </c>
      <c r="E13" s="1488">
        <f t="shared" si="1"/>
        <v>420014</v>
      </c>
      <c r="F13" s="1483">
        <v>0</v>
      </c>
      <c r="G13" s="1483">
        <v>44535</v>
      </c>
      <c r="H13" s="1488">
        <f t="shared" si="2"/>
        <v>375479</v>
      </c>
      <c r="I13" s="1488"/>
      <c r="J13" s="1488"/>
      <c r="K13" s="1469">
        <f t="shared" si="0"/>
        <v>375479</v>
      </c>
    </row>
    <row r="14" spans="1:11" ht="15.75" x14ac:dyDescent="0.25">
      <c r="A14" s="1484" t="s">
        <v>1068</v>
      </c>
      <c r="B14" s="1483">
        <v>0</v>
      </c>
      <c r="C14" s="1483">
        <v>17068</v>
      </c>
      <c r="D14" s="1483">
        <v>0</v>
      </c>
      <c r="E14" s="1488">
        <f t="shared" si="1"/>
        <v>17068</v>
      </c>
      <c r="F14" s="1483"/>
      <c r="G14" s="1483">
        <v>0</v>
      </c>
      <c r="H14" s="1488">
        <v>17068</v>
      </c>
      <c r="I14" s="1488"/>
      <c r="J14" s="1488"/>
      <c r="K14" s="1469">
        <f t="shared" si="0"/>
        <v>17068</v>
      </c>
    </row>
    <row r="15" spans="1:11" ht="16.5" thickBot="1" x14ac:dyDescent="0.3">
      <c r="A15" s="1467" t="s">
        <v>1069</v>
      </c>
      <c r="B15" s="1466">
        <v>0</v>
      </c>
      <c r="C15" s="1466">
        <v>0</v>
      </c>
      <c r="D15" s="1466">
        <v>0</v>
      </c>
      <c r="E15" s="1495">
        <f t="shared" si="1"/>
        <v>0</v>
      </c>
      <c r="F15" s="1466">
        <v>0</v>
      </c>
      <c r="G15" s="1466">
        <v>0</v>
      </c>
      <c r="H15" s="1478">
        <f t="shared" si="2"/>
        <v>0</v>
      </c>
      <c r="I15" s="1495">
        <v>8797</v>
      </c>
      <c r="J15" s="1494">
        <v>1553</v>
      </c>
      <c r="K15" s="1477">
        <f t="shared" si="0"/>
        <v>10350</v>
      </c>
    </row>
    <row r="16" spans="1:11" ht="16.5" thickBot="1" x14ac:dyDescent="0.3">
      <c r="A16" s="1476" t="s">
        <v>179</v>
      </c>
      <c r="B16" s="1475">
        <f t="shared" ref="B16:G16" si="3">SUM(B3:B15)</f>
        <v>2037832</v>
      </c>
      <c r="C16" s="1475">
        <f>SUM(C3:C15)</f>
        <v>237337</v>
      </c>
      <c r="D16" s="1475">
        <f t="shared" si="3"/>
        <v>4844</v>
      </c>
      <c r="E16" s="1475">
        <f t="shared" si="3"/>
        <v>2280013</v>
      </c>
      <c r="F16" s="1475">
        <f t="shared" si="3"/>
        <v>675638</v>
      </c>
      <c r="G16" s="1475">
        <f t="shared" si="3"/>
        <v>577659</v>
      </c>
      <c r="H16" s="1475">
        <f>SUM(H3:H15)</f>
        <v>1026716</v>
      </c>
      <c r="I16" s="1475">
        <f>SUM(I3:I15)</f>
        <v>117106</v>
      </c>
      <c r="J16" s="1475">
        <f>SUM(J3:J15)</f>
        <v>54437</v>
      </c>
      <c r="K16" s="1475">
        <f t="shared" si="0"/>
        <v>1198259</v>
      </c>
    </row>
    <row r="17" spans="1:11" ht="15.75" x14ac:dyDescent="0.25">
      <c r="A17" s="1474"/>
      <c r="B17" s="1473"/>
      <c r="C17" s="1473"/>
      <c r="D17" s="1473"/>
      <c r="E17" s="1472"/>
      <c r="F17" s="1473"/>
      <c r="G17" s="1473"/>
      <c r="H17" s="1472"/>
      <c r="I17" s="1473"/>
      <c r="J17" s="1473"/>
      <c r="K17" s="1473"/>
    </row>
    <row r="18" spans="1:11" x14ac:dyDescent="0.25">
      <c r="A18" s="1501"/>
      <c r="B18" s="1095"/>
      <c r="C18" s="1095"/>
      <c r="D18" s="1095"/>
      <c r="E18" s="1105"/>
      <c r="F18" s="1095"/>
      <c r="G18" s="1095"/>
      <c r="H18" s="1105"/>
      <c r="I18" s="1095"/>
      <c r="J18" s="1095"/>
      <c r="K18" s="1095"/>
    </row>
    <row r="19" spans="1:11" ht="15.75" x14ac:dyDescent="0.25">
      <c r="A19" s="1484" t="s">
        <v>1070</v>
      </c>
      <c r="B19" s="1482">
        <v>14277</v>
      </c>
      <c r="C19" s="1483">
        <v>0</v>
      </c>
      <c r="D19" s="1483">
        <v>0</v>
      </c>
      <c r="E19" s="1488">
        <f>B19+C19+D19</f>
        <v>14277</v>
      </c>
      <c r="F19" s="1483">
        <v>1179</v>
      </c>
      <c r="G19" s="1471">
        <f>2432+88</f>
        <v>2520</v>
      </c>
      <c r="H19" s="1488">
        <f>E19-F19-G19</f>
        <v>10578</v>
      </c>
      <c r="I19" s="1483">
        <v>0</v>
      </c>
      <c r="J19" s="1470"/>
      <c r="K19" s="1488">
        <f t="shared" ref="K19" si="4">H19+I19+J19</f>
        <v>10578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pane xSplit="1" ySplit="1" topLeftCell="B2" activePane="bottomRight" state="frozen"/>
      <selection activeCell="B30" sqref="B30"/>
      <selection pane="topRight" activeCell="B30" sqref="B30"/>
      <selection pane="bottomLeft" activeCell="B30" sqref="B30"/>
      <selection pane="bottomRight" activeCell="E32" sqref="E32"/>
    </sheetView>
  </sheetViews>
  <sheetFormatPr defaultRowHeight="15" x14ac:dyDescent="0.25"/>
  <cols>
    <col min="1" max="1" width="59.28515625" customWidth="1"/>
    <col min="2" max="13" width="12.28515625" style="1095" customWidth="1"/>
    <col min="14" max="14" width="12.28515625" style="1105" customWidth="1"/>
    <col min="17" max="17" width="9.85546875" bestFit="1" customWidth="1"/>
    <col min="18" max="18" width="9.5703125" customWidth="1"/>
    <col min="19" max="19" width="10.85546875" bestFit="1" customWidth="1"/>
  </cols>
  <sheetData>
    <row r="1" spans="1:19" s="1080" customFormat="1" ht="15.75" thickBot="1" x14ac:dyDescent="0.3">
      <c r="A1" s="1076" t="s">
        <v>903</v>
      </c>
      <c r="B1" s="1077" t="s">
        <v>435</v>
      </c>
      <c r="C1" s="1077" t="s">
        <v>436</v>
      </c>
      <c r="D1" s="1077" t="s">
        <v>437</v>
      </c>
      <c r="E1" s="1077" t="s">
        <v>438</v>
      </c>
      <c r="F1" s="1077" t="s">
        <v>439</v>
      </c>
      <c r="G1" s="1077" t="s">
        <v>440</v>
      </c>
      <c r="H1" s="1077" t="s">
        <v>441</v>
      </c>
      <c r="I1" s="1077" t="s">
        <v>904</v>
      </c>
      <c r="J1" s="1077" t="s">
        <v>442</v>
      </c>
      <c r="K1" s="1077" t="s">
        <v>443</v>
      </c>
      <c r="L1" s="1077" t="s">
        <v>444</v>
      </c>
      <c r="M1" s="1078" t="s">
        <v>445</v>
      </c>
      <c r="N1" s="1079" t="s">
        <v>179</v>
      </c>
    </row>
    <row r="2" spans="1:19" x14ac:dyDescent="0.25">
      <c r="A2" s="1081" t="s">
        <v>905</v>
      </c>
      <c r="B2" s="1082">
        <v>997863</v>
      </c>
      <c r="C2" s="1082">
        <v>997863</v>
      </c>
      <c r="D2" s="1082">
        <v>997863</v>
      </c>
      <c r="E2" s="1082">
        <v>997863</v>
      </c>
      <c r="F2" s="1082">
        <v>997863</v>
      </c>
      <c r="G2" s="1082">
        <v>997863</v>
      </c>
      <c r="H2" s="1082">
        <v>997863</v>
      </c>
      <c r="I2" s="1082">
        <f>997863-18795</f>
        <v>979068</v>
      </c>
      <c r="J2" s="1082">
        <f>1166439-18795</f>
        <v>1147644</v>
      </c>
      <c r="K2" s="1082">
        <f>1166439-18795</f>
        <v>1147644</v>
      </c>
      <c r="L2" s="1082">
        <f>1166439-18795</f>
        <v>1147644</v>
      </c>
      <c r="M2" s="1083">
        <f>1166439-18796</f>
        <v>1147643</v>
      </c>
      <c r="N2" s="1084">
        <f>SUM(B2:M2)</f>
        <v>12554684</v>
      </c>
      <c r="P2" s="1100"/>
      <c r="Q2" s="1100"/>
      <c r="R2" s="1100"/>
      <c r="S2" s="1126"/>
    </row>
    <row r="3" spans="1:19" x14ac:dyDescent="0.25">
      <c r="A3" s="1085" t="s">
        <v>906</v>
      </c>
      <c r="B3" s="1086">
        <v>711370</v>
      </c>
      <c r="C3" s="1086">
        <v>711370</v>
      </c>
      <c r="D3" s="1086">
        <v>711370</v>
      </c>
      <c r="E3" s="1086">
        <v>711370</v>
      </c>
      <c r="F3" s="1086">
        <v>711370</v>
      </c>
      <c r="G3" s="1086">
        <v>711370</v>
      </c>
      <c r="H3" s="1086">
        <v>711370</v>
      </c>
      <c r="I3" s="1086">
        <f>711370+85611</f>
        <v>796981</v>
      </c>
      <c r="J3" s="1086">
        <f>817762+85611</f>
        <v>903373</v>
      </c>
      <c r="K3" s="1086">
        <f>817762+85611</f>
        <v>903373</v>
      </c>
      <c r="L3" s="1086">
        <f>817762+85611</f>
        <v>903373</v>
      </c>
      <c r="M3" s="1087">
        <f>817762+85614</f>
        <v>903376</v>
      </c>
      <c r="N3" s="1088">
        <f t="shared" ref="N3:N24" si="0">SUM(B3:M3)</f>
        <v>9390066</v>
      </c>
      <c r="P3" s="1100"/>
      <c r="Q3" s="1100"/>
      <c r="R3" s="1100"/>
      <c r="S3" s="1126"/>
    </row>
    <row r="4" spans="1:19" x14ac:dyDescent="0.25">
      <c r="A4" s="1085" t="s">
        <v>907</v>
      </c>
      <c r="B4" s="1086">
        <v>1584146</v>
      </c>
      <c r="C4" s="1086">
        <v>1584146</v>
      </c>
      <c r="D4" s="1086">
        <v>1584146</v>
      </c>
      <c r="E4" s="1086">
        <v>1584146</v>
      </c>
      <c r="F4" s="1086">
        <v>1584146</v>
      </c>
      <c r="G4" s="1086">
        <v>1584146</v>
      </c>
      <c r="H4" s="1086">
        <v>1584146</v>
      </c>
      <c r="I4" s="1086">
        <f>1584146+216596</f>
        <v>1800742</v>
      </c>
      <c r="J4" s="1086">
        <f>1739522+216596</f>
        <v>1956118</v>
      </c>
      <c r="K4" s="1086">
        <f>1739522+216596</f>
        <v>1956118</v>
      </c>
      <c r="L4" s="1086">
        <f>1739522+216596</f>
        <v>1956118</v>
      </c>
      <c r="M4" s="1087">
        <f>1739521+216598</f>
        <v>1956119</v>
      </c>
      <c r="N4" s="1088">
        <f t="shared" si="0"/>
        <v>20714237</v>
      </c>
      <c r="P4" s="1100"/>
      <c r="Q4" s="1100"/>
      <c r="R4" s="1100"/>
      <c r="S4" s="1126"/>
    </row>
    <row r="5" spans="1:19" x14ac:dyDescent="0.25">
      <c r="A5" s="1085" t="s">
        <v>908</v>
      </c>
      <c r="B5" s="1086">
        <v>531570</v>
      </c>
      <c r="C5" s="1086">
        <v>531570</v>
      </c>
      <c r="D5" s="1086">
        <v>531570</v>
      </c>
      <c r="E5" s="1086">
        <v>531570</v>
      </c>
      <c r="F5" s="1086">
        <v>531570</v>
      </c>
      <c r="G5" s="1086">
        <v>531570</v>
      </c>
      <c r="H5" s="1086">
        <v>531570</v>
      </c>
      <c r="I5" s="1086">
        <f>531570-12979</f>
        <v>518591</v>
      </c>
      <c r="J5" s="1086">
        <f>808923-12979</f>
        <v>795944</v>
      </c>
      <c r="K5" s="1086">
        <f>808923-12979</f>
        <v>795944</v>
      </c>
      <c r="L5" s="1086">
        <f>808923-12979</f>
        <v>795944</v>
      </c>
      <c r="M5" s="1087">
        <f>808924-12981</f>
        <v>795943</v>
      </c>
      <c r="N5" s="1088">
        <f t="shared" si="0"/>
        <v>7423356</v>
      </c>
      <c r="P5" s="1100"/>
      <c r="Q5" s="1100"/>
      <c r="R5" s="1100"/>
      <c r="S5" s="1126"/>
    </row>
    <row r="6" spans="1:19" s="1093" customFormat="1" x14ac:dyDescent="0.25">
      <c r="A6" s="1089" t="s">
        <v>909</v>
      </c>
      <c r="B6" s="1090">
        <f>SUM(B7:B11)</f>
        <v>3671056</v>
      </c>
      <c r="C6" s="1090">
        <f t="shared" ref="C6:M6" si="1">SUM(C7:C11)</f>
        <v>3671056</v>
      </c>
      <c r="D6" s="1090">
        <f t="shared" si="1"/>
        <v>3671056</v>
      </c>
      <c r="E6" s="1090">
        <f t="shared" si="1"/>
        <v>3671056</v>
      </c>
      <c r="F6" s="1090">
        <f t="shared" si="1"/>
        <v>3671056</v>
      </c>
      <c r="G6" s="1090">
        <f t="shared" si="1"/>
        <v>3671056</v>
      </c>
      <c r="H6" s="1090">
        <f t="shared" si="1"/>
        <v>3671056</v>
      </c>
      <c r="I6" s="1090">
        <f t="shared" si="1"/>
        <v>3572257</v>
      </c>
      <c r="J6" s="1090">
        <f t="shared" si="1"/>
        <v>3458137</v>
      </c>
      <c r="K6" s="1090">
        <f t="shared" si="1"/>
        <v>3458137</v>
      </c>
      <c r="L6" s="1090">
        <f t="shared" si="1"/>
        <v>3458137</v>
      </c>
      <c r="M6" s="1091">
        <f t="shared" si="1"/>
        <v>3458110</v>
      </c>
      <c r="N6" s="1092">
        <f t="shared" si="0"/>
        <v>43102170</v>
      </c>
      <c r="P6" s="1127"/>
      <c r="Q6" s="1127"/>
      <c r="R6" s="1127"/>
      <c r="S6" s="1126"/>
    </row>
    <row r="7" spans="1:19" x14ac:dyDescent="0.25">
      <c r="A7" s="1085" t="s">
        <v>910</v>
      </c>
      <c r="B7" s="1086">
        <v>1692750</v>
      </c>
      <c r="C7" s="1086">
        <v>1692750</v>
      </c>
      <c r="D7" s="1086">
        <v>1692750</v>
      </c>
      <c r="E7" s="1086">
        <v>1692750</v>
      </c>
      <c r="F7" s="1086">
        <v>1692750</v>
      </c>
      <c r="G7" s="1086">
        <v>1692750</v>
      </c>
      <c r="H7" s="1086">
        <v>1692750</v>
      </c>
      <c r="I7" s="1086">
        <f>1692750-67662</f>
        <v>1625088</v>
      </c>
      <c r="J7" s="1086">
        <f>2059063-67662</f>
        <v>1991401</v>
      </c>
      <c r="K7" s="1086">
        <f>2059063-67662</f>
        <v>1991401</v>
      </c>
      <c r="L7" s="1086">
        <f>2059063-67662</f>
        <v>1991401</v>
      </c>
      <c r="M7" s="1087">
        <f>2059058-67665</f>
        <v>1991393</v>
      </c>
      <c r="N7" s="1088">
        <f t="shared" si="0"/>
        <v>21439934</v>
      </c>
      <c r="P7" s="1100"/>
      <c r="Q7" s="1100"/>
      <c r="R7" s="1100"/>
      <c r="S7" s="1126"/>
    </row>
    <row r="8" spans="1:19" x14ac:dyDescent="0.25">
      <c r="A8" s="1085" t="s">
        <v>911</v>
      </c>
      <c r="B8" s="1086">
        <v>505175</v>
      </c>
      <c r="C8" s="1086">
        <v>505175</v>
      </c>
      <c r="D8" s="1086">
        <v>505175</v>
      </c>
      <c r="E8" s="1086">
        <v>505175</v>
      </c>
      <c r="F8" s="1086">
        <v>505175</v>
      </c>
      <c r="G8" s="1086">
        <v>505175</v>
      </c>
      <c r="H8" s="1086">
        <v>505175</v>
      </c>
      <c r="I8" s="1086">
        <f>505175-6884</f>
        <v>498291</v>
      </c>
      <c r="J8" s="1086">
        <f>20393-6884</f>
        <v>13509</v>
      </c>
      <c r="K8" s="1086">
        <f>20393-6884</f>
        <v>13509</v>
      </c>
      <c r="L8" s="1086">
        <f>20393-6884</f>
        <v>13509</v>
      </c>
      <c r="M8" s="1087">
        <f>20389-6886</f>
        <v>13503</v>
      </c>
      <c r="N8" s="1088">
        <f t="shared" si="0"/>
        <v>4088546</v>
      </c>
      <c r="P8" s="1100"/>
      <c r="Q8" s="1100"/>
      <c r="R8" s="1100"/>
      <c r="S8" s="1126"/>
    </row>
    <row r="9" spans="1:19" x14ac:dyDescent="0.25">
      <c r="A9" s="1085" t="s">
        <v>912</v>
      </c>
      <c r="B9" s="1086">
        <v>565629</v>
      </c>
      <c r="C9" s="1086">
        <v>565629</v>
      </c>
      <c r="D9" s="1086">
        <v>565629</v>
      </c>
      <c r="E9" s="1086">
        <v>565629</v>
      </c>
      <c r="F9" s="1086">
        <v>565629</v>
      </c>
      <c r="G9" s="1086">
        <v>565629</v>
      </c>
      <c r="H9" s="1086">
        <v>565629</v>
      </c>
      <c r="I9" s="1086">
        <f>565629-9351</f>
        <v>556278</v>
      </c>
      <c r="J9" s="1086">
        <f>623777-9351</f>
        <v>614426</v>
      </c>
      <c r="K9" s="1086">
        <f>623777-9351</f>
        <v>614426</v>
      </c>
      <c r="L9" s="1086">
        <f>623777-9351</f>
        <v>614426</v>
      </c>
      <c r="M9" s="1087">
        <f>623772-9353</f>
        <v>614419</v>
      </c>
      <c r="N9" s="1088">
        <f t="shared" si="0"/>
        <v>6973378</v>
      </c>
      <c r="P9" s="1100"/>
      <c r="Q9" s="1100"/>
      <c r="R9" s="1100"/>
      <c r="S9" s="1126"/>
    </row>
    <row r="10" spans="1:19" x14ac:dyDescent="0.25">
      <c r="A10" s="1085" t="s">
        <v>913</v>
      </c>
      <c r="B10" s="1086">
        <v>839919</v>
      </c>
      <c r="C10" s="1086">
        <v>839919</v>
      </c>
      <c r="D10" s="1086">
        <v>839919</v>
      </c>
      <c r="E10" s="1086">
        <v>839919</v>
      </c>
      <c r="F10" s="1086">
        <v>839919</v>
      </c>
      <c r="G10" s="1086">
        <v>839919</v>
      </c>
      <c r="H10" s="1086">
        <v>839919</v>
      </c>
      <c r="I10" s="1086">
        <f>839919-13762</f>
        <v>826157</v>
      </c>
      <c r="J10" s="1086">
        <f>706109-13762</f>
        <v>692347</v>
      </c>
      <c r="K10" s="1086">
        <f>706109-13762</f>
        <v>692347</v>
      </c>
      <c r="L10" s="1086">
        <f>706109-13762</f>
        <v>692347</v>
      </c>
      <c r="M10" s="1087">
        <f>706109-13765</f>
        <v>692344</v>
      </c>
      <c r="N10" s="1088">
        <f t="shared" si="0"/>
        <v>9474975</v>
      </c>
      <c r="P10" s="1100"/>
      <c r="Q10" s="1100"/>
      <c r="R10" s="1100"/>
      <c r="S10" s="1126"/>
    </row>
    <row r="11" spans="1:19" x14ac:dyDescent="0.25">
      <c r="A11" s="1085" t="s">
        <v>914</v>
      </c>
      <c r="B11" s="1086">
        <v>67583</v>
      </c>
      <c r="C11" s="1086">
        <v>67583</v>
      </c>
      <c r="D11" s="1086">
        <v>67583</v>
      </c>
      <c r="E11" s="1086">
        <v>67583</v>
      </c>
      <c r="F11" s="1086">
        <v>67583</v>
      </c>
      <c r="G11" s="1086">
        <v>67583</v>
      </c>
      <c r="H11" s="1086">
        <v>67583</v>
      </c>
      <c r="I11" s="1086">
        <f>67583-1140</f>
        <v>66443</v>
      </c>
      <c r="J11" s="1086">
        <f>147594-1140</f>
        <v>146454</v>
      </c>
      <c r="K11" s="1086">
        <f>147594-1140</f>
        <v>146454</v>
      </c>
      <c r="L11" s="1086">
        <f>147594-1140</f>
        <v>146454</v>
      </c>
      <c r="M11" s="1087">
        <f>147591-1140</f>
        <v>146451</v>
      </c>
      <c r="N11" s="1088">
        <f t="shared" si="0"/>
        <v>1125337</v>
      </c>
      <c r="P11" s="1100"/>
      <c r="Q11" s="1100"/>
      <c r="R11" s="1100"/>
      <c r="S11" s="1126"/>
    </row>
    <row r="12" spans="1:19" x14ac:dyDescent="0.25">
      <c r="A12" s="1085" t="s">
        <v>915</v>
      </c>
      <c r="B12" s="1086">
        <v>281728</v>
      </c>
      <c r="C12" s="1086">
        <v>281728</v>
      </c>
      <c r="D12" s="1086">
        <v>281728</v>
      </c>
      <c r="E12" s="1086">
        <v>281728</v>
      </c>
      <c r="F12" s="1086">
        <v>281728</v>
      </c>
      <c r="G12" s="1086">
        <v>281728</v>
      </c>
      <c r="H12" s="1086">
        <v>281728</v>
      </c>
      <c r="I12" s="1086">
        <f>281728-5735</f>
        <v>275993</v>
      </c>
      <c r="J12" s="1086">
        <f>525598-5735</f>
        <v>519863</v>
      </c>
      <c r="K12" s="1086">
        <f>525598-5735</f>
        <v>519863</v>
      </c>
      <c r="L12" s="1086">
        <f>525598-5735</f>
        <v>519863</v>
      </c>
      <c r="M12" s="1087">
        <f>525598-5735</f>
        <v>519863</v>
      </c>
      <c r="N12" s="1088">
        <f t="shared" si="0"/>
        <v>4327541</v>
      </c>
      <c r="P12" s="1100"/>
      <c r="Q12" s="1100"/>
      <c r="R12" s="1100"/>
      <c r="S12" s="1126"/>
    </row>
    <row r="13" spans="1:19" x14ac:dyDescent="0.25">
      <c r="A13" s="1085" t="s">
        <v>916</v>
      </c>
      <c r="B13" s="1086">
        <v>324558</v>
      </c>
      <c r="C13" s="1086">
        <v>324558</v>
      </c>
      <c r="D13" s="1086">
        <v>324558</v>
      </c>
      <c r="E13" s="1086">
        <v>324558</v>
      </c>
      <c r="F13" s="1086">
        <v>324558</v>
      </c>
      <c r="G13" s="1086">
        <v>324558</v>
      </c>
      <c r="H13" s="1086">
        <v>324558</v>
      </c>
      <c r="I13" s="1086">
        <f>324558-5932</f>
        <v>318626</v>
      </c>
      <c r="J13" s="1086">
        <f>358612-5932</f>
        <v>352680</v>
      </c>
      <c r="K13" s="1086">
        <f>358612-5932</f>
        <v>352680</v>
      </c>
      <c r="L13" s="1086">
        <f>358612-5932</f>
        <v>352680</v>
      </c>
      <c r="M13" s="1087">
        <f>358614-5932</f>
        <v>352682</v>
      </c>
      <c r="N13" s="1088">
        <f t="shared" si="0"/>
        <v>4001254</v>
      </c>
      <c r="P13" s="1100"/>
      <c r="Q13" s="1100"/>
      <c r="R13" s="1100"/>
      <c r="S13" s="1126"/>
    </row>
    <row r="14" spans="1:19" s="1093" customFormat="1" x14ac:dyDescent="0.25">
      <c r="A14" s="1089" t="s">
        <v>917</v>
      </c>
      <c r="B14" s="1090">
        <f>SUM(B15:B24)</f>
        <v>5807052</v>
      </c>
      <c r="C14" s="1090">
        <f t="shared" ref="C14:M14" si="2">SUM(C15:C24)</f>
        <v>5807052</v>
      </c>
      <c r="D14" s="1090">
        <f t="shared" si="2"/>
        <v>5807052</v>
      </c>
      <c r="E14" s="1090">
        <f t="shared" si="2"/>
        <v>5807052</v>
      </c>
      <c r="F14" s="1090">
        <f t="shared" si="2"/>
        <v>4919552</v>
      </c>
      <c r="G14" s="1090">
        <f t="shared" si="2"/>
        <v>4919552</v>
      </c>
      <c r="H14" s="1090">
        <f t="shared" si="2"/>
        <v>3242044</v>
      </c>
      <c r="I14" s="1090">
        <f t="shared" si="2"/>
        <v>2891665</v>
      </c>
      <c r="J14" s="1090">
        <f t="shared" si="2"/>
        <v>2296234</v>
      </c>
      <c r="K14" s="1090">
        <f t="shared" si="2"/>
        <v>2296234</v>
      </c>
      <c r="L14" s="1090">
        <f t="shared" si="2"/>
        <v>2296234</v>
      </c>
      <c r="M14" s="1091">
        <f t="shared" si="2"/>
        <v>2296206</v>
      </c>
      <c r="N14" s="1092">
        <f t="shared" si="0"/>
        <v>48385929</v>
      </c>
      <c r="P14" s="1127"/>
      <c r="Q14" s="1127"/>
      <c r="R14" s="1127"/>
      <c r="S14" s="1126"/>
    </row>
    <row r="15" spans="1:19" x14ac:dyDescent="0.25">
      <c r="A15" s="1085" t="s">
        <v>918</v>
      </c>
      <c r="B15" s="1086">
        <v>910341</v>
      </c>
      <c r="C15" s="1086">
        <v>910341</v>
      </c>
      <c r="D15" s="1086">
        <v>910341</v>
      </c>
      <c r="E15" s="1086">
        <v>910341</v>
      </c>
      <c r="F15" s="1097">
        <f>910341-150000</f>
        <v>760341</v>
      </c>
      <c r="G15" s="1097">
        <f>910341-150000</f>
        <v>760341</v>
      </c>
      <c r="H15" s="1097">
        <f>910341-150000-392844</f>
        <v>367497</v>
      </c>
      <c r="I15" s="1097"/>
      <c r="J15" s="1097"/>
      <c r="K15" s="1097"/>
      <c r="L15" s="1097"/>
      <c r="M15" s="1098"/>
      <c r="N15" s="1088">
        <f t="shared" si="0"/>
        <v>5529543</v>
      </c>
      <c r="P15" s="1100"/>
      <c r="Q15" s="1094"/>
      <c r="R15" s="1094"/>
      <c r="S15" s="1126"/>
    </row>
    <row r="16" spans="1:19" x14ac:dyDescent="0.25">
      <c r="A16" s="1085" t="s">
        <v>919</v>
      </c>
      <c r="B16" s="1086">
        <v>1440833</v>
      </c>
      <c r="C16" s="1086">
        <v>1440833</v>
      </c>
      <c r="D16" s="1086">
        <v>1440833</v>
      </c>
      <c r="E16" s="1086">
        <v>1440833</v>
      </c>
      <c r="F16" s="1097">
        <f>1440833-200000</f>
        <v>1240833</v>
      </c>
      <c r="G16" s="1097">
        <f>1440833-200000</f>
        <v>1240833</v>
      </c>
      <c r="H16" s="1097">
        <f>1440833-200000</f>
        <v>1240833</v>
      </c>
      <c r="I16" s="1097">
        <f>1440833-200000-20569</f>
        <v>1220264</v>
      </c>
      <c r="J16" s="1097">
        <f>1199377-200000-20569</f>
        <v>978808</v>
      </c>
      <c r="K16" s="1097">
        <f>1199377-200000-20569</f>
        <v>978808</v>
      </c>
      <c r="L16" s="1097">
        <f>1199377-200000-20569</f>
        <v>978808</v>
      </c>
      <c r="M16" s="1098">
        <f>1199374-200000-20573</f>
        <v>978801</v>
      </c>
      <c r="N16" s="1088">
        <f t="shared" si="0"/>
        <v>14621320</v>
      </c>
      <c r="P16" s="1100"/>
      <c r="Q16" s="1094"/>
      <c r="R16" s="1094"/>
      <c r="S16" s="1126"/>
    </row>
    <row r="17" spans="1:19" x14ac:dyDescent="0.25">
      <c r="A17" s="1085" t="s">
        <v>920</v>
      </c>
      <c r="B17" s="1086">
        <v>56663</v>
      </c>
      <c r="C17" s="1086">
        <v>56663</v>
      </c>
      <c r="D17" s="1086">
        <v>56663</v>
      </c>
      <c r="E17" s="1086">
        <v>56663</v>
      </c>
      <c r="F17" s="1097">
        <v>56663</v>
      </c>
      <c r="G17" s="1097">
        <v>56663</v>
      </c>
      <c r="H17" s="1097">
        <v>56663</v>
      </c>
      <c r="I17" s="1097">
        <f>56663-543</f>
        <v>56120</v>
      </c>
      <c r="J17" s="1097">
        <f>62310-543</f>
        <v>61767</v>
      </c>
      <c r="K17" s="1097">
        <f>62310-543</f>
        <v>61767</v>
      </c>
      <c r="L17" s="1097">
        <f>62310-543</f>
        <v>61767</v>
      </c>
      <c r="M17" s="1098">
        <f>62308-547</f>
        <v>61761</v>
      </c>
      <c r="N17" s="1088">
        <f t="shared" si="0"/>
        <v>699823</v>
      </c>
      <c r="P17" s="1100"/>
      <c r="Q17" s="1100"/>
      <c r="R17" s="1100"/>
      <c r="S17" s="1126"/>
    </row>
    <row r="18" spans="1:19" x14ac:dyDescent="0.25">
      <c r="A18" s="1085" t="s">
        <v>921</v>
      </c>
      <c r="B18" s="1086">
        <v>171803</v>
      </c>
      <c r="C18" s="1086">
        <v>171803</v>
      </c>
      <c r="D18" s="1086">
        <v>171803</v>
      </c>
      <c r="E18" s="1086">
        <v>171803</v>
      </c>
      <c r="F18" s="1097">
        <v>171803</v>
      </c>
      <c r="G18" s="1097">
        <v>171803</v>
      </c>
      <c r="H18" s="1097">
        <v>171803</v>
      </c>
      <c r="I18" s="1097">
        <f>171803-2895</f>
        <v>168908</v>
      </c>
      <c r="J18" s="1097">
        <f>188545-2895</f>
        <v>185650</v>
      </c>
      <c r="K18" s="1097">
        <f>188545-2895</f>
        <v>185650</v>
      </c>
      <c r="L18" s="1097">
        <f>188545-2895</f>
        <v>185650</v>
      </c>
      <c r="M18" s="1098">
        <f>188542-2898</f>
        <v>185644</v>
      </c>
      <c r="N18" s="1088">
        <f t="shared" si="0"/>
        <v>2114123</v>
      </c>
      <c r="P18" s="1100"/>
      <c r="Q18" s="1100"/>
      <c r="R18" s="1100"/>
      <c r="S18" s="1126"/>
    </row>
    <row r="19" spans="1:19" x14ac:dyDescent="0.25">
      <c r="A19" s="1085" t="s">
        <v>922</v>
      </c>
      <c r="B19" s="1086">
        <v>1403194</v>
      </c>
      <c r="C19" s="1086">
        <v>1403194</v>
      </c>
      <c r="D19" s="1086">
        <v>1403194</v>
      </c>
      <c r="E19" s="1086">
        <v>1403194</v>
      </c>
      <c r="F19" s="1097">
        <f>1403194-410111</f>
        <v>993083</v>
      </c>
      <c r="G19" s="1097">
        <f>1403194-410111</f>
        <v>993083</v>
      </c>
      <c r="H19" s="1128"/>
      <c r="I19" s="1128"/>
      <c r="J19" s="1128"/>
      <c r="K19" s="1128"/>
      <c r="L19" s="1128"/>
      <c r="M19" s="1129"/>
      <c r="N19" s="1088">
        <f t="shared" si="0"/>
        <v>7598942</v>
      </c>
      <c r="P19" s="1100"/>
      <c r="Q19" s="1094"/>
      <c r="R19" s="1094"/>
      <c r="S19" s="1126"/>
    </row>
    <row r="20" spans="1:19" x14ac:dyDescent="0.25">
      <c r="A20" s="1085" t="s">
        <v>923</v>
      </c>
      <c r="B20" s="1086">
        <v>320368</v>
      </c>
      <c r="C20" s="1086">
        <v>320368</v>
      </c>
      <c r="D20" s="1086">
        <v>320368</v>
      </c>
      <c r="E20" s="1086">
        <v>320368</v>
      </c>
      <c r="F20" s="1097">
        <f>320368-98799</f>
        <v>221569</v>
      </c>
      <c r="G20" s="1097">
        <f>320368-98799</f>
        <v>221569</v>
      </c>
      <c r="H20" s="1128"/>
      <c r="I20" s="1128"/>
      <c r="J20" s="1128"/>
      <c r="K20" s="1128"/>
      <c r="L20" s="1128"/>
      <c r="M20" s="1129"/>
      <c r="N20" s="1088">
        <f t="shared" si="0"/>
        <v>1724610</v>
      </c>
      <c r="P20" s="1100"/>
      <c r="Q20" s="1094"/>
      <c r="R20" s="1094"/>
      <c r="S20" s="1126"/>
    </row>
    <row r="21" spans="1:19" x14ac:dyDescent="0.25">
      <c r="A21" s="1085" t="s">
        <v>924</v>
      </c>
      <c r="B21" s="1086">
        <v>98602</v>
      </c>
      <c r="C21" s="1086">
        <v>98602</v>
      </c>
      <c r="D21" s="1086">
        <v>98602</v>
      </c>
      <c r="E21" s="1086">
        <v>98602</v>
      </c>
      <c r="F21" s="1097">
        <f>98602-28590</f>
        <v>70012</v>
      </c>
      <c r="G21" s="1097">
        <f>98602-28590</f>
        <v>70012</v>
      </c>
      <c r="H21" s="1128"/>
      <c r="I21" s="1128"/>
      <c r="J21" s="1128"/>
      <c r="K21" s="1128"/>
      <c r="L21" s="1128"/>
      <c r="M21" s="1129"/>
      <c r="N21" s="1088">
        <f t="shared" si="0"/>
        <v>534432</v>
      </c>
      <c r="P21" s="1100"/>
      <c r="Q21" s="1094"/>
      <c r="R21" s="1094"/>
      <c r="S21" s="1126"/>
    </row>
    <row r="22" spans="1:19" x14ac:dyDescent="0.25">
      <c r="A22" s="1085" t="s">
        <v>925</v>
      </c>
      <c r="B22" s="1086">
        <v>756094</v>
      </c>
      <c r="C22" s="1086">
        <v>756094</v>
      </c>
      <c r="D22" s="1086">
        <v>756094</v>
      </c>
      <c r="E22" s="1086">
        <v>756094</v>
      </c>
      <c r="F22" s="1086">
        <v>756094</v>
      </c>
      <c r="G22" s="1086">
        <v>756094</v>
      </c>
      <c r="H22" s="1086">
        <v>756094</v>
      </c>
      <c r="I22" s="1086">
        <f>756094+56392</f>
        <v>812486</v>
      </c>
      <c r="J22" s="1086">
        <f>872136+56392</f>
        <v>928528</v>
      </c>
      <c r="K22" s="1086">
        <f>872136+56392</f>
        <v>928528</v>
      </c>
      <c r="L22" s="1086">
        <f>872136+56392</f>
        <v>928528</v>
      </c>
      <c r="M22" s="1087">
        <f>872131+56393</f>
        <v>928524</v>
      </c>
      <c r="N22" s="1088">
        <f t="shared" si="0"/>
        <v>9819252</v>
      </c>
      <c r="P22" s="1100"/>
      <c r="Q22" s="1100"/>
      <c r="R22" s="1126"/>
      <c r="S22" s="1126"/>
    </row>
    <row r="23" spans="1:19" s="1100" customFormat="1" x14ac:dyDescent="0.25">
      <c r="A23" s="1096" t="s">
        <v>926</v>
      </c>
      <c r="B23" s="1097">
        <v>625034</v>
      </c>
      <c r="C23" s="1097">
        <v>625034</v>
      </c>
      <c r="D23" s="1097">
        <v>625034</v>
      </c>
      <c r="E23" s="1097">
        <v>625034</v>
      </c>
      <c r="F23" s="1097">
        <v>625034</v>
      </c>
      <c r="G23" s="1097">
        <v>625034</v>
      </c>
      <c r="H23" s="1097">
        <v>625034</v>
      </c>
      <c r="I23" s="1097">
        <f>625034-12895</f>
        <v>612139</v>
      </c>
      <c r="J23" s="1097">
        <f>702101-583995-12895</f>
        <v>105211</v>
      </c>
      <c r="K23" s="1097">
        <f>702101-583995-12895</f>
        <v>105211</v>
      </c>
      <c r="L23" s="1097">
        <f>702101-583995-12895</f>
        <v>105211</v>
      </c>
      <c r="M23" s="1098">
        <f>702098-583996-12895</f>
        <v>105207</v>
      </c>
      <c r="N23" s="1099">
        <f t="shared" si="0"/>
        <v>5408217</v>
      </c>
      <c r="S23" s="1126"/>
    </row>
    <row r="24" spans="1:19" ht="15.75" thickBot="1" x14ac:dyDescent="0.3">
      <c r="A24" s="1101" t="s">
        <v>927</v>
      </c>
      <c r="B24" s="1102">
        <v>24120</v>
      </c>
      <c r="C24" s="1102">
        <v>24120</v>
      </c>
      <c r="D24" s="1102">
        <v>24120</v>
      </c>
      <c r="E24" s="1102">
        <v>24120</v>
      </c>
      <c r="F24" s="1102">
        <v>24120</v>
      </c>
      <c r="G24" s="1102">
        <v>24120</v>
      </c>
      <c r="H24" s="1102">
        <v>24120</v>
      </c>
      <c r="I24" s="1102">
        <f>24120-2372</f>
        <v>21748</v>
      </c>
      <c r="J24" s="1102">
        <f>38642-2372</f>
        <v>36270</v>
      </c>
      <c r="K24" s="1102">
        <f>38642-2372</f>
        <v>36270</v>
      </c>
      <c r="L24" s="1102">
        <f>38642-2372</f>
        <v>36270</v>
      </c>
      <c r="M24" s="1103">
        <f>38642-2373</f>
        <v>36269</v>
      </c>
      <c r="N24" s="1104">
        <f t="shared" si="0"/>
        <v>335667</v>
      </c>
      <c r="P24" s="1100"/>
      <c r="Q24" s="1100"/>
      <c r="R24" s="1100"/>
      <c r="S24" s="1126"/>
    </row>
    <row r="25" spans="1:19" s="1080" customFormat="1" ht="15.75" thickBot="1" x14ac:dyDescent="0.3">
      <c r="A25" s="1076" t="s">
        <v>568</v>
      </c>
      <c r="B25" s="1077">
        <f>SUM(B2:B6)+SUM(B12:B14)</f>
        <v>13909343</v>
      </c>
      <c r="C25" s="1077">
        <f t="shared" ref="C25:N25" si="3">SUM(C2:C6)+SUM(C12:C14)</f>
        <v>13909343</v>
      </c>
      <c r="D25" s="1077">
        <f t="shared" si="3"/>
        <v>13909343</v>
      </c>
      <c r="E25" s="1077">
        <f t="shared" si="3"/>
        <v>13909343</v>
      </c>
      <c r="F25" s="1077">
        <f t="shared" si="3"/>
        <v>13021843</v>
      </c>
      <c r="G25" s="1077">
        <f t="shared" si="3"/>
        <v>13021843</v>
      </c>
      <c r="H25" s="1077">
        <f t="shared" si="3"/>
        <v>11344335</v>
      </c>
      <c r="I25" s="1077">
        <f t="shared" si="3"/>
        <v>11153923</v>
      </c>
      <c r="J25" s="1077">
        <f t="shared" si="3"/>
        <v>11429993</v>
      </c>
      <c r="K25" s="1077">
        <f t="shared" si="3"/>
        <v>11429993</v>
      </c>
      <c r="L25" s="1077">
        <f t="shared" si="3"/>
        <v>11429993</v>
      </c>
      <c r="M25" s="1078">
        <f t="shared" si="3"/>
        <v>11429942</v>
      </c>
      <c r="N25" s="1079">
        <f t="shared" si="3"/>
        <v>149899237</v>
      </c>
      <c r="P25" s="1130"/>
      <c r="Q25" s="1130"/>
      <c r="R25" s="1130"/>
      <c r="S25" s="1126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Roman,Félkövér"&amp;12Martonvásár Város Önkormányzatától a Martongazda Nonprofit Kft. részére 
2020. évben működésre, karbantartásra átadandó pénzeszközök szakfeladatonkénti és havi bontásban</oddHeader>
  </headerFooter>
  <colBreaks count="1" manualBreakCount="1">
    <brk id="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B12" sqref="B12"/>
    </sheetView>
  </sheetViews>
  <sheetFormatPr defaultColWidth="8.85546875" defaultRowHeight="15" x14ac:dyDescent="0.25"/>
  <cols>
    <col min="1" max="1" width="32.7109375" style="1100" customWidth="1"/>
    <col min="2" max="7" width="12.28515625" style="1126" customWidth="1"/>
    <col min="8" max="8" width="12.28515625" style="1154" customWidth="1"/>
    <col min="9" max="9" width="9.85546875" style="1100" bestFit="1" customWidth="1"/>
    <col min="10" max="10" width="12.42578125" style="1100" bestFit="1" customWidth="1"/>
    <col min="11" max="16384" width="8.85546875" style="1100"/>
  </cols>
  <sheetData>
    <row r="1" spans="1:8" s="1137" customFormat="1" ht="15.75" thickBot="1" x14ac:dyDescent="0.3">
      <c r="A1" s="1132" t="s">
        <v>1030</v>
      </c>
      <c r="B1" s="1133" t="s">
        <v>441</v>
      </c>
      <c r="C1" s="1134" t="s">
        <v>904</v>
      </c>
      <c r="D1" s="1134" t="s">
        <v>442</v>
      </c>
      <c r="E1" s="1134" t="s">
        <v>443</v>
      </c>
      <c r="F1" s="1134" t="s">
        <v>444</v>
      </c>
      <c r="G1" s="1135" t="s">
        <v>445</v>
      </c>
      <c r="H1" s="1136" t="s">
        <v>179</v>
      </c>
    </row>
    <row r="2" spans="1:8" s="1142" customFormat="1" x14ac:dyDescent="0.25">
      <c r="A2" s="1155" t="s">
        <v>1031</v>
      </c>
      <c r="B2" s="1138">
        <v>1589324</v>
      </c>
      <c r="C2" s="1139">
        <v>1587644</v>
      </c>
      <c r="D2" s="1139">
        <v>2002151</v>
      </c>
      <c r="E2" s="1139">
        <v>1905027</v>
      </c>
      <c r="F2" s="1139">
        <v>1700223</v>
      </c>
      <c r="G2" s="1140">
        <v>1960034</v>
      </c>
      <c r="H2" s="1141">
        <f>SUM(B2:G2)</f>
        <v>10744403</v>
      </c>
    </row>
    <row r="3" spans="1:8" s="1142" customFormat="1" x14ac:dyDescent="0.25">
      <c r="A3" s="1156" t="s">
        <v>1032</v>
      </c>
      <c r="B3" s="1143">
        <v>932137</v>
      </c>
      <c r="C3" s="1144">
        <v>931151</v>
      </c>
      <c r="D3" s="1144">
        <v>1174260</v>
      </c>
      <c r="E3" s="1144">
        <v>1117297</v>
      </c>
      <c r="F3" s="1144">
        <v>997179</v>
      </c>
      <c r="G3" s="1145">
        <v>1149558</v>
      </c>
      <c r="H3" s="1146">
        <f>SUM(B3:G3)</f>
        <v>6301582</v>
      </c>
    </row>
    <row r="4" spans="1:8" s="1142" customFormat="1" x14ac:dyDescent="0.25">
      <c r="A4" s="1156" t="s">
        <v>1033</v>
      </c>
      <c r="B4" s="1143">
        <v>428034</v>
      </c>
      <c r="C4" s="1144">
        <v>427582</v>
      </c>
      <c r="D4" s="1144">
        <v>539216</v>
      </c>
      <c r="E4" s="1144">
        <v>513059</v>
      </c>
      <c r="F4" s="1144">
        <v>457902</v>
      </c>
      <c r="G4" s="1145">
        <v>527874</v>
      </c>
      <c r="H4" s="1146">
        <f>SUM(B4:G4)</f>
        <v>2893667</v>
      </c>
    </row>
    <row r="5" spans="1:8" s="1142" customFormat="1" ht="15.75" thickBot="1" x14ac:dyDescent="0.3">
      <c r="A5" s="1156" t="s">
        <v>1034</v>
      </c>
      <c r="B5" s="1147">
        <v>197268</v>
      </c>
      <c r="C5" s="1148">
        <v>197059</v>
      </c>
      <c r="D5" s="1148">
        <v>248508</v>
      </c>
      <c r="E5" s="1148">
        <v>236453</v>
      </c>
      <c r="F5" s="1148">
        <v>211032</v>
      </c>
      <c r="G5" s="1149">
        <v>243280</v>
      </c>
      <c r="H5" s="1146">
        <f>SUM(B5:G5)</f>
        <v>1333600</v>
      </c>
    </row>
    <row r="6" spans="1:8" s="1137" customFormat="1" ht="15.75" thickBot="1" x14ac:dyDescent="0.3">
      <c r="A6" s="1132" t="s">
        <v>568</v>
      </c>
      <c r="B6" s="1150">
        <f t="shared" ref="B6:H6" si="0">SUM(B2:B5)</f>
        <v>3146763</v>
      </c>
      <c r="C6" s="1151">
        <f t="shared" si="0"/>
        <v>3143436</v>
      </c>
      <c r="D6" s="1151">
        <f t="shared" si="0"/>
        <v>3964135</v>
      </c>
      <c r="E6" s="1151">
        <f t="shared" si="0"/>
        <v>3771836</v>
      </c>
      <c r="F6" s="1151">
        <f t="shared" si="0"/>
        <v>3366336</v>
      </c>
      <c r="G6" s="1152">
        <f t="shared" si="0"/>
        <v>3880746</v>
      </c>
      <c r="H6" s="1153">
        <f t="shared" si="0"/>
        <v>21273252</v>
      </c>
    </row>
    <row r="8" spans="1:8" x14ac:dyDescent="0.25">
      <c r="B8" s="1100"/>
      <c r="C8" s="1100"/>
      <c r="D8" s="1100"/>
      <c r="E8" s="1100"/>
      <c r="F8" s="1100"/>
      <c r="G8" s="1100"/>
    </row>
  </sheetData>
  <pageMargins left="0.70866141732283472" right="0.70866141732283472" top="0.97" bottom="0.74803149606299213" header="0.4" footer="0.31496062992125984"/>
  <pageSetup paperSize="9" orientation="landscape" r:id="rId1"/>
  <headerFooter>
    <oddHeader>&amp;C&amp;"Times New Roman,Félkövér"&amp;12Martonvásár Város Önkormányzatától a MartonSport Nonprofit Kft. részére 
2020. évben működésre átadandó pénzeszközök feladatonkénti és havi bontásban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zoomScaleNormal="100" workbookViewId="0">
      <selection activeCell="E79" activeCellId="1" sqref="E72 E79"/>
    </sheetView>
  </sheetViews>
  <sheetFormatPr defaultColWidth="9.140625" defaultRowHeight="12.75" x14ac:dyDescent="0.2"/>
  <cols>
    <col min="1" max="1" width="6.28515625" style="77" customWidth="1"/>
    <col min="2" max="2" width="57" style="74" customWidth="1"/>
    <col min="3" max="3" width="12.85546875" style="74" customWidth="1"/>
    <col min="4" max="4" width="12.7109375" style="74" bestFit="1" customWidth="1"/>
    <col min="5" max="5" width="12.42578125" style="74" customWidth="1"/>
    <col min="6" max="16384" width="9.140625" style="74"/>
  </cols>
  <sheetData>
    <row r="1" spans="1:7" ht="15.75" x14ac:dyDescent="0.25">
      <c r="A1" s="1167"/>
      <c r="B1" s="1167"/>
      <c r="C1" s="1167"/>
      <c r="D1" s="1167"/>
      <c r="E1" s="1167"/>
      <c r="G1" s="413"/>
    </row>
    <row r="2" spans="1:7" ht="11.25" customHeight="1" x14ac:dyDescent="0.2">
      <c r="B2" s="296"/>
      <c r="C2" s="1170" t="s">
        <v>380</v>
      </c>
      <c r="D2" s="1170"/>
      <c r="E2" s="1170"/>
    </row>
    <row r="3" spans="1:7" s="70" customFormat="1" ht="15" customHeight="1" x14ac:dyDescent="0.25">
      <c r="A3" s="1168" t="s">
        <v>0</v>
      </c>
      <c r="B3" s="1168" t="s">
        <v>181</v>
      </c>
      <c r="C3" s="1169" t="s">
        <v>836</v>
      </c>
      <c r="D3" s="1169"/>
      <c r="E3" s="1169"/>
    </row>
    <row r="4" spans="1:7" s="71" customFormat="1" ht="25.5" x14ac:dyDescent="0.25">
      <c r="A4" s="1168"/>
      <c r="B4" s="1168"/>
      <c r="C4" s="1067" t="s">
        <v>942</v>
      </c>
      <c r="D4" s="3" t="s">
        <v>694</v>
      </c>
      <c r="E4" s="3" t="s">
        <v>945</v>
      </c>
    </row>
    <row r="5" spans="1:7" s="73" customFormat="1" ht="12.75" customHeight="1" x14ac:dyDescent="0.2">
      <c r="A5" s="59" t="s">
        <v>1014</v>
      </c>
      <c r="B5" s="13" t="s">
        <v>193</v>
      </c>
      <c r="C5" s="325">
        <v>144360</v>
      </c>
      <c r="D5" s="325">
        <f>59+59</f>
        <v>118</v>
      </c>
      <c r="E5" s="325">
        <f t="shared" ref="E5:E68" si="0">+C5+D5</f>
        <v>144478</v>
      </c>
    </row>
    <row r="6" spans="1:7" s="73" customFormat="1" ht="12.75" customHeight="1" x14ac:dyDescent="0.2">
      <c r="A6" s="59" t="s">
        <v>195</v>
      </c>
      <c r="B6" s="54" t="s">
        <v>194</v>
      </c>
      <c r="C6" s="325">
        <v>153992</v>
      </c>
      <c r="D6" s="325"/>
      <c r="E6" s="325">
        <f t="shared" si="0"/>
        <v>153992</v>
      </c>
    </row>
    <row r="7" spans="1:7" s="73" customFormat="1" ht="12.75" customHeight="1" x14ac:dyDescent="0.2">
      <c r="A7" s="59" t="s">
        <v>197</v>
      </c>
      <c r="B7" s="54" t="s">
        <v>196</v>
      </c>
      <c r="C7" s="325">
        <v>207780</v>
      </c>
      <c r="D7" s="325">
        <f>2408+2411</f>
        <v>4819</v>
      </c>
      <c r="E7" s="325">
        <f t="shared" si="0"/>
        <v>212599</v>
      </c>
    </row>
    <row r="8" spans="1:7" ht="12.75" customHeight="1" x14ac:dyDescent="0.2">
      <c r="A8" s="59" t="s">
        <v>199</v>
      </c>
      <c r="B8" s="54" t="s">
        <v>198</v>
      </c>
      <c r="C8" s="325">
        <v>7752</v>
      </c>
      <c r="D8" s="325">
        <f>150+85+150+149</f>
        <v>534</v>
      </c>
      <c r="E8" s="325">
        <f t="shared" si="0"/>
        <v>8286</v>
      </c>
    </row>
    <row r="9" spans="1:7" s="75" customFormat="1" ht="12.75" customHeight="1" x14ac:dyDescent="0.2">
      <c r="A9" s="59" t="s">
        <v>200</v>
      </c>
      <c r="B9" s="54" t="s">
        <v>609</v>
      </c>
      <c r="C9" s="326">
        <v>0</v>
      </c>
      <c r="D9" s="326"/>
      <c r="E9" s="325">
        <f t="shared" si="0"/>
        <v>0</v>
      </c>
    </row>
    <row r="10" spans="1:7" s="75" customFormat="1" ht="12.75" customHeight="1" x14ac:dyDescent="0.2">
      <c r="A10" s="59" t="s">
        <v>201</v>
      </c>
      <c r="B10" s="54" t="s">
        <v>610</v>
      </c>
      <c r="C10" s="326"/>
      <c r="D10" s="326"/>
      <c r="E10" s="325"/>
    </row>
    <row r="11" spans="1:7" ht="12.75" customHeight="1" x14ac:dyDescent="0.2">
      <c r="A11" s="66" t="s">
        <v>202</v>
      </c>
      <c r="B11" s="55" t="s">
        <v>327</v>
      </c>
      <c r="C11" s="327">
        <f>SUM(C5:C10)</f>
        <v>513884</v>
      </c>
      <c r="D11" s="327">
        <f t="shared" ref="D11:E11" si="1">SUM(D5:D10)</f>
        <v>5471</v>
      </c>
      <c r="E11" s="327">
        <f t="shared" si="1"/>
        <v>519355</v>
      </c>
    </row>
    <row r="12" spans="1:7" ht="12.75" customHeight="1" x14ac:dyDescent="0.2">
      <c r="A12" s="454" t="s">
        <v>204</v>
      </c>
      <c r="B12" s="55" t="s">
        <v>203</v>
      </c>
      <c r="C12" s="327">
        <f>SUM(C13:C22)</f>
        <v>30608</v>
      </c>
      <c r="D12" s="327">
        <f t="shared" ref="D12:E12" si="2">SUM(D13:D22)</f>
        <v>10544</v>
      </c>
      <c r="E12" s="327">
        <f t="shared" si="2"/>
        <v>41152</v>
      </c>
    </row>
    <row r="13" spans="1:7" s="89" customFormat="1" ht="12.75" customHeight="1" x14ac:dyDescent="0.2">
      <c r="A13" s="86"/>
      <c r="B13" s="87" t="s">
        <v>328</v>
      </c>
      <c r="C13" s="328"/>
      <c r="D13" s="328"/>
      <c r="E13" s="325">
        <f t="shared" si="0"/>
        <v>0</v>
      </c>
    </row>
    <row r="14" spans="1:7" s="89" customFormat="1" ht="12.75" customHeight="1" x14ac:dyDescent="0.2">
      <c r="A14" s="86"/>
      <c r="B14" s="87" t="s">
        <v>318</v>
      </c>
      <c r="C14" s="328"/>
      <c r="D14" s="328"/>
      <c r="E14" s="325">
        <f t="shared" si="0"/>
        <v>0</v>
      </c>
    </row>
    <row r="15" spans="1:7" s="89" customFormat="1" ht="12.75" customHeight="1" x14ac:dyDescent="0.2">
      <c r="A15" s="86"/>
      <c r="B15" s="87" t="s">
        <v>319</v>
      </c>
      <c r="C15" s="328"/>
      <c r="D15" s="328"/>
      <c r="E15" s="325">
        <f t="shared" si="0"/>
        <v>0</v>
      </c>
    </row>
    <row r="16" spans="1:7" s="89" customFormat="1" ht="12.75" customHeight="1" x14ac:dyDescent="0.2">
      <c r="A16" s="86"/>
      <c r="B16" s="87" t="s">
        <v>320</v>
      </c>
      <c r="C16" s="328">
        <f>1080+280</f>
        <v>1360</v>
      </c>
      <c r="D16" s="328"/>
      <c r="E16" s="325">
        <f t="shared" si="0"/>
        <v>1360</v>
      </c>
    </row>
    <row r="17" spans="1:5" s="89" customFormat="1" ht="12.75" customHeight="1" x14ac:dyDescent="0.2">
      <c r="A17" s="86"/>
      <c r="B17" s="87" t="s">
        <v>321</v>
      </c>
      <c r="C17" s="328">
        <v>21456</v>
      </c>
      <c r="D17" s="328">
        <f>1175+588</f>
        <v>1763</v>
      </c>
      <c r="E17" s="325">
        <f t="shared" si="0"/>
        <v>23219</v>
      </c>
    </row>
    <row r="18" spans="1:5" s="89" customFormat="1" ht="12.75" customHeight="1" x14ac:dyDescent="0.2">
      <c r="A18" s="86"/>
      <c r="B18" s="87" t="s">
        <v>322</v>
      </c>
      <c r="C18" s="328">
        <v>246</v>
      </c>
      <c r="D18" s="328">
        <v>23</v>
      </c>
      <c r="E18" s="325">
        <f t="shared" si="0"/>
        <v>269</v>
      </c>
    </row>
    <row r="19" spans="1:5" s="89" customFormat="1" ht="12.75" customHeight="1" x14ac:dyDescent="0.2">
      <c r="A19" s="86"/>
      <c r="B19" s="87" t="s">
        <v>99</v>
      </c>
      <c r="C19" s="328"/>
      <c r="D19" s="328">
        <v>8758</v>
      </c>
      <c r="E19" s="325">
        <f t="shared" si="0"/>
        <v>8758</v>
      </c>
    </row>
    <row r="20" spans="1:5" s="89" customFormat="1" ht="12.75" customHeight="1" x14ac:dyDescent="0.2">
      <c r="A20" s="86"/>
      <c r="B20" s="87" t="s">
        <v>100</v>
      </c>
      <c r="C20" s="328">
        <v>7546</v>
      </c>
      <c r="D20" s="328"/>
      <c r="E20" s="325">
        <f t="shared" si="0"/>
        <v>7546</v>
      </c>
    </row>
    <row r="21" spans="1:5" s="89" customFormat="1" ht="12.75" customHeight="1" x14ac:dyDescent="0.2">
      <c r="A21" s="86"/>
      <c r="B21" s="87" t="s">
        <v>323</v>
      </c>
      <c r="C21" s="328"/>
      <c r="D21" s="328"/>
      <c r="E21" s="325">
        <f t="shared" si="0"/>
        <v>0</v>
      </c>
    </row>
    <row r="22" spans="1:5" s="89" customFormat="1" ht="12.75" customHeight="1" x14ac:dyDescent="0.2">
      <c r="A22" s="86"/>
      <c r="B22" s="87" t="s">
        <v>324</v>
      </c>
      <c r="C22" s="328"/>
      <c r="D22" s="328"/>
      <c r="E22" s="325">
        <f t="shared" si="0"/>
        <v>0</v>
      </c>
    </row>
    <row r="23" spans="1:5" ht="12.75" customHeight="1" x14ac:dyDescent="0.2">
      <c r="A23" s="66" t="s">
        <v>205</v>
      </c>
      <c r="B23" s="55" t="s">
        <v>325</v>
      </c>
      <c r="C23" s="327">
        <f>C11+C12</f>
        <v>544492</v>
      </c>
      <c r="D23" s="327">
        <f t="shared" ref="D23:E23" si="3">+D11+D12</f>
        <v>16015</v>
      </c>
      <c r="E23" s="327">
        <f t="shared" si="3"/>
        <v>560507</v>
      </c>
    </row>
    <row r="24" spans="1:5" ht="12.75" customHeight="1" x14ac:dyDescent="0.2">
      <c r="A24" s="59" t="s">
        <v>381</v>
      </c>
      <c r="B24" s="54" t="s">
        <v>382</v>
      </c>
      <c r="C24" s="325"/>
      <c r="D24" s="325"/>
      <c r="E24" s="325"/>
    </row>
    <row r="25" spans="1:5" ht="12.75" customHeight="1" x14ac:dyDescent="0.2">
      <c r="A25" s="59" t="s">
        <v>373</v>
      </c>
      <c r="B25" s="54" t="s">
        <v>374</v>
      </c>
      <c r="C25" s="325"/>
      <c r="D25" s="325"/>
      <c r="E25" s="325">
        <f t="shared" si="0"/>
        <v>0</v>
      </c>
    </row>
    <row r="26" spans="1:5" ht="12.75" customHeight="1" x14ac:dyDescent="0.2">
      <c r="A26" s="59" t="s">
        <v>207</v>
      </c>
      <c r="B26" s="54" t="s">
        <v>206</v>
      </c>
      <c r="C26" s="325">
        <f>SUM(C27:C36)</f>
        <v>117106</v>
      </c>
      <c r="D26" s="325">
        <f>SUM(D27:D36)</f>
        <v>0</v>
      </c>
      <c r="E26" s="325">
        <f t="shared" si="0"/>
        <v>117106</v>
      </c>
    </row>
    <row r="27" spans="1:5" s="89" customFormat="1" ht="12.75" customHeight="1" x14ac:dyDescent="0.2">
      <c r="A27" s="86"/>
      <c r="B27" s="87" t="s">
        <v>317</v>
      </c>
      <c r="C27" s="328"/>
      <c r="D27" s="328"/>
      <c r="E27" s="325">
        <f t="shared" si="0"/>
        <v>0</v>
      </c>
    </row>
    <row r="28" spans="1:5" s="89" customFormat="1" ht="12.75" customHeight="1" x14ac:dyDescent="0.2">
      <c r="A28" s="86"/>
      <c r="B28" s="87" t="s">
        <v>318</v>
      </c>
      <c r="C28" s="328"/>
      <c r="D28" s="328"/>
      <c r="E28" s="325">
        <f t="shared" si="0"/>
        <v>0</v>
      </c>
    </row>
    <row r="29" spans="1:5" s="89" customFormat="1" ht="30.75" customHeight="1" x14ac:dyDescent="0.2">
      <c r="A29" s="86"/>
      <c r="B29" s="87" t="s">
        <v>319</v>
      </c>
      <c r="C29" s="328">
        <f>50000+58309+8797</f>
        <v>117106</v>
      </c>
      <c r="D29" s="328"/>
      <c r="E29" s="325">
        <f t="shared" si="0"/>
        <v>117106</v>
      </c>
    </row>
    <row r="30" spans="1:5" s="89" customFormat="1" ht="12.75" customHeight="1" x14ac:dyDescent="0.2">
      <c r="A30" s="86"/>
      <c r="B30" s="87" t="s">
        <v>320</v>
      </c>
      <c r="C30" s="328"/>
      <c r="D30" s="328"/>
      <c r="E30" s="325">
        <f t="shared" si="0"/>
        <v>0</v>
      </c>
    </row>
    <row r="31" spans="1:5" s="89" customFormat="1" ht="12.75" customHeight="1" x14ac:dyDescent="0.2">
      <c r="A31" s="86"/>
      <c r="B31" s="87" t="s">
        <v>321</v>
      </c>
      <c r="C31" s="328"/>
      <c r="D31" s="328"/>
      <c r="E31" s="325">
        <f t="shared" si="0"/>
        <v>0</v>
      </c>
    </row>
    <row r="32" spans="1:5" s="89" customFormat="1" ht="12.75" customHeight="1" x14ac:dyDescent="0.2">
      <c r="A32" s="86"/>
      <c r="B32" s="87" t="s">
        <v>322</v>
      </c>
      <c r="C32" s="328"/>
      <c r="D32" s="328"/>
      <c r="E32" s="325">
        <f t="shared" si="0"/>
        <v>0</v>
      </c>
    </row>
    <row r="33" spans="1:5" s="89" customFormat="1" ht="12.75" customHeight="1" x14ac:dyDescent="0.2">
      <c r="A33" s="86"/>
      <c r="B33" s="87" t="s">
        <v>99</v>
      </c>
      <c r="C33" s="328"/>
      <c r="D33" s="328"/>
      <c r="E33" s="325">
        <f t="shared" si="0"/>
        <v>0</v>
      </c>
    </row>
    <row r="34" spans="1:5" s="89" customFormat="1" ht="12.75" customHeight="1" x14ac:dyDescent="0.2">
      <c r="A34" s="86"/>
      <c r="B34" s="87" t="s">
        <v>100</v>
      </c>
      <c r="C34" s="328"/>
      <c r="D34" s="328"/>
      <c r="E34" s="325">
        <f t="shared" si="0"/>
        <v>0</v>
      </c>
    </row>
    <row r="35" spans="1:5" s="89" customFormat="1" ht="12.75" customHeight="1" x14ac:dyDescent="0.2">
      <c r="A35" s="86"/>
      <c r="B35" s="87" t="s">
        <v>323</v>
      </c>
      <c r="C35" s="328"/>
      <c r="D35" s="328"/>
      <c r="E35" s="325">
        <f t="shared" si="0"/>
        <v>0</v>
      </c>
    </row>
    <row r="36" spans="1:5" s="89" customFormat="1" ht="12.75" customHeight="1" x14ac:dyDescent="0.2">
      <c r="A36" s="86"/>
      <c r="B36" s="87" t="s">
        <v>324</v>
      </c>
      <c r="C36" s="328"/>
      <c r="D36" s="328"/>
      <c r="E36" s="325">
        <f t="shared" si="0"/>
        <v>0</v>
      </c>
    </row>
    <row r="37" spans="1:5" ht="12.75" customHeight="1" x14ac:dyDescent="0.2">
      <c r="A37" s="66" t="s">
        <v>208</v>
      </c>
      <c r="B37" s="55" t="s">
        <v>326</v>
      </c>
      <c r="C37" s="327">
        <f>C24+C25+C26</f>
        <v>117106</v>
      </c>
      <c r="D37" s="327">
        <f t="shared" ref="D37:E37" si="4">+D26+D25+D24</f>
        <v>0</v>
      </c>
      <c r="E37" s="327">
        <f t="shared" si="4"/>
        <v>117106</v>
      </c>
    </row>
    <row r="38" spans="1:5" ht="12.75" customHeight="1" x14ac:dyDescent="0.2">
      <c r="A38" s="59" t="s">
        <v>210</v>
      </c>
      <c r="B38" s="54" t="s">
        <v>209</v>
      </c>
      <c r="C38" s="325"/>
      <c r="D38" s="325"/>
      <c r="E38" s="325">
        <f t="shared" si="0"/>
        <v>0</v>
      </c>
    </row>
    <row r="39" spans="1:5" ht="12.75" customHeight="1" x14ac:dyDescent="0.2">
      <c r="A39" s="59" t="s">
        <v>212</v>
      </c>
      <c r="B39" s="54" t="s">
        <v>211</v>
      </c>
      <c r="C39" s="325"/>
      <c r="D39" s="325"/>
      <c r="E39" s="325">
        <f t="shared" si="0"/>
        <v>0</v>
      </c>
    </row>
    <row r="40" spans="1:5" s="77" customFormat="1" ht="12.75" customHeight="1" x14ac:dyDescent="0.2">
      <c r="A40" s="66" t="s">
        <v>213</v>
      </c>
      <c r="B40" s="55" t="s">
        <v>329</v>
      </c>
      <c r="C40" s="327">
        <f>SUM(C38:C39)</f>
        <v>0</v>
      </c>
      <c r="D40" s="325"/>
      <c r="E40" s="325">
        <f t="shared" si="0"/>
        <v>0</v>
      </c>
    </row>
    <row r="41" spans="1:5" ht="12.75" customHeight="1" x14ac:dyDescent="0.2">
      <c r="A41" s="59" t="s">
        <v>215</v>
      </c>
      <c r="B41" s="54" t="s">
        <v>214</v>
      </c>
      <c r="C41" s="325"/>
      <c r="D41" s="325"/>
      <c r="E41" s="325">
        <f t="shared" si="0"/>
        <v>0</v>
      </c>
    </row>
    <row r="42" spans="1:5" ht="12.75" customHeight="1" x14ac:dyDescent="0.2">
      <c r="A42" s="59" t="s">
        <v>217</v>
      </c>
      <c r="B42" s="54" t="s">
        <v>216</v>
      </c>
      <c r="C42" s="325"/>
      <c r="D42" s="325"/>
      <c r="E42" s="325">
        <f t="shared" si="0"/>
        <v>0</v>
      </c>
    </row>
    <row r="43" spans="1:5" ht="12.75" customHeight="1" x14ac:dyDescent="0.2">
      <c r="A43" s="66" t="s">
        <v>219</v>
      </c>
      <c r="B43" s="55" t="s">
        <v>218</v>
      </c>
      <c r="C43" s="327">
        <f>SUM(C44:C46)</f>
        <v>157800</v>
      </c>
      <c r="D43" s="327">
        <f>+D44+D45+D46</f>
        <v>0</v>
      </c>
      <c r="E43" s="327">
        <f t="shared" si="0"/>
        <v>157800</v>
      </c>
    </row>
    <row r="44" spans="1:5" ht="12.75" customHeight="1" x14ac:dyDescent="0.2">
      <c r="A44" s="59"/>
      <c r="B44" s="87" t="s">
        <v>365</v>
      </c>
      <c r="C44" s="328">
        <v>31000</v>
      </c>
      <c r="D44" s="325"/>
      <c r="E44" s="325">
        <f t="shared" si="0"/>
        <v>31000</v>
      </c>
    </row>
    <row r="45" spans="1:5" ht="12.75" customHeight="1" x14ac:dyDescent="0.2">
      <c r="A45" s="59"/>
      <c r="B45" s="87" t="s">
        <v>366</v>
      </c>
      <c r="C45" s="328">
        <v>72000</v>
      </c>
      <c r="D45" s="325"/>
      <c r="E45" s="325">
        <f t="shared" si="0"/>
        <v>72000</v>
      </c>
    </row>
    <row r="46" spans="1:5" ht="12.75" customHeight="1" x14ac:dyDescent="0.2">
      <c r="A46" s="59"/>
      <c r="B46" s="87" t="s">
        <v>367</v>
      </c>
      <c r="C46" s="328">
        <v>54800</v>
      </c>
      <c r="D46" s="325"/>
      <c r="E46" s="325">
        <f t="shared" si="0"/>
        <v>54800</v>
      </c>
    </row>
    <row r="47" spans="1:5" s="73" customFormat="1" ht="12.75" customHeight="1" x14ac:dyDescent="0.2">
      <c r="A47" s="492" t="s">
        <v>221</v>
      </c>
      <c r="B47" s="55" t="s">
        <v>220</v>
      </c>
      <c r="C47" s="327">
        <v>149600</v>
      </c>
      <c r="D47" s="327"/>
      <c r="E47" s="327">
        <f t="shared" si="0"/>
        <v>149600</v>
      </c>
    </row>
    <row r="48" spans="1:5" ht="12.75" customHeight="1" x14ac:dyDescent="0.2">
      <c r="A48" s="59" t="s">
        <v>223</v>
      </c>
      <c r="B48" s="54" t="s">
        <v>222</v>
      </c>
      <c r="C48" s="325"/>
      <c r="D48" s="325"/>
      <c r="E48" s="325">
        <f t="shared" si="0"/>
        <v>0</v>
      </c>
    </row>
    <row r="49" spans="1:5" ht="12.75" customHeight="1" x14ac:dyDescent="0.2">
      <c r="A49" s="59" t="s">
        <v>225</v>
      </c>
      <c r="B49" s="54" t="s">
        <v>224</v>
      </c>
      <c r="C49" s="325"/>
      <c r="D49" s="325"/>
      <c r="E49" s="325">
        <f t="shared" si="0"/>
        <v>0</v>
      </c>
    </row>
    <row r="50" spans="1:5" ht="12.75" customHeight="1" x14ac:dyDescent="0.2">
      <c r="A50" s="59" t="s">
        <v>227</v>
      </c>
      <c r="B50" s="54" t="s">
        <v>226</v>
      </c>
      <c r="C50" s="325">
        <v>19000</v>
      </c>
      <c r="D50" s="325"/>
      <c r="E50" s="325">
        <f t="shared" si="0"/>
        <v>19000</v>
      </c>
    </row>
    <row r="51" spans="1:5" ht="12.75" customHeight="1" x14ac:dyDescent="0.2">
      <c r="A51" s="59" t="s">
        <v>229</v>
      </c>
      <c r="B51" s="54" t="s">
        <v>228</v>
      </c>
      <c r="C51" s="325"/>
      <c r="D51" s="325"/>
      <c r="E51" s="325">
        <f t="shared" si="0"/>
        <v>0</v>
      </c>
    </row>
    <row r="52" spans="1:5" ht="12.75" customHeight="1" x14ac:dyDescent="0.2">
      <c r="A52" s="66" t="s">
        <v>230</v>
      </c>
      <c r="B52" s="55" t="s">
        <v>330</v>
      </c>
      <c r="C52" s="327">
        <f>SUM(C47:C51)</f>
        <v>168600</v>
      </c>
      <c r="D52" s="327">
        <f>+D51+D50+D49+D48+D47</f>
        <v>0</v>
      </c>
      <c r="E52" s="327">
        <f t="shared" si="0"/>
        <v>168600</v>
      </c>
    </row>
    <row r="53" spans="1:5" ht="12.75" customHeight="1" x14ac:dyDescent="0.2">
      <c r="A53" s="66" t="s">
        <v>232</v>
      </c>
      <c r="B53" s="55" t="s">
        <v>231</v>
      </c>
      <c r="C53" s="327">
        <v>18459</v>
      </c>
      <c r="D53" s="327"/>
      <c r="E53" s="327">
        <f t="shared" si="0"/>
        <v>18459</v>
      </c>
    </row>
    <row r="54" spans="1:5" ht="12.75" customHeight="1" x14ac:dyDescent="0.2">
      <c r="A54" s="66" t="s">
        <v>233</v>
      </c>
      <c r="B54" s="55" t="s">
        <v>331</v>
      </c>
      <c r="C54" s="327">
        <f>C40+C43+C52+C53</f>
        <v>344859</v>
      </c>
      <c r="D54" s="327">
        <f t="shared" ref="D54:E54" si="5">+D53+D52+D40+D41+D42+D43</f>
        <v>0</v>
      </c>
      <c r="E54" s="327">
        <f t="shared" si="5"/>
        <v>344859</v>
      </c>
    </row>
    <row r="55" spans="1:5" ht="12.75" customHeight="1" x14ac:dyDescent="0.2">
      <c r="A55" s="59" t="s">
        <v>235</v>
      </c>
      <c r="B55" s="54" t="s">
        <v>234</v>
      </c>
      <c r="C55" s="325"/>
      <c r="D55" s="325"/>
      <c r="E55" s="325">
        <f t="shared" si="0"/>
        <v>0</v>
      </c>
    </row>
    <row r="56" spans="1:5" ht="12.75" customHeight="1" x14ac:dyDescent="0.2">
      <c r="A56" s="59" t="s">
        <v>237</v>
      </c>
      <c r="B56" s="54" t="s">
        <v>236</v>
      </c>
      <c r="C56" s="325">
        <f>275+21557</f>
        <v>21832</v>
      </c>
      <c r="D56" s="325">
        <v>9449</v>
      </c>
      <c r="E56" s="325">
        <f t="shared" si="0"/>
        <v>31281</v>
      </c>
    </row>
    <row r="57" spans="1:5" ht="12.75" customHeight="1" x14ac:dyDescent="0.2">
      <c r="A57" s="59" t="s">
        <v>239</v>
      </c>
      <c r="B57" s="54" t="s">
        <v>238</v>
      </c>
      <c r="C57" s="325">
        <v>500</v>
      </c>
      <c r="D57" s="325"/>
      <c r="E57" s="325">
        <f t="shared" si="0"/>
        <v>500</v>
      </c>
    </row>
    <row r="58" spans="1:5" ht="12.75" customHeight="1" x14ac:dyDescent="0.2">
      <c r="A58" s="59" t="s">
        <v>241</v>
      </c>
      <c r="B58" s="54" t="s">
        <v>240</v>
      </c>
      <c r="C58" s="325">
        <f>18248+4431+480</f>
        <v>23159</v>
      </c>
      <c r="D58" s="325"/>
      <c r="E58" s="325">
        <f t="shared" si="0"/>
        <v>23159</v>
      </c>
    </row>
    <row r="59" spans="1:5" ht="12.75" customHeight="1" x14ac:dyDescent="0.2">
      <c r="A59" s="59" t="s">
        <v>243</v>
      </c>
      <c r="B59" s="54" t="s">
        <v>242</v>
      </c>
      <c r="C59" s="325"/>
      <c r="D59" s="325"/>
      <c r="E59" s="325"/>
    </row>
    <row r="60" spans="1:5" ht="12.75" customHeight="1" x14ac:dyDescent="0.2">
      <c r="A60" s="59" t="s">
        <v>245</v>
      </c>
      <c r="B60" s="54" t="s">
        <v>244</v>
      </c>
      <c r="C60" s="325">
        <v>10956</v>
      </c>
      <c r="D60" s="325">
        <v>2551</v>
      </c>
      <c r="E60" s="325">
        <f t="shared" si="0"/>
        <v>13507</v>
      </c>
    </row>
    <row r="61" spans="1:5" ht="12.75" customHeight="1" x14ac:dyDescent="0.2">
      <c r="A61" s="59" t="s">
        <v>247</v>
      </c>
      <c r="B61" s="54" t="s">
        <v>246</v>
      </c>
      <c r="C61" s="325">
        <v>6133</v>
      </c>
      <c r="D61" s="325"/>
      <c r="E61" s="325">
        <f t="shared" si="0"/>
        <v>6133</v>
      </c>
    </row>
    <row r="62" spans="1:5" ht="12.75" customHeight="1" x14ac:dyDescent="0.2">
      <c r="A62" s="59" t="s">
        <v>249</v>
      </c>
      <c r="B62" s="54" t="s">
        <v>248</v>
      </c>
      <c r="C62" s="325"/>
      <c r="D62" s="325"/>
      <c r="E62" s="325">
        <f t="shared" si="0"/>
        <v>0</v>
      </c>
    </row>
    <row r="63" spans="1:5" ht="12.75" customHeight="1" x14ac:dyDescent="0.2">
      <c r="A63" s="59" t="s">
        <v>251</v>
      </c>
      <c r="B63" s="54" t="s">
        <v>250</v>
      </c>
      <c r="C63" s="325"/>
      <c r="D63" s="325"/>
      <c r="E63" s="325">
        <f t="shared" si="0"/>
        <v>0</v>
      </c>
    </row>
    <row r="64" spans="1:5" ht="12.75" customHeight="1" x14ac:dyDescent="0.2">
      <c r="A64" s="59" t="s">
        <v>608</v>
      </c>
      <c r="B64" s="54" t="s">
        <v>252</v>
      </c>
      <c r="C64" s="325">
        <v>3624</v>
      </c>
      <c r="D64" s="325"/>
      <c r="E64" s="325">
        <f t="shared" si="0"/>
        <v>3624</v>
      </c>
    </row>
    <row r="65" spans="1:5" ht="12.75" customHeight="1" x14ac:dyDescent="0.2">
      <c r="A65" s="66" t="s">
        <v>253</v>
      </c>
      <c r="B65" s="55" t="s">
        <v>276</v>
      </c>
      <c r="C65" s="327">
        <f>SUM(C55:C64)</f>
        <v>66204</v>
      </c>
      <c r="D65" s="327">
        <f t="shared" ref="D65:E65" si="6">SUM(D55:D64)</f>
        <v>12000</v>
      </c>
      <c r="E65" s="327">
        <f t="shared" si="6"/>
        <v>78204</v>
      </c>
    </row>
    <row r="66" spans="1:5" ht="12.75" customHeight="1" x14ac:dyDescent="0.2">
      <c r="A66" s="66" t="s">
        <v>254</v>
      </c>
      <c r="B66" s="55" t="s">
        <v>275</v>
      </c>
      <c r="C66" s="327">
        <f>10000+23000</f>
        <v>33000</v>
      </c>
      <c r="D66" s="325"/>
      <c r="E66" s="327">
        <f t="shared" si="0"/>
        <v>33000</v>
      </c>
    </row>
    <row r="67" spans="1:5" ht="12.75" customHeight="1" x14ac:dyDescent="0.2">
      <c r="A67" s="59" t="s">
        <v>612</v>
      </c>
      <c r="B67" s="54" t="s">
        <v>495</v>
      </c>
      <c r="C67" s="325"/>
      <c r="D67" s="325"/>
      <c r="E67" s="325"/>
    </row>
    <row r="68" spans="1:5" ht="12.75" customHeight="1" x14ac:dyDescent="0.2">
      <c r="A68" s="59" t="s">
        <v>611</v>
      </c>
      <c r="B68" s="54" t="s">
        <v>255</v>
      </c>
      <c r="C68" s="325">
        <v>43</v>
      </c>
      <c r="D68" s="325"/>
      <c r="E68" s="325">
        <f t="shared" si="0"/>
        <v>43</v>
      </c>
    </row>
    <row r="69" spans="1:5" ht="12.75" customHeight="1" x14ac:dyDescent="0.2">
      <c r="A69" s="66" t="s">
        <v>257</v>
      </c>
      <c r="B69" s="55" t="s">
        <v>274</v>
      </c>
      <c r="C69" s="327">
        <f>SUM(C67:C68)</f>
        <v>43</v>
      </c>
      <c r="D69" s="327">
        <f t="shared" ref="D69:E69" si="7">+D68+D67</f>
        <v>0</v>
      </c>
      <c r="E69" s="327">
        <f t="shared" si="7"/>
        <v>43</v>
      </c>
    </row>
    <row r="70" spans="1:5" ht="12.75" customHeight="1" x14ac:dyDescent="0.2">
      <c r="A70" s="59" t="s">
        <v>613</v>
      </c>
      <c r="B70" s="54" t="s">
        <v>258</v>
      </c>
      <c r="C70" s="325"/>
      <c r="D70" s="325">
        <v>960</v>
      </c>
      <c r="E70" s="325">
        <f t="shared" ref="E70:E78" si="8">+C70+D70</f>
        <v>960</v>
      </c>
    </row>
    <row r="71" spans="1:5" ht="12.75" customHeight="1" x14ac:dyDescent="0.2">
      <c r="A71" s="66" t="s">
        <v>260</v>
      </c>
      <c r="B71" s="55" t="s">
        <v>279</v>
      </c>
      <c r="C71" s="327">
        <f>SUM(C70)</f>
        <v>0</v>
      </c>
      <c r="D71" s="327">
        <f>SUM(D70)</f>
        <v>960</v>
      </c>
      <c r="E71" s="325">
        <f t="shared" si="8"/>
        <v>960</v>
      </c>
    </row>
    <row r="72" spans="1:5" ht="12.75" customHeight="1" x14ac:dyDescent="0.2">
      <c r="A72" s="66" t="s">
        <v>261</v>
      </c>
      <c r="B72" s="55" t="s">
        <v>272</v>
      </c>
      <c r="C72" s="327">
        <f>C23+C37+C54+C65+C66+C69+C71</f>
        <v>1105704</v>
      </c>
      <c r="D72" s="327">
        <f t="shared" ref="D72:E72" si="9">+D71+D69+D66+D65+D54+D37+D23</f>
        <v>28975</v>
      </c>
      <c r="E72" s="327">
        <f t="shared" si="9"/>
        <v>1134679</v>
      </c>
    </row>
    <row r="73" spans="1:5" ht="12.75" customHeight="1" x14ac:dyDescent="0.2">
      <c r="A73" s="58" t="s">
        <v>554</v>
      </c>
      <c r="B73" s="615" t="s">
        <v>553</v>
      </c>
      <c r="C73" s="325"/>
      <c r="D73" s="327"/>
      <c r="E73" s="327">
        <f t="shared" si="8"/>
        <v>0</v>
      </c>
    </row>
    <row r="74" spans="1:5" s="73" customFormat="1" ht="12.75" customHeight="1" x14ac:dyDescent="0.2">
      <c r="A74" s="58" t="s">
        <v>674</v>
      </c>
      <c r="B74" s="615" t="s">
        <v>673</v>
      </c>
      <c r="C74" s="327"/>
      <c r="D74" s="327"/>
      <c r="E74" s="327">
        <f t="shared" si="8"/>
        <v>0</v>
      </c>
    </row>
    <row r="75" spans="1:5" x14ac:dyDescent="0.2">
      <c r="A75" s="64" t="s">
        <v>269</v>
      </c>
      <c r="B75" s="54" t="s">
        <v>268</v>
      </c>
      <c r="C75" s="329">
        <f>C76+C77</f>
        <v>1267130</v>
      </c>
      <c r="D75" s="329">
        <f>+D76+D77</f>
        <v>0</v>
      </c>
      <c r="E75" s="325">
        <f t="shared" si="8"/>
        <v>1267130</v>
      </c>
    </row>
    <row r="76" spans="1:5" s="89" customFormat="1" x14ac:dyDescent="0.2">
      <c r="A76" s="134"/>
      <c r="B76" s="113" t="s">
        <v>387</v>
      </c>
      <c r="C76" s="328">
        <v>228485</v>
      </c>
      <c r="D76" s="325"/>
      <c r="E76" s="325">
        <f t="shared" si="8"/>
        <v>228485</v>
      </c>
    </row>
    <row r="77" spans="1:5" s="89" customFormat="1" x14ac:dyDescent="0.2">
      <c r="A77" s="134"/>
      <c r="B77" s="113" t="s">
        <v>388</v>
      </c>
      <c r="C77" s="328">
        <v>1038645</v>
      </c>
      <c r="D77" s="325"/>
      <c r="E77" s="325">
        <f t="shared" si="8"/>
        <v>1038645</v>
      </c>
    </row>
    <row r="78" spans="1:5" x14ac:dyDescent="0.2">
      <c r="A78" s="65" t="s">
        <v>270</v>
      </c>
      <c r="B78" s="65" t="s">
        <v>332</v>
      </c>
      <c r="C78" s="327">
        <f>C75</f>
        <v>1267130</v>
      </c>
      <c r="D78" s="327">
        <f>+D75</f>
        <v>0</v>
      </c>
      <c r="E78" s="327">
        <f t="shared" si="8"/>
        <v>1267130</v>
      </c>
    </row>
    <row r="79" spans="1:5" x14ac:dyDescent="0.2">
      <c r="A79" s="65" t="s">
        <v>271</v>
      </c>
      <c r="B79" s="58" t="s">
        <v>333</v>
      </c>
      <c r="C79" s="327">
        <f>C74+C78</f>
        <v>1267130</v>
      </c>
      <c r="D79" s="327">
        <f t="shared" ref="D79:E79" si="10">+D78+D74</f>
        <v>0</v>
      </c>
      <c r="E79" s="327">
        <f t="shared" si="10"/>
        <v>1267130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69" orientation="portrait" cellComments="asDisplayed" errors="blank" r:id="rId1"/>
  <headerFooter>
    <oddHeader>&amp;C&amp;"Times New Roman,Félkövér"&amp;12Martonvásár Város Önkormányzatának bevételei 2020.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workbookViewId="0">
      <selection activeCell="C10" sqref="C10"/>
    </sheetView>
  </sheetViews>
  <sheetFormatPr defaultColWidth="9.140625" defaultRowHeight="15" x14ac:dyDescent="0.25"/>
  <cols>
    <col min="1" max="1" width="43.42578125" style="383" customWidth="1"/>
    <col min="2" max="2" width="15.42578125" style="383" customWidth="1"/>
    <col min="3" max="3" width="13" style="383" customWidth="1"/>
    <col min="4" max="4" width="14.42578125" style="383" customWidth="1"/>
    <col min="5" max="16384" width="9.140625" style="383"/>
  </cols>
  <sheetData>
    <row r="1" spans="1:4" ht="15.75" thickBot="1" x14ac:dyDescent="0.3">
      <c r="D1" s="662" t="s">
        <v>380</v>
      </c>
    </row>
    <row r="2" spans="1:4" x14ac:dyDescent="0.25">
      <c r="A2" s="1171" t="s">
        <v>512</v>
      </c>
      <c r="B2" s="1172"/>
      <c r="C2" s="1173"/>
      <c r="D2" s="1174"/>
    </row>
    <row r="3" spans="1:4" ht="15.75" thickBot="1" x14ac:dyDescent="0.3">
      <c r="A3" s="561"/>
      <c r="B3" s="562"/>
      <c r="C3" s="563"/>
      <c r="D3" s="564"/>
    </row>
    <row r="4" spans="1:4" s="414" customFormat="1" ht="27.75" customHeight="1" x14ac:dyDescent="0.25">
      <c r="A4" s="947" t="s">
        <v>278</v>
      </c>
      <c r="B4" s="667" t="s">
        <v>889</v>
      </c>
      <c r="C4" s="668" t="s">
        <v>694</v>
      </c>
      <c r="D4" s="669" t="s">
        <v>944</v>
      </c>
    </row>
    <row r="5" spans="1:4" x14ac:dyDescent="0.25">
      <c r="A5" s="384" t="s">
        <v>618</v>
      </c>
      <c r="B5" s="385">
        <f>4*270</f>
        <v>1080</v>
      </c>
      <c r="C5" s="502"/>
      <c r="D5" s="503">
        <f>B5+C5</f>
        <v>1080</v>
      </c>
    </row>
    <row r="6" spans="1:4" x14ac:dyDescent="0.25">
      <c r="A6" s="384" t="s">
        <v>619</v>
      </c>
      <c r="B6" s="385">
        <v>246</v>
      </c>
      <c r="C6" s="502">
        <v>23</v>
      </c>
      <c r="D6" s="503">
        <f t="shared" ref="D6:D12" si="0">B6+C6</f>
        <v>269</v>
      </c>
    </row>
    <row r="7" spans="1:4" x14ac:dyDescent="0.25">
      <c r="A7" s="384" t="s">
        <v>837</v>
      </c>
      <c r="B7" s="385"/>
      <c r="C7" s="502"/>
      <c r="D7" s="503">
        <f t="shared" si="0"/>
        <v>0</v>
      </c>
    </row>
    <row r="8" spans="1:4" x14ac:dyDescent="0.25">
      <c r="A8" s="384" t="s">
        <v>813</v>
      </c>
      <c r="B8" s="979">
        <v>7546</v>
      </c>
      <c r="C8" s="506"/>
      <c r="D8" s="503">
        <f t="shared" si="0"/>
        <v>7546</v>
      </c>
    </row>
    <row r="9" spans="1:4" x14ac:dyDescent="0.25">
      <c r="A9" s="384" t="s">
        <v>620</v>
      </c>
      <c r="B9" s="979">
        <v>21456</v>
      </c>
      <c r="C9" s="506">
        <f>1175+588</f>
        <v>1763</v>
      </c>
      <c r="D9" s="503">
        <f t="shared" si="0"/>
        <v>23219</v>
      </c>
    </row>
    <row r="10" spans="1:4" x14ac:dyDescent="0.25">
      <c r="A10" s="509" t="s">
        <v>621</v>
      </c>
      <c r="B10" s="510">
        <v>280</v>
      </c>
      <c r="C10" s="506"/>
      <c r="D10" s="503">
        <f t="shared" si="0"/>
        <v>280</v>
      </c>
    </row>
    <row r="11" spans="1:4" x14ac:dyDescent="0.25">
      <c r="A11" s="568" t="s">
        <v>838</v>
      </c>
      <c r="B11" s="502">
        <v>0</v>
      </c>
      <c r="C11" s="506"/>
      <c r="D11" s="503">
        <f t="shared" si="0"/>
        <v>0</v>
      </c>
    </row>
    <row r="12" spans="1:4" x14ac:dyDescent="0.25">
      <c r="A12" s="568" t="s">
        <v>1001</v>
      </c>
      <c r="B12" s="502"/>
      <c r="C12" s="502">
        <v>8758</v>
      </c>
      <c r="D12" s="503">
        <f t="shared" si="0"/>
        <v>8758</v>
      </c>
    </row>
    <row r="13" spans="1:4" x14ac:dyDescent="0.25">
      <c r="A13" s="948" t="s">
        <v>733</v>
      </c>
      <c r="B13" s="942">
        <f>SUM(B5:B12)</f>
        <v>30608</v>
      </c>
      <c r="C13" s="942">
        <f>SUM(C5:C12)</f>
        <v>10544</v>
      </c>
      <c r="D13" s="946">
        <f>SUM(D5:D12)</f>
        <v>41152</v>
      </c>
    </row>
    <row r="14" spans="1:4" x14ac:dyDescent="0.25">
      <c r="A14" s="568"/>
      <c r="B14" s="502"/>
      <c r="C14" s="506"/>
      <c r="D14" s="503"/>
    </row>
    <row r="15" spans="1:4" x14ac:dyDescent="0.25">
      <c r="A15" s="384" t="s">
        <v>756</v>
      </c>
      <c r="B15" s="944">
        <v>0</v>
      </c>
      <c r="C15" s="506"/>
      <c r="D15" s="503">
        <f t="shared" ref="D15" si="1">B15+C15</f>
        <v>0</v>
      </c>
    </row>
    <row r="16" spans="1:4" x14ac:dyDescent="0.25">
      <c r="A16" s="943" t="s">
        <v>795</v>
      </c>
      <c r="B16" s="945">
        <f>SUM(B15:B15)</f>
        <v>0</v>
      </c>
      <c r="C16" s="945">
        <f>SUM(C15:C15)</f>
        <v>0</v>
      </c>
      <c r="D16" s="980">
        <f>SUM(D15:D15)</f>
        <v>0</v>
      </c>
    </row>
    <row r="17" spans="1:4" x14ac:dyDescent="0.25">
      <c r="A17" s="504"/>
      <c r="B17" s="505"/>
      <c r="C17" s="506"/>
      <c r="D17" s="981"/>
    </row>
    <row r="18" spans="1:4" ht="15.75" thickBot="1" x14ac:dyDescent="0.3">
      <c r="A18" s="507" t="s">
        <v>179</v>
      </c>
      <c r="B18" s="508">
        <f>B13+B16</f>
        <v>30608</v>
      </c>
      <c r="C18" s="508">
        <f>C13+C16</f>
        <v>10544</v>
      </c>
      <c r="D18" s="982">
        <f>D13+D16</f>
        <v>41152</v>
      </c>
    </row>
    <row r="19" spans="1:4" x14ac:dyDescent="0.25">
      <c r="A19" s="390"/>
      <c r="B19" s="390"/>
      <c r="C19" s="391"/>
      <c r="D19" s="391"/>
    </row>
    <row r="20" spans="1:4" ht="15.75" thickBot="1" x14ac:dyDescent="0.3">
      <c r="A20" s="392"/>
      <c r="B20" s="392"/>
      <c r="C20" s="392"/>
      <c r="D20" s="393"/>
    </row>
    <row r="21" spans="1:4" x14ac:dyDescent="0.25">
      <c r="A21" s="1171" t="s">
        <v>513</v>
      </c>
      <c r="B21" s="1172"/>
      <c r="C21" s="1173"/>
      <c r="D21" s="1174"/>
    </row>
    <row r="22" spans="1:4" ht="15.75" thickBot="1" x14ac:dyDescent="0.3">
      <c r="A22" s="561"/>
      <c r="B22" s="562"/>
      <c r="C22" s="563"/>
      <c r="D22" s="564"/>
    </row>
    <row r="23" spans="1:4" ht="26.25" x14ac:dyDescent="0.25">
      <c r="A23" s="560" t="s">
        <v>278</v>
      </c>
      <c r="B23" s="667" t="s">
        <v>889</v>
      </c>
      <c r="C23" s="668" t="s">
        <v>694</v>
      </c>
      <c r="D23" s="669" t="s">
        <v>944</v>
      </c>
    </row>
    <row r="24" spans="1:4" x14ac:dyDescent="0.25">
      <c r="A24" s="384" t="s">
        <v>757</v>
      </c>
      <c r="B24" s="385">
        <v>50000</v>
      </c>
      <c r="C24" s="386"/>
      <c r="D24" s="387">
        <f>B24+C24</f>
        <v>50000</v>
      </c>
    </row>
    <row r="25" spans="1:4" s="414" customFormat="1" ht="15.75" customHeight="1" x14ac:dyDescent="0.25">
      <c r="A25" s="384" t="s">
        <v>758</v>
      </c>
      <c r="B25" s="385">
        <v>58309</v>
      </c>
      <c r="C25" s="386"/>
      <c r="D25" s="387">
        <f t="shared" ref="D25:D27" si="2">B25+C25</f>
        <v>58309</v>
      </c>
    </row>
    <row r="26" spans="1:4" x14ac:dyDescent="0.25">
      <c r="A26" s="384" t="s">
        <v>839</v>
      </c>
      <c r="B26" s="385">
        <v>8797</v>
      </c>
      <c r="C26" s="386"/>
      <c r="D26" s="387">
        <f t="shared" si="2"/>
        <v>8797</v>
      </c>
    </row>
    <row r="27" spans="1:4" x14ac:dyDescent="0.25">
      <c r="A27" s="384" t="s">
        <v>801</v>
      </c>
      <c r="B27" s="385"/>
      <c r="C27" s="386"/>
      <c r="D27" s="387">
        <f t="shared" si="2"/>
        <v>0</v>
      </c>
    </row>
    <row r="28" spans="1:4" x14ac:dyDescent="0.25">
      <c r="A28" s="384"/>
      <c r="B28" s="385"/>
      <c r="C28" s="386"/>
      <c r="D28" s="387"/>
    </row>
    <row r="29" spans="1:4" ht="15.75" thickBot="1" x14ac:dyDescent="0.3">
      <c r="A29" s="388" t="s">
        <v>179</v>
      </c>
      <c r="B29" s="389">
        <f>SUM(B24:B28)</f>
        <v>117106</v>
      </c>
      <c r="C29" s="389">
        <f>SUM(C24:C28)</f>
        <v>0</v>
      </c>
      <c r="D29" s="664">
        <f>SUM(D24:D28)</f>
        <v>117106</v>
      </c>
    </row>
    <row r="30" spans="1:4" x14ac:dyDescent="0.25">
      <c r="A30" s="394"/>
      <c r="B30" s="394"/>
      <c r="C30" s="395"/>
      <c r="D30" s="395"/>
    </row>
    <row r="31" spans="1:4" ht="15.75" thickBot="1" x14ac:dyDescent="0.3">
      <c r="A31" s="392"/>
      <c r="B31" s="392"/>
      <c r="C31" s="392"/>
      <c r="D31" s="393"/>
    </row>
    <row r="32" spans="1:4" x14ac:dyDescent="0.25">
      <c r="A32" s="1175" t="s">
        <v>514</v>
      </c>
      <c r="B32" s="1176"/>
      <c r="C32" s="1176"/>
      <c r="D32" s="1177"/>
    </row>
    <row r="33" spans="1:4" ht="15.75" thickBot="1" x14ac:dyDescent="0.3">
      <c r="A33" s="565"/>
      <c r="B33" s="566"/>
      <c r="C33" s="566"/>
      <c r="D33" s="567"/>
    </row>
    <row r="34" spans="1:4" ht="26.25" x14ac:dyDescent="0.25">
      <c r="A34" s="559" t="s">
        <v>278</v>
      </c>
      <c r="B34" s="667" t="s">
        <v>889</v>
      </c>
      <c r="C34" s="668" t="s">
        <v>694</v>
      </c>
      <c r="D34" s="669" t="s">
        <v>944</v>
      </c>
    </row>
    <row r="35" spans="1:4" x14ac:dyDescent="0.25">
      <c r="A35" s="384" t="s">
        <v>496</v>
      </c>
      <c r="B35" s="397">
        <v>43</v>
      </c>
      <c r="C35" s="398"/>
      <c r="D35" s="665">
        <f>B35+C35</f>
        <v>43</v>
      </c>
    </row>
    <row r="36" spans="1:4" x14ac:dyDescent="0.25">
      <c r="A36" s="943" t="s">
        <v>733</v>
      </c>
      <c r="B36" s="950">
        <f>B35</f>
        <v>43</v>
      </c>
      <c r="C36" s="950">
        <f t="shared" ref="C36:D36" si="3">C35</f>
        <v>0</v>
      </c>
      <c r="D36" s="983">
        <f t="shared" si="3"/>
        <v>43</v>
      </c>
    </row>
    <row r="37" spans="1:4" x14ac:dyDescent="0.25">
      <c r="A37" s="509"/>
      <c r="B37" s="881"/>
      <c r="C37" s="881"/>
      <c r="D37" s="665"/>
    </row>
    <row r="38" spans="1:4" s="414" customFormat="1" x14ac:dyDescent="0.25">
      <c r="A38" s="880" t="s">
        <v>759</v>
      </c>
      <c r="B38" s="505">
        <v>700</v>
      </c>
      <c r="C38" s="881">
        <f>'6.mell Int.összesen'!H38</f>
        <v>0</v>
      </c>
      <c r="D38" s="665">
        <f>B38+C38</f>
        <v>700</v>
      </c>
    </row>
    <row r="39" spans="1:4" s="414" customFormat="1" x14ac:dyDescent="0.25">
      <c r="A39" s="949" t="s">
        <v>795</v>
      </c>
      <c r="B39" s="951">
        <f>B38</f>
        <v>700</v>
      </c>
      <c r="C39" s="951">
        <f t="shared" ref="C39:D39" si="4">C38</f>
        <v>0</v>
      </c>
      <c r="D39" s="984">
        <f t="shared" si="4"/>
        <v>700</v>
      </c>
    </row>
    <row r="40" spans="1:4" s="414" customFormat="1" x14ac:dyDescent="0.25">
      <c r="A40" s="949"/>
      <c r="B40" s="505"/>
      <c r="C40" s="881"/>
      <c r="D40" s="985"/>
    </row>
    <row r="41" spans="1:4" ht="15.75" thickBot="1" x14ac:dyDescent="0.3">
      <c r="A41" s="388" t="s">
        <v>179</v>
      </c>
      <c r="B41" s="399">
        <f>B36+B39</f>
        <v>743</v>
      </c>
      <c r="C41" s="399">
        <f t="shared" ref="C41:D41" si="5">C36+C39</f>
        <v>0</v>
      </c>
      <c r="D41" s="986">
        <f t="shared" si="5"/>
        <v>743</v>
      </c>
    </row>
    <row r="42" spans="1:4" ht="15.75" thickBot="1" x14ac:dyDescent="0.3">
      <c r="A42" s="392"/>
      <c r="B42" s="392"/>
      <c r="C42" s="392"/>
      <c r="D42" s="392"/>
    </row>
    <row r="43" spans="1:4" x14ac:dyDescent="0.25">
      <c r="A43" s="1175" t="s">
        <v>515</v>
      </c>
      <c r="B43" s="1176"/>
      <c r="C43" s="1176"/>
      <c r="D43" s="1177"/>
    </row>
    <row r="44" spans="1:4" ht="15.75" thickBot="1" x14ac:dyDescent="0.3">
      <c r="A44" s="565"/>
      <c r="B44" s="566"/>
      <c r="C44" s="566"/>
      <c r="D44" s="567"/>
    </row>
    <row r="45" spans="1:4" ht="26.25" x14ac:dyDescent="0.25">
      <c r="A45" s="559" t="s">
        <v>278</v>
      </c>
      <c r="B45" s="667" t="s">
        <v>889</v>
      </c>
      <c r="C45" s="668" t="s">
        <v>694</v>
      </c>
      <c r="D45" s="669" t="s">
        <v>944</v>
      </c>
    </row>
    <row r="46" spans="1:4" x14ac:dyDescent="0.25">
      <c r="A46" s="396" t="s">
        <v>1018</v>
      </c>
      <c r="B46" s="397"/>
      <c r="C46" s="398">
        <v>960</v>
      </c>
      <c r="D46" s="665">
        <f>B46+C46</f>
        <v>960</v>
      </c>
    </row>
    <row r="47" spans="1:4" s="414" customFormat="1" ht="16.5" customHeight="1" x14ac:dyDescent="0.25">
      <c r="A47" s="384"/>
      <c r="B47" s="397"/>
      <c r="C47" s="398"/>
      <c r="D47" s="665"/>
    </row>
    <row r="48" spans="1:4" x14ac:dyDescent="0.25">
      <c r="A48" s="384"/>
      <c r="B48" s="397"/>
      <c r="C48" s="398"/>
      <c r="D48" s="665"/>
    </row>
    <row r="49" spans="1:4" x14ac:dyDescent="0.25">
      <c r="A49" s="384"/>
      <c r="B49" s="397"/>
      <c r="C49" s="398"/>
      <c r="D49" s="665"/>
    </row>
    <row r="50" spans="1:4" ht="15.75" thickBot="1" x14ac:dyDescent="0.3">
      <c r="A50" s="388" t="s">
        <v>179</v>
      </c>
      <c r="B50" s="399">
        <f>SUM(B46:B49)</f>
        <v>0</v>
      </c>
      <c r="C50" s="399">
        <f t="shared" ref="C50:D50" si="6">SUM(C46:C49)</f>
        <v>960</v>
      </c>
      <c r="D50" s="666">
        <f t="shared" si="6"/>
        <v>960</v>
      </c>
    </row>
    <row r="51" spans="1:4" x14ac:dyDescent="0.25">
      <c r="A51" s="392"/>
      <c r="B51" s="392"/>
      <c r="C51" s="392"/>
      <c r="D51" s="392"/>
    </row>
    <row r="52" spans="1:4" x14ac:dyDescent="0.25">
      <c r="A52" s="392"/>
      <c r="B52" s="392"/>
      <c r="C52" s="392"/>
      <c r="D52" s="392"/>
    </row>
  </sheetData>
  <mergeCells count="4">
    <mergeCell ref="A2:D2"/>
    <mergeCell ref="A21:D21"/>
    <mergeCell ref="A32:D32"/>
    <mergeCell ref="A43:D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opLeftCell="A10" zoomScaleNormal="100" workbookViewId="0">
      <selection activeCell="H33" sqref="H33"/>
    </sheetView>
  </sheetViews>
  <sheetFormatPr defaultColWidth="9.140625" defaultRowHeight="12.75" x14ac:dyDescent="0.2"/>
  <cols>
    <col min="1" max="1" width="46.42578125" style="400" bestFit="1" customWidth="1"/>
    <col min="2" max="2" width="13.140625" style="400" customWidth="1"/>
    <col min="3" max="3" width="14.7109375" style="400" customWidth="1"/>
    <col min="4" max="4" width="13.140625" style="400" customWidth="1"/>
    <col min="5" max="16384" width="9.140625" style="400"/>
  </cols>
  <sheetData>
    <row r="1" spans="1:4" ht="13.5" customHeight="1" thickBot="1" x14ac:dyDescent="0.3">
      <c r="A1" s="450"/>
      <c r="B1" s="450"/>
      <c r="C1" s="1178" t="s">
        <v>380</v>
      </c>
      <c r="D1" s="1178"/>
    </row>
    <row r="2" spans="1:4" s="415" customFormat="1" ht="25.5" x14ac:dyDescent="0.2">
      <c r="A2" s="416" t="s">
        <v>278</v>
      </c>
      <c r="B2" s="667" t="s">
        <v>889</v>
      </c>
      <c r="C2" s="668" t="s">
        <v>694</v>
      </c>
      <c r="D2" s="669" t="s">
        <v>944</v>
      </c>
    </row>
    <row r="3" spans="1:4" x14ac:dyDescent="0.2">
      <c r="A3" s="401" t="s">
        <v>565</v>
      </c>
      <c r="B3" s="402">
        <v>275</v>
      </c>
      <c r="C3" s="403"/>
      <c r="D3" s="403">
        <f t="shared" ref="D3:D12" si="0">B3+C3</f>
        <v>275</v>
      </c>
    </row>
    <row r="4" spans="1:4" x14ac:dyDescent="0.2">
      <c r="A4" s="401" t="s">
        <v>684</v>
      </c>
      <c r="B4" s="468">
        <f>19112+2445</f>
        <v>21557</v>
      </c>
      <c r="C4" s="403"/>
      <c r="D4" s="403">
        <f t="shared" si="0"/>
        <v>21557</v>
      </c>
    </row>
    <row r="5" spans="1:4" x14ac:dyDescent="0.2">
      <c r="A5" s="401" t="s">
        <v>516</v>
      </c>
      <c r="B5" s="402">
        <f>528+84+17636</f>
        <v>18248</v>
      </c>
      <c r="C5" s="403"/>
      <c r="D5" s="403">
        <f t="shared" si="0"/>
        <v>18248</v>
      </c>
    </row>
    <row r="6" spans="1:4" x14ac:dyDescent="0.2">
      <c r="A6" s="401" t="s">
        <v>560</v>
      </c>
      <c r="B6" s="468">
        <f>142+23+4762+634+437+135</f>
        <v>6133</v>
      </c>
      <c r="C6" s="403"/>
      <c r="D6" s="403">
        <f t="shared" si="0"/>
        <v>6133</v>
      </c>
    </row>
    <row r="7" spans="1:4" ht="15" customHeight="1" x14ac:dyDescent="0.2">
      <c r="A7" s="401" t="s">
        <v>497</v>
      </c>
      <c r="B7" s="402">
        <v>500</v>
      </c>
      <c r="C7" s="403"/>
      <c r="D7" s="403">
        <f t="shared" si="0"/>
        <v>500</v>
      </c>
    </row>
    <row r="8" spans="1:4" ht="15" customHeight="1" x14ac:dyDescent="0.2">
      <c r="A8" s="401" t="s">
        <v>881</v>
      </c>
      <c r="B8" s="402">
        <v>3624</v>
      </c>
      <c r="C8" s="403"/>
      <c r="D8" s="403">
        <f t="shared" si="0"/>
        <v>3624</v>
      </c>
    </row>
    <row r="9" spans="1:4" x14ac:dyDescent="0.2">
      <c r="A9" s="401" t="s">
        <v>967</v>
      </c>
      <c r="B9" s="468"/>
      <c r="C9" s="403">
        <v>9449</v>
      </c>
      <c r="D9" s="403">
        <f t="shared" ref="D9" si="1">B9+C9</f>
        <v>9449</v>
      </c>
    </row>
    <row r="10" spans="1:4" x14ac:dyDescent="0.2">
      <c r="A10" s="401" t="s">
        <v>498</v>
      </c>
      <c r="B10" s="468"/>
      <c r="C10" s="403"/>
      <c r="D10" s="403">
        <f t="shared" si="0"/>
        <v>0</v>
      </c>
    </row>
    <row r="11" spans="1:4" x14ac:dyDescent="0.2">
      <c r="A11" s="401" t="s">
        <v>557</v>
      </c>
      <c r="B11" s="402">
        <f>1800+1177+960+494+480</f>
        <v>4911</v>
      </c>
      <c r="C11" s="403"/>
      <c r="D11" s="403">
        <f t="shared" si="0"/>
        <v>4911</v>
      </c>
    </row>
    <row r="12" spans="1:4" x14ac:dyDescent="0.2">
      <c r="A12" s="401" t="s">
        <v>517</v>
      </c>
      <c r="B12" s="402">
        <f>75+134+142+23+4762+5160+660</f>
        <v>10956</v>
      </c>
      <c r="C12" s="403">
        <v>2551</v>
      </c>
      <c r="D12" s="403">
        <f t="shared" si="0"/>
        <v>13507</v>
      </c>
    </row>
    <row r="13" spans="1:4" x14ac:dyDescent="0.2">
      <c r="A13" s="938" t="s">
        <v>733</v>
      </c>
      <c r="B13" s="410">
        <f>SUM(B3:B12)</f>
        <v>66204</v>
      </c>
      <c r="C13" s="941">
        <f>SUM(C3:C12)</f>
        <v>12000</v>
      </c>
      <c r="D13" s="941">
        <f>B13+C13</f>
        <v>78204</v>
      </c>
    </row>
    <row r="14" spans="1:4" x14ac:dyDescent="0.2">
      <c r="A14" s="401"/>
      <c r="B14" s="402"/>
      <c r="C14" s="403"/>
      <c r="D14" s="403"/>
    </row>
    <row r="15" spans="1:4" x14ac:dyDescent="0.2">
      <c r="A15" s="401" t="s">
        <v>882</v>
      </c>
      <c r="B15" s="403">
        <f>+'6.mell Int.összesen'!G29</f>
        <v>40</v>
      </c>
      <c r="C15" s="403">
        <f>+'6.mell Int.összesen'!H29</f>
        <v>329</v>
      </c>
      <c r="D15" s="403">
        <f>B15+C15</f>
        <v>369</v>
      </c>
    </row>
    <row r="16" spans="1:4" x14ac:dyDescent="0.2">
      <c r="A16" s="401" t="s">
        <v>840</v>
      </c>
      <c r="B16" s="403">
        <f>+'6.mell Int.összesen'!G30</f>
        <v>736</v>
      </c>
      <c r="C16" s="403">
        <f>+'6.mell Int.összesen'!H30</f>
        <v>0</v>
      </c>
      <c r="D16" s="403">
        <f>B16+C16</f>
        <v>736</v>
      </c>
    </row>
    <row r="17" spans="1:4" x14ac:dyDescent="0.2">
      <c r="A17" s="938" t="s">
        <v>795</v>
      </c>
      <c r="B17" s="410">
        <f>SUM(B15:B16)</f>
        <v>776</v>
      </c>
      <c r="C17" s="410">
        <f>SUM(C15:C16)</f>
        <v>329</v>
      </c>
      <c r="D17" s="410">
        <f>SUM(D15:D16)</f>
        <v>1105</v>
      </c>
    </row>
    <row r="18" spans="1:4" x14ac:dyDescent="0.2">
      <c r="A18" s="938"/>
      <c r="B18" s="402"/>
      <c r="C18" s="403"/>
      <c r="D18" s="403"/>
    </row>
    <row r="19" spans="1:4" x14ac:dyDescent="0.2">
      <c r="A19" s="401" t="s">
        <v>800</v>
      </c>
      <c r="B19" s="403">
        <f>+'6.mell Int.összesen'!M29+'6.mell Int.összesen'!M31+'6.mell Int.összesen'!M30</f>
        <v>770</v>
      </c>
      <c r="C19" s="403">
        <f>+'6.mell Int.összesen'!N29+'6.mell Int.összesen'!N31+'6.mell Int.összesen'!N30</f>
        <v>-383</v>
      </c>
      <c r="D19" s="403">
        <f>B19+C19</f>
        <v>387</v>
      </c>
    </row>
    <row r="20" spans="1:4" x14ac:dyDescent="0.2">
      <c r="A20" s="401" t="s">
        <v>517</v>
      </c>
      <c r="B20" s="403">
        <f>+'6.mell Int.összesen'!M32</f>
        <v>396</v>
      </c>
      <c r="C20" s="403">
        <f>+'6.mell Int.összesen'!N32</f>
        <v>0</v>
      </c>
      <c r="D20" s="403">
        <f t="shared" ref="D20:D21" si="2">B20+C20</f>
        <v>396</v>
      </c>
    </row>
    <row r="21" spans="1:4" x14ac:dyDescent="0.2">
      <c r="A21" s="401" t="s">
        <v>799</v>
      </c>
      <c r="B21" s="403">
        <f>+'6.mell Int.összesen'!M33</f>
        <v>0</v>
      </c>
      <c r="C21" s="403">
        <f>+'6.mell Int.összesen'!N33</f>
        <v>0</v>
      </c>
      <c r="D21" s="403">
        <f t="shared" si="2"/>
        <v>0</v>
      </c>
    </row>
    <row r="22" spans="1:4" x14ac:dyDescent="0.2">
      <c r="A22" s="938" t="s">
        <v>796</v>
      </c>
      <c r="B22" s="410">
        <f>SUM(B19:B21)</f>
        <v>1166</v>
      </c>
      <c r="C22" s="941">
        <f>SUM(C19:C21)</f>
        <v>-383</v>
      </c>
      <c r="D22" s="941">
        <f>B22+C22</f>
        <v>783</v>
      </c>
    </row>
    <row r="23" spans="1:4" x14ac:dyDescent="0.2">
      <c r="A23" s="938"/>
      <c r="B23" s="410"/>
      <c r="C23" s="403"/>
      <c r="D23" s="403"/>
    </row>
    <row r="24" spans="1:4" x14ac:dyDescent="0.2">
      <c r="A24" s="401" t="s">
        <v>797</v>
      </c>
      <c r="B24" s="468">
        <f>+'6.mell Int.összesen'!J36</f>
        <v>5468</v>
      </c>
      <c r="C24" s="468">
        <f>+'6.mell Int.összesen'!K36</f>
        <v>10</v>
      </c>
      <c r="D24" s="403">
        <f>B24+C24</f>
        <v>5478</v>
      </c>
    </row>
    <row r="25" spans="1:4" x14ac:dyDescent="0.2">
      <c r="A25" s="939" t="s">
        <v>798</v>
      </c>
      <c r="B25" s="940">
        <f>SUM(B24)</f>
        <v>5468</v>
      </c>
      <c r="C25" s="411">
        <f>SUM(C24)</f>
        <v>10</v>
      </c>
      <c r="D25" s="941">
        <f>B25+C25</f>
        <v>5478</v>
      </c>
    </row>
    <row r="26" spans="1:4" x14ac:dyDescent="0.2">
      <c r="A26" s="401"/>
      <c r="B26" s="468"/>
      <c r="C26" s="404"/>
      <c r="D26" s="403"/>
    </row>
    <row r="27" spans="1:4" x14ac:dyDescent="0.2">
      <c r="A27" s="401"/>
      <c r="B27" s="405"/>
      <c r="C27" s="404"/>
      <c r="D27" s="404"/>
    </row>
    <row r="28" spans="1:4" ht="13.5" thickBot="1" x14ac:dyDescent="0.25">
      <c r="A28" s="406" t="s">
        <v>499</v>
      </c>
      <c r="B28" s="407">
        <f>B13+B17+B22+B25</f>
        <v>73614</v>
      </c>
      <c r="C28" s="407">
        <f>C13+C17+C22+C25</f>
        <v>11956</v>
      </c>
      <c r="D28" s="407">
        <f>D13+D17+D22+D25</f>
        <v>85570</v>
      </c>
    </row>
    <row r="29" spans="1:4" ht="13.5" thickBot="1" x14ac:dyDescent="0.25"/>
    <row r="30" spans="1:4" ht="26.25" thickBot="1" x14ac:dyDescent="0.25">
      <c r="A30" s="416" t="s">
        <v>278</v>
      </c>
      <c r="B30" s="667" t="s">
        <v>889</v>
      </c>
      <c r="C30" s="668" t="s">
        <v>694</v>
      </c>
      <c r="D30" s="669" t="s">
        <v>944</v>
      </c>
    </row>
    <row r="31" spans="1:4" x14ac:dyDescent="0.2">
      <c r="A31" s="569" t="s">
        <v>815</v>
      </c>
      <c r="B31" s="977">
        <v>10000</v>
      </c>
      <c r="C31" s="570"/>
      <c r="D31" s="570">
        <f>B31+C31</f>
        <v>10000</v>
      </c>
    </row>
    <row r="32" spans="1:4" x14ac:dyDescent="0.2">
      <c r="A32" s="987" t="s">
        <v>841</v>
      </c>
      <c r="B32" s="988">
        <v>23000</v>
      </c>
      <c r="C32" s="409"/>
      <c r="D32" s="409">
        <v>23000</v>
      </c>
    </row>
    <row r="33" spans="1:4" ht="13.5" thickBot="1" x14ac:dyDescent="0.25">
      <c r="A33" s="406" t="s">
        <v>500</v>
      </c>
      <c r="B33" s="407">
        <f>SUM(B31:B32)</f>
        <v>33000</v>
      </c>
      <c r="C33" s="408">
        <f>C31</f>
        <v>0</v>
      </c>
      <c r="D33" s="408">
        <f>SUM(D31:D32)</f>
        <v>33000</v>
      </c>
    </row>
    <row r="39" spans="1:4" x14ac:dyDescent="0.2">
      <c r="A39" s="400" t="s">
        <v>501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39.28515625" style="400" customWidth="1"/>
    <col min="2" max="2" width="15.140625" style="400" customWidth="1"/>
    <col min="3" max="3" width="16.7109375" style="400" customWidth="1"/>
    <col min="4" max="4" width="15.7109375" style="400" customWidth="1"/>
    <col min="5" max="16384" width="9.140625" style="400"/>
  </cols>
  <sheetData>
    <row r="1" spans="1:4" ht="15.75" customHeight="1" thickBot="1" x14ac:dyDescent="0.25">
      <c r="D1" s="663" t="s">
        <v>380</v>
      </c>
    </row>
    <row r="2" spans="1:4" s="415" customFormat="1" ht="25.5" x14ac:dyDescent="0.2">
      <c r="A2" s="571" t="s">
        <v>278</v>
      </c>
      <c r="B2" s="667" t="s">
        <v>889</v>
      </c>
      <c r="C2" s="668" t="s">
        <v>694</v>
      </c>
      <c r="D2" s="669" t="s">
        <v>944</v>
      </c>
    </row>
    <row r="3" spans="1:4" x14ac:dyDescent="0.2">
      <c r="A3" s="572" t="s">
        <v>502</v>
      </c>
      <c r="B3" s="404">
        <v>31000</v>
      </c>
      <c r="C3" s="404"/>
      <c r="D3" s="670">
        <f>B3+C3</f>
        <v>31000</v>
      </c>
    </row>
    <row r="4" spans="1:4" x14ac:dyDescent="0.2">
      <c r="A4" s="572" t="s">
        <v>503</v>
      </c>
      <c r="B4" s="404">
        <v>72000</v>
      </c>
      <c r="C4" s="404"/>
      <c r="D4" s="670">
        <f t="shared" ref="D4:D6" si="0">B4+C4</f>
        <v>72000</v>
      </c>
    </row>
    <row r="5" spans="1:4" x14ac:dyDescent="0.2">
      <c r="A5" s="572" t="s">
        <v>504</v>
      </c>
      <c r="B5" s="404">
        <v>54800</v>
      </c>
      <c r="C5" s="404"/>
      <c r="D5" s="670">
        <f t="shared" si="0"/>
        <v>54800</v>
      </c>
    </row>
    <row r="6" spans="1:4" x14ac:dyDescent="0.2">
      <c r="A6" s="572" t="s">
        <v>505</v>
      </c>
      <c r="B6" s="404">
        <v>149600</v>
      </c>
      <c r="C6" s="404"/>
      <c r="D6" s="670">
        <f t="shared" si="0"/>
        <v>149600</v>
      </c>
    </row>
    <row r="7" spans="1:4" x14ac:dyDescent="0.2">
      <c r="A7" s="573" t="s">
        <v>506</v>
      </c>
      <c r="B7" s="410">
        <f>SUM(B3:B6)</f>
        <v>307400</v>
      </c>
      <c r="C7" s="410">
        <f>SUM(C3:C6)</f>
        <v>0</v>
      </c>
      <c r="D7" s="671">
        <f>SUM(D3:D6)</f>
        <v>307400</v>
      </c>
    </row>
    <row r="8" spans="1:4" x14ac:dyDescent="0.2">
      <c r="A8" s="572"/>
      <c r="B8" s="402"/>
      <c r="C8" s="404"/>
      <c r="D8" s="670">
        <f t="shared" ref="D8:D20" si="1">+C8+B8</f>
        <v>0</v>
      </c>
    </row>
    <row r="9" spans="1:4" x14ac:dyDescent="0.2">
      <c r="A9" s="572" t="s">
        <v>507</v>
      </c>
      <c r="B9" s="402">
        <v>19000</v>
      </c>
      <c r="C9" s="404"/>
      <c r="D9" s="670">
        <f>B9+C9</f>
        <v>19000</v>
      </c>
    </row>
    <row r="10" spans="1:4" x14ac:dyDescent="0.2">
      <c r="A10" s="573" t="s">
        <v>508</v>
      </c>
      <c r="B10" s="410">
        <f>+B9</f>
        <v>19000</v>
      </c>
      <c r="C10" s="410">
        <f t="shared" ref="C10:D10" si="2">+C9</f>
        <v>0</v>
      </c>
      <c r="D10" s="671">
        <f t="shared" si="2"/>
        <v>19000</v>
      </c>
    </row>
    <row r="11" spans="1:4" x14ac:dyDescent="0.2">
      <c r="A11" s="572"/>
      <c r="B11" s="402"/>
      <c r="C11" s="404"/>
      <c r="D11" s="670">
        <f t="shared" si="1"/>
        <v>0</v>
      </c>
    </row>
    <row r="12" spans="1:4" x14ac:dyDescent="0.2">
      <c r="A12" s="991" t="s">
        <v>518</v>
      </c>
      <c r="B12" s="468">
        <v>3500</v>
      </c>
      <c r="C12" s="404"/>
      <c r="D12" s="670">
        <f>B12+C12</f>
        <v>3500</v>
      </c>
    </row>
    <row r="13" spans="1:4" ht="13.5" customHeight="1" x14ac:dyDescent="0.2">
      <c r="A13" s="572" t="s">
        <v>509</v>
      </c>
      <c r="B13" s="402">
        <v>2000</v>
      </c>
      <c r="C13" s="404"/>
      <c r="D13" s="670">
        <f>B13+C13</f>
        <v>2000</v>
      </c>
    </row>
    <row r="14" spans="1:4" ht="13.5" customHeight="1" x14ac:dyDescent="0.2">
      <c r="A14" s="572" t="s">
        <v>842</v>
      </c>
      <c r="B14" s="402"/>
      <c r="C14" s="404"/>
      <c r="D14" s="670">
        <f t="shared" si="1"/>
        <v>0</v>
      </c>
    </row>
    <row r="15" spans="1:4" x14ac:dyDescent="0.2">
      <c r="A15" s="572" t="s">
        <v>843</v>
      </c>
      <c r="B15" s="402">
        <v>2000</v>
      </c>
      <c r="C15" s="410"/>
      <c r="D15" s="670">
        <f t="shared" si="1"/>
        <v>2000</v>
      </c>
    </row>
    <row r="16" spans="1:4" x14ac:dyDescent="0.2">
      <c r="A16" s="572" t="s">
        <v>844</v>
      </c>
      <c r="B16" s="402"/>
      <c r="C16" s="404"/>
      <c r="D16" s="670">
        <f t="shared" si="1"/>
        <v>0</v>
      </c>
    </row>
    <row r="17" spans="1:4" x14ac:dyDescent="0.2">
      <c r="A17" s="573" t="s">
        <v>510</v>
      </c>
      <c r="B17" s="410">
        <f>SUM(B12:B16)</f>
        <v>7500</v>
      </c>
      <c r="C17" s="410">
        <f t="shared" ref="C17:D17" si="3">SUM(C12:C16)</f>
        <v>0</v>
      </c>
      <c r="D17" s="671">
        <f t="shared" si="3"/>
        <v>7500</v>
      </c>
    </row>
    <row r="18" spans="1:4" x14ac:dyDescent="0.2">
      <c r="A18" s="572"/>
      <c r="B18" s="405"/>
      <c r="C18" s="404"/>
      <c r="D18" s="670">
        <f t="shared" si="1"/>
        <v>0</v>
      </c>
    </row>
    <row r="19" spans="1:4" x14ac:dyDescent="0.2">
      <c r="A19" s="573" t="s">
        <v>880</v>
      </c>
      <c r="B19" s="410">
        <v>10959</v>
      </c>
      <c r="C19" s="404"/>
      <c r="D19" s="670">
        <f t="shared" si="1"/>
        <v>10959</v>
      </c>
    </row>
    <row r="20" spans="1:4" x14ac:dyDescent="0.2">
      <c r="A20" s="572"/>
      <c r="B20" s="402"/>
      <c r="C20" s="404"/>
      <c r="D20" s="670">
        <f t="shared" si="1"/>
        <v>0</v>
      </c>
    </row>
    <row r="21" spans="1:4" ht="13.5" thickBot="1" x14ac:dyDescent="0.25">
      <c r="A21" s="574" t="s">
        <v>511</v>
      </c>
      <c r="B21" s="407">
        <f>+B17+B10+B7+B19</f>
        <v>344859</v>
      </c>
      <c r="C21" s="407">
        <f t="shared" ref="C21:D21" si="4">+C17+C10+C7+C19</f>
        <v>0</v>
      </c>
      <c r="D21" s="672">
        <f t="shared" si="4"/>
        <v>344859</v>
      </c>
    </row>
    <row r="22" spans="1:4" x14ac:dyDescent="0.2">
      <c r="D22" s="412"/>
    </row>
    <row r="23" spans="1:4" x14ac:dyDescent="0.2">
      <c r="D23" s="412"/>
    </row>
    <row r="24" spans="1:4" x14ac:dyDescent="0.2">
      <c r="D24" s="412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90" zoomScaleNormal="90" zoomScalePageLayoutView="70" workbookViewId="0">
      <selection activeCell="J48" sqref="J48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79" t="s">
        <v>519</v>
      </c>
      <c r="B1" s="1181" t="s">
        <v>585</v>
      </c>
      <c r="C1" s="1181"/>
      <c r="D1" s="1182"/>
      <c r="E1" s="1181" t="s">
        <v>586</v>
      </c>
      <c r="F1" s="1181"/>
      <c r="G1" s="1181"/>
      <c r="H1" s="1183" t="s">
        <v>890</v>
      </c>
      <c r="I1" s="1183" t="s">
        <v>845</v>
      </c>
      <c r="J1" s="1183" t="s">
        <v>946</v>
      </c>
    </row>
    <row r="2" spans="1:10" s="334" customFormat="1" ht="39.75" customHeight="1" x14ac:dyDescent="0.25">
      <c r="A2" s="1180"/>
      <c r="B2" s="339" t="s">
        <v>890</v>
      </c>
      <c r="C2" s="339" t="s">
        <v>845</v>
      </c>
      <c r="D2" s="339" t="s">
        <v>946</v>
      </c>
      <c r="E2" s="339" t="s">
        <v>890</v>
      </c>
      <c r="F2" s="339" t="s">
        <v>845</v>
      </c>
      <c r="G2" s="339" t="s">
        <v>946</v>
      </c>
      <c r="H2" s="1184"/>
      <c r="I2" s="1184"/>
      <c r="J2" s="1184"/>
    </row>
    <row r="3" spans="1:10" ht="16.5" customHeight="1" x14ac:dyDescent="0.25">
      <c r="A3" s="340" t="s">
        <v>520</v>
      </c>
      <c r="B3" s="625">
        <v>120118000</v>
      </c>
      <c r="C3" s="625"/>
      <c r="D3" s="625">
        <f>B3+C3</f>
        <v>120118000</v>
      </c>
      <c r="E3" s="342">
        <v>0</v>
      </c>
      <c r="F3" s="342"/>
      <c r="G3" s="342">
        <f>+F3+E3</f>
        <v>0</v>
      </c>
      <c r="H3" s="473">
        <f>+B3+E3</f>
        <v>120118000</v>
      </c>
      <c r="I3" s="473">
        <f t="shared" ref="I3:J3" si="0">+C3+F3</f>
        <v>0</v>
      </c>
      <c r="J3" s="473">
        <f t="shared" si="0"/>
        <v>120118000</v>
      </c>
    </row>
    <row r="4" spans="1:10" ht="16.5" customHeight="1" x14ac:dyDescent="0.25">
      <c r="A4" s="343" t="s">
        <v>521</v>
      </c>
      <c r="B4" s="344">
        <v>26565862</v>
      </c>
      <c r="C4" s="344"/>
      <c r="D4" s="625">
        <f t="shared" ref="D4:D14" si="1">B4+C4</f>
        <v>26565862</v>
      </c>
      <c r="E4" s="345">
        <v>0</v>
      </c>
      <c r="F4" s="345"/>
      <c r="G4" s="345">
        <f t="shared" ref="G4:G47" si="2">+F4+E4</f>
        <v>0</v>
      </c>
      <c r="H4" s="473">
        <f t="shared" ref="H4:H48" si="3">+B4+E4</f>
        <v>26565862</v>
      </c>
      <c r="I4" s="473">
        <f t="shared" ref="I4:I48" si="4">+C4+F4</f>
        <v>0</v>
      </c>
      <c r="J4" s="473">
        <f t="shared" ref="J4:J48" si="5">+D4+G4</f>
        <v>26565862</v>
      </c>
    </row>
    <row r="5" spans="1:10" s="371" customFormat="1" ht="16.5" customHeight="1" x14ac:dyDescent="0.25">
      <c r="A5" s="368" t="s">
        <v>549</v>
      </c>
      <c r="B5" s="369">
        <v>9074520</v>
      </c>
      <c r="C5" s="369"/>
      <c r="D5" s="625">
        <f t="shared" si="1"/>
        <v>9074520</v>
      </c>
      <c r="E5" s="370">
        <v>0</v>
      </c>
      <c r="F5" s="370"/>
      <c r="G5" s="370">
        <f t="shared" si="2"/>
        <v>0</v>
      </c>
      <c r="H5" s="473">
        <f t="shared" si="3"/>
        <v>9074520</v>
      </c>
      <c r="I5" s="473">
        <f t="shared" si="4"/>
        <v>0</v>
      </c>
      <c r="J5" s="473">
        <f t="shared" si="5"/>
        <v>9074520</v>
      </c>
    </row>
    <row r="6" spans="1:10" s="371" customFormat="1" ht="16.5" customHeight="1" x14ac:dyDescent="0.25">
      <c r="A6" s="368" t="s">
        <v>551</v>
      </c>
      <c r="B6" s="369">
        <v>10912000</v>
      </c>
      <c r="C6" s="369"/>
      <c r="D6" s="625">
        <f t="shared" si="1"/>
        <v>10912000</v>
      </c>
      <c r="E6" s="370">
        <v>0</v>
      </c>
      <c r="F6" s="370"/>
      <c r="G6" s="370">
        <f t="shared" si="2"/>
        <v>0</v>
      </c>
      <c r="H6" s="473">
        <f t="shared" si="3"/>
        <v>10912000</v>
      </c>
      <c r="I6" s="473">
        <f t="shared" si="4"/>
        <v>0</v>
      </c>
      <c r="J6" s="473">
        <f t="shared" si="5"/>
        <v>10912000</v>
      </c>
    </row>
    <row r="7" spans="1:10" s="371" customFormat="1" ht="16.5" customHeight="1" x14ac:dyDescent="0.25">
      <c r="A7" s="368" t="s">
        <v>552</v>
      </c>
      <c r="B7" s="369">
        <v>1539942</v>
      </c>
      <c r="C7" s="369"/>
      <c r="D7" s="625">
        <f t="shared" si="1"/>
        <v>1539942</v>
      </c>
      <c r="E7" s="370">
        <v>0</v>
      </c>
      <c r="F7" s="370"/>
      <c r="G7" s="370">
        <f t="shared" si="2"/>
        <v>0</v>
      </c>
      <c r="H7" s="473">
        <f t="shared" si="3"/>
        <v>1539942</v>
      </c>
      <c r="I7" s="473">
        <f t="shared" si="4"/>
        <v>0</v>
      </c>
      <c r="J7" s="473">
        <f t="shared" si="5"/>
        <v>1539942</v>
      </c>
    </row>
    <row r="8" spans="1:10" s="371" customFormat="1" ht="16.5" customHeight="1" x14ac:dyDescent="0.25">
      <c r="A8" s="368" t="s">
        <v>550</v>
      </c>
      <c r="B8" s="369">
        <v>5039400</v>
      </c>
      <c r="C8" s="369"/>
      <c r="D8" s="625">
        <f t="shared" si="1"/>
        <v>5039400</v>
      </c>
      <c r="E8" s="370">
        <v>0</v>
      </c>
      <c r="F8" s="370"/>
      <c r="G8" s="370">
        <f t="shared" si="2"/>
        <v>0</v>
      </c>
      <c r="H8" s="473">
        <f t="shared" si="3"/>
        <v>5039400</v>
      </c>
      <c r="I8" s="473">
        <f t="shared" si="4"/>
        <v>0</v>
      </c>
      <c r="J8" s="473">
        <f t="shared" si="5"/>
        <v>5039400</v>
      </c>
    </row>
    <row r="9" spans="1:10" ht="26.25" customHeight="1" x14ac:dyDescent="0.25">
      <c r="A9" s="499" t="s">
        <v>522</v>
      </c>
      <c r="B9" s="500">
        <v>-20585317</v>
      </c>
      <c r="C9" s="500"/>
      <c r="D9" s="625">
        <f t="shared" si="1"/>
        <v>-20585317</v>
      </c>
      <c r="E9" s="501">
        <v>0</v>
      </c>
      <c r="F9" s="501"/>
      <c r="G9" s="501">
        <f t="shared" si="2"/>
        <v>0</v>
      </c>
      <c r="H9" s="582">
        <f t="shared" si="3"/>
        <v>-20585317</v>
      </c>
      <c r="I9" s="582">
        <f t="shared" si="4"/>
        <v>0</v>
      </c>
      <c r="J9" s="582">
        <f t="shared" si="5"/>
        <v>-20585317</v>
      </c>
    </row>
    <row r="10" spans="1:10" ht="16.5" customHeight="1" x14ac:dyDescent="0.25">
      <c r="A10" s="346" t="s">
        <v>523</v>
      </c>
      <c r="B10" s="347">
        <v>15506100</v>
      </c>
      <c r="C10" s="347"/>
      <c r="D10" s="962">
        <f t="shared" si="1"/>
        <v>15506100</v>
      </c>
      <c r="E10" s="348">
        <v>0</v>
      </c>
      <c r="F10" s="348"/>
      <c r="G10" s="348">
        <f t="shared" si="2"/>
        <v>0</v>
      </c>
      <c r="H10" s="583">
        <f t="shared" si="3"/>
        <v>15506100</v>
      </c>
      <c r="I10" s="583">
        <f t="shared" si="4"/>
        <v>0</v>
      </c>
      <c r="J10" s="583">
        <f t="shared" si="5"/>
        <v>15506100</v>
      </c>
    </row>
    <row r="11" spans="1:10" s="334" customFormat="1" ht="16.5" customHeight="1" x14ac:dyDescent="0.25">
      <c r="A11" s="349" t="s">
        <v>538</v>
      </c>
      <c r="B11" s="350">
        <v>0</v>
      </c>
      <c r="C11" s="350"/>
      <c r="D11" s="952">
        <f t="shared" si="1"/>
        <v>0</v>
      </c>
      <c r="E11" s="351">
        <v>0</v>
      </c>
      <c r="F11" s="351"/>
      <c r="G11" s="351">
        <f t="shared" si="2"/>
        <v>0</v>
      </c>
      <c r="H11" s="964">
        <f t="shared" si="3"/>
        <v>0</v>
      </c>
      <c r="I11" s="583">
        <f t="shared" si="4"/>
        <v>0</v>
      </c>
      <c r="J11" s="965">
        <f t="shared" si="5"/>
        <v>0</v>
      </c>
    </row>
    <row r="12" spans="1:10" s="334" customFormat="1" ht="16.5" customHeight="1" x14ac:dyDescent="0.25">
      <c r="A12" s="480" t="s">
        <v>540</v>
      </c>
      <c r="B12" s="481">
        <v>956250</v>
      </c>
      <c r="C12" s="481"/>
      <c r="D12" s="952">
        <f t="shared" si="1"/>
        <v>956250</v>
      </c>
      <c r="E12" s="482">
        <v>0</v>
      </c>
      <c r="F12" s="482"/>
      <c r="G12" s="482">
        <f t="shared" si="2"/>
        <v>0</v>
      </c>
      <c r="H12" s="964">
        <f t="shared" si="3"/>
        <v>956250</v>
      </c>
      <c r="I12" s="583">
        <f t="shared" si="4"/>
        <v>0</v>
      </c>
      <c r="J12" s="965">
        <f t="shared" si="5"/>
        <v>956250</v>
      </c>
    </row>
    <row r="13" spans="1:10" s="334" customFormat="1" ht="16.5" customHeight="1" x14ac:dyDescent="0.25">
      <c r="A13" s="480" t="s">
        <v>542</v>
      </c>
      <c r="B13" s="481">
        <v>71557</v>
      </c>
      <c r="C13" s="481">
        <f>3760+11985+3760+11985</f>
        <v>31490</v>
      </c>
      <c r="D13" s="952">
        <f t="shared" si="1"/>
        <v>103047</v>
      </c>
      <c r="E13" s="482">
        <v>189056</v>
      </c>
      <c r="F13" s="482">
        <f>43240+43241</f>
        <v>86481</v>
      </c>
      <c r="G13" s="482">
        <f t="shared" si="2"/>
        <v>275537</v>
      </c>
      <c r="H13" s="964">
        <f t="shared" si="3"/>
        <v>260613</v>
      </c>
      <c r="I13" s="583">
        <f t="shared" si="4"/>
        <v>117971</v>
      </c>
      <c r="J13" s="965">
        <f t="shared" si="5"/>
        <v>378584</v>
      </c>
    </row>
    <row r="14" spans="1:10" s="334" customFormat="1" ht="16.5" customHeight="1" thickBot="1" x14ac:dyDescent="0.3">
      <c r="A14" s="630" t="s">
        <v>683</v>
      </c>
      <c r="B14" s="631">
        <v>1538000</v>
      </c>
      <c r="C14" s="631"/>
      <c r="D14" s="952">
        <f t="shared" si="1"/>
        <v>1538000</v>
      </c>
      <c r="E14" s="632"/>
      <c r="F14" s="632"/>
      <c r="G14" s="482">
        <f t="shared" si="2"/>
        <v>0</v>
      </c>
      <c r="H14" s="584">
        <f t="shared" si="3"/>
        <v>1538000</v>
      </c>
      <c r="I14" s="584">
        <f t="shared" si="4"/>
        <v>0</v>
      </c>
      <c r="J14" s="584">
        <f t="shared" si="5"/>
        <v>1538000</v>
      </c>
    </row>
    <row r="15" spans="1:10" s="334" customFormat="1" ht="13.5" thickBot="1" x14ac:dyDescent="0.3">
      <c r="A15" s="475" t="s">
        <v>525</v>
      </c>
      <c r="B15" s="624">
        <f>+B3+B4+B9+B10+B11+B12+B14+B13</f>
        <v>144170452</v>
      </c>
      <c r="C15" s="624">
        <f>+C3+C4+C9+C10+C11+C12+C14+C13</f>
        <v>31490</v>
      </c>
      <c r="D15" s="963">
        <f>+C15+B15</f>
        <v>144201942</v>
      </c>
      <c r="E15" s="367">
        <f>+E3+E4+E9+E10+E11+E12+E13</f>
        <v>189056</v>
      </c>
      <c r="F15" s="367">
        <f>+F3+F4+F9+F10+F11+F12+F13</f>
        <v>86481</v>
      </c>
      <c r="G15" s="367">
        <f t="shared" si="2"/>
        <v>275537</v>
      </c>
      <c r="H15" s="624">
        <f t="shared" si="3"/>
        <v>144359508</v>
      </c>
      <c r="I15" s="624">
        <f t="shared" si="4"/>
        <v>117971</v>
      </c>
      <c r="J15" s="624">
        <f>+D15+G15</f>
        <v>144477479</v>
      </c>
    </row>
    <row r="16" spans="1:10" ht="16.5" customHeight="1" x14ac:dyDescent="0.25">
      <c r="A16" s="355" t="s">
        <v>804</v>
      </c>
      <c r="B16" s="625">
        <v>63823900</v>
      </c>
      <c r="C16" s="625"/>
      <c r="D16" s="625">
        <f>B16+C16</f>
        <v>63823900</v>
      </c>
      <c r="E16" s="342"/>
      <c r="F16" s="342"/>
      <c r="G16" s="342">
        <f t="shared" si="2"/>
        <v>0</v>
      </c>
      <c r="H16" s="473">
        <f t="shared" si="3"/>
        <v>63823900</v>
      </c>
      <c r="I16" s="473">
        <f t="shared" si="4"/>
        <v>0</v>
      </c>
      <c r="J16" s="473">
        <f t="shared" si="5"/>
        <v>63823900</v>
      </c>
    </row>
    <row r="17" spans="1:10" ht="16.5" customHeight="1" x14ac:dyDescent="0.25">
      <c r="A17" s="356" t="s">
        <v>805</v>
      </c>
      <c r="B17" s="626">
        <v>30163350</v>
      </c>
      <c r="C17" s="626"/>
      <c r="D17" s="625">
        <f>B17+C17</f>
        <v>30163350</v>
      </c>
      <c r="E17" s="348"/>
      <c r="F17" s="348"/>
      <c r="G17" s="348">
        <f t="shared" si="2"/>
        <v>0</v>
      </c>
      <c r="H17" s="474">
        <f t="shared" si="3"/>
        <v>30163350</v>
      </c>
      <c r="I17" s="474">
        <f t="shared" si="4"/>
        <v>0</v>
      </c>
      <c r="J17" s="474">
        <f t="shared" si="5"/>
        <v>30163350</v>
      </c>
    </row>
    <row r="18" spans="1:10" s="334" customFormat="1" ht="16.5" customHeight="1" x14ac:dyDescent="0.25">
      <c r="A18" s="493" t="s">
        <v>526</v>
      </c>
      <c r="B18" s="581">
        <f>SUM(B16:B17)</f>
        <v>93987250</v>
      </c>
      <c r="C18" s="581">
        <f>SUM(C16:C17)</f>
        <v>0</v>
      </c>
      <c r="D18" s="581">
        <f t="shared" ref="D18:D40" si="6">+C18+B18</f>
        <v>93987250</v>
      </c>
      <c r="E18" s="353">
        <f t="shared" ref="E18" si="7">SUM(E16:E17)</f>
        <v>0</v>
      </c>
      <c r="F18" s="353"/>
      <c r="G18" s="353">
        <f t="shared" si="2"/>
        <v>0</v>
      </c>
      <c r="H18" s="583">
        <f t="shared" si="3"/>
        <v>93987250</v>
      </c>
      <c r="I18" s="583">
        <f t="shared" si="4"/>
        <v>0</v>
      </c>
      <c r="J18" s="583">
        <f t="shared" si="5"/>
        <v>93987250</v>
      </c>
    </row>
    <row r="19" spans="1:10" s="334" customFormat="1" ht="16.5" customHeight="1" x14ac:dyDescent="0.25">
      <c r="A19" s="493" t="s">
        <v>527</v>
      </c>
      <c r="B19" s="581"/>
      <c r="C19" s="581"/>
      <c r="D19" s="581"/>
      <c r="E19" s="354"/>
      <c r="F19" s="354"/>
      <c r="G19" s="354">
        <f t="shared" si="2"/>
        <v>0</v>
      </c>
      <c r="H19" s="583">
        <f t="shared" si="3"/>
        <v>0</v>
      </c>
      <c r="I19" s="583">
        <f t="shared" si="4"/>
        <v>0</v>
      </c>
      <c r="J19" s="583">
        <f t="shared" si="5"/>
        <v>0</v>
      </c>
    </row>
    <row r="20" spans="1:10" s="334" customFormat="1" ht="33.75" customHeight="1" x14ac:dyDescent="0.25">
      <c r="A20" s="498" t="s">
        <v>545</v>
      </c>
      <c r="B20" s="581">
        <v>3291300</v>
      </c>
      <c r="C20" s="581"/>
      <c r="D20" s="581">
        <f t="shared" ref="D20:D22" si="8">+C20+B20</f>
        <v>3291300</v>
      </c>
      <c r="E20" s="354"/>
      <c r="F20" s="354"/>
      <c r="G20" s="354">
        <f t="shared" si="2"/>
        <v>0</v>
      </c>
      <c r="H20" s="583">
        <f t="shared" si="3"/>
        <v>3291300</v>
      </c>
      <c r="I20" s="583">
        <f t="shared" si="4"/>
        <v>0</v>
      </c>
      <c r="J20" s="583">
        <f t="shared" si="5"/>
        <v>3291300</v>
      </c>
    </row>
    <row r="21" spans="1:10" ht="16.5" customHeight="1" x14ac:dyDescent="0.25">
      <c r="A21" s="355" t="s">
        <v>806</v>
      </c>
      <c r="B21" s="625">
        <v>22400000</v>
      </c>
      <c r="C21" s="625"/>
      <c r="D21" s="952">
        <f t="shared" si="8"/>
        <v>22400000</v>
      </c>
      <c r="E21" s="342"/>
      <c r="F21" s="342"/>
      <c r="G21" s="342">
        <f t="shared" si="2"/>
        <v>0</v>
      </c>
      <c r="H21" s="473">
        <f t="shared" si="3"/>
        <v>22400000</v>
      </c>
      <c r="I21" s="473">
        <f t="shared" si="4"/>
        <v>0</v>
      </c>
      <c r="J21" s="473">
        <f t="shared" si="5"/>
        <v>22400000</v>
      </c>
    </row>
    <row r="22" spans="1:10" ht="16.5" customHeight="1" x14ac:dyDescent="0.25">
      <c r="A22" s="356" t="s">
        <v>805</v>
      </c>
      <c r="B22" s="626">
        <v>11200000</v>
      </c>
      <c r="C22" s="626"/>
      <c r="D22" s="952">
        <f t="shared" si="8"/>
        <v>11200000</v>
      </c>
      <c r="E22" s="348"/>
      <c r="F22" s="348"/>
      <c r="G22" s="348">
        <f t="shared" si="2"/>
        <v>0</v>
      </c>
      <c r="H22" s="474">
        <f t="shared" si="3"/>
        <v>11200000</v>
      </c>
      <c r="I22" s="474">
        <f t="shared" si="4"/>
        <v>0</v>
      </c>
      <c r="J22" s="474">
        <f t="shared" si="5"/>
        <v>11200000</v>
      </c>
    </row>
    <row r="23" spans="1:10" s="334" customFormat="1" ht="29.25" customHeight="1" x14ac:dyDescent="0.25">
      <c r="A23" s="494" t="s">
        <v>663</v>
      </c>
      <c r="B23" s="581">
        <f>SUM(B21:B22)</f>
        <v>33600000</v>
      </c>
      <c r="C23" s="581">
        <f>SUM(C21:C22)</f>
        <v>0</v>
      </c>
      <c r="D23" s="581">
        <f t="shared" si="6"/>
        <v>33600000</v>
      </c>
      <c r="E23" s="354">
        <f t="shared" ref="E23" si="9">SUM(E21:E22)</f>
        <v>0</v>
      </c>
      <c r="F23" s="354"/>
      <c r="G23" s="354">
        <f t="shared" si="2"/>
        <v>0</v>
      </c>
      <c r="H23" s="583">
        <f t="shared" si="3"/>
        <v>33600000</v>
      </c>
      <c r="I23" s="583">
        <f t="shared" si="4"/>
        <v>0</v>
      </c>
      <c r="J23" s="583">
        <f t="shared" si="5"/>
        <v>33600000</v>
      </c>
    </row>
    <row r="24" spans="1:10" ht="16.5" customHeight="1" x14ac:dyDescent="0.25">
      <c r="A24" s="355" t="s">
        <v>806</v>
      </c>
      <c r="B24" s="625">
        <v>15584000</v>
      </c>
      <c r="C24" s="625"/>
      <c r="D24" s="625">
        <f>B24+C24</f>
        <v>15584000</v>
      </c>
      <c r="E24" s="342"/>
      <c r="F24" s="342"/>
      <c r="G24" s="342">
        <f t="shared" si="2"/>
        <v>0</v>
      </c>
      <c r="H24" s="473">
        <f t="shared" si="3"/>
        <v>15584000</v>
      </c>
      <c r="I24" s="473">
        <f t="shared" si="4"/>
        <v>0</v>
      </c>
      <c r="J24" s="473">
        <f t="shared" si="5"/>
        <v>15584000</v>
      </c>
    </row>
    <row r="25" spans="1:10" ht="16.5" customHeight="1" x14ac:dyDescent="0.25">
      <c r="A25" s="356" t="s">
        <v>805</v>
      </c>
      <c r="B25" s="626">
        <v>7529020</v>
      </c>
      <c r="C25" s="626"/>
      <c r="D25" s="625">
        <f>B25+C25</f>
        <v>7529020</v>
      </c>
      <c r="E25" s="348"/>
      <c r="F25" s="348"/>
      <c r="G25" s="348">
        <f t="shared" si="2"/>
        <v>0</v>
      </c>
      <c r="H25" s="474">
        <f t="shared" si="3"/>
        <v>7529020</v>
      </c>
      <c r="I25" s="474">
        <f t="shared" si="4"/>
        <v>0</v>
      </c>
      <c r="J25" s="474">
        <f t="shared" si="5"/>
        <v>7529020</v>
      </c>
    </row>
    <row r="26" spans="1:10" s="334" customFormat="1" ht="16.5" customHeight="1" x14ac:dyDescent="0.25">
      <c r="A26" s="493" t="s">
        <v>528</v>
      </c>
      <c r="B26" s="581">
        <f t="shared" ref="B26:C26" si="10">+B24+B25</f>
        <v>23113020</v>
      </c>
      <c r="C26" s="581">
        <f t="shared" si="10"/>
        <v>0</v>
      </c>
      <c r="D26" s="581">
        <f t="shared" si="6"/>
        <v>23113020</v>
      </c>
      <c r="E26" s="354">
        <f t="shared" ref="E26" si="11">+E24+E25</f>
        <v>0</v>
      </c>
      <c r="F26" s="354"/>
      <c r="G26" s="354">
        <f t="shared" si="2"/>
        <v>0</v>
      </c>
      <c r="H26" s="583">
        <f t="shared" si="3"/>
        <v>23113020</v>
      </c>
      <c r="I26" s="583">
        <f t="shared" si="4"/>
        <v>0</v>
      </c>
      <c r="J26" s="583">
        <f t="shared" si="5"/>
        <v>23113020</v>
      </c>
    </row>
    <row r="27" spans="1:10" ht="16.5" customHeight="1" x14ac:dyDescent="0.25">
      <c r="A27" s="357" t="s">
        <v>529</v>
      </c>
      <c r="B27" s="627">
        <v>35508000</v>
      </c>
      <c r="C27" s="627"/>
      <c r="D27" s="627">
        <f>B27+C27</f>
        <v>35508000</v>
      </c>
      <c r="E27" s="358"/>
      <c r="F27" s="358"/>
      <c r="G27" s="358">
        <f t="shared" si="2"/>
        <v>0</v>
      </c>
      <c r="H27" s="473">
        <f t="shared" si="3"/>
        <v>35508000</v>
      </c>
      <c r="I27" s="473">
        <f t="shared" si="4"/>
        <v>0</v>
      </c>
      <c r="J27" s="473">
        <f t="shared" si="5"/>
        <v>35508000</v>
      </c>
    </row>
    <row r="28" spans="1:10" ht="16.5" customHeight="1" x14ac:dyDescent="0.25">
      <c r="A28" s="359" t="s">
        <v>530</v>
      </c>
      <c r="B28" s="629">
        <v>47340726</v>
      </c>
      <c r="C28" s="629"/>
      <c r="D28" s="627">
        <f>B28+C28</f>
        <v>47340726</v>
      </c>
      <c r="E28" s="360"/>
      <c r="F28" s="360"/>
      <c r="G28" s="360">
        <f t="shared" si="2"/>
        <v>0</v>
      </c>
      <c r="H28" s="474">
        <f t="shared" si="3"/>
        <v>47340726</v>
      </c>
      <c r="I28" s="474">
        <f t="shared" si="4"/>
        <v>0</v>
      </c>
      <c r="J28" s="474">
        <f t="shared" si="5"/>
        <v>47340726</v>
      </c>
    </row>
    <row r="29" spans="1:10" s="334" customFormat="1" ht="16.5" customHeight="1" thickBot="1" x14ac:dyDescent="0.3">
      <c r="A29" s="495" t="s">
        <v>531</v>
      </c>
      <c r="B29" s="628">
        <f t="shared" ref="B29:C29" si="12">SUM(B27:B28)</f>
        <v>82848726</v>
      </c>
      <c r="C29" s="628">
        <f t="shared" si="12"/>
        <v>0</v>
      </c>
      <c r="D29" s="628">
        <f t="shared" si="6"/>
        <v>82848726</v>
      </c>
      <c r="E29" s="496">
        <f t="shared" ref="E29" si="13">SUM(E27:E28)</f>
        <v>0</v>
      </c>
      <c r="F29" s="496"/>
      <c r="G29" s="496">
        <f t="shared" si="2"/>
        <v>0</v>
      </c>
      <c r="H29" s="584">
        <f t="shared" si="3"/>
        <v>82848726</v>
      </c>
      <c r="I29" s="584">
        <f t="shared" si="4"/>
        <v>0</v>
      </c>
      <c r="J29" s="584">
        <f t="shared" si="5"/>
        <v>82848726</v>
      </c>
    </row>
    <row r="30" spans="1:10" ht="16.5" customHeight="1" thickBot="1" x14ac:dyDescent="0.3">
      <c r="A30" s="475" t="s">
        <v>532</v>
      </c>
      <c r="B30" s="366">
        <f>+B29+B26+B23+B20+B19+B18</f>
        <v>236840296</v>
      </c>
      <c r="C30" s="366"/>
      <c r="D30" s="366">
        <f t="shared" si="6"/>
        <v>236840296</v>
      </c>
      <c r="E30" s="367">
        <f t="shared" ref="E30" si="14">+E29+E26+E23+E20+E19+E18</f>
        <v>0</v>
      </c>
      <c r="F30" s="367"/>
      <c r="G30" s="367">
        <f t="shared" si="2"/>
        <v>0</v>
      </c>
      <c r="H30" s="476">
        <f t="shared" si="3"/>
        <v>236840296</v>
      </c>
      <c r="I30" s="476">
        <f t="shared" si="4"/>
        <v>0</v>
      </c>
      <c r="J30" s="476">
        <f t="shared" si="5"/>
        <v>236840296</v>
      </c>
    </row>
    <row r="31" spans="1:10" ht="16.5" customHeight="1" x14ac:dyDescent="0.25">
      <c r="A31" s="363" t="s">
        <v>590</v>
      </c>
      <c r="B31" s="341"/>
      <c r="C31" s="341"/>
      <c r="D31" s="341">
        <f t="shared" si="6"/>
        <v>0</v>
      </c>
      <c r="E31" s="623">
        <v>18900000</v>
      </c>
      <c r="F31" s="623"/>
      <c r="G31" s="623">
        <f>E31+F31</f>
        <v>18900000</v>
      </c>
      <c r="H31" s="473">
        <f t="shared" si="3"/>
        <v>18900000</v>
      </c>
      <c r="I31" s="473">
        <f t="shared" si="4"/>
        <v>0</v>
      </c>
      <c r="J31" s="473">
        <f t="shared" si="5"/>
        <v>18900000</v>
      </c>
    </row>
    <row r="32" spans="1:10" ht="16.5" customHeight="1" x14ac:dyDescent="0.25">
      <c r="A32" s="363" t="s">
        <v>591</v>
      </c>
      <c r="B32" s="341"/>
      <c r="C32" s="341"/>
      <c r="D32" s="341">
        <f t="shared" si="6"/>
        <v>0</v>
      </c>
      <c r="E32" s="623">
        <v>14520000</v>
      </c>
      <c r="F32" s="623"/>
      <c r="G32" s="623">
        <f t="shared" ref="G32:G39" si="15">E32+F32</f>
        <v>14520000</v>
      </c>
      <c r="H32" s="473">
        <f t="shared" si="3"/>
        <v>14520000</v>
      </c>
      <c r="I32" s="473">
        <f t="shared" si="4"/>
        <v>0</v>
      </c>
      <c r="J32" s="473">
        <f t="shared" si="5"/>
        <v>14520000</v>
      </c>
    </row>
    <row r="33" spans="1:10" ht="16.5" customHeight="1" x14ac:dyDescent="0.25">
      <c r="A33" s="363" t="s">
        <v>592</v>
      </c>
      <c r="B33" s="497"/>
      <c r="C33" s="497"/>
      <c r="D33" s="497">
        <f t="shared" si="6"/>
        <v>0</v>
      </c>
      <c r="E33" s="623">
        <v>862752</v>
      </c>
      <c r="F33" s="623"/>
      <c r="G33" s="623">
        <f t="shared" si="15"/>
        <v>862752</v>
      </c>
      <c r="H33" s="473">
        <f t="shared" si="3"/>
        <v>862752</v>
      </c>
      <c r="I33" s="473">
        <f t="shared" si="4"/>
        <v>0</v>
      </c>
      <c r="J33" s="473">
        <f t="shared" si="5"/>
        <v>862752</v>
      </c>
    </row>
    <row r="34" spans="1:10" ht="16.5" customHeight="1" x14ac:dyDescent="0.25">
      <c r="A34" s="343" t="s">
        <v>533</v>
      </c>
      <c r="B34" s="344"/>
      <c r="C34" s="344"/>
      <c r="D34" s="344">
        <f t="shared" si="6"/>
        <v>0</v>
      </c>
      <c r="E34" s="370">
        <v>24478000</v>
      </c>
      <c r="F34" s="370"/>
      <c r="G34" s="623">
        <f t="shared" si="15"/>
        <v>24478000</v>
      </c>
      <c r="H34" s="473">
        <f t="shared" si="3"/>
        <v>24478000</v>
      </c>
      <c r="I34" s="473">
        <f t="shared" si="4"/>
        <v>0</v>
      </c>
      <c r="J34" s="473">
        <f t="shared" si="5"/>
        <v>24478000</v>
      </c>
    </row>
    <row r="35" spans="1:10" ht="16.5" customHeight="1" x14ac:dyDescent="0.25">
      <c r="A35" s="343" t="s">
        <v>535</v>
      </c>
      <c r="B35" s="344"/>
      <c r="C35" s="344"/>
      <c r="D35" s="344">
        <f t="shared" si="6"/>
        <v>0</v>
      </c>
      <c r="E35" s="345">
        <v>285000</v>
      </c>
      <c r="F35" s="345"/>
      <c r="G35" s="623">
        <f t="shared" si="15"/>
        <v>285000</v>
      </c>
      <c r="H35" s="473">
        <f t="shared" si="3"/>
        <v>285000</v>
      </c>
      <c r="I35" s="473">
        <f t="shared" si="4"/>
        <v>0</v>
      </c>
      <c r="J35" s="473">
        <f t="shared" si="5"/>
        <v>285000</v>
      </c>
    </row>
    <row r="36" spans="1:10" ht="16.5" customHeight="1" x14ac:dyDescent="0.25">
      <c r="A36" s="343" t="s">
        <v>534</v>
      </c>
      <c r="B36" s="344"/>
      <c r="C36" s="344"/>
      <c r="D36" s="344">
        <f t="shared" si="6"/>
        <v>0</v>
      </c>
      <c r="E36" s="345">
        <v>4250000</v>
      </c>
      <c r="F36" s="345"/>
      <c r="G36" s="623">
        <f t="shared" si="15"/>
        <v>4250000</v>
      </c>
      <c r="H36" s="473">
        <f t="shared" si="3"/>
        <v>4250000</v>
      </c>
      <c r="I36" s="473">
        <f t="shared" si="4"/>
        <v>0</v>
      </c>
      <c r="J36" s="473">
        <f t="shared" si="5"/>
        <v>4250000</v>
      </c>
    </row>
    <row r="37" spans="1:10" ht="16.5" customHeight="1" x14ac:dyDescent="0.25">
      <c r="A37" s="343" t="s">
        <v>636</v>
      </c>
      <c r="B37" s="344"/>
      <c r="C37" s="344"/>
      <c r="D37" s="344">
        <f t="shared" si="6"/>
        <v>0</v>
      </c>
      <c r="E37" s="345">
        <v>12740000</v>
      </c>
      <c r="F37" s="345"/>
      <c r="G37" s="623">
        <f t="shared" si="15"/>
        <v>12740000</v>
      </c>
      <c r="H37" s="473">
        <f t="shared" si="3"/>
        <v>12740000</v>
      </c>
      <c r="I37" s="473">
        <f t="shared" si="4"/>
        <v>0</v>
      </c>
      <c r="J37" s="473">
        <f t="shared" si="5"/>
        <v>12740000</v>
      </c>
    </row>
    <row r="38" spans="1:10" ht="16.5" customHeight="1" x14ac:dyDescent="0.25">
      <c r="A38" s="343" t="s">
        <v>593</v>
      </c>
      <c r="B38" s="344"/>
      <c r="C38" s="344"/>
      <c r="D38" s="344">
        <f t="shared" si="6"/>
        <v>0</v>
      </c>
      <c r="E38" s="345">
        <v>11250000</v>
      </c>
      <c r="F38" s="345"/>
      <c r="G38" s="370">
        <f t="shared" si="15"/>
        <v>11250000</v>
      </c>
      <c r="H38" s="967">
        <f t="shared" si="3"/>
        <v>11250000</v>
      </c>
      <c r="I38" s="967">
        <f t="shared" si="4"/>
        <v>0</v>
      </c>
      <c r="J38" s="967">
        <f t="shared" si="5"/>
        <v>11250000</v>
      </c>
    </row>
    <row r="39" spans="1:10" ht="16.5" customHeight="1" x14ac:dyDescent="0.25">
      <c r="A39" s="483" t="s">
        <v>760</v>
      </c>
      <c r="B39" s="361"/>
      <c r="C39" s="361"/>
      <c r="D39" s="361"/>
      <c r="E39" s="362">
        <v>11443092</v>
      </c>
      <c r="F39" s="362"/>
      <c r="G39" s="623">
        <f t="shared" si="15"/>
        <v>11443092</v>
      </c>
      <c r="H39" s="474">
        <f t="shared" si="3"/>
        <v>11443092</v>
      </c>
      <c r="I39" s="474"/>
      <c r="J39" s="474"/>
    </row>
    <row r="40" spans="1:10" s="334" customFormat="1" ht="16.5" customHeight="1" x14ac:dyDescent="0.25">
      <c r="A40" s="364" t="s">
        <v>536</v>
      </c>
      <c r="B40" s="353">
        <v>0</v>
      </c>
      <c r="C40" s="353"/>
      <c r="D40" s="353">
        <f t="shared" si="6"/>
        <v>0</v>
      </c>
      <c r="E40" s="354">
        <f>SUM(E31:E39)</f>
        <v>98728844</v>
      </c>
      <c r="F40" s="354">
        <f>SUM(F31:F39)</f>
        <v>0</v>
      </c>
      <c r="G40" s="354">
        <f t="shared" si="2"/>
        <v>98728844</v>
      </c>
      <c r="H40" s="583">
        <f t="shared" si="3"/>
        <v>98728844</v>
      </c>
      <c r="I40" s="583">
        <f t="shared" si="4"/>
        <v>0</v>
      </c>
      <c r="J40" s="583">
        <f t="shared" si="5"/>
        <v>98728844</v>
      </c>
    </row>
    <row r="41" spans="1:10" s="334" customFormat="1" ht="16.5" customHeight="1" x14ac:dyDescent="0.25">
      <c r="A41" s="364" t="s">
        <v>589</v>
      </c>
      <c r="B41" s="581">
        <v>299079</v>
      </c>
      <c r="C41" s="581"/>
      <c r="D41" s="581">
        <f>B41+C41</f>
        <v>299079</v>
      </c>
      <c r="E41" s="354"/>
      <c r="F41" s="354"/>
      <c r="G41" s="354">
        <f t="shared" si="2"/>
        <v>0</v>
      </c>
      <c r="H41" s="583">
        <f t="shared" si="3"/>
        <v>299079</v>
      </c>
      <c r="I41" s="583">
        <f t="shared" si="4"/>
        <v>0</v>
      </c>
      <c r="J41" s="583">
        <f t="shared" si="5"/>
        <v>299079</v>
      </c>
    </row>
    <row r="42" spans="1:10" s="334" customFormat="1" ht="29.25" customHeight="1" x14ac:dyDescent="0.25">
      <c r="A42" s="352" t="s">
        <v>524</v>
      </c>
      <c r="B42" s="581">
        <v>16570000</v>
      </c>
      <c r="C42" s="581"/>
      <c r="D42" s="581">
        <f t="shared" ref="D42:D47" si="16">B42+C42</f>
        <v>16570000</v>
      </c>
      <c r="E42" s="354"/>
      <c r="F42" s="354"/>
      <c r="G42" s="354">
        <f t="shared" si="2"/>
        <v>0</v>
      </c>
      <c r="H42" s="583">
        <f t="shared" si="3"/>
        <v>16570000</v>
      </c>
      <c r="I42" s="583">
        <f t="shared" si="4"/>
        <v>0</v>
      </c>
      <c r="J42" s="583">
        <f t="shared" si="5"/>
        <v>16570000</v>
      </c>
    </row>
    <row r="43" spans="1:10" s="334" customFormat="1" ht="30.75" customHeight="1" x14ac:dyDescent="0.25">
      <c r="A43" s="352" t="s">
        <v>537</v>
      </c>
      <c r="B43" s="581">
        <v>7184493</v>
      </c>
      <c r="C43" s="581"/>
      <c r="D43" s="581">
        <f t="shared" si="16"/>
        <v>7184493</v>
      </c>
      <c r="E43" s="354"/>
      <c r="F43" s="354"/>
      <c r="G43" s="354">
        <f t="shared" si="2"/>
        <v>0</v>
      </c>
      <c r="H43" s="583">
        <f t="shared" si="3"/>
        <v>7184493</v>
      </c>
      <c r="I43" s="583">
        <f t="shared" si="4"/>
        <v>0</v>
      </c>
      <c r="J43" s="583">
        <f t="shared" si="5"/>
        <v>7184493</v>
      </c>
    </row>
    <row r="44" spans="1:10" s="334" customFormat="1" ht="16.5" customHeight="1" x14ac:dyDescent="0.25">
      <c r="A44" s="352" t="s">
        <v>539</v>
      </c>
      <c r="B44" s="353"/>
      <c r="C44" s="353"/>
      <c r="D44" s="581">
        <f t="shared" si="16"/>
        <v>0</v>
      </c>
      <c r="E44" s="354"/>
      <c r="F44" s="354"/>
      <c r="G44" s="354">
        <f t="shared" si="2"/>
        <v>0</v>
      </c>
      <c r="H44" s="583">
        <f t="shared" si="3"/>
        <v>0</v>
      </c>
      <c r="I44" s="583">
        <f t="shared" si="4"/>
        <v>0</v>
      </c>
      <c r="J44" s="583">
        <f t="shared" si="5"/>
        <v>0</v>
      </c>
    </row>
    <row r="45" spans="1:10" s="334" customFormat="1" ht="16.5" customHeight="1" x14ac:dyDescent="0.25">
      <c r="A45" s="364" t="s">
        <v>1013</v>
      </c>
      <c r="B45" s="353"/>
      <c r="C45" s="353">
        <v>85000</v>
      </c>
      <c r="D45" s="581">
        <f t="shared" si="16"/>
        <v>85000</v>
      </c>
      <c r="E45" s="354"/>
      <c r="F45" s="354"/>
      <c r="G45" s="354">
        <f t="shared" si="2"/>
        <v>0</v>
      </c>
      <c r="H45" s="583">
        <f t="shared" si="3"/>
        <v>0</v>
      </c>
      <c r="I45" s="583">
        <f t="shared" si="4"/>
        <v>85000</v>
      </c>
      <c r="J45" s="583">
        <f t="shared" si="5"/>
        <v>85000</v>
      </c>
    </row>
    <row r="46" spans="1:10" s="334" customFormat="1" ht="16.5" customHeight="1" x14ac:dyDescent="0.25">
      <c r="A46" s="477" t="s">
        <v>755</v>
      </c>
      <c r="B46" s="478">
        <v>568043</v>
      </c>
      <c r="C46" s="478">
        <f>149695+149697+149704</f>
        <v>449096</v>
      </c>
      <c r="D46" s="581">
        <f t="shared" si="16"/>
        <v>1017139</v>
      </c>
      <c r="E46" s="479"/>
      <c r="F46" s="479"/>
      <c r="G46" s="354">
        <f t="shared" si="2"/>
        <v>0</v>
      </c>
      <c r="H46" s="583">
        <f t="shared" si="3"/>
        <v>568043</v>
      </c>
      <c r="I46" s="583">
        <f t="shared" si="4"/>
        <v>449096</v>
      </c>
      <c r="J46" s="583">
        <f t="shared" si="5"/>
        <v>1017139</v>
      </c>
    </row>
    <row r="47" spans="1:10" s="334" customFormat="1" ht="16.5" customHeight="1" thickBot="1" x14ac:dyDescent="0.3">
      <c r="A47" s="477" t="s">
        <v>807</v>
      </c>
      <c r="B47" s="478"/>
      <c r="C47" s="478"/>
      <c r="D47" s="581">
        <f t="shared" si="16"/>
        <v>0</v>
      </c>
      <c r="E47" s="479">
        <v>9333363</v>
      </c>
      <c r="F47" s="479">
        <f>2407882+2411075</f>
        <v>4818957</v>
      </c>
      <c r="G47" s="354">
        <f t="shared" si="2"/>
        <v>14152320</v>
      </c>
      <c r="H47" s="583">
        <f t="shared" si="3"/>
        <v>9333363</v>
      </c>
      <c r="I47" s="584">
        <f t="shared" si="4"/>
        <v>4818957</v>
      </c>
      <c r="J47" s="584">
        <f t="shared" si="5"/>
        <v>14152320</v>
      </c>
    </row>
    <row r="48" spans="1:10" s="334" customFormat="1" ht="16.5" customHeight="1" thickBot="1" x14ac:dyDescent="0.3">
      <c r="A48" s="365" t="s">
        <v>543</v>
      </c>
      <c r="B48" s="366">
        <f>+B44+B43+B42+B30+B15+B41+B45+B46+B47</f>
        <v>405632363</v>
      </c>
      <c r="C48" s="366">
        <f t="shared" ref="C48:D48" si="17">+C44+C43+C42+C30+C15+C41+C45+C46+C47</f>
        <v>565586</v>
      </c>
      <c r="D48" s="366">
        <f t="shared" si="17"/>
        <v>406197949</v>
      </c>
      <c r="E48" s="367">
        <f>+E40+E30+E47+E15</f>
        <v>108251263</v>
      </c>
      <c r="F48" s="367">
        <f>+F40+F30+F47+F15</f>
        <v>4905438</v>
      </c>
      <c r="G48" s="367">
        <f>+G40+G30+G47+G15</f>
        <v>113156701</v>
      </c>
      <c r="H48" s="476">
        <f t="shared" si="3"/>
        <v>513883626</v>
      </c>
      <c r="I48" s="476">
        <f t="shared" si="4"/>
        <v>5471024</v>
      </c>
      <c r="J48" s="476">
        <f t="shared" si="5"/>
        <v>519354650</v>
      </c>
    </row>
    <row r="49" spans="5:7" hidden="1" x14ac:dyDescent="0.25"/>
    <row r="50" spans="5:7" hidden="1" x14ac:dyDescent="0.25"/>
    <row r="51" spans="5:7" hidden="1" x14ac:dyDescent="0.25">
      <c r="E51" s="336"/>
      <c r="F51" s="336"/>
      <c r="G51" s="336"/>
    </row>
    <row r="52" spans="5:7" ht="25.5" hidden="1" customHeight="1" x14ac:dyDescent="0.25">
      <c r="E52" s="337"/>
      <c r="F52" s="337"/>
      <c r="G52" s="337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36"/>
      <c r="F57" s="336"/>
      <c r="G57" s="336"/>
    </row>
    <row r="58" spans="5:7" ht="12.75" hidden="1" customHeight="1" x14ac:dyDescent="0.25">
      <c r="E58" s="337"/>
      <c r="F58" s="337"/>
      <c r="G58" s="337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33" t="s">
        <v>546</v>
      </c>
    </row>
    <row r="67" spans="1:10" ht="25.5" hidden="1" x14ac:dyDescent="0.25">
      <c r="B67" s="335" t="s">
        <v>547</v>
      </c>
      <c r="D67" s="335" t="s">
        <v>547</v>
      </c>
      <c r="E67" s="338"/>
      <c r="F67" s="338"/>
      <c r="G67" s="338"/>
      <c r="H67" s="334" t="s">
        <v>548</v>
      </c>
      <c r="J67" s="334" t="s">
        <v>548</v>
      </c>
    </row>
    <row r="68" spans="1:10" hidden="1" x14ac:dyDescent="0.25">
      <c r="B68" s="335">
        <v>26</v>
      </c>
      <c r="D68" s="335">
        <v>26</v>
      </c>
      <c r="H68" s="334" t="e">
        <f>+#REF!+E68</f>
        <v>#REF!</v>
      </c>
      <c r="J68" s="334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34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61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90" zoomScaleNormal="90" zoomScalePageLayoutView="70" workbookViewId="0">
      <selection activeCell="C43" sqref="C43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79" t="s">
        <v>519</v>
      </c>
      <c r="B1" s="1181" t="s">
        <v>585</v>
      </c>
      <c r="C1" s="1181"/>
      <c r="D1" s="1182"/>
      <c r="E1" s="1181" t="s">
        <v>586</v>
      </c>
      <c r="F1" s="1181"/>
      <c r="G1" s="1181"/>
      <c r="H1" s="1183" t="s">
        <v>802</v>
      </c>
      <c r="I1" s="1183" t="s">
        <v>794</v>
      </c>
      <c r="J1" s="1183" t="s">
        <v>803</v>
      </c>
    </row>
    <row r="2" spans="1:10" s="334" customFormat="1" ht="39.75" customHeight="1" x14ac:dyDescent="0.25">
      <c r="A2" s="1180"/>
      <c r="B2" s="339" t="s">
        <v>802</v>
      </c>
      <c r="C2" s="339" t="s">
        <v>794</v>
      </c>
      <c r="D2" s="339" t="s">
        <v>803</v>
      </c>
      <c r="E2" s="339" t="s">
        <v>802</v>
      </c>
      <c r="F2" s="339" t="s">
        <v>794</v>
      </c>
      <c r="G2" s="339" t="s">
        <v>803</v>
      </c>
      <c r="H2" s="1184"/>
      <c r="I2" s="1184"/>
      <c r="J2" s="1184"/>
    </row>
    <row r="3" spans="1:10" ht="16.5" customHeight="1" x14ac:dyDescent="0.25">
      <c r="A3" s="340" t="s">
        <v>520</v>
      </c>
      <c r="B3" s="625">
        <v>101035</v>
      </c>
      <c r="C3" s="625"/>
      <c r="D3" s="625">
        <f>B3+C3</f>
        <v>101035</v>
      </c>
      <c r="E3" s="342">
        <v>0</v>
      </c>
      <c r="F3" s="342"/>
      <c r="G3" s="342">
        <f>+F3+E3</f>
        <v>0</v>
      </c>
      <c r="H3" s="473">
        <f>+B3+E3</f>
        <v>101035</v>
      </c>
      <c r="I3" s="473">
        <f t="shared" ref="I3:J19" si="0">+C3+F3</f>
        <v>0</v>
      </c>
      <c r="J3" s="473">
        <f t="shared" si="0"/>
        <v>101035</v>
      </c>
    </row>
    <row r="4" spans="1:10" ht="16.5" customHeight="1" x14ac:dyDescent="0.25">
      <c r="A4" s="343" t="s">
        <v>521</v>
      </c>
      <c r="B4" s="344">
        <v>25369</v>
      </c>
      <c r="C4" s="344"/>
      <c r="D4" s="625">
        <f t="shared" ref="D4:D14" si="1">B4+C4</f>
        <v>25369</v>
      </c>
      <c r="E4" s="345">
        <v>0</v>
      </c>
      <c r="F4" s="345"/>
      <c r="G4" s="345">
        <f t="shared" ref="G4:G47" si="2">+F4+E4</f>
        <v>0</v>
      </c>
      <c r="H4" s="473">
        <f t="shared" ref="H4:J48" si="3">+B4+E4</f>
        <v>25369</v>
      </c>
      <c r="I4" s="473">
        <f t="shared" si="0"/>
        <v>0</v>
      </c>
      <c r="J4" s="473">
        <f t="shared" si="0"/>
        <v>25369</v>
      </c>
    </row>
    <row r="5" spans="1:10" s="371" customFormat="1" ht="16.5" customHeight="1" x14ac:dyDescent="0.25">
      <c r="A5" s="368" t="s">
        <v>549</v>
      </c>
      <c r="B5" s="369">
        <v>7910</v>
      </c>
      <c r="C5" s="369"/>
      <c r="D5" s="625">
        <f t="shared" si="1"/>
        <v>7910</v>
      </c>
      <c r="E5" s="370">
        <v>0</v>
      </c>
      <c r="F5" s="370"/>
      <c r="G5" s="370">
        <f t="shared" si="2"/>
        <v>0</v>
      </c>
      <c r="H5" s="473">
        <f t="shared" si="3"/>
        <v>7910</v>
      </c>
      <c r="I5" s="473">
        <f t="shared" si="0"/>
        <v>0</v>
      </c>
      <c r="J5" s="473">
        <f t="shared" si="0"/>
        <v>7910</v>
      </c>
    </row>
    <row r="6" spans="1:10" s="371" customFormat="1" ht="16.5" customHeight="1" x14ac:dyDescent="0.25">
      <c r="A6" s="368" t="s">
        <v>551</v>
      </c>
      <c r="B6" s="369">
        <v>10880</v>
      </c>
      <c r="C6" s="369"/>
      <c r="D6" s="625">
        <f t="shared" si="1"/>
        <v>10880</v>
      </c>
      <c r="E6" s="370">
        <v>0</v>
      </c>
      <c r="F6" s="370"/>
      <c r="G6" s="370">
        <f t="shared" si="2"/>
        <v>0</v>
      </c>
      <c r="H6" s="473">
        <f t="shared" si="3"/>
        <v>10880</v>
      </c>
      <c r="I6" s="473">
        <f t="shared" si="0"/>
        <v>0</v>
      </c>
      <c r="J6" s="473">
        <f t="shared" si="0"/>
        <v>10880</v>
      </c>
    </row>
    <row r="7" spans="1:10" s="371" customFormat="1" ht="16.5" customHeight="1" x14ac:dyDescent="0.25">
      <c r="A7" s="368" t="s">
        <v>552</v>
      </c>
      <c r="B7" s="369">
        <v>1540</v>
      </c>
      <c r="C7" s="369"/>
      <c r="D7" s="625">
        <f t="shared" si="1"/>
        <v>1540</v>
      </c>
      <c r="E7" s="370">
        <v>0</v>
      </c>
      <c r="F7" s="370"/>
      <c r="G7" s="370">
        <f t="shared" si="2"/>
        <v>0</v>
      </c>
      <c r="H7" s="473">
        <f t="shared" si="3"/>
        <v>1540</v>
      </c>
      <c r="I7" s="473">
        <f t="shared" si="0"/>
        <v>0</v>
      </c>
      <c r="J7" s="473">
        <f t="shared" si="0"/>
        <v>1540</v>
      </c>
    </row>
    <row r="8" spans="1:10" s="371" customFormat="1" ht="16.5" customHeight="1" x14ac:dyDescent="0.25">
      <c r="A8" s="368" t="s">
        <v>550</v>
      </c>
      <c r="B8" s="369">
        <v>5039</v>
      </c>
      <c r="C8" s="369"/>
      <c r="D8" s="625">
        <f t="shared" si="1"/>
        <v>5039</v>
      </c>
      <c r="E8" s="370">
        <v>0</v>
      </c>
      <c r="F8" s="370"/>
      <c r="G8" s="370">
        <f t="shared" si="2"/>
        <v>0</v>
      </c>
      <c r="H8" s="473">
        <f t="shared" si="3"/>
        <v>5039</v>
      </c>
      <c r="I8" s="473">
        <f t="shared" si="0"/>
        <v>0</v>
      </c>
      <c r="J8" s="473">
        <f t="shared" si="0"/>
        <v>5039</v>
      </c>
    </row>
    <row r="9" spans="1:10" ht="26.25" customHeight="1" x14ac:dyDescent="0.25">
      <c r="A9" s="499" t="s">
        <v>522</v>
      </c>
      <c r="B9" s="500">
        <v>15541</v>
      </c>
      <c r="C9" s="500"/>
      <c r="D9" s="625">
        <f t="shared" si="1"/>
        <v>15541</v>
      </c>
      <c r="E9" s="501">
        <v>0</v>
      </c>
      <c r="F9" s="501"/>
      <c r="G9" s="501">
        <f t="shared" si="2"/>
        <v>0</v>
      </c>
      <c r="H9" s="582">
        <f t="shared" si="3"/>
        <v>15541</v>
      </c>
      <c r="I9" s="582">
        <f t="shared" si="0"/>
        <v>0</v>
      </c>
      <c r="J9" s="582">
        <f t="shared" si="0"/>
        <v>15541</v>
      </c>
    </row>
    <row r="10" spans="1:10" ht="16.5" customHeight="1" x14ac:dyDescent="0.25">
      <c r="A10" s="346" t="s">
        <v>523</v>
      </c>
      <c r="B10" s="347">
        <v>-22204</v>
      </c>
      <c r="C10" s="347"/>
      <c r="D10" s="962">
        <f t="shared" si="1"/>
        <v>-22204</v>
      </c>
      <c r="E10" s="348">
        <v>0</v>
      </c>
      <c r="F10" s="348"/>
      <c r="G10" s="348">
        <f t="shared" si="2"/>
        <v>0</v>
      </c>
      <c r="H10" s="583">
        <f t="shared" si="3"/>
        <v>-22204</v>
      </c>
      <c r="I10" s="583">
        <f t="shared" si="0"/>
        <v>0</v>
      </c>
      <c r="J10" s="583">
        <f t="shared" si="0"/>
        <v>-22204</v>
      </c>
    </row>
    <row r="11" spans="1:10" s="334" customFormat="1" ht="16.5" customHeight="1" x14ac:dyDescent="0.25">
      <c r="A11" s="349" t="s">
        <v>538</v>
      </c>
      <c r="B11" s="350">
        <v>0</v>
      </c>
      <c r="C11" s="350"/>
      <c r="D11" s="952">
        <f t="shared" si="1"/>
        <v>0</v>
      </c>
      <c r="E11" s="351">
        <v>0</v>
      </c>
      <c r="F11" s="351"/>
      <c r="G11" s="351">
        <f t="shared" si="2"/>
        <v>0</v>
      </c>
      <c r="H11" s="583">
        <f t="shared" si="3"/>
        <v>0</v>
      </c>
      <c r="I11" s="583">
        <f t="shared" si="0"/>
        <v>0</v>
      </c>
      <c r="J11" s="583">
        <f t="shared" si="0"/>
        <v>0</v>
      </c>
    </row>
    <row r="12" spans="1:10" s="334" customFormat="1" ht="16.5" customHeight="1" x14ac:dyDescent="0.25">
      <c r="A12" s="480" t="s">
        <v>540</v>
      </c>
      <c r="B12" s="481">
        <v>905</v>
      </c>
      <c r="C12" s="481"/>
      <c r="D12" s="952">
        <f t="shared" si="1"/>
        <v>905</v>
      </c>
      <c r="E12" s="482">
        <v>0</v>
      </c>
      <c r="F12" s="482"/>
      <c r="G12" s="482">
        <f t="shared" si="2"/>
        <v>0</v>
      </c>
      <c r="H12" s="583">
        <f t="shared" si="3"/>
        <v>905</v>
      </c>
      <c r="I12" s="583">
        <f t="shared" si="0"/>
        <v>0</v>
      </c>
      <c r="J12" s="583">
        <f t="shared" si="0"/>
        <v>905</v>
      </c>
    </row>
    <row r="13" spans="1:10" s="334" customFormat="1" ht="16.5" customHeight="1" x14ac:dyDescent="0.25">
      <c r="A13" s="480" t="s">
        <v>542</v>
      </c>
      <c r="B13" s="481"/>
      <c r="C13" s="481">
        <v>120</v>
      </c>
      <c r="D13" s="952">
        <f t="shared" si="1"/>
        <v>120</v>
      </c>
      <c r="E13" s="482"/>
      <c r="F13" s="482">
        <v>289</v>
      </c>
      <c r="G13" s="482">
        <f t="shared" si="2"/>
        <v>289</v>
      </c>
      <c r="H13" s="583">
        <f t="shared" si="3"/>
        <v>0</v>
      </c>
      <c r="I13" s="583">
        <f t="shared" si="0"/>
        <v>409</v>
      </c>
      <c r="J13" s="583">
        <f t="shared" si="0"/>
        <v>409</v>
      </c>
    </row>
    <row r="14" spans="1:10" s="334" customFormat="1" ht="16.5" customHeight="1" thickBot="1" x14ac:dyDescent="0.3">
      <c r="A14" s="630" t="s">
        <v>683</v>
      </c>
      <c r="B14" s="631">
        <v>1682</v>
      </c>
      <c r="C14" s="631"/>
      <c r="D14" s="966">
        <f t="shared" si="1"/>
        <v>1682</v>
      </c>
      <c r="E14" s="632"/>
      <c r="F14" s="632"/>
      <c r="G14" s="632">
        <f t="shared" si="2"/>
        <v>0</v>
      </c>
      <c r="H14" s="584">
        <f t="shared" si="3"/>
        <v>1682</v>
      </c>
      <c r="I14" s="584">
        <f t="shared" si="0"/>
        <v>0</v>
      </c>
      <c r="J14" s="584">
        <f t="shared" si="0"/>
        <v>1682</v>
      </c>
    </row>
    <row r="15" spans="1:10" s="334" customFormat="1" ht="13.5" thickBot="1" x14ac:dyDescent="0.3">
      <c r="A15" s="475" t="s">
        <v>525</v>
      </c>
      <c r="B15" s="624">
        <f>+B3+B4+B9+B10+B11+B12+B14+B13</f>
        <v>122328</v>
      </c>
      <c r="C15" s="624">
        <f>+C3+C4+C9+C10+C11+C12+C14+C13</f>
        <v>120</v>
      </c>
      <c r="D15" s="624">
        <f>+C15+B15</f>
        <v>122448</v>
      </c>
      <c r="E15" s="624">
        <f>+E3+E4+E9+E10+E11+E12+E14+E13</f>
        <v>0</v>
      </c>
      <c r="F15" s="624">
        <f>+F3+F4+F9+F10+F11+F12+F14+F13</f>
        <v>289</v>
      </c>
      <c r="G15" s="624">
        <f>+F15+E15</f>
        <v>289</v>
      </c>
      <c r="H15" s="624">
        <f t="shared" si="3"/>
        <v>122328</v>
      </c>
      <c r="I15" s="624">
        <f t="shared" si="0"/>
        <v>409</v>
      </c>
      <c r="J15" s="968">
        <f>+D15+G15</f>
        <v>122737</v>
      </c>
    </row>
    <row r="16" spans="1:10" ht="16.5" customHeight="1" x14ac:dyDescent="0.25">
      <c r="A16" s="355" t="s">
        <v>804</v>
      </c>
      <c r="B16" s="625">
        <v>62950</v>
      </c>
      <c r="C16" s="625"/>
      <c r="D16" s="625">
        <f>B16+C16</f>
        <v>62950</v>
      </c>
      <c r="E16" s="342"/>
      <c r="F16" s="342"/>
      <c r="G16" s="342">
        <f t="shared" si="2"/>
        <v>0</v>
      </c>
      <c r="H16" s="473">
        <f t="shared" si="3"/>
        <v>62950</v>
      </c>
      <c r="I16" s="473">
        <f t="shared" si="0"/>
        <v>0</v>
      </c>
      <c r="J16" s="473">
        <f t="shared" si="0"/>
        <v>62950</v>
      </c>
    </row>
    <row r="17" spans="1:10" ht="16.5" customHeight="1" x14ac:dyDescent="0.25">
      <c r="A17" s="356" t="s">
        <v>805</v>
      </c>
      <c r="B17" s="626">
        <v>30746</v>
      </c>
      <c r="C17" s="626"/>
      <c r="D17" s="625">
        <f>B17+C17</f>
        <v>30746</v>
      </c>
      <c r="E17" s="348"/>
      <c r="F17" s="348"/>
      <c r="G17" s="348">
        <f t="shared" si="2"/>
        <v>0</v>
      </c>
      <c r="H17" s="474">
        <f t="shared" si="3"/>
        <v>30746</v>
      </c>
      <c r="I17" s="474">
        <f t="shared" si="0"/>
        <v>0</v>
      </c>
      <c r="J17" s="474">
        <f t="shared" si="0"/>
        <v>30746</v>
      </c>
    </row>
    <row r="18" spans="1:10" s="334" customFormat="1" ht="16.5" customHeight="1" x14ac:dyDescent="0.25">
      <c r="A18" s="493" t="s">
        <v>526</v>
      </c>
      <c r="B18" s="581">
        <f>SUM(B16:B17)</f>
        <v>93696</v>
      </c>
      <c r="C18" s="581">
        <f>SUM(C16:C17)</f>
        <v>0</v>
      </c>
      <c r="D18" s="581">
        <f t="shared" ref="D18:D40" si="4">+C18+B18</f>
        <v>93696</v>
      </c>
      <c r="E18" s="353">
        <f t="shared" ref="E18" si="5">SUM(E16:E17)</f>
        <v>0</v>
      </c>
      <c r="F18" s="353"/>
      <c r="G18" s="353">
        <f t="shared" si="2"/>
        <v>0</v>
      </c>
      <c r="H18" s="583">
        <f t="shared" si="3"/>
        <v>93696</v>
      </c>
      <c r="I18" s="583">
        <f t="shared" si="0"/>
        <v>0</v>
      </c>
      <c r="J18" s="583">
        <f t="shared" si="0"/>
        <v>93696</v>
      </c>
    </row>
    <row r="19" spans="1:10" s="334" customFormat="1" ht="16.5" customHeight="1" x14ac:dyDescent="0.25">
      <c r="A19" s="493" t="s">
        <v>527</v>
      </c>
      <c r="B19" s="581"/>
      <c r="C19" s="581"/>
      <c r="D19" s="581"/>
      <c r="E19" s="354"/>
      <c r="F19" s="354"/>
      <c r="G19" s="354">
        <f t="shared" si="2"/>
        <v>0</v>
      </c>
      <c r="H19" s="583">
        <f t="shared" si="3"/>
        <v>0</v>
      </c>
      <c r="I19" s="583">
        <f t="shared" si="0"/>
        <v>0</v>
      </c>
      <c r="J19" s="583">
        <f t="shared" si="0"/>
        <v>0</v>
      </c>
    </row>
    <row r="20" spans="1:10" s="334" customFormat="1" ht="33.75" customHeight="1" x14ac:dyDescent="0.25">
      <c r="A20" s="498" t="s">
        <v>545</v>
      </c>
      <c r="B20" s="581">
        <v>1190</v>
      </c>
      <c r="C20" s="581"/>
      <c r="D20" s="581">
        <f t="shared" ref="D20:D22" si="6">+C20+B20</f>
        <v>1190</v>
      </c>
      <c r="E20" s="354"/>
      <c r="F20" s="354"/>
      <c r="G20" s="354">
        <f t="shared" si="2"/>
        <v>0</v>
      </c>
      <c r="H20" s="583">
        <f t="shared" si="3"/>
        <v>1190</v>
      </c>
      <c r="I20" s="583">
        <f t="shared" si="3"/>
        <v>0</v>
      </c>
      <c r="J20" s="583">
        <f t="shared" si="3"/>
        <v>1190</v>
      </c>
    </row>
    <row r="21" spans="1:10" ht="16.5" customHeight="1" x14ac:dyDescent="0.25">
      <c r="A21" s="355" t="s">
        <v>806</v>
      </c>
      <c r="B21" s="625">
        <v>20580</v>
      </c>
      <c r="C21" s="625"/>
      <c r="D21" s="952">
        <f t="shared" si="6"/>
        <v>20580</v>
      </c>
      <c r="E21" s="342"/>
      <c r="F21" s="342"/>
      <c r="G21" s="342">
        <f t="shared" si="2"/>
        <v>0</v>
      </c>
      <c r="H21" s="473">
        <f t="shared" si="3"/>
        <v>20580</v>
      </c>
      <c r="I21" s="473">
        <f t="shared" si="3"/>
        <v>0</v>
      </c>
      <c r="J21" s="473">
        <f t="shared" si="3"/>
        <v>20580</v>
      </c>
    </row>
    <row r="22" spans="1:10" ht="16.5" customHeight="1" x14ac:dyDescent="0.25">
      <c r="A22" s="356" t="s">
        <v>805</v>
      </c>
      <c r="B22" s="626">
        <v>10290</v>
      </c>
      <c r="C22" s="626"/>
      <c r="D22" s="952">
        <f t="shared" si="6"/>
        <v>10290</v>
      </c>
      <c r="E22" s="348"/>
      <c r="F22" s="348"/>
      <c r="G22" s="348">
        <f t="shared" si="2"/>
        <v>0</v>
      </c>
      <c r="H22" s="474">
        <f t="shared" si="3"/>
        <v>10290</v>
      </c>
      <c r="I22" s="474">
        <f t="shared" si="3"/>
        <v>0</v>
      </c>
      <c r="J22" s="474">
        <f t="shared" si="3"/>
        <v>10290</v>
      </c>
    </row>
    <row r="23" spans="1:10" s="334" customFormat="1" ht="29.25" customHeight="1" x14ac:dyDescent="0.25">
      <c r="A23" s="494" t="s">
        <v>663</v>
      </c>
      <c r="B23" s="581">
        <f>SUM(B21:B22)</f>
        <v>30870</v>
      </c>
      <c r="C23" s="581">
        <f>SUM(C21:C22)</f>
        <v>0</v>
      </c>
      <c r="D23" s="581">
        <f t="shared" si="4"/>
        <v>30870</v>
      </c>
      <c r="E23" s="354">
        <f t="shared" ref="E23" si="7">SUM(E21:E22)</f>
        <v>0</v>
      </c>
      <c r="F23" s="354"/>
      <c r="G23" s="354">
        <f t="shared" si="2"/>
        <v>0</v>
      </c>
      <c r="H23" s="583">
        <f t="shared" si="3"/>
        <v>30870</v>
      </c>
      <c r="I23" s="583">
        <f t="shared" si="3"/>
        <v>0</v>
      </c>
      <c r="J23" s="583">
        <f t="shared" si="3"/>
        <v>30870</v>
      </c>
    </row>
    <row r="24" spans="1:10" ht="16.5" customHeight="1" x14ac:dyDescent="0.25">
      <c r="A24" s="355" t="s">
        <v>806</v>
      </c>
      <c r="B24" s="625">
        <v>15389</v>
      </c>
      <c r="C24" s="625"/>
      <c r="D24" s="625">
        <f>B24+C24</f>
        <v>15389</v>
      </c>
      <c r="E24" s="342"/>
      <c r="F24" s="342"/>
      <c r="G24" s="342">
        <f t="shared" si="2"/>
        <v>0</v>
      </c>
      <c r="H24" s="473">
        <f t="shared" si="3"/>
        <v>15389</v>
      </c>
      <c r="I24" s="473">
        <f t="shared" si="3"/>
        <v>0</v>
      </c>
      <c r="J24" s="473">
        <f t="shared" si="3"/>
        <v>15389</v>
      </c>
    </row>
    <row r="25" spans="1:10" ht="16.5" customHeight="1" x14ac:dyDescent="0.25">
      <c r="A25" s="356" t="s">
        <v>805</v>
      </c>
      <c r="B25" s="626">
        <v>7695</v>
      </c>
      <c r="C25" s="626"/>
      <c r="D25" s="625">
        <f>B25+C25</f>
        <v>7695</v>
      </c>
      <c r="E25" s="348"/>
      <c r="F25" s="348"/>
      <c r="G25" s="348">
        <f t="shared" si="2"/>
        <v>0</v>
      </c>
      <c r="H25" s="474">
        <f t="shared" si="3"/>
        <v>7695</v>
      </c>
      <c r="I25" s="474">
        <f t="shared" si="3"/>
        <v>0</v>
      </c>
      <c r="J25" s="474">
        <f t="shared" si="3"/>
        <v>7695</v>
      </c>
    </row>
    <row r="26" spans="1:10" s="334" customFormat="1" ht="16.5" customHeight="1" x14ac:dyDescent="0.25">
      <c r="A26" s="493" t="s">
        <v>528</v>
      </c>
      <c r="B26" s="581">
        <f t="shared" ref="B26:C26" si="8">+B24+B25</f>
        <v>23084</v>
      </c>
      <c r="C26" s="581">
        <f t="shared" si="8"/>
        <v>0</v>
      </c>
      <c r="D26" s="581">
        <f t="shared" si="4"/>
        <v>23084</v>
      </c>
      <c r="E26" s="354">
        <f t="shared" ref="E26" si="9">+E24+E25</f>
        <v>0</v>
      </c>
      <c r="F26" s="354"/>
      <c r="G26" s="354">
        <f t="shared" si="2"/>
        <v>0</v>
      </c>
      <c r="H26" s="583">
        <f t="shared" si="3"/>
        <v>23084</v>
      </c>
      <c r="I26" s="583">
        <f t="shared" si="3"/>
        <v>0</v>
      </c>
      <c r="J26" s="583">
        <f t="shared" si="3"/>
        <v>23084</v>
      </c>
    </row>
    <row r="27" spans="1:10" ht="16.5" customHeight="1" x14ac:dyDescent="0.25">
      <c r="A27" s="357" t="s">
        <v>529</v>
      </c>
      <c r="B27" s="627">
        <v>32376</v>
      </c>
      <c r="C27" s="627"/>
      <c r="D27" s="627">
        <f>B27+C27</f>
        <v>32376</v>
      </c>
      <c r="E27" s="358"/>
      <c r="F27" s="358"/>
      <c r="G27" s="358">
        <f t="shared" si="2"/>
        <v>0</v>
      </c>
      <c r="H27" s="473">
        <f t="shared" si="3"/>
        <v>32376</v>
      </c>
      <c r="I27" s="473">
        <f t="shared" si="3"/>
        <v>0</v>
      </c>
      <c r="J27" s="473">
        <f t="shared" si="3"/>
        <v>32376</v>
      </c>
    </row>
    <row r="28" spans="1:10" ht="16.5" customHeight="1" x14ac:dyDescent="0.25">
      <c r="A28" s="359" t="s">
        <v>530</v>
      </c>
      <c r="B28" s="629">
        <v>36141</v>
      </c>
      <c r="C28" s="629"/>
      <c r="D28" s="627">
        <f>B28+C28</f>
        <v>36141</v>
      </c>
      <c r="E28" s="360"/>
      <c r="F28" s="360"/>
      <c r="G28" s="360">
        <f t="shared" si="2"/>
        <v>0</v>
      </c>
      <c r="H28" s="474">
        <f t="shared" si="3"/>
        <v>36141</v>
      </c>
      <c r="I28" s="474">
        <f t="shared" si="3"/>
        <v>0</v>
      </c>
      <c r="J28" s="474">
        <f t="shared" si="3"/>
        <v>36141</v>
      </c>
    </row>
    <row r="29" spans="1:10" s="334" customFormat="1" ht="16.5" customHeight="1" thickBot="1" x14ac:dyDescent="0.3">
      <c r="A29" s="495" t="s">
        <v>531</v>
      </c>
      <c r="B29" s="628">
        <f t="shared" ref="B29:C29" si="10">SUM(B27:B28)</f>
        <v>68517</v>
      </c>
      <c r="C29" s="628">
        <f t="shared" si="10"/>
        <v>0</v>
      </c>
      <c r="D29" s="628">
        <f t="shared" si="4"/>
        <v>68517</v>
      </c>
      <c r="E29" s="496">
        <f t="shared" ref="E29" si="11">SUM(E27:E28)</f>
        <v>0</v>
      </c>
      <c r="F29" s="496"/>
      <c r="G29" s="496">
        <f t="shared" si="2"/>
        <v>0</v>
      </c>
      <c r="H29" s="584">
        <f t="shared" si="3"/>
        <v>68517</v>
      </c>
      <c r="I29" s="584">
        <f t="shared" si="3"/>
        <v>0</v>
      </c>
      <c r="J29" s="584">
        <f t="shared" si="3"/>
        <v>68517</v>
      </c>
    </row>
    <row r="30" spans="1:10" ht="16.5" customHeight="1" thickBot="1" x14ac:dyDescent="0.3">
      <c r="A30" s="475" t="s">
        <v>532</v>
      </c>
      <c r="B30" s="366">
        <f>+B29+B26+B23+B20+B19+B18</f>
        <v>217357</v>
      </c>
      <c r="C30" s="366"/>
      <c r="D30" s="366">
        <f t="shared" si="4"/>
        <v>217357</v>
      </c>
      <c r="E30" s="367">
        <f t="shared" ref="E30" si="12">+E29+E26+E23+E20+E19+E18</f>
        <v>0</v>
      </c>
      <c r="F30" s="367"/>
      <c r="G30" s="367">
        <f t="shared" si="2"/>
        <v>0</v>
      </c>
      <c r="H30" s="476">
        <f t="shared" si="3"/>
        <v>217357</v>
      </c>
      <c r="I30" s="476">
        <f t="shared" si="3"/>
        <v>0</v>
      </c>
      <c r="J30" s="476">
        <f t="shared" si="3"/>
        <v>217357</v>
      </c>
    </row>
    <row r="31" spans="1:10" ht="16.5" customHeight="1" x14ac:dyDescent="0.25">
      <c r="A31" s="363" t="s">
        <v>590</v>
      </c>
      <c r="B31" s="341"/>
      <c r="C31" s="341"/>
      <c r="D31" s="341">
        <f t="shared" si="4"/>
        <v>0</v>
      </c>
      <c r="E31" s="623">
        <v>17000</v>
      </c>
      <c r="F31" s="623"/>
      <c r="G31" s="623">
        <f>E31+F31</f>
        <v>17000</v>
      </c>
      <c r="H31" s="473">
        <f t="shared" si="3"/>
        <v>17000</v>
      </c>
      <c r="I31" s="473">
        <f t="shared" si="3"/>
        <v>0</v>
      </c>
      <c r="J31" s="473">
        <f t="shared" si="3"/>
        <v>17000</v>
      </c>
    </row>
    <row r="32" spans="1:10" ht="16.5" customHeight="1" x14ac:dyDescent="0.25">
      <c r="A32" s="363" t="s">
        <v>591</v>
      </c>
      <c r="B32" s="341"/>
      <c r="C32" s="341"/>
      <c r="D32" s="341">
        <f t="shared" si="4"/>
        <v>0</v>
      </c>
      <c r="E32" s="623">
        <v>14190</v>
      </c>
      <c r="F32" s="623"/>
      <c r="G32" s="623">
        <f t="shared" ref="G32:G39" si="13">E32+F32</f>
        <v>14190</v>
      </c>
      <c r="H32" s="473">
        <f t="shared" si="3"/>
        <v>14190</v>
      </c>
      <c r="I32" s="473">
        <f t="shared" si="3"/>
        <v>0</v>
      </c>
      <c r="J32" s="473">
        <f t="shared" si="3"/>
        <v>14190</v>
      </c>
    </row>
    <row r="33" spans="1:10" ht="16.5" customHeight="1" x14ac:dyDescent="0.25">
      <c r="A33" s="363" t="s">
        <v>592</v>
      </c>
      <c r="B33" s="497"/>
      <c r="C33" s="497"/>
      <c r="D33" s="497">
        <f t="shared" si="4"/>
        <v>0</v>
      </c>
      <c r="E33" s="623">
        <v>548</v>
      </c>
      <c r="F33" s="623"/>
      <c r="G33" s="623">
        <f t="shared" si="13"/>
        <v>548</v>
      </c>
      <c r="H33" s="473">
        <f t="shared" si="3"/>
        <v>548</v>
      </c>
      <c r="I33" s="473">
        <f t="shared" si="3"/>
        <v>0</v>
      </c>
      <c r="J33" s="473">
        <f t="shared" si="3"/>
        <v>548</v>
      </c>
    </row>
    <row r="34" spans="1:10" ht="16.5" customHeight="1" x14ac:dyDescent="0.25">
      <c r="A34" s="343" t="s">
        <v>533</v>
      </c>
      <c r="B34" s="344"/>
      <c r="C34" s="344"/>
      <c r="D34" s="344">
        <f t="shared" si="4"/>
        <v>0</v>
      </c>
      <c r="E34" s="370">
        <v>24932</v>
      </c>
      <c r="F34" s="370"/>
      <c r="G34" s="623">
        <f t="shared" si="13"/>
        <v>24932</v>
      </c>
      <c r="H34" s="473">
        <f t="shared" si="3"/>
        <v>24932</v>
      </c>
      <c r="I34" s="473">
        <f t="shared" si="3"/>
        <v>0</v>
      </c>
      <c r="J34" s="473">
        <f t="shared" si="3"/>
        <v>24932</v>
      </c>
    </row>
    <row r="35" spans="1:10" ht="16.5" customHeight="1" x14ac:dyDescent="0.25">
      <c r="A35" s="343" t="s">
        <v>535</v>
      </c>
      <c r="B35" s="344"/>
      <c r="C35" s="344"/>
      <c r="D35" s="344">
        <f t="shared" si="4"/>
        <v>0</v>
      </c>
      <c r="E35" s="345">
        <v>164</v>
      </c>
      <c r="F35" s="345"/>
      <c r="G35" s="623">
        <f t="shared" si="13"/>
        <v>164</v>
      </c>
      <c r="H35" s="473">
        <f t="shared" si="3"/>
        <v>164</v>
      </c>
      <c r="I35" s="473">
        <f t="shared" si="3"/>
        <v>0</v>
      </c>
      <c r="J35" s="473">
        <f t="shared" si="3"/>
        <v>164</v>
      </c>
    </row>
    <row r="36" spans="1:10" ht="16.5" customHeight="1" x14ac:dyDescent="0.25">
      <c r="A36" s="343" t="s">
        <v>534</v>
      </c>
      <c r="B36" s="344"/>
      <c r="C36" s="344"/>
      <c r="D36" s="344">
        <f t="shared" si="4"/>
        <v>0</v>
      </c>
      <c r="E36" s="345">
        <v>3100</v>
      </c>
      <c r="F36" s="345"/>
      <c r="G36" s="623">
        <f t="shared" si="13"/>
        <v>3100</v>
      </c>
      <c r="H36" s="473">
        <f t="shared" si="3"/>
        <v>3100</v>
      </c>
      <c r="I36" s="473">
        <f t="shared" si="3"/>
        <v>0</v>
      </c>
      <c r="J36" s="473">
        <f t="shared" si="3"/>
        <v>3100</v>
      </c>
    </row>
    <row r="37" spans="1:10" ht="16.5" customHeight="1" x14ac:dyDescent="0.25">
      <c r="A37" s="343" t="s">
        <v>636</v>
      </c>
      <c r="B37" s="344"/>
      <c r="C37" s="344"/>
      <c r="D37" s="344">
        <f t="shared" si="4"/>
        <v>0</v>
      </c>
      <c r="E37" s="345">
        <v>6552</v>
      </c>
      <c r="F37" s="345"/>
      <c r="G37" s="623">
        <f t="shared" si="13"/>
        <v>6552</v>
      </c>
      <c r="H37" s="473">
        <f t="shared" si="3"/>
        <v>6552</v>
      </c>
      <c r="I37" s="473">
        <f t="shared" si="3"/>
        <v>0</v>
      </c>
      <c r="J37" s="473">
        <f t="shared" si="3"/>
        <v>6552</v>
      </c>
    </row>
    <row r="38" spans="1:10" ht="16.5" customHeight="1" x14ac:dyDescent="0.25">
      <c r="A38" s="343" t="s">
        <v>593</v>
      </c>
      <c r="B38" s="344"/>
      <c r="C38" s="344"/>
      <c r="D38" s="344">
        <f t="shared" si="4"/>
        <v>0</v>
      </c>
      <c r="E38" s="345">
        <v>10040</v>
      </c>
      <c r="F38" s="345"/>
      <c r="G38" s="370">
        <f t="shared" si="13"/>
        <v>10040</v>
      </c>
      <c r="H38" s="967">
        <f t="shared" si="3"/>
        <v>10040</v>
      </c>
      <c r="I38" s="967">
        <f t="shared" si="3"/>
        <v>0</v>
      </c>
      <c r="J38" s="967">
        <f t="shared" si="3"/>
        <v>10040</v>
      </c>
    </row>
    <row r="39" spans="1:10" ht="16.5" customHeight="1" x14ac:dyDescent="0.25">
      <c r="A39" s="483" t="s">
        <v>760</v>
      </c>
      <c r="B39" s="361"/>
      <c r="C39" s="361"/>
      <c r="D39" s="361"/>
      <c r="E39" s="362">
        <v>11525</v>
      </c>
      <c r="F39" s="362"/>
      <c r="G39" s="623">
        <f t="shared" si="13"/>
        <v>11525</v>
      </c>
      <c r="H39" s="474">
        <f t="shared" si="3"/>
        <v>11525</v>
      </c>
      <c r="I39" s="474"/>
      <c r="J39" s="474"/>
    </row>
    <row r="40" spans="1:10" s="334" customFormat="1" ht="16.5" customHeight="1" x14ac:dyDescent="0.25">
      <c r="A40" s="364" t="s">
        <v>536</v>
      </c>
      <c r="B40" s="353">
        <v>0</v>
      </c>
      <c r="C40" s="353"/>
      <c r="D40" s="353">
        <f t="shared" si="4"/>
        <v>0</v>
      </c>
      <c r="E40" s="354">
        <f>SUM(E31:E39)</f>
        <v>88051</v>
      </c>
      <c r="F40" s="354">
        <f>SUM(F31:F39)</f>
        <v>0</v>
      </c>
      <c r="G40" s="354">
        <f t="shared" si="2"/>
        <v>88051</v>
      </c>
      <c r="H40" s="583">
        <f t="shared" si="3"/>
        <v>88051</v>
      </c>
      <c r="I40" s="583">
        <f t="shared" si="3"/>
        <v>0</v>
      </c>
      <c r="J40" s="583">
        <f t="shared" si="3"/>
        <v>88051</v>
      </c>
    </row>
    <row r="41" spans="1:10" s="334" customFormat="1" ht="16.5" customHeight="1" x14ac:dyDescent="0.25">
      <c r="A41" s="364" t="s">
        <v>589</v>
      </c>
      <c r="B41" s="581">
        <v>201</v>
      </c>
      <c r="C41" s="581"/>
      <c r="D41" s="581">
        <f>B41+C41</f>
        <v>201</v>
      </c>
      <c r="E41" s="354"/>
      <c r="F41" s="354"/>
      <c r="G41" s="354">
        <f t="shared" si="2"/>
        <v>0</v>
      </c>
      <c r="H41" s="583">
        <f t="shared" si="3"/>
        <v>201</v>
      </c>
      <c r="I41" s="583">
        <f t="shared" si="3"/>
        <v>0</v>
      </c>
      <c r="J41" s="583">
        <f t="shared" si="3"/>
        <v>201</v>
      </c>
    </row>
    <row r="42" spans="1:10" s="334" customFormat="1" ht="29.25" customHeight="1" x14ac:dyDescent="0.25">
      <c r="A42" s="352" t="s">
        <v>524</v>
      </c>
      <c r="B42" s="581">
        <v>17283</v>
      </c>
      <c r="C42" s="581"/>
      <c r="D42" s="581">
        <f t="shared" ref="D42:D47" si="14">B42+C42</f>
        <v>17283</v>
      </c>
      <c r="E42" s="354"/>
      <c r="F42" s="354"/>
      <c r="G42" s="354">
        <f t="shared" si="2"/>
        <v>0</v>
      </c>
      <c r="H42" s="583">
        <f t="shared" si="3"/>
        <v>17283</v>
      </c>
      <c r="I42" s="583">
        <f t="shared" si="3"/>
        <v>0</v>
      </c>
      <c r="J42" s="583">
        <f t="shared" si="3"/>
        <v>17283</v>
      </c>
    </row>
    <row r="43" spans="1:10" s="334" customFormat="1" ht="30.75" customHeight="1" x14ac:dyDescent="0.25">
      <c r="A43" s="352" t="s">
        <v>537</v>
      </c>
      <c r="B43" s="581">
        <v>6965</v>
      </c>
      <c r="C43" s="581"/>
      <c r="D43" s="581">
        <f t="shared" si="14"/>
        <v>6965</v>
      </c>
      <c r="E43" s="354"/>
      <c r="F43" s="354"/>
      <c r="G43" s="354">
        <f t="shared" si="2"/>
        <v>0</v>
      </c>
      <c r="H43" s="583">
        <f t="shared" si="3"/>
        <v>6965</v>
      </c>
      <c r="I43" s="583">
        <f t="shared" si="3"/>
        <v>0</v>
      </c>
      <c r="J43" s="583">
        <f t="shared" si="3"/>
        <v>6965</v>
      </c>
    </row>
    <row r="44" spans="1:10" s="334" customFormat="1" ht="16.5" customHeight="1" x14ac:dyDescent="0.25">
      <c r="A44" s="352" t="s">
        <v>539</v>
      </c>
      <c r="B44" s="353"/>
      <c r="C44" s="353"/>
      <c r="D44" s="581">
        <f t="shared" si="14"/>
        <v>0</v>
      </c>
      <c r="E44" s="354"/>
      <c r="F44" s="354"/>
      <c r="G44" s="354">
        <f t="shared" si="2"/>
        <v>0</v>
      </c>
      <c r="H44" s="583">
        <f t="shared" si="3"/>
        <v>0</v>
      </c>
      <c r="I44" s="583">
        <f t="shared" si="3"/>
        <v>0</v>
      </c>
      <c r="J44" s="583">
        <f t="shared" si="3"/>
        <v>0</v>
      </c>
    </row>
    <row r="45" spans="1:10" s="334" customFormat="1" ht="16.5" customHeight="1" x14ac:dyDescent="0.25">
      <c r="A45" s="364" t="s">
        <v>541</v>
      </c>
      <c r="B45" s="353"/>
      <c r="C45" s="353"/>
      <c r="D45" s="581">
        <f t="shared" si="14"/>
        <v>0</v>
      </c>
      <c r="E45" s="354"/>
      <c r="F45" s="354"/>
      <c r="G45" s="354">
        <f t="shared" si="2"/>
        <v>0</v>
      </c>
      <c r="H45" s="583">
        <f t="shared" si="3"/>
        <v>0</v>
      </c>
      <c r="I45" s="583">
        <f t="shared" si="3"/>
        <v>0</v>
      </c>
      <c r="J45" s="583">
        <f t="shared" si="3"/>
        <v>0</v>
      </c>
    </row>
    <row r="46" spans="1:10" s="334" customFormat="1" ht="16.5" customHeight="1" x14ac:dyDescent="0.25">
      <c r="A46" s="477" t="s">
        <v>755</v>
      </c>
      <c r="B46" s="478"/>
      <c r="C46" s="478">
        <v>646</v>
      </c>
      <c r="D46" s="581">
        <f t="shared" si="14"/>
        <v>646</v>
      </c>
      <c r="E46" s="479"/>
      <c r="F46" s="479"/>
      <c r="G46" s="354">
        <f t="shared" si="2"/>
        <v>0</v>
      </c>
      <c r="H46" s="583">
        <f t="shared" si="3"/>
        <v>0</v>
      </c>
      <c r="I46" s="583">
        <f t="shared" si="3"/>
        <v>646</v>
      </c>
      <c r="J46" s="583">
        <f t="shared" si="3"/>
        <v>646</v>
      </c>
    </row>
    <row r="47" spans="1:10" s="334" customFormat="1" ht="16.5" customHeight="1" thickBot="1" x14ac:dyDescent="0.3">
      <c r="A47" s="477" t="s">
        <v>807</v>
      </c>
      <c r="B47" s="478"/>
      <c r="C47" s="478"/>
      <c r="D47" s="581">
        <f t="shared" si="14"/>
        <v>0</v>
      </c>
      <c r="E47" s="479"/>
      <c r="F47" s="479">
        <v>7282</v>
      </c>
      <c r="G47" s="354">
        <f t="shared" si="2"/>
        <v>7282</v>
      </c>
      <c r="H47" s="583">
        <f t="shared" si="3"/>
        <v>0</v>
      </c>
      <c r="I47" s="584">
        <f t="shared" si="3"/>
        <v>7282</v>
      </c>
      <c r="J47" s="584">
        <f t="shared" si="3"/>
        <v>7282</v>
      </c>
    </row>
    <row r="48" spans="1:10" s="334" customFormat="1" ht="16.5" customHeight="1" thickBot="1" x14ac:dyDescent="0.3">
      <c r="A48" s="365" t="s">
        <v>543</v>
      </c>
      <c r="B48" s="366">
        <f>+B44+B43+B42+B30+B15+B41+B45+B46+B47</f>
        <v>364134</v>
      </c>
      <c r="C48" s="366">
        <f t="shared" ref="C48:D48" si="15">+C44+C43+C42+C30+C15+C41+C45+C46+C47</f>
        <v>766</v>
      </c>
      <c r="D48" s="366">
        <f t="shared" si="15"/>
        <v>364900</v>
      </c>
      <c r="E48" s="367">
        <f>+E40+E30+E47+E15</f>
        <v>88051</v>
      </c>
      <c r="F48" s="367">
        <f>+F40+F30+F47+F15</f>
        <v>7571</v>
      </c>
      <c r="G48" s="367">
        <f>+G40+G30+G47+G15</f>
        <v>95622</v>
      </c>
      <c r="H48" s="476">
        <f t="shared" si="3"/>
        <v>452185</v>
      </c>
      <c r="I48" s="476">
        <f t="shared" si="3"/>
        <v>8337</v>
      </c>
      <c r="J48" s="476">
        <f t="shared" si="3"/>
        <v>460522</v>
      </c>
    </row>
    <row r="49" spans="5:7" hidden="1" x14ac:dyDescent="0.25"/>
    <row r="50" spans="5:7" hidden="1" x14ac:dyDescent="0.25"/>
    <row r="51" spans="5:7" hidden="1" x14ac:dyDescent="0.25">
      <c r="E51" s="336"/>
      <c r="F51" s="336"/>
      <c r="G51" s="336"/>
    </row>
    <row r="52" spans="5:7" ht="25.5" hidden="1" customHeight="1" x14ac:dyDescent="0.25">
      <c r="E52" s="337"/>
      <c r="F52" s="337"/>
      <c r="G52" s="337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36"/>
      <c r="F57" s="336"/>
      <c r="G57" s="336"/>
    </row>
    <row r="58" spans="5:7" ht="12.75" hidden="1" customHeight="1" x14ac:dyDescent="0.25">
      <c r="E58" s="337"/>
      <c r="F58" s="337"/>
      <c r="G58" s="337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33" t="s">
        <v>546</v>
      </c>
    </row>
    <row r="67" spans="1:10" ht="25.5" hidden="1" x14ac:dyDescent="0.25">
      <c r="B67" s="335" t="s">
        <v>547</v>
      </c>
      <c r="D67" s="335" t="s">
        <v>547</v>
      </c>
      <c r="E67" s="338"/>
      <c r="F67" s="338"/>
      <c r="G67" s="338"/>
      <c r="H67" s="334" t="s">
        <v>548</v>
      </c>
      <c r="J67" s="334" t="s">
        <v>548</v>
      </c>
    </row>
    <row r="68" spans="1:10" hidden="1" x14ac:dyDescent="0.25">
      <c r="B68" s="335">
        <v>26</v>
      </c>
      <c r="D68" s="335">
        <v>26</v>
      </c>
      <c r="H68" s="334" t="e">
        <f>+#REF!+E68</f>
        <v>#REF!</v>
      </c>
      <c r="J68" s="334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34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62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16</vt:i4>
      </vt:variant>
    </vt:vector>
  </HeadingPairs>
  <TitlesOfParts>
    <vt:vector size="51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felh. - likvid.terv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13. mell. Mérleg</vt:lpstr>
      <vt:lpstr>14. mell. Pályázati összesítő</vt:lpstr>
      <vt:lpstr>MG fin. tájékoztató</vt:lpstr>
      <vt:lpstr>MSport fin. tájékoztató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'MG fin. tájékoztató'!Nyomtatási_cím</vt:lpstr>
      <vt:lpstr>'1.mell. Mérleg'!Nyomtatási_terület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SzSKatalinE</cp:lastModifiedBy>
  <cp:lastPrinted>2020-09-08T10:39:21Z</cp:lastPrinted>
  <dcterms:created xsi:type="dcterms:W3CDTF">2014-01-29T08:39:20Z</dcterms:created>
  <dcterms:modified xsi:type="dcterms:W3CDTF">2020-10-02T11:41:47Z</dcterms:modified>
</cp:coreProperties>
</file>