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95" yWindow="65521" windowWidth="5940" windowHeight="5475" tabRatio="598" firstSheet="8" activeTab="13"/>
  </bookViews>
  <sheets>
    <sheet name="bor." sheetId="1" r:id="rId1"/>
    <sheet name="1.mell. -mérleg" sheetId="2" r:id="rId2"/>
    <sheet name="2.mell - bevétel" sheetId="3" r:id="rId3"/>
    <sheet name="3.mell. - bevét.Köá" sheetId="4" r:id="rId4"/>
    <sheet name="4.mell. - kiadás" sheetId="5" r:id="rId5"/>
    <sheet name="5.mell. - kiadás.köá." sheetId="6" r:id="rId6"/>
    <sheet name="6.mell - átadások" sheetId="7" r:id="rId7"/>
    <sheet name="7.mell. - ellátottak jutt." sheetId="8" r:id="rId8"/>
    <sheet name="8.mell. - beruházások" sheetId="9" r:id="rId9"/>
    <sheet name="9.mell. -tartalék" sheetId="10" r:id="rId10"/>
    <sheet name="10.mell. - közgazd.mérleg" sheetId="11" r:id="rId11"/>
    <sheet name="11.mell. -ei.felh.ütemt." sheetId="12" r:id="rId12"/>
    <sheet name="12. felújítások" sheetId="13" r:id="rId13"/>
    <sheet name="Levezetés" sheetId="14" r:id="rId14"/>
  </sheets>
  <definedNames/>
  <calcPr fullCalcOnLoad="1"/>
</workbook>
</file>

<file path=xl/sharedStrings.xml><?xml version="1.0" encoding="utf-8"?>
<sst xmlns="http://schemas.openxmlformats.org/spreadsheetml/2006/main" count="870" uniqueCount="503">
  <si>
    <t>Megnevezés</t>
  </si>
  <si>
    <t>Összesen:</t>
  </si>
  <si>
    <t>létszám</t>
  </si>
  <si>
    <t>Sitke község Önkormányzata</t>
  </si>
  <si>
    <t>( e Ft-ban)</t>
  </si>
  <si>
    <t>e Ft</t>
  </si>
  <si>
    <t>TÁMOGATÁSOK ÖSSZESEN:</t>
  </si>
  <si>
    <t>(e Ft-ban)</t>
  </si>
  <si>
    <t>állandó</t>
  </si>
  <si>
    <t>juttatások</t>
  </si>
  <si>
    <t>előirányzat</t>
  </si>
  <si>
    <t>tervezett előirányzat</t>
  </si>
  <si>
    <t xml:space="preserve"> ebből:</t>
  </si>
  <si>
    <t>MŰKÖDÉSI KIADÁSOK</t>
  </si>
  <si>
    <t>FELHALMOZÁSI KIADÁSOK</t>
  </si>
  <si>
    <t>tervezett</t>
  </si>
  <si>
    <t>változás</t>
  </si>
  <si>
    <t>M  e  g  n  e  v  e  z  é  s:</t>
  </si>
  <si>
    <t>%-a</t>
  </si>
  <si>
    <t>MŰKÖDÉSI BEVÉTELEK ÖSSZESEN:</t>
  </si>
  <si>
    <t>Körjegyzőségi feladatok ellátása</t>
  </si>
  <si>
    <t>Bursa Hungarica Alapítvány támogatása</t>
  </si>
  <si>
    <t>Citerazenekar támogatása</t>
  </si>
  <si>
    <t>Hímzőszakkör támogatása</t>
  </si>
  <si>
    <t>2.</t>
  </si>
  <si>
    <t>Kistérségi tagsági díj</t>
  </si>
  <si>
    <t xml:space="preserve">Rendszeres társadalom, szociálpolitikai és egyéb társadalombiztosítási </t>
  </si>
  <si>
    <t>juttatások  összesen:</t>
  </si>
  <si>
    <t>Eseti társadalom, szociálpolitikai és egyéb társadalombiztosítási</t>
  </si>
  <si>
    <t>juttatások összesen:</t>
  </si>
  <si>
    <t>Működési célú szociális támogatások összesen:</t>
  </si>
  <si>
    <t>Társadalom-, szociálispolitikai és egyéb társadalom-</t>
  </si>
  <si>
    <t>biztosítási juttatások mindösszesen:</t>
  </si>
  <si>
    <t>ebből: igényel- hető költség- vetési támogatás</t>
  </si>
  <si>
    <t>hető költség-</t>
  </si>
  <si>
    <t>vetési támogatás</t>
  </si>
  <si>
    <t>Háziorvosi alapellátás</t>
  </si>
  <si>
    <t>Gyermekjóléti szolgáltatás</t>
  </si>
  <si>
    <t>Civil szervezetek működési támogatása</t>
  </si>
  <si>
    <t>Köztemető-fenntartás és működtetés</t>
  </si>
  <si>
    <t>Könyvtári szolgáltatások</t>
  </si>
  <si>
    <t>Bevételei forrásonként</t>
  </si>
  <si>
    <t xml:space="preserve">Sitke község Önkormányzata   </t>
  </si>
  <si>
    <t>Társadalom-, szociálpolitikai  és egyéb társadalombiztosítási kiadásai</t>
  </si>
  <si>
    <t>SITKE KÖZSÉG ÖNKORMÁNYZATA</t>
  </si>
  <si>
    <t>sor-</t>
  </si>
  <si>
    <t>szám</t>
  </si>
  <si>
    <t>1.</t>
  </si>
  <si>
    <t>3.</t>
  </si>
  <si>
    <t>TÁRGYÉVI BEVÉTELEK ÖSSZESEN:</t>
  </si>
  <si>
    <t>Nyugdíjas Klub</t>
  </si>
  <si>
    <t xml:space="preserve">Tekeszakosztály </t>
  </si>
  <si>
    <t>TÁRGYÉVI KIADÁSOK ÖSSZESEN:</t>
  </si>
  <si>
    <t>TÁRGYÉVI BEVÉTELEK ÉS KIADÁSOK EGYENLEGE:</t>
  </si>
  <si>
    <t xml:space="preserve">Rendszeres szociális segély     </t>
  </si>
  <si>
    <t>I.</t>
  </si>
  <si>
    <t>önkormányzati hivatal működésének támogatása</t>
  </si>
  <si>
    <t>település-üzemeltetéshez kapcsolódó feladatellátás támogatása</t>
  </si>
  <si>
    <t>II.</t>
  </si>
  <si>
    <t>III.</t>
  </si>
  <si>
    <t>Könyvtári, közművelődési és múzeumi feladatok támogatása</t>
  </si>
  <si>
    <t>MŰKÖDÉSI BEVÉTELEK</t>
  </si>
  <si>
    <t>a.</t>
  </si>
  <si>
    <t>b.</t>
  </si>
  <si>
    <t>c.</t>
  </si>
  <si>
    <t>d.</t>
  </si>
  <si>
    <t>VII.</t>
  </si>
  <si>
    <t>2014. év</t>
  </si>
  <si>
    <t>KÖZHATALMI BEVÉTELEK ÖSSZESEN:</t>
  </si>
  <si>
    <t>ravatalozó használati díj</t>
  </si>
  <si>
    <t>vendégebéd térítési díja</t>
  </si>
  <si>
    <t>működési kiadások</t>
  </si>
  <si>
    <t>felhalmozási kiadások</t>
  </si>
  <si>
    <t>felújítások</t>
  </si>
  <si>
    <t>Sághegy Leader tagdíj</t>
  </si>
  <si>
    <t>Labdarugó Szakosztály támogatása</t>
  </si>
  <si>
    <t>Foglalkoztatást helyettesítő juttatás</t>
  </si>
  <si>
    <t xml:space="preserve">Tanévkezdési támogatás </t>
  </si>
  <si>
    <t>TÁRGYÉVI KÖLTSÉGVETÉSI HIÁNY:</t>
  </si>
  <si>
    <t xml:space="preserve">       - egyéb működési kiadások</t>
  </si>
  <si>
    <t xml:space="preserve">       - egyéb felhalmozási kiadások</t>
  </si>
  <si>
    <t>szociális étkeztetés térítési díja</t>
  </si>
  <si>
    <t xml:space="preserve">Normatív lakásfenntartási támogatás </t>
  </si>
  <si>
    <t>táborozás támogatása</t>
  </si>
  <si>
    <t>talajterhelési díj</t>
  </si>
  <si>
    <t>„A közösségi közlekedés feltételrendszereinek fejlesztése Sárváron és a környező településeken” (NYDOP-3.2.1/B-12 )</t>
  </si>
  <si>
    <t>"Sitke község Önkormányzatának egészségre nevelő programja" projekt  (TÁMOP-6.12-11/1-2012-1244) 2014. évi üteme</t>
  </si>
  <si>
    <t>MŰKÖDÉSI CÉLÚ TÁMOGATÁSOK ÁLLAMHÁZTARTÁSON BELÜLRŐL</t>
  </si>
  <si>
    <t>Önkormányzatok működési támogatásai</t>
  </si>
  <si>
    <t>Helyi önkormányzatok  működésének  általános támogatása</t>
  </si>
  <si>
    <t>Települési önkormányzatok működésének támogatása</t>
  </si>
  <si>
    <t>ebből: beszámítás</t>
  </si>
  <si>
    <t>ba.</t>
  </si>
  <si>
    <t>zöldterület gazdálkodással kapcsolatos feladatok ellátásának támogatása</t>
  </si>
  <si>
    <t>bb.</t>
  </si>
  <si>
    <t>közvilágítás fenntartásának támogatása</t>
  </si>
  <si>
    <t>bc.</t>
  </si>
  <si>
    <t>köztemető fenntartással kapcsolatos feladatok támogatása</t>
  </si>
  <si>
    <t>bd.</t>
  </si>
  <si>
    <t>közutak fenntartásának támogatása</t>
  </si>
  <si>
    <t>egyéb önkormányzati feladatok támogatása</t>
  </si>
  <si>
    <t>Hozzájárulás a pénzbeni szociális ellátásokhoz</t>
  </si>
  <si>
    <t>Nem közművel összegyűjtött háztartási szennyvíz ártalmatlanítása</t>
  </si>
  <si>
    <t>Települési önkormányzatok működésének támogatása összesen:</t>
  </si>
  <si>
    <t>Települési önkormányzatok szociális, gyermekjóléti és gyermekétkeztetési feladatainak támogatása</t>
  </si>
  <si>
    <t>Egyes szociális és gyermekjóléti feladatok támogatása</t>
  </si>
  <si>
    <t>4.</t>
  </si>
  <si>
    <t>Kistelepülések szociális feladatainak támogatása</t>
  </si>
  <si>
    <t>5.</t>
  </si>
  <si>
    <t>Gyermekétkeztetés támogatása</t>
  </si>
  <si>
    <t>Települési önkormányzatok szociális, gyermekjóléti és gyermekétkeztetési feladatainak támogatása összesen:</t>
  </si>
  <si>
    <t>Települési önkormányzatok kulturális feladatainak támogatása</t>
  </si>
  <si>
    <t>települési önkormányzatok nyilvános könyvtári és közművelődési feladatainak támogatása</t>
  </si>
  <si>
    <t>Települési önkormányzatok kulturális feladatainak támogatása összesen:</t>
  </si>
  <si>
    <t>6.</t>
  </si>
  <si>
    <t>Működési célú központosított előirányzatok</t>
  </si>
  <si>
    <t>üdülőhelyi feladatok támogatása</t>
  </si>
  <si>
    <t>lakott külterületekkel kapcsolatos feladatok támogatása</t>
  </si>
  <si>
    <t>Helyi önkormányzatok  működésének  általános támogatása összesen:</t>
  </si>
  <si>
    <t>Egyéb működési célú támogatások bevételei államháztartáson belülről</t>
  </si>
  <si>
    <t>közfoglalkoztatás támogatása</t>
  </si>
  <si>
    <t>Egyéb működési célú támogatások bevételei államháztartáson belülről összesen:</t>
  </si>
  <si>
    <t>MŰKÖDÉSI CÉLÚ TÁMOGATÁSOK ÁLLAMHÁZTARTÁSON BELÜLRŐL ÖSSZESEN:</t>
  </si>
  <si>
    <t>FELHALMOZÁSI CÉLÚ TÁMOGATÁSOK ÁLLAMHÁZTARTÁSON BELÜLRŐL</t>
  </si>
  <si>
    <t>Egyéb felhalmozási célú támogatások bevételei államháztartáson belülről</t>
  </si>
  <si>
    <t>Egyéb felhalmozási célú támogatások bevételei államháztartáson belülről összesen:</t>
  </si>
  <si>
    <t>FELHALMOZÁSI CÉLÚ TÁMOGATÁSOK ÁLLAMHÁZ- TARTÁSON BELÜLRŐL ÖSSZESEN:</t>
  </si>
  <si>
    <t>KÖZHATALMI BEVÉTELEK</t>
  </si>
  <si>
    <t>Vagyoni típusú adók</t>
  </si>
  <si>
    <t>Magánszemélyek kommunális adója</t>
  </si>
  <si>
    <t>Értékesítési és forgalmi adók</t>
  </si>
  <si>
    <t>helyi iparűzési adó</t>
  </si>
  <si>
    <t>Gépjárműadók</t>
  </si>
  <si>
    <t>gépjárműadó helyi önkormányzatot megillető része</t>
  </si>
  <si>
    <t>Egyéb áruhasználati és szolgáltatási adók</t>
  </si>
  <si>
    <t>Idegenforgalmi adó</t>
  </si>
  <si>
    <t>Egyéb közhatalmi bevételek</t>
  </si>
  <si>
    <t>Igazgatási szolgáltatási díjak</t>
  </si>
  <si>
    <t>Helyi adópótlék, adóbírság</t>
  </si>
  <si>
    <t xml:space="preserve">IV. </t>
  </si>
  <si>
    <t>Szolgáltatások ellenértéke</t>
  </si>
  <si>
    <t>temetkezési szolgáltatás(sírhely megváltás)</t>
  </si>
  <si>
    <t>óvodai étkeztetés nyújtása</t>
  </si>
  <si>
    <t xml:space="preserve">bérleti és lízing díjbevételek </t>
  </si>
  <si>
    <t>önkormányzati helyiségek bérbeadása</t>
  </si>
  <si>
    <t>lakbérbevételek</t>
  </si>
  <si>
    <t>Tulajdonosi bevételek</t>
  </si>
  <si>
    <t>Ellátási díjak</t>
  </si>
  <si>
    <t>alkalmazottak térítési díja</t>
  </si>
  <si>
    <t>Kiszámlázott általános forgalmi adó</t>
  </si>
  <si>
    <t>Általános forgalmi adó visszatérítése</t>
  </si>
  <si>
    <t>Kamatbevételek</t>
  </si>
  <si>
    <t>FELHALMOZÁSI CÉLÚ ÁTVETT PÉNZESZKÖZÖK</t>
  </si>
  <si>
    <t>felhalmozási célú visszatérítendő támogatások, kölcsönök visszatérülése államháztartáson kívülről</t>
  </si>
  <si>
    <t>Első lakáshoz jutók lakásépítési és -vásárlási kölcsönének törlesztése</t>
  </si>
  <si>
    <t>FELHALMOZÁSI CÉLÚ ÁTVETT PÉNZESZKÖZÖK ÖSSZESEN:</t>
  </si>
  <si>
    <t>KÖLTSÉGVETÉSI BEVÉTELEK</t>
  </si>
  <si>
    <t>VIII.</t>
  </si>
  <si>
    <t>FINANSZÍROZÁSI BEVÉTELEK</t>
  </si>
  <si>
    <t>Előző évi költségvetési maradvány igénybevétele</t>
  </si>
  <si>
    <t>előző éveki költségvetési maradvány igénybevétele</t>
  </si>
  <si>
    <t>BEVÉTELEK ÖSSZESEN:</t>
  </si>
  <si>
    <t>2015. év</t>
  </si>
  <si>
    <t>Működési célú központosított előirányzatok összesen:</t>
  </si>
  <si>
    <t>lakott külterülettel kapcsolatos feladatok</t>
  </si>
  <si>
    <t>e.</t>
  </si>
  <si>
    <t>2014. évről áthúzódó bérkompenzáció támogatása</t>
  </si>
  <si>
    <t>Pénzbeni szociális ellátások kiegészítése</t>
  </si>
  <si>
    <t>Települési önkormányzatok szociális feladatainak egyéb támogatása</t>
  </si>
  <si>
    <t>Vidéki gazdaság és lakosság számára nyújtott alapszolgáltatások fejlesztése (mikrobusz beszerzése) támogatása</t>
  </si>
  <si>
    <t>egyéb szolgáltatások nyújtása miatti bevételek</t>
  </si>
  <si>
    <t>BEVÉTELEINEK ÉS KIADÁSAINAK ALAKULÁSA</t>
  </si>
  <si>
    <t>BEVÉTELEK:</t>
  </si>
  <si>
    <t>MŰKÖDÉSI TÁMOGATÁSOK ÁLLAMHÁZTARTÁSON BELÜLRŐL</t>
  </si>
  <si>
    <t xml:space="preserve"> ebből:   Helyi önkormányzatok  működésének  általános támogatása</t>
  </si>
  <si>
    <t xml:space="preserve">             Egyéb működési célú támogatások bevételei államháztartáson belülről</t>
  </si>
  <si>
    <t>FELHALMOZÁSI TÁMOGATÁSOK ÁLLAMHÁZTARTÁSON BELÜLRŐL</t>
  </si>
  <si>
    <t>FELHALMOZÁSI BEVÉTELEK</t>
  </si>
  <si>
    <t>MŰKÖDÉSI CÉLÚ ÁTVETT PÉNZESZKÖZÖK</t>
  </si>
  <si>
    <t xml:space="preserve"> ebből: működési célú visszatérítendő támogatások, kölcsönök visszatérülése államházt.kívülről</t>
  </si>
  <si>
    <t xml:space="preserve">           Egyéb működési célú átvett pénzeszközök</t>
  </si>
  <si>
    <t xml:space="preserve"> ebből: felhalmozási célú visszatérítendő támogatások, kölcsönök visszatérülése államházt.kívülről</t>
  </si>
  <si>
    <t xml:space="preserve">           Egyéb felhalmozási célú átvett pénzeszközök</t>
  </si>
  <si>
    <t>KIADÁSOK:</t>
  </si>
  <si>
    <t xml:space="preserve">       - Személyi juttatások</t>
  </si>
  <si>
    <t xml:space="preserve">       - Munkáltatót terhelő járulékok</t>
  </si>
  <si>
    <t xml:space="preserve">       - Dologi kiadások</t>
  </si>
  <si>
    <t xml:space="preserve">       - Ellátottak juttatásai</t>
  </si>
  <si>
    <t xml:space="preserve">       - Beruházások</t>
  </si>
  <si>
    <t xml:space="preserve">       - Felújítások</t>
  </si>
  <si>
    <t>FINANSZÍROZÁSI KIADÁSOK</t>
  </si>
  <si>
    <t xml:space="preserve"> ebből: fejlesztési célú hitelek törlesztése</t>
  </si>
  <si>
    <t xml:space="preserve">           befektetési célú részesedések vásárlása</t>
  </si>
  <si>
    <t>KIADÁSAI KIEMELT ELŐIRÁNYZATONKÉNT ÉS KORMÁNYZATI FUNKCIÓNKÉNT</t>
  </si>
  <si>
    <t>kormány- zati funkció száma</t>
  </si>
  <si>
    <t>Kormányzati funkció megnevezése</t>
  </si>
  <si>
    <t>kiadás        összesen:</t>
  </si>
  <si>
    <t>k   i   a   d   á   s   o   k   b   ó   l:</t>
  </si>
  <si>
    <t>finanszírozási kiadások</t>
  </si>
  <si>
    <t>személyi juttatások</t>
  </si>
  <si>
    <t>Munkál- tatót terhelő járulékok</t>
  </si>
  <si>
    <t>dologi kiadások</t>
  </si>
  <si>
    <t>ellátottak juttatásai</t>
  </si>
  <si>
    <t>egyéb működési kiadások</t>
  </si>
  <si>
    <t>működési kiadás összesen:</t>
  </si>
  <si>
    <t>beruházások</t>
  </si>
  <si>
    <t>irányító szervi támogatás folyósítása</t>
  </si>
  <si>
    <t>hitel- törlesztés</t>
  </si>
  <si>
    <t>részesedés vásárlása</t>
  </si>
  <si>
    <t>nyitó</t>
  </si>
  <si>
    <t>záró</t>
  </si>
  <si>
    <t>(fő)</t>
  </si>
  <si>
    <t>011130</t>
  </si>
  <si>
    <t>Önkormányzatok és önkormányzati hivatalok jogalkotó és általános igazgatási tevékenysége</t>
  </si>
  <si>
    <t>013320</t>
  </si>
  <si>
    <t>013350</t>
  </si>
  <si>
    <t>Önkormányzati vagyonnal való gazdálkodással kapcsolatos feladatok</t>
  </si>
  <si>
    <t>051030</t>
  </si>
  <si>
    <t>Nem veszélyes (települési) hulladék vegyes (ömlesztett ) begyűjtése, szállítása, átrakás</t>
  </si>
  <si>
    <t>052080</t>
  </si>
  <si>
    <t>Szennyvízcsatorna építése, fenntartása, üzemeltetése</t>
  </si>
  <si>
    <t>061030</t>
  </si>
  <si>
    <t>Lakáshoz jutást segítő támogatások</t>
  </si>
  <si>
    <t>064010</t>
  </si>
  <si>
    <t>Közvilágítás</t>
  </si>
  <si>
    <t>066010</t>
  </si>
  <si>
    <t>Zöldterület-kezelés</t>
  </si>
  <si>
    <t>066020</t>
  </si>
  <si>
    <t>Város- és községgazdálkodási egyéb szolgáltatások</t>
  </si>
  <si>
    <t>072111</t>
  </si>
  <si>
    <t>081041</t>
  </si>
  <si>
    <t>Versenysport és utánpótlás-nevelési tevékenység és támogatása</t>
  </si>
  <si>
    <t>082044</t>
  </si>
  <si>
    <t>084031</t>
  </si>
  <si>
    <t>086020</t>
  </si>
  <si>
    <t>Helyi, térségi közösségi tér biztosítása, működtetése</t>
  </si>
  <si>
    <t>094260</t>
  </si>
  <si>
    <t>Hallgatói és oktatói ösztöndíjak, egyéb juttatások</t>
  </si>
  <si>
    <t>Betegséggel kapcsolatos pénzbeni ellátások, támogatások</t>
  </si>
  <si>
    <t>104042</t>
  </si>
  <si>
    <t>Munkanélküli aktív korúak ellátásai</t>
  </si>
  <si>
    <t>Lakásfenntartással, lakhatással összefüggő ellátások</t>
  </si>
  <si>
    <t>107051</t>
  </si>
  <si>
    <t>Házi segítségnyújtás</t>
  </si>
  <si>
    <t>Egyéb szociális természetbeni és pénzbeni ellátások</t>
  </si>
  <si>
    <t>EGYÉB MŰKÖDÉSI KIADÁSOK</t>
  </si>
  <si>
    <t>EGYÉB MŰKÖDÉSI CÉLÚ TÁMOGATÁSOK ÁLLAMHÁZTARTÁSON BELÜLRE</t>
  </si>
  <si>
    <t>EGYÉB MŰKÖDÉSI CÉLÚ TÁMOGATÁSOK ÁLLAMHÁZTARTÁSON BELÜLRE ÖSSZESEN:</t>
  </si>
  <si>
    <t>EGYÉB MŰKÖDÉSI CÉLÚ TÁMOGATÁSOK ÁLLAMHÁZTARTÁSON KÍVÜLRE</t>
  </si>
  <si>
    <t>EGYÉB MŰKÖDÉSI CÉLÚ TÁMOGATÁSOK ÁLLAMHÁZTARTÁSON KÍVÜLRE ÖSSZESEN:</t>
  </si>
  <si>
    <t>EGYÉB MŰKÖDÉSI KIADÁSOK ÖSSZESEN:</t>
  </si>
  <si>
    <t>2015. évre</t>
  </si>
  <si>
    <t>2015.év</t>
  </si>
  <si>
    <t>Önkormányzati segélyek</t>
  </si>
  <si>
    <t>Sor-</t>
  </si>
  <si>
    <t>Feladat</t>
  </si>
  <si>
    <t>(a Ft-ban)</t>
  </si>
  <si>
    <t>Mindösszesen:</t>
  </si>
  <si>
    <t>2015-ben kiírásra kerülő pályázatok önrésze, saját forrásokból megvalósuló fejlesztések forrása</t>
  </si>
  <si>
    <t>ELŐZŐ ÉVEKI KÖLTSÉGVETÉSI MARADVÁNY IGÉNYBEVÉTELE 2014. ÉVRŐL ÁTHÚZÓDÓ FELADATOKRA</t>
  </si>
  <si>
    <t>(közgazdasági tagolásban)</t>
  </si>
  <si>
    <t>I. Működési  költségvetés</t>
  </si>
  <si>
    <t>Működési  támogatások államháztartáson belülről</t>
  </si>
  <si>
    <t xml:space="preserve"> - önkormányzatok működési támogatásai</t>
  </si>
  <si>
    <t xml:space="preserve"> - egyéb működési célú támogatások bevételei államháztartáson belülről</t>
  </si>
  <si>
    <t>Közhatalmi bevételek</t>
  </si>
  <si>
    <t xml:space="preserve">Működési bevételek   </t>
  </si>
  <si>
    <t>Működési célú átvett pénzeszközök</t>
  </si>
  <si>
    <t xml:space="preserve"> - működési célú visszatérítendő támogatások, kölcsönök visszatérülése államháztartáson kívülről</t>
  </si>
  <si>
    <t xml:space="preserve"> - egyéb működési célú átvett pénzeszközök</t>
  </si>
  <si>
    <t>Működési bevételek összesen</t>
  </si>
  <si>
    <t>Személyi juttatások</t>
  </si>
  <si>
    <t>Munkaadókat terhelő járulékok és szociális hozzájárulási adó</t>
  </si>
  <si>
    <t>7.</t>
  </si>
  <si>
    <t>Dologi kiadások</t>
  </si>
  <si>
    <t>8.</t>
  </si>
  <si>
    <t>Ellátottak pénzbeli juttatásai</t>
  </si>
  <si>
    <t>9.</t>
  </si>
  <si>
    <t>Egyéb működési célú kiadások</t>
  </si>
  <si>
    <t xml:space="preserve"> - egyéb működési célú támogatások államháztartáson belülre</t>
  </si>
  <si>
    <t xml:space="preserve"> - működési célú visszatérítendő támogatások, kölcsönök nyújtása államháztartáson kívülre</t>
  </si>
  <si>
    <t xml:space="preserve"> - egyéb működési célú támogatások államháztartáson kívülre</t>
  </si>
  <si>
    <t xml:space="preserve"> - tartalékok</t>
  </si>
  <si>
    <t>Működési kiadások összesen</t>
  </si>
  <si>
    <t>II. Felhalmozási költségvetés</t>
  </si>
  <si>
    <t>10.</t>
  </si>
  <si>
    <t>Felhalmozási támogatások államháztartáson belülről</t>
  </si>
  <si>
    <t>11.</t>
  </si>
  <si>
    <t xml:space="preserve">Felhalmozási bevételek   </t>
  </si>
  <si>
    <t>12.</t>
  </si>
  <si>
    <t>Felhalmozási célú átvett pénzeszközök</t>
  </si>
  <si>
    <t xml:space="preserve"> - felhalmozási célú visszatérítendő támogatások, kölcsönök visszatérülése államházt.kívülről</t>
  </si>
  <si>
    <t xml:space="preserve"> - egyéb felhalmozási célú átvett pénzeszközök</t>
  </si>
  <si>
    <t>Felhalmozási bevételek összesen</t>
  </si>
  <si>
    <t>13.</t>
  </si>
  <si>
    <t>Beruházások</t>
  </si>
  <si>
    <t>14.</t>
  </si>
  <si>
    <t>Felújítások</t>
  </si>
  <si>
    <t>15.</t>
  </si>
  <si>
    <t>Egyéb felhalmozási kiadások</t>
  </si>
  <si>
    <t xml:space="preserve"> - felhalmozási célú visszatérítendő támogatások, kölcsönök nyújtása államháztartáson kívülre</t>
  </si>
  <si>
    <t xml:space="preserve"> - egyéb felhalmozási célú támogatások államháztartáson kívülre</t>
  </si>
  <si>
    <t>Felhalmozási kiadások összesen</t>
  </si>
  <si>
    <t>Önkormányzat bevételei összesen:</t>
  </si>
  <si>
    <t>Önkormányzat kiadásai összesen:</t>
  </si>
  <si>
    <t>III. Finanszírozási műveletek elszámolása</t>
  </si>
  <si>
    <t>16.</t>
  </si>
  <si>
    <t>Előző év költségvetési maradványának igénybevétele</t>
  </si>
  <si>
    <t>Finanszírozási bevételek összesen:</t>
  </si>
  <si>
    <t>17.</t>
  </si>
  <si>
    <t>Hitel-, kölcsöntörlesztés államháztartáson kívülre</t>
  </si>
  <si>
    <t>18.</t>
  </si>
  <si>
    <t>Befektetési célú belföldi értékpapírok vásárlása</t>
  </si>
  <si>
    <t>Finanszírozási kiadások összesen:</t>
  </si>
  <si>
    <t>Önkormányzat bevételei mindösszesen:</t>
  </si>
  <si>
    <t>Önkormányzat kiadásai mindösszesen:</t>
  </si>
  <si>
    <t>Egyéb felhalmozási kiadások államháztartáson kívülre</t>
  </si>
  <si>
    <t>Egyéb felhalmozási kiadások államháztartáson kívülre összesen:</t>
  </si>
  <si>
    <t>FELHALMOZÁSI CÉLÚ VISSZATÉRÍTENDŐ TÁMOGATÁSOK, KÖLCSÖNÖK NYÚJTÁSA ÁLLAMHÁZTARTÁSON KÍVÜLRE</t>
  </si>
  <si>
    <t>Kápolnáért Kulturális és Sport Egyesület visszatérítendő támogatása a művelődési ház kialakításához</t>
  </si>
  <si>
    <t>FELHALMOZÁSI CÉLÚ VISSZATÉRÍTENDŐ TÁMOGATÁSOK, KÖLCSÖNÖK NYÚJTÁSA ÁLLAMHÁZTARTÁSON KÍVÜLRE ÖSSZESEN:</t>
  </si>
  <si>
    <t>Általános tartalék</t>
  </si>
  <si>
    <t>Általános tartalék összesen:</t>
  </si>
  <si>
    <t>Felhalmozási célú céltartalék összesen:</t>
  </si>
  <si>
    <t>Működési és felhalmozási célú tartalékok és céltartalékok</t>
  </si>
  <si>
    <t>Költségvetési (működési és felhalmozási ) mérlege</t>
  </si>
  <si>
    <t>KÖTELEZŐ, ÖNKÉNT VÁLLALT ÉS ÁLLAMI (ÁLLAMIGAZGATÁSI) FELADATAINAK BEVÉTELEI</t>
  </si>
  <si>
    <t>bevétel                                        összesen:</t>
  </si>
  <si>
    <t>ebből:</t>
  </si>
  <si>
    <t>kötelező</t>
  </si>
  <si>
    <t>önként vállalt</t>
  </si>
  <si>
    <t>állami (államigazgatási)</t>
  </si>
  <si>
    <t>feladatok</t>
  </si>
  <si>
    <t>018010</t>
  </si>
  <si>
    <t>Önkormányzatok elszámolásai a központi költségvetéssel</t>
  </si>
  <si>
    <t>096015</t>
  </si>
  <si>
    <t>Gyermekétkeztetés köznevelési intézményben</t>
  </si>
  <si>
    <t>096025</t>
  </si>
  <si>
    <t>Munkahelyi étkeztetés köznevelési intézményekben</t>
  </si>
  <si>
    <t>Önkormányzatok funkcióra nem sorolható bevételei államháztartáson kívülről</t>
  </si>
  <si>
    <t>egyéb felhalmozási kiadások</t>
  </si>
  <si>
    <t>felhalmozási kiadások összesen:</t>
  </si>
  <si>
    <t>finanszírozá- si kiadások összesen:</t>
  </si>
  <si>
    <t>045160</t>
  </si>
  <si>
    <t>Közutak, hidak, alagutak üzemeltetése, fenntartása</t>
  </si>
  <si>
    <t>Összesen</t>
  </si>
  <si>
    <t>KÖTELEZŐ, ÖNKÉNT VÁLLALT ÉS ÁLLAMI (ÁLLAMIGAZGATÁSI) FELADATAINAK KIADÁSAI</t>
  </si>
  <si>
    <t>kiadás                                       összesen:</t>
  </si>
  <si>
    <t xml:space="preserve">SITKE KÖZSÉG ÖNKORMÁNYZATA   </t>
  </si>
  <si>
    <t>BERUHÁZÁSOK ÉS FELHALMOZÁSI KIADÁSOK</t>
  </si>
  <si>
    <t>M e g n e v e z é s:</t>
  </si>
  <si>
    <t>( e Ft-ban )</t>
  </si>
  <si>
    <t>Előzetesen felszámított általános forgalmi adó</t>
  </si>
  <si>
    <t>BERUHÁZÁSOK ÖSSZESEN:</t>
  </si>
  <si>
    <t>045160 Közutak, hidak, alagutak üzemeltetése, fenntartása</t>
  </si>
  <si>
    <t>Forgalmi tükör felszerelése (2014. évről áthúzódó)</t>
  </si>
  <si>
    <t>ELŐIRÁNYZAT-FELHASZNÁLÁSI ÜTEMTERVE</t>
  </si>
  <si>
    <t xml:space="preserve">Január </t>
  </si>
  <si>
    <t xml:space="preserve">Február 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</si>
  <si>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</si>
  <si>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</si>
  <si>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</si>
  <si>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</si>
  <si>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</si>
  <si>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</si>
  <si>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</si>
  <si>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</si>
  <si>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</si>
  <si>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</si>
  <si>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 xml:space="preserve"> Bevételek</t>
  </si>
  <si>
    <t>működési célú támogatások államháztartáson belülről</t>
  </si>
  <si>
    <t xml:space="preserve">   -  helyi önkormányzatok  működésének  általános támogatása</t>
  </si>
  <si>
    <t xml:space="preserve">    - egyéb működési célú támogatások bevételei államháztartáson belülről</t>
  </si>
  <si>
    <t>felhalmozási célú támogatás államháztartáson belülről</t>
  </si>
  <si>
    <t>közhatalmi bevételek</t>
  </si>
  <si>
    <t>működési bevételek</t>
  </si>
  <si>
    <t>felhalmozási bevételek</t>
  </si>
  <si>
    <t xml:space="preserve">   - működési célú visszatérítendő támogatások, kölcsönök visszatérülése államházt.kívülről</t>
  </si>
  <si>
    <t xml:space="preserve">   - egyéb működési célú átvett pénzeszközök</t>
  </si>
  <si>
    <t>felhalmozási célú átvett pénzeszközök</t>
  </si>
  <si>
    <t xml:space="preserve">   - felhalmozási célú visszatérítendő támogatások, kölcsönök visszatérülése államházt.kívülről</t>
  </si>
  <si>
    <t xml:space="preserve">   - egyéb felhalmozási célú átvett pénzeszközök</t>
  </si>
  <si>
    <t>előző évi pénzmaradvány igénybevétele</t>
  </si>
  <si>
    <t>Előző havi maradvány</t>
  </si>
  <si>
    <t>Bevételek összesen:</t>
  </si>
  <si>
    <t xml:space="preserve"> Kiadások</t>
  </si>
  <si>
    <t>munkaadókat terhelő járulékok és szociális hozzájárulási adó</t>
  </si>
  <si>
    <t>Egyéb működési kiadások</t>
  </si>
  <si>
    <t xml:space="preserve"> - államháztartáson belülre</t>
  </si>
  <si>
    <t xml:space="preserve"> - államháztartáson kívülre</t>
  </si>
  <si>
    <t xml:space="preserve"> - hosszú lejáratú hitel törlesztése</t>
  </si>
  <si>
    <t xml:space="preserve"> - részesedések vásárlása</t>
  </si>
  <si>
    <t>19.</t>
  </si>
  <si>
    <t>általános tartalék</t>
  </si>
  <si>
    <t>20.</t>
  </si>
  <si>
    <t>céltartalék</t>
  </si>
  <si>
    <t>Kiadások összesen</t>
  </si>
  <si>
    <t>bevételek és kiadások egyenlege</t>
  </si>
  <si>
    <t>Szociális étkeztetés (889921)</t>
  </si>
  <si>
    <t>107052</t>
  </si>
  <si>
    <t>Szociális étkeztetés (562920)</t>
  </si>
  <si>
    <t>Gyermekvédelmi pénzbeni és természetbeni ellátások</t>
  </si>
  <si>
    <t>Fejezeti és általános tartalékok elszámolása</t>
  </si>
  <si>
    <t xml:space="preserve">ápolási díj </t>
  </si>
  <si>
    <t xml:space="preserve">Méltányossági közgyógyellátás    </t>
  </si>
  <si>
    <t>lakhatáshoz kapcsolódó rendszeres kiadások viseléséhez nyújtható települési támogatás</t>
  </si>
  <si>
    <t>rendkívüli települési támogatás</t>
  </si>
  <si>
    <t>újszülöttek támogatása</t>
  </si>
  <si>
    <t>Rendszeres gyermekvédelmi kedvezményben részesülők részére Erzsébet utalvány</t>
  </si>
  <si>
    <t>Rendszeres gyermekvédelmi kedvezményben részesülők Erzsébet utalványa támogatása</t>
  </si>
  <si>
    <t xml:space="preserve"> 013350 Önkormányzati vagyonnal való gazdálkodással kapcsolatos feladatok</t>
  </si>
  <si>
    <t>Sitke, 379/2 hrsz-ú ingatlan vételára</t>
  </si>
  <si>
    <t>066020 Városi és községgazdálkodási egyéb szolgáltatások</t>
  </si>
  <si>
    <t>településrendezési eszközök módosítása 2014. évi áthúzódó</t>
  </si>
  <si>
    <t>Működési célú költségvetési és kiegészítő támogatás</t>
  </si>
  <si>
    <t>2015. évi bérkompenzáció támogatása</t>
  </si>
  <si>
    <t>Működési célú költségvetési és kiegészítő támogatás összesen:</t>
  </si>
  <si>
    <t>041233</t>
  </si>
  <si>
    <t>Hosszabb időtartamú közfoglalkoztatás</t>
  </si>
  <si>
    <t>államháztartáson belüli megelőlegezések visszafizetése</t>
  </si>
  <si>
    <t>2014. évi jövedelempótló támogatás visszafizetése</t>
  </si>
  <si>
    <t>2014. évi állami támogatások elszámolás utáni visszafizetési kötelezettség</t>
  </si>
  <si>
    <t xml:space="preserve"> - államháztartáson belüli megelőlegezések visszafizetése</t>
  </si>
  <si>
    <t xml:space="preserve">           államháztartáson belüli megelőlegezések visszafizetése</t>
  </si>
  <si>
    <t>011130 Önkormányzatok és önkormányzati hivatalok jogalkotó és általános igazgatási tevékenysége</t>
  </si>
  <si>
    <t>Kisértékű tárgyi eszközök beszerzése</t>
  </si>
  <si>
    <t>Forgatási célú belföldi befektetési jegyek beváltása</t>
  </si>
  <si>
    <t>FORGATÁSI CÉLÚ BELFÖLDI BEFEKTETÉSI JEGYEK BEVÁLTÁSA</t>
  </si>
  <si>
    <t>forgatási célú belföldi befektetési jegyek beváltása</t>
  </si>
  <si>
    <t>082093</t>
  </si>
  <si>
    <t>Közművelődés - egész életre kiterjedő tanulás</t>
  </si>
  <si>
    <t>közterületfoglalási díjak</t>
  </si>
  <si>
    <t>földbérleti díjak</t>
  </si>
  <si>
    <t>szennyvízcsatorna használati díj</t>
  </si>
  <si>
    <t>Kápolnáért Kulturális és Sport Egyesület művelődési ház kialakításával kapcsolatos támogatásának visszatérülése</t>
  </si>
  <si>
    <t>Első lakáshoz jutók lakásépítésének és - vásárlásának vissza nem térítendő támogatása</t>
  </si>
  <si>
    <t>2. számú módosítása</t>
  </si>
  <si>
    <t>2015. évi költségvetésének</t>
  </si>
  <si>
    <t xml:space="preserve">Költségvetés főösszege </t>
  </si>
  <si>
    <t>1. sz.módosítás után</t>
  </si>
  <si>
    <t>1.1.1.1.</t>
  </si>
  <si>
    <t>-19</t>
  </si>
  <si>
    <t>főösszeg változása</t>
  </si>
  <si>
    <t>1.1.1.2</t>
  </si>
  <si>
    <t>151</t>
  </si>
  <si>
    <t>1.2</t>
  </si>
  <si>
    <t>22697</t>
  </si>
  <si>
    <t>Önkormányzati feladatellátást szolgáló fejlesztések támogatása</t>
  </si>
  <si>
    <t>FELÚJÍTÁSI KIADÁSOK</t>
  </si>
  <si>
    <t>072111 Háziorvosi alapellátás</t>
  </si>
  <si>
    <t>Orvosi rendelő felújítása</t>
  </si>
  <si>
    <t>FELÚJÍTÁSOK ÖSSZESEN:</t>
  </si>
  <si>
    <t>2.1</t>
  </si>
  <si>
    <t>35</t>
  </si>
  <si>
    <t>2.2</t>
  </si>
  <si>
    <t>10000</t>
  </si>
  <si>
    <t>2015. évi egyéb működési és felhalmozási kiadásai</t>
  </si>
  <si>
    <t>Sitkei Citerazenekar Kulturális Egyesület visszaatérítendő támogatása mikrobusz beszerzéséhez</t>
  </si>
  <si>
    <t>Sitkei Citerazenekar Kulturális Egyesület mikrobusz beszerzésével kapcsolaatos támogatásánk visszaterülése</t>
  </si>
  <si>
    <t>2.3</t>
  </si>
  <si>
    <t>Adósságkonszolidációban nem részesült települések fejlesztési támogatása</t>
  </si>
  <si>
    <t>045120</t>
  </si>
  <si>
    <t>Út, autópálya építése</t>
  </si>
  <si>
    <t>045120 Út, autópálya építése</t>
  </si>
  <si>
    <t>Zrínyi u. burkolatának felújítása</t>
  </si>
  <si>
    <t>2.4</t>
  </si>
  <si>
    <t>140</t>
  </si>
  <si>
    <t>3</t>
  </si>
  <si>
    <t>250</t>
  </si>
  <si>
    <t>Sitke, 383 hrsz. Ingatlan után megváltási ár kifizetése</t>
  </si>
  <si>
    <t>480</t>
  </si>
  <si>
    <t>191</t>
  </si>
  <si>
    <t>096015 Gyermekétkeztetés köznevelési intézményben</t>
  </si>
  <si>
    <t>Konyha nyilvántartási szoftver beszerzése</t>
  </si>
  <si>
    <t>20</t>
  </si>
  <si>
    <t>Szociális tüzifa elszámolásból eredő visszafizetési kötelezettség</t>
  </si>
  <si>
    <t>5.1</t>
  </si>
  <si>
    <t>714</t>
  </si>
  <si>
    <t>052080 Szennyvízcsatorna építése, fenntartása, üzemeltetése</t>
  </si>
  <si>
    <t>Szenyvíztisztítótelep és 2 db átemelő folyamatirányítási jeleinek megjelenítése</t>
  </si>
  <si>
    <t>Iszapvezeték, iszapfelvételi helyek rekonstrukciós munkái</t>
  </si>
  <si>
    <t>Oxigénmérő szonda beépítése 1 db közös jelfeldolgozó kijelző egység telepítésével</t>
  </si>
  <si>
    <t>753</t>
  </si>
  <si>
    <t>1130</t>
  </si>
  <si>
    <t>76</t>
  </si>
  <si>
    <t>Gáztűzhely vásárlása</t>
  </si>
  <si>
    <t>-2-</t>
  </si>
  <si>
    <t>-3-</t>
  </si>
  <si>
    <t>15357</t>
  </si>
  <si>
    <t>508</t>
  </si>
  <si>
    <t>Orvosi rendelő felújítása gépészeti, villamossági tervezések</t>
  </si>
  <si>
    <t>1. melléklet  a  13/2015. (IX.22.) önkormányzati rendelethez</t>
  </si>
  <si>
    <t>2. melléklet  a 13/2015. (IX.22.) önkormányzati rendelethez</t>
  </si>
  <si>
    <t>3. melléklet  a 13/2015. (IX.22.) önkormányzati rendelethez</t>
  </si>
  <si>
    <t>4. melléklet  a  13/2015. (IX.22.) önkormányzati rendelethez</t>
  </si>
  <si>
    <t>5. melléklet  a 13/2015. (IX.22.) önkormányzati rendelethez</t>
  </si>
  <si>
    <t>6. melléklet  a  13/2015. (IX.22.) önkormányzati rendelethez</t>
  </si>
  <si>
    <t>7. melléklet  a  13/2015. (IX.22.) önkormányzati rendelethez</t>
  </si>
  <si>
    <t>8. melléklet a 13/2015. (IX.22.) önkormányzati rendelethez</t>
  </si>
  <si>
    <t>9. melléklet a 13/2015. (IX.22.) önkormányzati rendelethez</t>
  </si>
  <si>
    <t>10. melléklet a 13/2015. (IX.22.) önkormányzati rendelethez</t>
  </si>
  <si>
    <t>11. melléklet a 13/2015. (IX.22.) önkormányzati rendelethez</t>
  </si>
  <si>
    <t>12. melléklet a 13/2015. (IX.22.) önkormányzati rendelethez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</si>
</sst>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0.000"/>
    <numFmt numFmtId="166" formatCode="0.0000"/>
    <numFmt numFmtId="167" formatCode="0.00000"/>
    <numFmt numFmtId="168" formatCode="_-* #,##0\ _F_t_-;\-* #,##0\ _F_t_-;_-* &quot;-&quot;??\ _F_t_-;_-@_-"/>
    <numFmt numFmtId="169" formatCode="_-* #,##0.0\ _F_t_-;\-* #,##0.0\ _F_t_-;_-* &quot;-&quot;??\ _F_t_-;_-@_-"/>
    <numFmt numFmtId="170" formatCode="#,##0_ ;\-#,##0\ "/>
    <numFmt numFmtId="171" formatCode="0.00000000"/>
    <numFmt numFmtId="172" formatCode="0.0000000"/>
    <numFmt numFmtId="173" formatCode="0.000000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_-* #,##0.0\ _F_t_-;\-* #,##0.0\ _F_t_-;_-* &quot;-&quot;?\ _F_t_-;_-@_-"/>
  </numFmts>
  <fonts count="53">
    <font>
      <sz val="10"/>
      <name val="Arial CE"/>
      <family val="0"/>
    </font>
    <font>
      <sz val="10"/>
      <name val="MS Sans Serif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i/>
      <sz val="12"/>
      <name val="Times New Roman"/>
      <family val="1"/>
    </font>
    <font>
      <sz val="8"/>
      <name val="Arial CE"/>
      <family val="0"/>
    </font>
    <font>
      <u val="single"/>
      <sz val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b/>
      <u val="single"/>
      <sz val="14"/>
      <name val="Times New Roman"/>
      <family val="1"/>
    </font>
    <font>
      <sz val="12"/>
      <color indexed="8"/>
      <name val="Times"/>
      <family val="0"/>
    </font>
    <font>
      <sz val="9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u val="singleAccounting"/>
      <sz val="12"/>
      <name val="Times New Roman"/>
      <family val="1"/>
    </font>
    <font>
      <sz val="12"/>
      <name val="Arial CE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22"/>
      <name val="Arial Narrow"/>
      <family val="2"/>
    </font>
    <font>
      <sz val="10"/>
      <name val="Arial Narrow"/>
      <family val="2"/>
    </font>
    <font>
      <sz val="22"/>
      <name val="Arial Narrow"/>
      <family val="2"/>
    </font>
    <font>
      <sz val="14"/>
      <name val="Arial Narrow"/>
      <family val="2"/>
    </font>
    <font>
      <sz val="16"/>
      <name val="Arial Narrow"/>
      <family val="2"/>
    </font>
    <font>
      <u val="singleAccounting"/>
      <sz val="11"/>
      <name val="Times New Roman"/>
      <family val="1"/>
    </font>
    <font>
      <sz val="11"/>
      <name val="Arial Narro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double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1" fillId="7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17" borderId="7" applyNumberFormat="0" applyFont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21" borderId="0" applyNumberFormat="0" applyBorder="0" applyAlignment="0" applyProtection="0"/>
    <xf numFmtId="0" fontId="39" fillId="4" borderId="0" applyNumberFormat="0" applyBorder="0" applyAlignment="0" applyProtection="0"/>
    <xf numFmtId="0" fontId="40" fillId="22" borderId="8" applyNumberFormat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" borderId="0" applyNumberFormat="0" applyBorder="0" applyAlignment="0" applyProtection="0"/>
    <xf numFmtId="0" fontId="44" fillId="23" borderId="0" applyNumberFormat="0" applyBorder="0" applyAlignment="0" applyProtection="0"/>
    <xf numFmtId="0" fontId="45" fillId="22" borderId="1" applyNumberFormat="0" applyAlignment="0" applyProtection="0"/>
    <xf numFmtId="9" fontId="0" fillId="0" borderId="0" applyFont="0" applyFill="0" applyBorder="0" applyAlignment="0" applyProtection="0"/>
  </cellStyleXfs>
  <cellXfs count="465">
    <xf numFmtId="0" fontId="0" fillId="0" borderId="0" xfId="0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0" xfId="56" applyFont="1">
      <alignment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2" fillId="0" borderId="0" xfId="56" applyFont="1">
      <alignment/>
      <protection/>
    </xf>
    <xf numFmtId="0" fontId="6" fillId="0" borderId="0" xfId="56" applyFont="1">
      <alignment/>
      <protection/>
    </xf>
    <xf numFmtId="164" fontId="12" fillId="0" borderId="0" xfId="56" applyNumberFormat="1" applyFont="1">
      <alignment/>
      <protection/>
    </xf>
    <xf numFmtId="0" fontId="4" fillId="0" borderId="0" xfId="59" applyFont="1">
      <alignment/>
      <protection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0" fillId="0" borderId="0" xfId="0" applyFont="1" applyAlignment="1">
      <alignment/>
    </xf>
    <xf numFmtId="0" fontId="12" fillId="0" borderId="0" xfId="58" applyFont="1">
      <alignment/>
      <protection/>
    </xf>
    <xf numFmtId="0" fontId="12" fillId="0" borderId="0" xfId="59" applyFont="1">
      <alignment/>
      <protection/>
    </xf>
    <xf numFmtId="3" fontId="10" fillId="0" borderId="0" xfId="0" applyNumberFormat="1" applyFont="1" applyAlignment="1">
      <alignment/>
    </xf>
    <xf numFmtId="0" fontId="12" fillId="0" borderId="0" xfId="58" applyFont="1" applyBorder="1">
      <alignment/>
      <protection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58" applyFont="1" applyBorder="1">
      <alignment/>
      <protection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168" fontId="12" fillId="0" borderId="0" xfId="40" applyNumberFormat="1" applyFont="1" applyAlignment="1">
      <alignment/>
    </xf>
    <xf numFmtId="168" fontId="6" fillId="0" borderId="0" xfId="40" applyNumberFormat="1" applyFont="1" applyAlignment="1">
      <alignment/>
    </xf>
    <xf numFmtId="0" fontId="11" fillId="0" borderId="0" xfId="58" applyFont="1">
      <alignment/>
      <protection/>
    </xf>
    <xf numFmtId="0" fontId="10" fillId="0" borderId="0" xfId="58" applyFont="1" applyAlignment="1">
      <alignment horizontal="center"/>
      <protection/>
    </xf>
    <xf numFmtId="0" fontId="11" fillId="0" borderId="0" xfId="58" applyFont="1" applyAlignment="1">
      <alignment horizontal="center"/>
      <protection/>
    </xf>
    <xf numFmtId="0" fontId="10" fillId="0" borderId="10" xfId="58" applyFont="1" applyBorder="1" applyAlignment="1">
      <alignment horizontal="center"/>
      <protection/>
    </xf>
    <xf numFmtId="0" fontId="10" fillId="0" borderId="11" xfId="58" applyFont="1" applyBorder="1" applyAlignment="1">
      <alignment horizontal="center"/>
      <protection/>
    </xf>
    <xf numFmtId="0" fontId="10" fillId="0" borderId="12" xfId="58" applyFont="1" applyBorder="1" applyAlignment="1">
      <alignment horizontal="center"/>
      <protection/>
    </xf>
    <xf numFmtId="0" fontId="11" fillId="0" borderId="13" xfId="58" applyFont="1" applyBorder="1">
      <alignment/>
      <protection/>
    </xf>
    <xf numFmtId="0" fontId="10" fillId="0" borderId="14" xfId="58" applyFont="1" applyBorder="1" applyAlignment="1">
      <alignment horizontal="center"/>
      <protection/>
    </xf>
    <xf numFmtId="0" fontId="10" fillId="0" borderId="15" xfId="58" applyFont="1" applyBorder="1" applyAlignment="1">
      <alignment horizontal="center"/>
      <protection/>
    </xf>
    <xf numFmtId="0" fontId="10" fillId="0" borderId="0" xfId="58" applyFont="1">
      <alignment/>
      <protection/>
    </xf>
    <xf numFmtId="0" fontId="13" fillId="0" borderId="0" xfId="58" applyFont="1">
      <alignment/>
      <protection/>
    </xf>
    <xf numFmtId="0" fontId="14" fillId="0" borderId="0" xfId="58" applyFont="1">
      <alignment/>
      <protection/>
    </xf>
    <xf numFmtId="168" fontId="12" fillId="0" borderId="0" xfId="40" applyNumberFormat="1" applyFont="1" applyAlignment="1">
      <alignment horizontal="centerContinuous"/>
    </xf>
    <xf numFmtId="168" fontId="12" fillId="0" borderId="0" xfId="40" applyNumberFormat="1" applyFont="1" applyAlignment="1">
      <alignment horizontal="center"/>
    </xf>
    <xf numFmtId="168" fontId="12" fillId="0" borderId="0" xfId="40" applyNumberFormat="1" applyFont="1" applyAlignment="1">
      <alignment/>
    </xf>
    <xf numFmtId="168" fontId="6" fillId="0" borderId="0" xfId="40" applyNumberFormat="1" applyFont="1" applyAlignment="1">
      <alignment/>
    </xf>
    <xf numFmtId="168" fontId="6" fillId="0" borderId="11" xfId="40" applyNumberFormat="1" applyFont="1" applyBorder="1" applyAlignment="1">
      <alignment horizontal="center" wrapText="1"/>
    </xf>
    <xf numFmtId="168" fontId="6" fillId="0" borderId="13" xfId="40" applyNumberFormat="1" applyFont="1" applyBorder="1" applyAlignment="1">
      <alignment horizontal="center" wrapText="1"/>
    </xf>
    <xf numFmtId="168" fontId="6" fillId="0" borderId="15" xfId="40" applyNumberFormat="1" applyFont="1" applyBorder="1" applyAlignment="1">
      <alignment horizontal="center" wrapText="1"/>
    </xf>
    <xf numFmtId="168" fontId="11" fillId="0" borderId="0" xfId="40" applyNumberFormat="1" applyFont="1" applyAlignment="1">
      <alignment/>
    </xf>
    <xf numFmtId="168" fontId="10" fillId="0" borderId="0" xfId="40" applyNumberFormat="1" applyFont="1" applyAlignment="1">
      <alignment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0" fontId="12" fillId="0" borderId="0" xfId="0" applyFont="1" applyAlignment="1">
      <alignment/>
    </xf>
    <xf numFmtId="0" fontId="15" fillId="0" borderId="0" xfId="56" applyFont="1">
      <alignment/>
      <protection/>
    </xf>
    <xf numFmtId="0" fontId="9" fillId="0" borderId="0" xfId="0" applyFont="1" applyAlignment="1">
      <alignment horizontal="center"/>
    </xf>
    <xf numFmtId="168" fontId="11" fillId="0" borderId="0" xfId="40" applyNumberFormat="1" applyFont="1" applyAlignment="1">
      <alignment horizontal="right"/>
    </xf>
    <xf numFmtId="168" fontId="11" fillId="0" borderId="0" xfId="40" applyNumberFormat="1" applyFont="1" applyBorder="1" applyAlignment="1">
      <alignment/>
    </xf>
    <xf numFmtId="168" fontId="14" fillId="0" borderId="0" xfId="40" applyNumberFormat="1" applyFont="1" applyAlignment="1">
      <alignment/>
    </xf>
    <xf numFmtId="168" fontId="13" fillId="0" borderId="0" xfId="40" applyNumberFormat="1" applyFont="1" applyAlignment="1">
      <alignment/>
    </xf>
    <xf numFmtId="168" fontId="11" fillId="0" borderId="0" xfId="40" applyNumberFormat="1" applyFont="1" applyAlignment="1">
      <alignment/>
    </xf>
    <xf numFmtId="168" fontId="4" fillId="0" borderId="0" xfId="40" applyNumberFormat="1" applyFont="1" applyAlignment="1">
      <alignment/>
    </xf>
    <xf numFmtId="168" fontId="4" fillId="0" borderId="0" xfId="40" applyNumberFormat="1" applyFont="1" applyAlignment="1">
      <alignment horizontal="right"/>
    </xf>
    <xf numFmtId="168" fontId="5" fillId="0" borderId="0" xfId="40" applyNumberFormat="1" applyFont="1" applyAlignment="1">
      <alignment/>
    </xf>
    <xf numFmtId="0" fontId="9" fillId="0" borderId="0" xfId="0" applyFont="1" applyAlignment="1">
      <alignment/>
    </xf>
    <xf numFmtId="0" fontId="17" fillId="0" borderId="0" xfId="0" applyFont="1" applyAlignment="1">
      <alignment/>
    </xf>
    <xf numFmtId="14" fontId="6" fillId="0" borderId="0" xfId="0" applyNumberFormat="1" applyFont="1" applyAlignment="1">
      <alignment/>
    </xf>
    <xf numFmtId="168" fontId="12" fillId="0" borderId="0" xfId="58" applyNumberFormat="1" applyFont="1" applyBorder="1">
      <alignment/>
      <protection/>
    </xf>
    <xf numFmtId="0" fontId="12" fillId="0" borderId="0" xfId="56" applyFont="1" applyAlignment="1">
      <alignment horizontal="center"/>
      <protection/>
    </xf>
    <xf numFmtId="0" fontId="12" fillId="0" borderId="0" xfId="56" applyFont="1" applyAlignment="1">
      <alignment/>
      <protection/>
    </xf>
    <xf numFmtId="0" fontId="12" fillId="0" borderId="0" xfId="56" applyFont="1" applyAlignment="1">
      <alignment horizontal="left"/>
      <protection/>
    </xf>
    <xf numFmtId="0" fontId="12" fillId="0" borderId="16" xfId="56" applyFont="1" applyBorder="1" applyAlignment="1">
      <alignment horizontal="left"/>
      <protection/>
    </xf>
    <xf numFmtId="0" fontId="12" fillId="0" borderId="16" xfId="56" applyFont="1" applyBorder="1" applyAlignment="1">
      <alignment horizontal="center"/>
      <protection/>
    </xf>
    <xf numFmtId="0" fontId="12" fillId="0" borderId="11" xfId="56" applyFont="1" applyBorder="1" applyAlignment="1">
      <alignment horizontal="center"/>
      <protection/>
    </xf>
    <xf numFmtId="0" fontId="12" fillId="0" borderId="13" xfId="56" applyFont="1" applyBorder="1" applyAlignment="1">
      <alignment horizontal="center"/>
      <protection/>
    </xf>
    <xf numFmtId="0" fontId="12" fillId="0" borderId="13" xfId="56" applyFont="1" applyBorder="1">
      <alignment/>
      <protection/>
    </xf>
    <xf numFmtId="0" fontId="12" fillId="0" borderId="15" xfId="56" applyFont="1" applyBorder="1" applyAlignment="1">
      <alignment horizontal="center"/>
      <protection/>
    </xf>
    <xf numFmtId="0" fontId="18" fillId="0" borderId="0" xfId="56" applyFont="1">
      <alignment/>
      <protection/>
    </xf>
    <xf numFmtId="0" fontId="10" fillId="0" borderId="0" xfId="56" applyFont="1" applyAlignment="1">
      <alignment/>
      <protection/>
    </xf>
    <xf numFmtId="0" fontId="4" fillId="0" borderId="0" xfId="56" applyFont="1">
      <alignment/>
      <protection/>
    </xf>
    <xf numFmtId="168" fontId="11" fillId="0" borderId="0" xfId="0" applyNumberFormat="1" applyFont="1" applyAlignment="1">
      <alignment/>
    </xf>
    <xf numFmtId="168" fontId="4" fillId="0" borderId="0" xfId="0" applyNumberFormat="1" applyFont="1" applyAlignment="1">
      <alignment/>
    </xf>
    <xf numFmtId="43" fontId="5" fillId="0" borderId="0" xfId="0" applyNumberFormat="1" applyFont="1" applyAlignment="1">
      <alignment/>
    </xf>
    <xf numFmtId="43" fontId="11" fillId="0" borderId="0" xfId="0" applyNumberFormat="1" applyFont="1" applyAlignment="1">
      <alignment/>
    </xf>
    <xf numFmtId="43" fontId="4" fillId="0" borderId="0" xfId="0" applyNumberFormat="1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wrapText="1"/>
    </xf>
    <xf numFmtId="168" fontId="6" fillId="0" borderId="0" xfId="40" applyNumberFormat="1" applyFont="1" applyAlignment="1">
      <alignment wrapText="1"/>
    </xf>
    <xf numFmtId="164" fontId="12" fillId="0" borderId="0" xfId="0" applyNumberFormat="1" applyFont="1" applyAlignment="1">
      <alignment/>
    </xf>
    <xf numFmtId="0" fontId="12" fillId="0" borderId="0" xfId="0" applyFont="1" applyAlignment="1">
      <alignment wrapText="1"/>
    </xf>
    <xf numFmtId="168" fontId="12" fillId="0" borderId="0" xfId="40" applyNumberFormat="1" applyFont="1" applyAlignment="1">
      <alignment wrapText="1"/>
    </xf>
    <xf numFmtId="168" fontId="12" fillId="0" borderId="0" xfId="56" applyNumberFormat="1" applyFont="1">
      <alignment/>
      <protection/>
    </xf>
    <xf numFmtId="0" fontId="15" fillId="0" borderId="0" xfId="0" applyFont="1" applyAlignment="1">
      <alignment/>
    </xf>
    <xf numFmtId="0" fontId="15" fillId="0" borderId="0" xfId="0" applyFont="1" applyAlignment="1">
      <alignment wrapText="1"/>
    </xf>
    <xf numFmtId="168" fontId="15" fillId="0" borderId="0" xfId="40" applyNumberFormat="1" applyFont="1" applyAlignment="1">
      <alignment wrapText="1"/>
    </xf>
    <xf numFmtId="168" fontId="15" fillId="0" borderId="0" xfId="40" applyNumberFormat="1" applyFont="1" applyAlignment="1">
      <alignment/>
    </xf>
    <xf numFmtId="168" fontId="12" fillId="0" borderId="11" xfId="40" applyNumberFormat="1" applyFont="1" applyBorder="1" applyAlignment="1">
      <alignment horizontal="center"/>
    </xf>
    <xf numFmtId="0" fontId="11" fillId="0" borderId="11" xfId="56" applyFont="1" applyBorder="1" applyAlignment="1">
      <alignment horizontal="center"/>
      <protection/>
    </xf>
    <xf numFmtId="0" fontId="12" fillId="0" borderId="0" xfId="56" applyFont="1" applyBorder="1" applyAlignment="1">
      <alignment horizontal="center" vertical="center"/>
      <protection/>
    </xf>
    <xf numFmtId="168" fontId="12" fillId="0" borderId="13" xfId="40" applyNumberFormat="1" applyFont="1" applyBorder="1" applyAlignment="1">
      <alignment horizontal="center"/>
    </xf>
    <xf numFmtId="168" fontId="12" fillId="0" borderId="15" xfId="40" applyNumberFormat="1" applyFont="1" applyBorder="1" applyAlignment="1">
      <alignment horizontal="center"/>
    </xf>
    <xf numFmtId="0" fontId="12" fillId="0" borderId="0" xfId="0" applyFont="1" applyAlignment="1">
      <alignment horizontal="left" wrapText="1"/>
    </xf>
    <xf numFmtId="0" fontId="6" fillId="0" borderId="0" xfId="56" applyFont="1" applyBorder="1" applyAlignment="1">
      <alignment horizontal="center" vertical="center"/>
      <protection/>
    </xf>
    <xf numFmtId="168" fontId="12" fillId="0" borderId="0" xfId="40" applyNumberFormat="1" applyFont="1" applyBorder="1" applyAlignment="1">
      <alignment horizontal="center"/>
    </xf>
    <xf numFmtId="0" fontId="12" fillId="0" borderId="0" xfId="56" applyFont="1" applyBorder="1" applyAlignment="1">
      <alignment horizontal="left" vertical="center"/>
      <protection/>
    </xf>
    <xf numFmtId="168" fontId="6" fillId="0" borderId="0" xfId="40" applyNumberFormat="1" applyFont="1" applyBorder="1" applyAlignment="1">
      <alignment horizontal="center"/>
    </xf>
    <xf numFmtId="164" fontId="6" fillId="0" borderId="0" xfId="0" applyNumberFormat="1" applyFont="1" applyAlignment="1">
      <alignment/>
    </xf>
    <xf numFmtId="168" fontId="6" fillId="0" borderId="0" xfId="0" applyNumberFormat="1" applyFont="1" applyAlignment="1">
      <alignment wrapText="1"/>
    </xf>
    <xf numFmtId="168" fontId="12" fillId="0" borderId="0" xfId="0" applyNumberFormat="1" applyFont="1" applyAlignment="1">
      <alignment wrapText="1"/>
    </xf>
    <xf numFmtId="168" fontId="12" fillId="0" borderId="0" xfId="40" applyNumberFormat="1" applyFont="1" applyBorder="1" applyAlignment="1">
      <alignment horizontal="center"/>
    </xf>
    <xf numFmtId="168" fontId="12" fillId="0" borderId="0" xfId="40" applyNumberFormat="1" applyFont="1" applyAlignment="1">
      <alignment horizontal="left" wrapText="1"/>
    </xf>
    <xf numFmtId="168" fontId="6" fillId="0" borderId="0" xfId="0" applyNumberFormat="1" applyFont="1" applyAlignment="1">
      <alignment/>
    </xf>
    <xf numFmtId="0" fontId="13" fillId="0" borderId="0" xfId="0" applyFont="1" applyAlignment="1">
      <alignment/>
    </xf>
    <xf numFmtId="168" fontId="13" fillId="0" borderId="0" xfId="0" applyNumberFormat="1" applyFont="1" applyAlignment="1">
      <alignment/>
    </xf>
    <xf numFmtId="0" fontId="20" fillId="0" borderId="0" xfId="0" applyFont="1" applyAlignment="1">
      <alignment/>
    </xf>
    <xf numFmtId="168" fontId="6" fillId="0" borderId="0" xfId="0" applyNumberFormat="1" applyFont="1" applyAlignment="1">
      <alignment/>
    </xf>
    <xf numFmtId="164" fontId="15" fillId="0" borderId="0" xfId="0" applyNumberFormat="1" applyFont="1" applyAlignment="1">
      <alignment/>
    </xf>
    <xf numFmtId="0" fontId="21" fillId="0" borderId="0" xfId="0" applyFont="1" applyAlignment="1">
      <alignment/>
    </xf>
    <xf numFmtId="0" fontId="7" fillId="0" borderId="0" xfId="0" applyFont="1" applyAlignment="1">
      <alignment/>
    </xf>
    <xf numFmtId="168" fontId="7" fillId="0" borderId="0" xfId="40" applyNumberFormat="1" applyFont="1" applyAlignment="1">
      <alignment/>
    </xf>
    <xf numFmtId="0" fontId="12" fillId="0" borderId="0" xfId="0" applyFont="1" applyAlignment="1">
      <alignment wrapText="1"/>
    </xf>
    <xf numFmtId="168" fontId="5" fillId="0" borderId="0" xfId="40" applyNumberFormat="1" applyFont="1" applyAlignment="1">
      <alignment/>
    </xf>
    <xf numFmtId="168" fontId="7" fillId="0" borderId="0" xfId="0" applyNumberFormat="1" applyFont="1" applyAlignment="1">
      <alignment/>
    </xf>
    <xf numFmtId="0" fontId="12" fillId="0" borderId="0" xfId="58" applyFont="1">
      <alignment/>
      <protection/>
    </xf>
    <xf numFmtId="168" fontId="7" fillId="0" borderId="0" xfId="40" applyNumberFormat="1" applyFont="1" applyAlignment="1">
      <alignment horizontal="right"/>
    </xf>
    <xf numFmtId="0" fontId="6" fillId="0" borderId="0" xfId="0" applyFont="1" applyAlignment="1">
      <alignment horizontal="left" wrapText="1"/>
    </xf>
    <xf numFmtId="0" fontId="10" fillId="0" borderId="0" xfId="59" applyFont="1" applyAlignment="1">
      <alignment horizontal="center"/>
      <protection/>
    </xf>
    <xf numFmtId="0" fontId="11" fillId="0" borderId="0" xfId="59" applyFont="1">
      <alignment/>
      <protection/>
    </xf>
    <xf numFmtId="0" fontId="11" fillId="0" borderId="0" xfId="56" applyFont="1">
      <alignment/>
      <protection/>
    </xf>
    <xf numFmtId="0" fontId="11" fillId="0" borderId="17" xfId="58" applyFont="1" applyBorder="1" applyAlignment="1" quotePrefix="1">
      <alignment horizontal="center" vertical="center" wrapText="1"/>
      <protection/>
    </xf>
    <xf numFmtId="0" fontId="11" fillId="0" borderId="18" xfId="58" applyFont="1" applyBorder="1" applyAlignment="1">
      <alignment horizontal="left" wrapText="1"/>
      <protection/>
    </xf>
    <xf numFmtId="0" fontId="11" fillId="0" borderId="19" xfId="59" applyFont="1" applyBorder="1">
      <alignment/>
      <protection/>
    </xf>
    <xf numFmtId="0" fontId="11" fillId="0" borderId="20" xfId="59" applyFont="1" applyBorder="1">
      <alignment/>
      <protection/>
    </xf>
    <xf numFmtId="0" fontId="11" fillId="0" borderId="21" xfId="58" applyFont="1" applyBorder="1" applyAlignment="1" quotePrefix="1">
      <alignment horizontal="center" vertical="center" wrapText="1"/>
      <protection/>
    </xf>
    <xf numFmtId="0" fontId="11" fillId="0" borderId="22" xfId="59" applyFont="1" applyBorder="1">
      <alignment/>
      <protection/>
    </xf>
    <xf numFmtId="0" fontId="11" fillId="0" borderId="23" xfId="59" applyFont="1" applyBorder="1">
      <alignment/>
      <protection/>
    </xf>
    <xf numFmtId="0" fontId="11" fillId="0" borderId="24" xfId="59" applyFont="1" applyBorder="1">
      <alignment/>
      <protection/>
    </xf>
    <xf numFmtId="0" fontId="11" fillId="0" borderId="18" xfId="59" applyFont="1" applyBorder="1">
      <alignment/>
      <protection/>
    </xf>
    <xf numFmtId="0" fontId="10" fillId="0" borderId="25" xfId="59" applyFont="1" applyBorder="1">
      <alignment/>
      <protection/>
    </xf>
    <xf numFmtId="0" fontId="11" fillId="0" borderId="0" xfId="0" applyFont="1" applyAlignment="1">
      <alignment horizontal="right"/>
    </xf>
    <xf numFmtId="0" fontId="12" fillId="0" borderId="0" xfId="58" applyFont="1" applyAlignment="1">
      <alignment horizontal="center"/>
      <protection/>
    </xf>
    <xf numFmtId="0" fontId="12" fillId="0" borderId="0" xfId="59" applyFont="1" applyAlignment="1">
      <alignment horizontal="center"/>
      <protection/>
    </xf>
    <xf numFmtId="0" fontId="11" fillId="0" borderId="24" xfId="58" applyFont="1" applyBorder="1" applyAlignment="1">
      <alignment horizontal="right"/>
      <protection/>
    </xf>
    <xf numFmtId="0" fontId="11" fillId="0" borderId="19" xfId="58" applyFont="1" applyBorder="1" applyAlignment="1">
      <alignment horizontal="right"/>
      <protection/>
    </xf>
    <xf numFmtId="0" fontId="11" fillId="0" borderId="19" xfId="58" applyFont="1" applyBorder="1">
      <alignment/>
      <protection/>
    </xf>
    <xf numFmtId="0" fontId="12" fillId="0" borderId="0" xfId="56" applyFont="1">
      <alignment/>
      <protection/>
    </xf>
    <xf numFmtId="0" fontId="15" fillId="0" borderId="0" xfId="56" applyFont="1">
      <alignment/>
      <protection/>
    </xf>
    <xf numFmtId="0" fontId="15" fillId="0" borderId="0" xfId="56" applyFont="1" applyAlignment="1">
      <alignment horizontal="center"/>
      <protection/>
    </xf>
    <xf numFmtId="0" fontId="15" fillId="0" borderId="0" xfId="0" applyFont="1" applyAlignment="1">
      <alignment/>
    </xf>
    <xf numFmtId="0" fontId="6" fillId="0" borderId="11" xfId="56" applyFont="1" applyBorder="1">
      <alignment/>
      <protection/>
    </xf>
    <xf numFmtId="0" fontId="6" fillId="0" borderId="10" xfId="56" applyFont="1" applyBorder="1" applyAlignment="1">
      <alignment horizontal="center"/>
      <protection/>
    </xf>
    <xf numFmtId="0" fontId="6" fillId="0" borderId="11" xfId="56" applyFont="1" applyBorder="1" applyAlignment="1">
      <alignment horizontal="center"/>
      <protection/>
    </xf>
    <xf numFmtId="0" fontId="6" fillId="0" borderId="13" xfId="56" applyFont="1" applyBorder="1">
      <alignment/>
      <protection/>
    </xf>
    <xf numFmtId="0" fontId="6" fillId="0" borderId="12" xfId="56" applyFont="1" applyBorder="1" applyAlignment="1">
      <alignment horizontal="center"/>
      <protection/>
    </xf>
    <xf numFmtId="0" fontId="6" fillId="0" borderId="13" xfId="56" applyFont="1" applyBorder="1" applyAlignment="1">
      <alignment horizontal="center"/>
      <protection/>
    </xf>
    <xf numFmtId="0" fontId="6" fillId="0" borderId="15" xfId="56" applyFont="1" applyBorder="1">
      <alignment/>
      <protection/>
    </xf>
    <xf numFmtId="0" fontId="4" fillId="0" borderId="15" xfId="56" applyFont="1" applyBorder="1" applyAlignment="1">
      <alignment horizontal="center"/>
      <protection/>
    </xf>
    <xf numFmtId="168" fontId="6" fillId="0" borderId="25" xfId="40" applyNumberFormat="1" applyFont="1" applyBorder="1" applyAlignment="1">
      <alignment/>
    </xf>
    <xf numFmtId="0" fontId="12" fillId="0" borderId="25" xfId="56" applyFont="1" applyBorder="1">
      <alignment/>
      <protection/>
    </xf>
    <xf numFmtId="0" fontId="6" fillId="0" borderId="26" xfId="56" applyFont="1" applyBorder="1">
      <alignment/>
      <protection/>
    </xf>
    <xf numFmtId="0" fontId="6" fillId="0" borderId="16" xfId="56" applyFont="1" applyBorder="1">
      <alignment/>
      <protection/>
    </xf>
    <xf numFmtId="168" fontId="6" fillId="0" borderId="15" xfId="40" applyNumberFormat="1" applyFont="1" applyBorder="1" applyAlignment="1">
      <alignment/>
    </xf>
    <xf numFmtId="0" fontId="6" fillId="0" borderId="0" xfId="56" applyFont="1">
      <alignment/>
      <protection/>
    </xf>
    <xf numFmtId="0" fontId="12" fillId="0" borderId="25" xfId="56" applyFont="1" applyBorder="1" applyAlignment="1">
      <alignment horizontal="right"/>
      <protection/>
    </xf>
    <xf numFmtId="0" fontId="12" fillId="0" borderId="26" xfId="56" applyFont="1" applyBorder="1" applyAlignment="1">
      <alignment wrapText="1"/>
      <protection/>
    </xf>
    <xf numFmtId="168" fontId="12" fillId="0" borderId="25" xfId="40" applyNumberFormat="1" applyFont="1" applyBorder="1" applyAlignment="1">
      <alignment/>
    </xf>
    <xf numFmtId="168" fontId="15" fillId="0" borderId="0" xfId="40" applyNumberFormat="1" applyFont="1" applyAlignment="1">
      <alignment/>
    </xf>
    <xf numFmtId="168" fontId="12" fillId="0" borderId="0" xfId="40" applyNumberFormat="1" applyFont="1" applyAlignment="1">
      <alignment/>
    </xf>
    <xf numFmtId="0" fontId="12" fillId="0" borderId="0" xfId="56" applyFont="1" applyAlignment="1">
      <alignment horizontal="right"/>
      <protection/>
    </xf>
    <xf numFmtId="0" fontId="6" fillId="0" borderId="11" xfId="56" applyFont="1" applyBorder="1" applyAlignment="1">
      <alignment/>
      <protection/>
    </xf>
    <xf numFmtId="168" fontId="6" fillId="0" borderId="11" xfId="40" applyNumberFormat="1" applyFont="1" applyBorder="1" applyAlignment="1">
      <alignment horizontal="center"/>
    </xf>
    <xf numFmtId="168" fontId="6" fillId="0" borderId="13" xfId="40" applyNumberFormat="1" applyFont="1" applyBorder="1" applyAlignment="1">
      <alignment horizontal="center"/>
    </xf>
    <xf numFmtId="0" fontId="6" fillId="0" borderId="15" xfId="56" applyFont="1" applyBorder="1" applyAlignment="1">
      <alignment horizontal="center"/>
      <protection/>
    </xf>
    <xf numFmtId="168" fontId="6" fillId="0" borderId="15" xfId="40" applyNumberFormat="1" applyFont="1" applyBorder="1" applyAlignment="1">
      <alignment horizontal="center"/>
    </xf>
    <xf numFmtId="0" fontId="12" fillId="0" borderId="0" xfId="56" applyFont="1" applyBorder="1" applyAlignment="1">
      <alignment horizontal="right"/>
      <protection/>
    </xf>
    <xf numFmtId="0" fontId="12" fillId="0" borderId="0" xfId="56" applyFont="1" applyBorder="1" applyAlignment="1">
      <alignment/>
      <protection/>
    </xf>
    <xf numFmtId="168" fontId="12" fillId="0" borderId="0" xfId="40" applyNumberFormat="1" applyFont="1" applyBorder="1" applyAlignment="1">
      <alignment/>
    </xf>
    <xf numFmtId="0" fontId="12" fillId="0" borderId="0" xfId="56" applyFont="1" applyBorder="1" applyAlignment="1">
      <alignment wrapText="1"/>
      <protection/>
    </xf>
    <xf numFmtId="0" fontId="12" fillId="0" borderId="19" xfId="56" applyFont="1" applyBorder="1" applyAlignment="1">
      <alignment horizontal="right"/>
      <protection/>
    </xf>
    <xf numFmtId="0" fontId="12" fillId="0" borderId="19" xfId="56" applyFont="1" applyBorder="1" applyAlignment="1">
      <alignment/>
      <protection/>
    </xf>
    <xf numFmtId="168" fontId="12" fillId="0" borderId="19" xfId="40" applyNumberFormat="1" applyFont="1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168" fontId="12" fillId="0" borderId="0" xfId="40" applyNumberFormat="1" applyFont="1" applyAlignment="1">
      <alignment horizontal="right"/>
    </xf>
    <xf numFmtId="168" fontId="6" fillId="0" borderId="0" xfId="56" applyNumberFormat="1" applyFont="1">
      <alignment/>
      <protection/>
    </xf>
    <xf numFmtId="0" fontId="6" fillId="0" borderId="25" xfId="56" applyFont="1" applyBorder="1" applyAlignment="1">
      <alignment horizontal="right"/>
      <protection/>
    </xf>
    <xf numFmtId="0" fontId="6" fillId="0" borderId="25" xfId="56" applyFont="1" applyBorder="1">
      <alignment/>
      <protection/>
    </xf>
    <xf numFmtId="168" fontId="6" fillId="0" borderId="25" xfId="40" applyNumberFormat="1" applyFont="1" applyBorder="1" applyAlignment="1">
      <alignment/>
    </xf>
    <xf numFmtId="0" fontId="6" fillId="0" borderId="0" xfId="56" applyFont="1" applyBorder="1" applyAlignment="1">
      <alignment horizontal="right"/>
      <protection/>
    </xf>
    <xf numFmtId="0" fontId="6" fillId="0" borderId="0" xfId="56" applyFont="1" applyBorder="1">
      <alignment/>
      <protection/>
    </xf>
    <xf numFmtId="168" fontId="6" fillId="0" borderId="0" xfId="40" applyNumberFormat="1" applyFont="1" applyBorder="1" applyAlignment="1">
      <alignment/>
    </xf>
    <xf numFmtId="0" fontId="12" fillId="0" borderId="0" xfId="57" applyFont="1">
      <alignment/>
      <protection/>
    </xf>
    <xf numFmtId="0" fontId="6" fillId="0" borderId="0" xfId="57" applyFont="1" applyBorder="1" applyAlignment="1">
      <alignment horizontal="center"/>
      <protection/>
    </xf>
    <xf numFmtId="0" fontId="22" fillId="0" borderId="19" xfId="0" applyFont="1" applyBorder="1" applyAlignment="1">
      <alignment/>
    </xf>
    <xf numFmtId="168" fontId="6" fillId="0" borderId="19" xfId="40" applyNumberFormat="1" applyFont="1" applyBorder="1" applyAlignment="1">
      <alignment/>
    </xf>
    <xf numFmtId="0" fontId="6" fillId="0" borderId="0" xfId="57" applyFont="1">
      <alignment/>
      <protection/>
    </xf>
    <xf numFmtId="0" fontId="6" fillId="0" borderId="25" xfId="57" applyFont="1" applyBorder="1" applyAlignment="1">
      <alignment horizontal="right"/>
      <protection/>
    </xf>
    <xf numFmtId="0" fontId="6" fillId="0" borderId="25" xfId="57" applyFont="1" applyBorder="1">
      <alignment/>
      <protection/>
    </xf>
    <xf numFmtId="168" fontId="6" fillId="0" borderId="25" xfId="57" applyNumberFormat="1" applyFont="1" applyBorder="1" applyAlignment="1">
      <alignment/>
      <protection/>
    </xf>
    <xf numFmtId="168" fontId="6" fillId="0" borderId="0" xfId="57" applyNumberFormat="1" applyFont="1">
      <alignment/>
      <protection/>
    </xf>
    <xf numFmtId="0" fontId="12" fillId="0" borderId="0" xfId="57" applyFont="1" applyBorder="1" applyAlignment="1">
      <alignment horizontal="center" vertical="center"/>
      <protection/>
    </xf>
    <xf numFmtId="168" fontId="6" fillId="0" borderId="0" xfId="40" applyNumberFormat="1" applyFont="1" applyBorder="1" applyAlignment="1">
      <alignment horizontal="center"/>
    </xf>
    <xf numFmtId="0" fontId="11" fillId="0" borderId="0" xfId="58" applyFont="1" applyAlignment="1">
      <alignment horizontal="left" wrapText="1"/>
      <protection/>
    </xf>
    <xf numFmtId="0" fontId="6" fillId="0" borderId="14" xfId="56" applyFont="1" applyBorder="1" applyAlignment="1">
      <alignment horizontal="center"/>
      <protection/>
    </xf>
    <xf numFmtId="14" fontId="4" fillId="0" borderId="0" xfId="0" applyNumberFormat="1" applyFont="1" applyAlignment="1">
      <alignment/>
    </xf>
    <xf numFmtId="0" fontId="11" fillId="0" borderId="27" xfId="59" applyFont="1" applyBorder="1">
      <alignment/>
      <protection/>
    </xf>
    <xf numFmtId="0" fontId="20" fillId="0" borderId="25" xfId="56" applyFont="1" applyBorder="1" applyAlignment="1">
      <alignment horizontal="center"/>
      <protection/>
    </xf>
    <xf numFmtId="0" fontId="7" fillId="0" borderId="25" xfId="56" applyFont="1" applyBorder="1" applyAlignment="1">
      <alignment horizontal="center"/>
      <protection/>
    </xf>
    <xf numFmtId="164" fontId="11" fillId="0" borderId="23" xfId="59" applyNumberFormat="1" applyFont="1" applyBorder="1">
      <alignment/>
      <protection/>
    </xf>
    <xf numFmtId="164" fontId="11" fillId="0" borderId="19" xfId="59" applyNumberFormat="1" applyFont="1" applyBorder="1">
      <alignment/>
      <protection/>
    </xf>
    <xf numFmtId="0" fontId="23" fillId="0" borderId="0" xfId="56" applyFont="1">
      <alignment/>
      <protection/>
    </xf>
    <xf numFmtId="0" fontId="23" fillId="0" borderId="0" xfId="56" applyFont="1" applyAlignment="1">
      <alignment horizontal="center"/>
      <protection/>
    </xf>
    <xf numFmtId="168" fontId="23" fillId="0" borderId="0" xfId="40" applyNumberFormat="1" applyFont="1" applyAlignment="1">
      <alignment/>
    </xf>
    <xf numFmtId="0" fontId="11" fillId="0" borderId="0" xfId="56" applyFont="1">
      <alignment/>
      <protection/>
    </xf>
    <xf numFmtId="0" fontId="10" fillId="0" borderId="0" xfId="56" applyFont="1" applyAlignment="1">
      <alignment horizontal="center"/>
      <protection/>
    </xf>
    <xf numFmtId="168" fontId="10" fillId="0" borderId="0" xfId="40" applyNumberFormat="1" applyFont="1" applyAlignment="1">
      <alignment/>
    </xf>
    <xf numFmtId="0" fontId="20" fillId="0" borderId="0" xfId="56" applyFont="1" applyAlignment="1">
      <alignment horizontal="center"/>
      <protection/>
    </xf>
    <xf numFmtId="168" fontId="20" fillId="0" borderId="0" xfId="40" applyNumberFormat="1" applyFont="1" applyAlignment="1">
      <alignment horizontal="centerContinuous"/>
    </xf>
    <xf numFmtId="168" fontId="20" fillId="0" borderId="0" xfId="40" applyNumberFormat="1" applyFont="1" applyAlignment="1">
      <alignment/>
    </xf>
    <xf numFmtId="168" fontId="20" fillId="0" borderId="28" xfId="40" applyNumberFormat="1" applyFont="1" applyBorder="1" applyAlignment="1">
      <alignment horizontal="center"/>
    </xf>
    <xf numFmtId="168" fontId="20" fillId="0" borderId="11" xfId="40" applyNumberFormat="1" applyFont="1" applyBorder="1" applyAlignment="1">
      <alignment horizontal="center"/>
    </xf>
    <xf numFmtId="168" fontId="20" fillId="0" borderId="11" xfId="40" applyNumberFormat="1" applyFont="1" applyBorder="1" applyAlignment="1">
      <alignment horizontal="center" wrapText="1"/>
    </xf>
    <xf numFmtId="0" fontId="4" fillId="0" borderId="0" xfId="0" applyFont="1" applyAlignment="1">
      <alignment/>
    </xf>
    <xf numFmtId="0" fontId="11" fillId="0" borderId="29" xfId="58" applyFont="1" applyBorder="1" applyAlignment="1" quotePrefix="1">
      <alignment horizontal="center" vertical="center" wrapText="1"/>
      <protection/>
    </xf>
    <xf numFmtId="0" fontId="11" fillId="0" borderId="0" xfId="58" applyFont="1" applyBorder="1" applyAlignment="1">
      <alignment horizontal="left" wrapText="1"/>
      <protection/>
    </xf>
    <xf numFmtId="168" fontId="4" fillId="0" borderId="27" xfId="40" applyNumberFormat="1" applyFont="1" applyBorder="1" applyAlignment="1">
      <alignment/>
    </xf>
    <xf numFmtId="168" fontId="4" fillId="0" borderId="30" xfId="40" applyNumberFormat="1" applyFont="1" applyBorder="1" applyAlignment="1">
      <alignment/>
    </xf>
    <xf numFmtId="168" fontId="4" fillId="0" borderId="19" xfId="40" applyNumberFormat="1" applyFont="1" applyBorder="1" applyAlignment="1">
      <alignment/>
    </xf>
    <xf numFmtId="168" fontId="4" fillId="0" borderId="31" xfId="40" applyNumberFormat="1" applyFont="1" applyBorder="1" applyAlignment="1">
      <alignment/>
    </xf>
    <xf numFmtId="0" fontId="10" fillId="0" borderId="32" xfId="59" applyFont="1" applyBorder="1">
      <alignment/>
      <protection/>
    </xf>
    <xf numFmtId="0" fontId="10" fillId="0" borderId="25" xfId="59" applyFont="1" applyBorder="1">
      <alignment/>
      <protection/>
    </xf>
    <xf numFmtId="168" fontId="4" fillId="0" borderId="25" xfId="40" applyNumberFormat="1" applyFont="1" applyBorder="1" applyAlignment="1">
      <alignment/>
    </xf>
    <xf numFmtId="0" fontId="11" fillId="0" borderId="33" xfId="58" applyFont="1" applyBorder="1" applyAlignment="1" quotePrefix="1">
      <alignment horizontal="center" vertical="center" wrapText="1"/>
      <protection/>
    </xf>
    <xf numFmtId="0" fontId="4" fillId="0" borderId="25" xfId="0" applyFont="1" applyBorder="1" applyAlignment="1">
      <alignment/>
    </xf>
    <xf numFmtId="0" fontId="19" fillId="0" borderId="0" xfId="0" applyFont="1" applyAlignment="1">
      <alignment/>
    </xf>
    <xf numFmtId="0" fontId="11" fillId="0" borderId="20" xfId="58" applyFont="1" applyBorder="1" applyAlignment="1">
      <alignment horizontal="right"/>
      <protection/>
    </xf>
    <xf numFmtId="0" fontId="19" fillId="0" borderId="19" xfId="58" applyFont="1" applyBorder="1">
      <alignment/>
      <protection/>
    </xf>
    <xf numFmtId="0" fontId="19" fillId="0" borderId="23" xfId="58" applyFont="1" applyBorder="1">
      <alignment/>
      <protection/>
    </xf>
    <xf numFmtId="0" fontId="11" fillId="0" borderId="23" xfId="58" applyFont="1" applyBorder="1">
      <alignment/>
      <protection/>
    </xf>
    <xf numFmtId="0" fontId="11" fillId="0" borderId="31" xfId="58" applyFont="1" applyBorder="1">
      <alignment/>
      <protection/>
    </xf>
    <xf numFmtId="0" fontId="11" fillId="0" borderId="34" xfId="58" applyFont="1" applyBorder="1">
      <alignment/>
      <protection/>
    </xf>
    <xf numFmtId="0" fontId="10" fillId="0" borderId="32" xfId="58" applyFont="1" applyBorder="1">
      <alignment/>
      <protection/>
    </xf>
    <xf numFmtId="0" fontId="10" fillId="0" borderId="25" xfId="58" applyFont="1" applyBorder="1">
      <alignment/>
      <protection/>
    </xf>
    <xf numFmtId="0" fontId="10" fillId="0" borderId="32" xfId="58" applyFont="1" applyBorder="1" applyAlignment="1">
      <alignment horizontal="right"/>
      <protection/>
    </xf>
    <xf numFmtId="0" fontId="19" fillId="0" borderId="0" xfId="58" applyFont="1">
      <alignment/>
      <protection/>
    </xf>
    <xf numFmtId="0" fontId="7" fillId="0" borderId="0" xfId="58" applyFont="1" applyAlignment="1">
      <alignment/>
      <protection/>
    </xf>
    <xf numFmtId="0" fontId="24" fillId="0" borderId="0" xfId="0" applyFont="1" applyAlignment="1">
      <alignment horizontal="left"/>
    </xf>
    <xf numFmtId="0" fontId="6" fillId="0" borderId="0" xfId="59" applyFont="1" applyAlignment="1">
      <alignment horizontal="centerContinuous"/>
      <protection/>
    </xf>
    <xf numFmtId="0" fontId="25" fillId="0" borderId="0" xfId="59" applyFont="1">
      <alignment/>
      <protection/>
    </xf>
    <xf numFmtId="0" fontId="6" fillId="0" borderId="11" xfId="59" applyFont="1" applyBorder="1">
      <alignment/>
      <protection/>
    </xf>
    <xf numFmtId="0" fontId="6" fillId="0" borderId="11" xfId="59" applyFont="1" applyBorder="1" applyAlignment="1">
      <alignment horizontal="center"/>
      <protection/>
    </xf>
    <xf numFmtId="0" fontId="6" fillId="0" borderId="13" xfId="59" applyFont="1" applyBorder="1" applyAlignment="1">
      <alignment horizontal="center"/>
      <protection/>
    </xf>
    <xf numFmtId="0" fontId="6" fillId="0" borderId="15" xfId="59" applyFont="1" applyBorder="1">
      <alignment/>
      <protection/>
    </xf>
    <xf numFmtId="0" fontId="6" fillId="0" borderId="15" xfId="59" applyFont="1" applyBorder="1" applyAlignment="1">
      <alignment horizontal="center"/>
      <protection/>
    </xf>
    <xf numFmtId="0" fontId="6" fillId="0" borderId="0" xfId="59" applyFont="1" applyBorder="1">
      <alignment/>
      <protection/>
    </xf>
    <xf numFmtId="0" fontId="6" fillId="0" borderId="0" xfId="59" applyFont="1" applyBorder="1" applyAlignment="1">
      <alignment horizontal="center"/>
      <protection/>
    </xf>
    <xf numFmtId="0" fontId="6" fillId="0" borderId="0" xfId="59" applyFont="1" applyBorder="1" applyAlignment="1">
      <alignment horizontal="right"/>
      <protection/>
    </xf>
    <xf numFmtId="168" fontId="12" fillId="0" borderId="0" xfId="40" applyNumberFormat="1" applyFont="1" applyBorder="1" applyAlignment="1">
      <alignment horizontal="right"/>
    </xf>
    <xf numFmtId="44" fontId="12" fillId="0" borderId="0" xfId="61" applyFont="1" applyAlignment="1">
      <alignment horizontal="left" wrapText="1"/>
    </xf>
    <xf numFmtId="168" fontId="12" fillId="0" borderId="0" xfId="40" applyNumberFormat="1" applyFont="1" applyAlignment="1">
      <alignment wrapText="1"/>
    </xf>
    <xf numFmtId="44" fontId="12" fillId="0" borderId="0" xfId="61" applyFont="1" applyAlignment="1">
      <alignment wrapText="1"/>
    </xf>
    <xf numFmtId="0" fontId="12" fillId="0" borderId="0" xfId="59" applyFont="1" applyBorder="1">
      <alignment/>
      <protection/>
    </xf>
    <xf numFmtId="168" fontId="26" fillId="0" borderId="0" xfId="40" applyNumberFormat="1" applyFont="1" applyBorder="1" applyAlignment="1">
      <alignment horizontal="right"/>
    </xf>
    <xf numFmtId="168" fontId="6" fillId="0" borderId="0" xfId="40" applyNumberFormat="1" applyFont="1" applyBorder="1" applyAlignment="1">
      <alignment horizontal="right"/>
    </xf>
    <xf numFmtId="0" fontId="10" fillId="0" borderId="0" xfId="58" applyFont="1" applyBorder="1" quotePrefix="1">
      <alignment/>
      <protection/>
    </xf>
    <xf numFmtId="168" fontId="6" fillId="0" borderId="0" xfId="40" applyNumberFormat="1" applyFont="1" applyBorder="1" applyAlignment="1">
      <alignment/>
    </xf>
    <xf numFmtId="168" fontId="12" fillId="0" borderId="0" xfId="40" applyNumberFormat="1" applyFont="1" applyAlignment="1">
      <alignment horizontal="center"/>
    </xf>
    <xf numFmtId="0" fontId="12" fillId="0" borderId="11" xfId="0" applyFont="1" applyBorder="1" applyAlignment="1">
      <alignment/>
    </xf>
    <xf numFmtId="0" fontId="12" fillId="0" borderId="10" xfId="0" applyFont="1" applyBorder="1" applyAlignment="1">
      <alignment/>
    </xf>
    <xf numFmtId="168" fontId="6" fillId="0" borderId="11" xfId="40" applyNumberFormat="1" applyFont="1" applyBorder="1" applyAlignment="1">
      <alignment/>
    </xf>
    <xf numFmtId="168" fontId="6" fillId="0" borderId="35" xfId="40" applyNumberFormat="1" applyFont="1" applyBorder="1" applyAlignment="1">
      <alignment/>
    </xf>
    <xf numFmtId="168" fontId="6" fillId="0" borderId="36" xfId="40" applyNumberFormat="1" applyFont="1" applyBorder="1" applyAlignment="1">
      <alignment/>
    </xf>
    <xf numFmtId="168" fontId="6" fillId="0" borderId="37" xfId="40" applyNumberFormat="1" applyFont="1" applyBorder="1" applyAlignment="1">
      <alignment/>
    </xf>
    <xf numFmtId="168" fontId="12" fillId="0" borderId="37" xfId="40" applyNumberFormat="1" applyFont="1" applyBorder="1" applyAlignment="1">
      <alignment/>
    </xf>
    <xf numFmtId="168" fontId="12" fillId="0" borderId="36" xfId="40" applyNumberFormat="1" applyFont="1" applyBorder="1" applyAlignment="1">
      <alignment/>
    </xf>
    <xf numFmtId="168" fontId="12" fillId="0" borderId="11" xfId="40" applyNumberFormat="1" applyFont="1" applyBorder="1" applyAlignment="1">
      <alignment/>
    </xf>
    <xf numFmtId="0" fontId="12" fillId="0" borderId="13" xfId="0" applyFont="1" applyBorder="1" applyAlignment="1">
      <alignment/>
    </xf>
    <xf numFmtId="0" fontId="12" fillId="0" borderId="12" xfId="0" applyFont="1" applyBorder="1" applyAlignment="1">
      <alignment horizontal="center"/>
    </xf>
    <xf numFmtId="168" fontId="12" fillId="0" borderId="38" xfId="40" applyNumberFormat="1" applyFont="1" applyBorder="1" applyAlignment="1">
      <alignment horizontal="center"/>
    </xf>
    <xf numFmtId="168" fontId="12" fillId="0" borderId="39" xfId="40" applyNumberFormat="1" applyFont="1" applyBorder="1" applyAlignment="1">
      <alignment horizontal="center"/>
    </xf>
    <xf numFmtId="168" fontId="12" fillId="0" borderId="40" xfId="40" applyNumberFormat="1" applyFont="1" applyBorder="1" applyAlignment="1">
      <alignment horizontal="center"/>
    </xf>
    <xf numFmtId="0" fontId="12" fillId="0" borderId="15" xfId="0" applyFont="1" applyBorder="1" applyAlignment="1">
      <alignment/>
    </xf>
    <xf numFmtId="0" fontId="12" fillId="0" borderId="14" xfId="0" applyFont="1" applyBorder="1" applyAlignment="1">
      <alignment/>
    </xf>
    <xf numFmtId="168" fontId="12" fillId="0" borderId="15" xfId="40" applyNumberFormat="1" applyFont="1" applyBorder="1" applyAlignment="1">
      <alignment/>
    </xf>
    <xf numFmtId="168" fontId="12" fillId="0" borderId="41" xfId="40" applyNumberFormat="1" applyFont="1" applyBorder="1" applyAlignment="1">
      <alignment/>
    </xf>
    <xf numFmtId="168" fontId="12" fillId="0" borderId="42" xfId="40" applyNumberFormat="1" applyFont="1" applyBorder="1" applyAlignment="1">
      <alignment/>
    </xf>
    <xf numFmtId="168" fontId="12" fillId="0" borderId="43" xfId="40" applyNumberFormat="1" applyFont="1" applyBorder="1" applyAlignment="1">
      <alignment/>
    </xf>
    <xf numFmtId="0" fontId="12" fillId="0" borderId="24" xfId="0" applyFont="1" applyBorder="1" applyAlignment="1">
      <alignment horizontal="center"/>
    </xf>
    <xf numFmtId="0" fontId="12" fillId="0" borderId="19" xfId="0" applyFont="1" applyBorder="1" applyAlignment="1">
      <alignment wrapText="1"/>
    </xf>
    <xf numFmtId="168" fontId="12" fillId="0" borderId="19" xfId="40" applyNumberFormat="1" applyFont="1" applyBorder="1" applyAlignment="1">
      <alignment/>
    </xf>
    <xf numFmtId="168" fontId="12" fillId="0" borderId="31" xfId="40" applyNumberFormat="1" applyFont="1" applyBorder="1" applyAlignment="1">
      <alignment/>
    </xf>
    <xf numFmtId="0" fontId="12" fillId="0" borderId="19" xfId="0" applyFont="1" applyBorder="1" applyAlignment="1">
      <alignment/>
    </xf>
    <xf numFmtId="168" fontId="12" fillId="0" borderId="19" xfId="40" applyNumberFormat="1" applyFont="1" applyBorder="1" applyAlignment="1">
      <alignment/>
    </xf>
    <xf numFmtId="168" fontId="27" fillId="0" borderId="19" xfId="40" applyNumberFormat="1" applyFont="1" applyFill="1" applyBorder="1" applyAlignment="1">
      <alignment/>
    </xf>
    <xf numFmtId="168" fontId="27" fillId="0" borderId="23" xfId="40" applyNumberFormat="1" applyFont="1" applyFill="1" applyBorder="1" applyAlignment="1">
      <alignment/>
    </xf>
    <xf numFmtId="168" fontId="12" fillId="0" borderId="19" xfId="40" applyNumberFormat="1" applyFont="1" applyFill="1" applyBorder="1" applyAlignment="1">
      <alignment/>
    </xf>
    <xf numFmtId="168" fontId="12" fillId="0" borderId="23" xfId="40" applyNumberFormat="1" applyFont="1" applyFill="1" applyBorder="1" applyAlignment="1">
      <alignment/>
    </xf>
    <xf numFmtId="0" fontId="12" fillId="0" borderId="44" xfId="0" applyFont="1" applyBorder="1" applyAlignment="1">
      <alignment horizontal="center"/>
    </xf>
    <xf numFmtId="0" fontId="12" fillId="0" borderId="45" xfId="0" applyFont="1" applyBorder="1" applyAlignment="1">
      <alignment/>
    </xf>
    <xf numFmtId="0" fontId="6" fillId="0" borderId="25" xfId="0" applyFont="1" applyBorder="1" applyAlignment="1">
      <alignment/>
    </xf>
    <xf numFmtId="168" fontId="6" fillId="0" borderId="46" xfId="40" applyNumberFormat="1" applyFont="1" applyBorder="1" applyAlignment="1">
      <alignment/>
    </xf>
    <xf numFmtId="168" fontId="6" fillId="0" borderId="25" xfId="40" applyNumberFormat="1" applyFont="1" applyBorder="1" applyAlignment="1">
      <alignment/>
    </xf>
    <xf numFmtId="0" fontId="12" fillId="0" borderId="47" xfId="0" applyFont="1" applyBorder="1" applyAlignment="1">
      <alignment horizontal="center"/>
    </xf>
    <xf numFmtId="0" fontId="6" fillId="0" borderId="27" xfId="0" applyFont="1" applyBorder="1" applyAlignment="1">
      <alignment/>
    </xf>
    <xf numFmtId="168" fontId="12" fillId="0" borderId="48" xfId="40" applyNumberFormat="1" applyFont="1" applyBorder="1" applyAlignment="1">
      <alignment/>
    </xf>
    <xf numFmtId="1" fontId="6" fillId="0" borderId="0" xfId="0" applyNumberFormat="1" applyFont="1" applyAlignment="1">
      <alignment/>
    </xf>
    <xf numFmtId="0" fontId="12" fillId="0" borderId="25" xfId="0" applyFont="1" applyBorder="1" applyAlignment="1">
      <alignment/>
    </xf>
    <xf numFmtId="0" fontId="6" fillId="0" borderId="32" xfId="0" applyFont="1" applyBorder="1" applyAlignment="1">
      <alignment/>
    </xf>
    <xf numFmtId="168" fontId="12" fillId="0" borderId="49" xfId="40" applyNumberFormat="1" applyFont="1" applyBorder="1" applyAlignment="1">
      <alignment/>
    </xf>
    <xf numFmtId="168" fontId="12" fillId="0" borderId="50" xfId="40" applyNumberFormat="1" applyFont="1" applyBorder="1" applyAlignment="1">
      <alignment/>
    </xf>
    <xf numFmtId="0" fontId="12" fillId="0" borderId="19" xfId="0" applyFont="1" applyBorder="1" applyAlignment="1">
      <alignment horizontal="left" wrapText="1"/>
    </xf>
    <xf numFmtId="169" fontId="12" fillId="0" borderId="0" xfId="40" applyNumberFormat="1" applyFont="1" applyAlignment="1">
      <alignment/>
    </xf>
    <xf numFmtId="168" fontId="12" fillId="0" borderId="0" xfId="0" applyNumberFormat="1" applyFont="1" applyAlignment="1">
      <alignment/>
    </xf>
    <xf numFmtId="0" fontId="10" fillId="0" borderId="0" xfId="58" applyFont="1" applyBorder="1" applyAlignment="1">
      <alignment horizontal="left" wrapText="1"/>
      <protection/>
    </xf>
    <xf numFmtId="0" fontId="6" fillId="0" borderId="0" xfId="59" applyFont="1" applyBorder="1" quotePrefix="1">
      <alignment/>
      <protection/>
    </xf>
    <xf numFmtId="0" fontId="15" fillId="0" borderId="0" xfId="0" applyFont="1" applyAlignment="1">
      <alignment horizontal="left" wrapText="1"/>
    </xf>
    <xf numFmtId="14" fontId="17" fillId="0" borderId="0" xfId="0" applyNumberFormat="1" applyFont="1" applyAlignment="1">
      <alignment/>
    </xf>
    <xf numFmtId="0" fontId="7" fillId="0" borderId="0" xfId="59" applyFont="1" applyAlignment="1">
      <alignment horizontal="center"/>
      <protection/>
    </xf>
    <xf numFmtId="0" fontId="4" fillId="0" borderId="0" xfId="58" applyFont="1" applyAlignment="1">
      <alignment wrapText="1"/>
      <protection/>
    </xf>
    <xf numFmtId="0" fontId="19" fillId="0" borderId="31" xfId="58" applyFont="1" applyBorder="1">
      <alignment/>
      <protection/>
    </xf>
    <xf numFmtId="0" fontId="4" fillId="0" borderId="19" xfId="0" applyFont="1" applyBorder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6" fillId="0" borderId="0" xfId="0" applyFont="1" applyAlignment="1">
      <alignment/>
    </xf>
    <xf numFmtId="41" fontId="49" fillId="0" borderId="0" xfId="0" applyNumberFormat="1" applyFont="1" applyAlignment="1">
      <alignment/>
    </xf>
    <xf numFmtId="49" fontId="0" fillId="0" borderId="0" xfId="0" applyNumberFormat="1" applyAlignment="1">
      <alignment/>
    </xf>
    <xf numFmtId="41" fontId="50" fillId="0" borderId="0" xfId="0" applyNumberFormat="1" applyFont="1" applyAlignment="1">
      <alignment/>
    </xf>
    <xf numFmtId="41" fontId="12" fillId="0" borderId="0" xfId="56" applyNumberFormat="1" applyFont="1">
      <alignment/>
      <protection/>
    </xf>
    <xf numFmtId="41" fontId="15" fillId="0" borderId="0" xfId="56" applyNumberFormat="1" applyFont="1">
      <alignment/>
      <protection/>
    </xf>
    <xf numFmtId="41" fontId="15" fillId="0" borderId="0" xfId="40" applyNumberFormat="1" applyFont="1" applyAlignment="1">
      <alignment wrapText="1"/>
    </xf>
    <xf numFmtId="41" fontId="15" fillId="0" borderId="0" xfId="40" applyNumberFormat="1" applyFont="1" applyAlignment="1">
      <alignment/>
    </xf>
    <xf numFmtId="0" fontId="11" fillId="0" borderId="0" xfId="58" applyFont="1" applyBorder="1" applyAlignment="1">
      <alignment horizontal="left" vertical="center" wrapText="1"/>
      <protection/>
    </xf>
    <xf numFmtId="41" fontId="11" fillId="0" borderId="0" xfId="58" applyNumberFormat="1" applyFont="1" applyBorder="1" applyAlignment="1">
      <alignment horizontal="left" wrapText="1"/>
      <protection/>
    </xf>
    <xf numFmtId="41" fontId="51" fillId="0" borderId="0" xfId="58" applyNumberFormat="1" applyFont="1" applyBorder="1" applyAlignment="1">
      <alignment horizontal="left" wrapText="1"/>
      <protection/>
    </xf>
    <xf numFmtId="41" fontId="10" fillId="0" borderId="0" xfId="58" applyNumberFormat="1" applyFont="1" applyBorder="1" applyAlignment="1">
      <alignment horizontal="left" wrapText="1"/>
      <protection/>
    </xf>
    <xf numFmtId="0" fontId="12" fillId="0" borderId="0" xfId="56" applyFont="1" applyAlignment="1">
      <alignment horizontal="center" vertical="justify" wrapText="1"/>
      <protection/>
    </xf>
    <xf numFmtId="0" fontId="52" fillId="0" borderId="0" xfId="0" applyFont="1" applyAlignment="1">
      <alignment/>
    </xf>
    <xf numFmtId="41" fontId="52" fillId="0" borderId="0" xfId="0" applyNumberFormat="1" applyFont="1" applyAlignment="1">
      <alignment/>
    </xf>
    <xf numFmtId="49" fontId="52" fillId="0" borderId="0" xfId="0" applyNumberFormat="1" applyFont="1" applyAlignment="1">
      <alignment/>
    </xf>
    <xf numFmtId="0" fontId="6" fillId="0" borderId="0" xfId="59" applyFont="1" applyBorder="1" applyAlignment="1" quotePrefix="1">
      <alignment horizontal="center"/>
      <protection/>
    </xf>
    <xf numFmtId="0" fontId="12" fillId="0" borderId="51" xfId="56" applyFont="1" applyBorder="1" applyAlignment="1">
      <alignment horizontal="center"/>
      <protection/>
    </xf>
    <xf numFmtId="0" fontId="12" fillId="0" borderId="14" xfId="56" applyFont="1" applyBorder="1" applyAlignment="1">
      <alignment horizontal="center"/>
      <protection/>
    </xf>
    <xf numFmtId="0" fontId="12" fillId="0" borderId="52" xfId="56" applyFont="1" applyBorder="1" applyAlignment="1">
      <alignment horizontal="center"/>
      <protection/>
    </xf>
    <xf numFmtId="0" fontId="12" fillId="0" borderId="28" xfId="56" applyFont="1" applyBorder="1" applyAlignment="1">
      <alignment horizontal="center"/>
      <protection/>
    </xf>
    <xf numFmtId="0" fontId="12" fillId="0" borderId="12" xfId="56" applyFont="1" applyBorder="1" applyAlignment="1">
      <alignment horizontal="center"/>
      <protection/>
    </xf>
    <xf numFmtId="0" fontId="12" fillId="0" borderId="0" xfId="56" applyFont="1" applyBorder="1" applyAlignment="1">
      <alignment horizontal="center"/>
      <protection/>
    </xf>
    <xf numFmtId="0" fontId="12" fillId="0" borderId="53" xfId="56" applyFont="1" applyBorder="1" applyAlignment="1">
      <alignment horizontal="center" vertical="center"/>
      <protection/>
    </xf>
    <xf numFmtId="0" fontId="6" fillId="0" borderId="0" xfId="0" applyFont="1" applyAlignment="1">
      <alignment horizontal="left" wrapText="1"/>
    </xf>
    <xf numFmtId="0" fontId="12" fillId="0" borderId="10" xfId="56" applyFont="1" applyBorder="1" applyAlignment="1">
      <alignment horizontal="center"/>
      <protection/>
    </xf>
    <xf numFmtId="0" fontId="12" fillId="0" borderId="16" xfId="56" applyFont="1" applyBorder="1" applyAlignment="1">
      <alignment horizontal="center" vertical="center"/>
      <protection/>
    </xf>
    <xf numFmtId="0" fontId="46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2" fillId="0" borderId="0" xfId="0" applyFont="1" applyAlignment="1">
      <alignment horizontal="left" wrapText="1"/>
    </xf>
    <xf numFmtId="0" fontId="12" fillId="0" borderId="0" xfId="56" applyFont="1" applyAlignment="1">
      <alignment horizontal="left" wrapText="1"/>
      <protection/>
    </xf>
    <xf numFmtId="0" fontId="7" fillId="0" borderId="0" xfId="56" applyFont="1" applyAlignment="1">
      <alignment horizontal="center"/>
      <protection/>
    </xf>
    <xf numFmtId="0" fontId="12" fillId="0" borderId="10" xfId="56" applyFont="1" applyBorder="1" applyAlignment="1">
      <alignment horizontal="center" vertical="center"/>
      <protection/>
    </xf>
    <xf numFmtId="0" fontId="12" fillId="0" borderId="52" xfId="56" applyFont="1" applyBorder="1" applyAlignment="1">
      <alignment horizontal="center" vertical="center"/>
      <protection/>
    </xf>
    <xf numFmtId="0" fontId="12" fillId="0" borderId="28" xfId="56" applyFont="1" applyBorder="1" applyAlignment="1">
      <alignment horizontal="center" vertical="center"/>
      <protection/>
    </xf>
    <xf numFmtId="0" fontId="12" fillId="0" borderId="12" xfId="56" applyFont="1" applyBorder="1" applyAlignment="1">
      <alignment horizontal="center" vertical="center"/>
      <protection/>
    </xf>
    <xf numFmtId="0" fontId="12" fillId="0" borderId="0" xfId="56" applyFont="1" applyBorder="1" applyAlignment="1">
      <alignment horizontal="center" vertical="center"/>
      <protection/>
    </xf>
    <xf numFmtId="0" fontId="12" fillId="0" borderId="51" xfId="56" applyFont="1" applyBorder="1" applyAlignment="1">
      <alignment horizontal="center" vertical="center"/>
      <protection/>
    </xf>
    <xf numFmtId="0" fontId="12" fillId="0" borderId="14" xfId="56" applyFont="1" applyBorder="1" applyAlignment="1">
      <alignment horizontal="center" vertical="center"/>
      <protection/>
    </xf>
    <xf numFmtId="0" fontId="12" fillId="0" borderId="16" xfId="56" applyFont="1" applyBorder="1" applyAlignment="1">
      <alignment horizontal="center"/>
      <protection/>
    </xf>
    <xf numFmtId="0" fontId="12" fillId="0" borderId="53" xfId="56" applyFont="1" applyBorder="1" applyAlignment="1">
      <alignment horizontal="center"/>
      <protection/>
    </xf>
    <xf numFmtId="0" fontId="6" fillId="0" borderId="0" xfId="56" applyFont="1" applyAlignment="1">
      <alignment horizontal="center"/>
      <protection/>
    </xf>
    <xf numFmtId="0" fontId="15" fillId="0" borderId="0" xfId="0" applyFont="1" applyAlignment="1">
      <alignment horizontal="left" wrapText="1"/>
    </xf>
    <xf numFmtId="0" fontId="18" fillId="0" borderId="0" xfId="0" applyFont="1" applyAlignment="1">
      <alignment horizontal="left" wrapText="1"/>
    </xf>
    <xf numFmtId="0" fontId="12" fillId="0" borderId="0" xfId="56" applyFont="1" applyBorder="1" applyAlignment="1">
      <alignment horizontal="left" vertical="center"/>
      <protection/>
    </xf>
    <xf numFmtId="0" fontId="12" fillId="0" borderId="16" xfId="56" applyFont="1" applyBorder="1" applyAlignment="1" quotePrefix="1">
      <alignment horizontal="center"/>
      <protection/>
    </xf>
    <xf numFmtId="0" fontId="13" fillId="0" borderId="0" xfId="0" applyFont="1" applyAlignment="1" quotePrefix="1">
      <alignment horizontal="center"/>
    </xf>
    <xf numFmtId="0" fontId="13" fillId="0" borderId="16" xfId="0" applyFont="1" applyBorder="1" applyAlignment="1" quotePrefix="1">
      <alignment horizontal="center"/>
    </xf>
    <xf numFmtId="0" fontId="10" fillId="0" borderId="0" xfId="0" applyFont="1" applyAlignment="1">
      <alignment horizontal="left" wrapText="1"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/>
      <protection/>
    </xf>
    <xf numFmtId="0" fontId="11" fillId="0" borderId="13" xfId="58" applyFont="1" applyBorder="1" applyAlignment="1">
      <alignment horizontal="center" vertical="center"/>
      <protection/>
    </xf>
    <xf numFmtId="0" fontId="11" fillId="0" borderId="15" xfId="58" applyFont="1" applyBorder="1" applyAlignment="1">
      <alignment horizontal="center" vertical="center"/>
      <protection/>
    </xf>
    <xf numFmtId="0" fontId="20" fillId="0" borderId="11" xfId="56" applyFont="1" applyBorder="1" applyAlignment="1">
      <alignment horizontal="center" vertical="center" wrapText="1"/>
      <protection/>
    </xf>
    <xf numFmtId="0" fontId="20" fillId="0" borderId="13" xfId="56" applyFont="1" applyBorder="1" applyAlignment="1">
      <alignment horizontal="center" vertical="center" wrapText="1"/>
      <protection/>
    </xf>
    <xf numFmtId="0" fontId="20" fillId="0" borderId="15" xfId="56" applyFont="1" applyBorder="1" applyAlignment="1">
      <alignment horizontal="center" vertical="center" wrapText="1"/>
      <protection/>
    </xf>
    <xf numFmtId="168" fontId="20" fillId="0" borderId="26" xfId="40" applyNumberFormat="1" applyFont="1" applyBorder="1" applyAlignment="1">
      <alignment horizontal="center"/>
    </xf>
    <xf numFmtId="168" fontId="20" fillId="0" borderId="54" xfId="40" applyNumberFormat="1" applyFont="1" applyBorder="1" applyAlignment="1">
      <alignment horizontal="center"/>
    </xf>
    <xf numFmtId="168" fontId="20" fillId="0" borderId="10" xfId="40" applyNumberFormat="1" applyFont="1" applyBorder="1" applyAlignment="1">
      <alignment horizontal="center"/>
    </xf>
    <xf numFmtId="168" fontId="20" fillId="0" borderId="52" xfId="40" applyNumberFormat="1" applyFont="1" applyBorder="1" applyAlignment="1">
      <alignment horizontal="center"/>
    </xf>
    <xf numFmtId="168" fontId="20" fillId="0" borderId="28" xfId="40" applyNumberFormat="1" applyFont="1" applyBorder="1" applyAlignment="1">
      <alignment horizontal="center"/>
    </xf>
    <xf numFmtId="168" fontId="20" fillId="0" borderId="12" xfId="40" applyNumberFormat="1" applyFont="1" applyBorder="1" applyAlignment="1">
      <alignment horizontal="center"/>
    </xf>
    <xf numFmtId="168" fontId="20" fillId="0" borderId="0" xfId="40" applyNumberFormat="1" applyFont="1" applyBorder="1" applyAlignment="1">
      <alignment horizontal="center"/>
    </xf>
    <xf numFmtId="168" fontId="20" fillId="0" borderId="51" xfId="40" applyNumberFormat="1" applyFont="1" applyBorder="1" applyAlignment="1">
      <alignment horizontal="center"/>
    </xf>
    <xf numFmtId="168" fontId="20" fillId="0" borderId="14" xfId="40" applyNumberFormat="1" applyFont="1" applyBorder="1" applyAlignment="1">
      <alignment horizontal="center"/>
    </xf>
    <xf numFmtId="168" fontId="20" fillId="0" borderId="16" xfId="40" applyNumberFormat="1" applyFont="1" applyBorder="1" applyAlignment="1">
      <alignment horizontal="center"/>
    </xf>
    <xf numFmtId="168" fontId="20" fillId="0" borderId="53" xfId="40" applyNumberFormat="1" applyFont="1" applyBorder="1" applyAlignment="1">
      <alignment horizontal="center"/>
    </xf>
    <xf numFmtId="0" fontId="10" fillId="0" borderId="0" xfId="56" applyFont="1" applyAlignment="1">
      <alignment horizontal="center"/>
      <protection/>
    </xf>
    <xf numFmtId="0" fontId="10" fillId="0" borderId="0" xfId="56" applyFont="1" applyAlignment="1">
      <alignment horizontal="center" wrapText="1"/>
      <protection/>
    </xf>
    <xf numFmtId="0" fontId="24" fillId="0" borderId="11" xfId="56" applyFont="1" applyBorder="1" applyAlignment="1">
      <alignment horizontal="center" vertical="center" wrapText="1"/>
      <protection/>
    </xf>
    <xf numFmtId="0" fontId="24" fillId="0" borderId="13" xfId="56" applyFont="1" applyBorder="1" applyAlignment="1">
      <alignment horizontal="center" vertical="center" wrapText="1"/>
      <protection/>
    </xf>
    <xf numFmtId="0" fontId="24" fillId="0" borderId="15" xfId="56" applyFont="1" applyBorder="1" applyAlignment="1">
      <alignment horizontal="center" vertical="center" wrapText="1"/>
      <protection/>
    </xf>
    <xf numFmtId="0" fontId="11" fillId="0" borderId="32" xfId="56" applyFont="1" applyBorder="1" applyAlignment="1">
      <alignment horizontal="center"/>
      <protection/>
    </xf>
    <xf numFmtId="0" fontId="11" fillId="0" borderId="26" xfId="56" applyFont="1" applyBorder="1" applyAlignment="1">
      <alignment horizontal="center"/>
      <protection/>
    </xf>
    <xf numFmtId="0" fontId="11" fillId="0" borderId="54" xfId="56" applyFont="1" applyBorder="1" applyAlignment="1">
      <alignment horizontal="center"/>
      <protection/>
    </xf>
    <xf numFmtId="0" fontId="11" fillId="0" borderId="0" xfId="0" applyFont="1" applyAlignment="1">
      <alignment horizontal="right"/>
    </xf>
    <xf numFmtId="0" fontId="11" fillId="0" borderId="16" xfId="59" applyFont="1" applyBorder="1" applyAlignment="1">
      <alignment horizontal="right"/>
      <protection/>
    </xf>
    <xf numFmtId="0" fontId="10" fillId="0" borderId="0" xfId="59" applyFont="1" applyAlignment="1">
      <alignment horizontal="center"/>
      <protection/>
    </xf>
    <xf numFmtId="0" fontId="11" fillId="0" borderId="11" xfId="56" applyFont="1" applyBorder="1" applyAlignment="1">
      <alignment horizontal="center" vertical="center"/>
      <protection/>
    </xf>
    <xf numFmtId="0" fontId="11" fillId="0" borderId="13" xfId="56" applyFont="1" applyBorder="1" applyAlignment="1">
      <alignment horizontal="center" vertical="center"/>
      <protection/>
    </xf>
    <xf numFmtId="0" fontId="11" fillId="0" borderId="15" xfId="56" applyFont="1" applyBorder="1" applyAlignment="1">
      <alignment horizontal="center" vertical="center"/>
      <protection/>
    </xf>
    <xf numFmtId="0" fontId="11" fillId="0" borderId="11" xfId="56" applyFont="1" applyBorder="1" applyAlignment="1">
      <alignment horizontal="center" vertical="center" wrapText="1"/>
      <protection/>
    </xf>
    <xf numFmtId="0" fontId="11" fillId="0" borderId="13" xfId="56" applyFont="1" applyBorder="1" applyAlignment="1">
      <alignment horizontal="center" vertical="center" wrapText="1"/>
      <protection/>
    </xf>
    <xf numFmtId="0" fontId="11" fillId="0" borderId="15" xfId="56" applyFont="1" applyBorder="1" applyAlignment="1">
      <alignment horizontal="center" vertical="center" wrapText="1"/>
      <protection/>
    </xf>
    <xf numFmtId="0" fontId="24" fillId="0" borderId="11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7" fillId="0" borderId="0" xfId="59" applyFont="1" applyAlignment="1">
      <alignment horizontal="center"/>
      <protection/>
    </xf>
    <xf numFmtId="0" fontId="7" fillId="0" borderId="12" xfId="56" applyFont="1" applyBorder="1" applyAlignment="1">
      <alignment horizontal="center"/>
      <protection/>
    </xf>
    <xf numFmtId="0" fontId="7" fillId="0" borderId="51" xfId="56" applyFont="1" applyBorder="1" applyAlignment="1">
      <alignment horizontal="center"/>
      <protection/>
    </xf>
    <xf numFmtId="0" fontId="7" fillId="0" borderId="14" xfId="56" applyFont="1" applyBorder="1" applyAlignment="1">
      <alignment horizontal="center"/>
      <protection/>
    </xf>
    <xf numFmtId="0" fontId="7" fillId="0" borderId="53" xfId="56" applyFont="1" applyBorder="1" applyAlignment="1">
      <alignment horizontal="center"/>
      <protection/>
    </xf>
    <xf numFmtId="0" fontId="11" fillId="0" borderId="32" xfId="56" applyFont="1" applyBorder="1" applyAlignment="1">
      <alignment horizontal="center" wrapText="1"/>
      <protection/>
    </xf>
    <xf numFmtId="0" fontId="11" fillId="0" borderId="26" xfId="56" applyFont="1" applyBorder="1" applyAlignment="1">
      <alignment horizontal="center" wrapText="1"/>
      <protection/>
    </xf>
    <xf numFmtId="0" fontId="11" fillId="0" borderId="54" xfId="56" applyFont="1" applyBorder="1" applyAlignment="1">
      <alignment horizontal="center" wrapText="1"/>
      <protection/>
    </xf>
    <xf numFmtId="0" fontId="7" fillId="0" borderId="32" xfId="56" applyFont="1" applyBorder="1" applyAlignment="1">
      <alignment horizontal="center"/>
      <protection/>
    </xf>
    <xf numFmtId="0" fontId="7" fillId="0" borderId="54" xfId="56" applyFont="1" applyBorder="1" applyAlignment="1">
      <alignment horizontal="center"/>
      <protection/>
    </xf>
    <xf numFmtId="44" fontId="11" fillId="0" borderId="32" xfId="61" applyFont="1" applyBorder="1" applyAlignment="1">
      <alignment horizontal="center"/>
    </xf>
    <xf numFmtId="44" fontId="11" fillId="0" borderId="26" xfId="61" applyFont="1" applyBorder="1" applyAlignment="1">
      <alignment horizontal="center"/>
    </xf>
    <xf numFmtId="44" fontId="11" fillId="0" borderId="54" xfId="61" applyFont="1" applyBorder="1" applyAlignment="1">
      <alignment horizontal="center"/>
    </xf>
    <xf numFmtId="0" fontId="28" fillId="0" borderId="11" xfId="56" applyFont="1" applyBorder="1" applyAlignment="1">
      <alignment horizontal="center" vertical="center" wrapText="1"/>
      <protection/>
    </xf>
    <xf numFmtId="0" fontId="28" fillId="0" borderId="13" xfId="56" applyFont="1" applyBorder="1" applyAlignment="1">
      <alignment horizontal="center" vertical="center" wrapText="1"/>
      <protection/>
    </xf>
    <xf numFmtId="0" fontId="28" fillId="0" borderId="15" xfId="56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/>
      <protection/>
    </xf>
    <xf numFmtId="0" fontId="11" fillId="0" borderId="13" xfId="58" applyFont="1" applyBorder="1" applyAlignment="1">
      <alignment horizontal="center" vertical="center"/>
      <protection/>
    </xf>
    <xf numFmtId="0" fontId="11" fillId="0" borderId="15" xfId="58" applyFont="1" applyBorder="1" applyAlignment="1">
      <alignment horizontal="center" vertical="center"/>
      <protection/>
    </xf>
    <xf numFmtId="0" fontId="10" fillId="0" borderId="55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0" fillId="0" borderId="56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22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12" fillId="0" borderId="0" xfId="58" applyFont="1" applyAlignment="1">
      <alignment horizontal="left" wrapText="1"/>
      <protection/>
    </xf>
    <xf numFmtId="0" fontId="7" fillId="0" borderId="0" xfId="58" applyFont="1" applyAlignment="1">
      <alignment horizontal="center"/>
      <protection/>
    </xf>
    <xf numFmtId="0" fontId="6" fillId="0" borderId="0" xfId="58" applyFont="1" applyAlignment="1">
      <alignment horizontal="center"/>
      <protection/>
    </xf>
    <xf numFmtId="0" fontId="6" fillId="0" borderId="0" xfId="56" applyFont="1" applyAlignment="1">
      <alignment horizontal="center"/>
      <protection/>
    </xf>
    <xf numFmtId="0" fontId="12" fillId="0" borderId="0" xfId="56" applyFont="1" applyAlignment="1">
      <alignment horizontal="right"/>
      <protection/>
    </xf>
    <xf numFmtId="0" fontId="7" fillId="0" borderId="0" xfId="56" applyFont="1" applyAlignment="1">
      <alignment horizontal="center"/>
      <protection/>
    </xf>
    <xf numFmtId="0" fontId="12" fillId="0" borderId="11" xfId="57" applyFont="1" applyBorder="1" applyAlignment="1">
      <alignment horizontal="center" vertical="center"/>
      <protection/>
    </xf>
    <xf numFmtId="0" fontId="12" fillId="0" borderId="13" xfId="57" applyFont="1" applyBorder="1" applyAlignment="1">
      <alignment horizontal="center" vertical="center"/>
      <protection/>
    </xf>
    <xf numFmtId="0" fontId="12" fillId="0" borderId="15" xfId="57" applyFont="1" applyBorder="1" applyAlignment="1">
      <alignment horizontal="center" vertical="center"/>
      <protection/>
    </xf>
    <xf numFmtId="0" fontId="6" fillId="0" borderId="0" xfId="57" applyFont="1" applyBorder="1" applyAlignment="1">
      <alignment horizontal="center"/>
      <protection/>
    </xf>
    <xf numFmtId="0" fontId="5" fillId="0" borderId="52" xfId="56" applyFont="1" applyBorder="1" applyAlignment="1">
      <alignment horizontal="center"/>
      <protection/>
    </xf>
    <xf numFmtId="0" fontId="12" fillId="0" borderId="16" xfId="56" applyFont="1" applyBorder="1" applyAlignment="1">
      <alignment horizontal="center"/>
      <protection/>
    </xf>
    <xf numFmtId="0" fontId="5" fillId="0" borderId="0" xfId="56" applyFont="1" applyBorder="1" applyAlignment="1">
      <alignment horizontal="center"/>
      <protection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_KTGV99" xfId="56"/>
    <cellStyle name="Normál_mérleg" xfId="57"/>
    <cellStyle name="Normál_PHKV99" xfId="58"/>
    <cellStyle name="Normál_SIKONC99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8:U63"/>
  <sheetViews>
    <sheetView zoomScalePageLayoutView="0" workbookViewId="0" topLeftCell="H25">
      <selection activeCell="O28" sqref="O28"/>
    </sheetView>
  </sheetViews>
  <sheetFormatPr defaultColWidth="9.00390625" defaultRowHeight="12.75"/>
  <cols>
    <col min="1" max="1" width="12.125" style="1" customWidth="1"/>
    <col min="2" max="2" width="11.25390625" style="1" bestFit="1" customWidth="1"/>
    <col min="3" max="12" width="9.125" style="1" customWidth="1"/>
    <col min="13" max="13" width="9.875" style="1" bestFit="1" customWidth="1"/>
    <col min="14" max="14" width="11.25390625" style="1" bestFit="1" customWidth="1"/>
    <col min="15" max="16384" width="9.125" style="1" customWidth="1"/>
  </cols>
  <sheetData>
    <row r="38" spans="2:10" ht="27.75">
      <c r="B38" s="2"/>
      <c r="C38" s="3"/>
      <c r="D38" s="3"/>
      <c r="E38" s="3"/>
      <c r="F38" s="3"/>
      <c r="G38" s="3"/>
      <c r="H38" s="3"/>
      <c r="I38" s="3"/>
      <c r="J38" s="2"/>
    </row>
    <row r="39" spans="9:21" ht="27.75">
      <c r="I39" s="62"/>
      <c r="J39" s="2"/>
      <c r="N39" s="350" t="s">
        <v>3</v>
      </c>
      <c r="O39" s="350"/>
      <c r="P39" s="350"/>
      <c r="Q39" s="350"/>
      <c r="R39" s="350"/>
      <c r="S39" s="350"/>
      <c r="T39" s="350"/>
      <c r="U39" s="350"/>
    </row>
    <row r="40" spans="9:21" ht="2.25" customHeight="1">
      <c r="I40" s="3"/>
      <c r="J40" s="2"/>
      <c r="N40" s="321"/>
      <c r="O40" s="322"/>
      <c r="P40" s="323"/>
      <c r="Q40" s="323"/>
      <c r="R40" s="323"/>
      <c r="S40" s="323"/>
      <c r="T40" s="323"/>
      <c r="U40" s="323"/>
    </row>
    <row r="41" spans="9:21" ht="27.75">
      <c r="I41" s="53"/>
      <c r="J41" s="2"/>
      <c r="N41" s="350" t="s">
        <v>437</v>
      </c>
      <c r="O41" s="350"/>
      <c r="P41" s="350"/>
      <c r="Q41" s="350"/>
      <c r="R41" s="350"/>
      <c r="S41" s="350"/>
      <c r="T41" s="350"/>
      <c r="U41" s="350"/>
    </row>
    <row r="42" spans="9:21" ht="12.75" customHeight="1" hidden="1">
      <c r="I42" s="3"/>
      <c r="J42" s="2"/>
      <c r="N42" s="321"/>
      <c r="O42" s="322"/>
      <c r="P42" s="323"/>
      <c r="Q42" s="323"/>
      <c r="R42" s="323"/>
      <c r="S42" s="323"/>
      <c r="T42" s="323"/>
      <c r="U42" s="323"/>
    </row>
    <row r="43" spans="9:21" ht="27.75">
      <c r="I43" s="53"/>
      <c r="J43" s="2"/>
      <c r="N43" s="350" t="s">
        <v>436</v>
      </c>
      <c r="O43" s="350"/>
      <c r="P43" s="350"/>
      <c r="Q43" s="350"/>
      <c r="R43" s="350"/>
      <c r="S43" s="350"/>
      <c r="T43" s="350"/>
      <c r="U43" s="350"/>
    </row>
    <row r="44" spans="2:10" ht="27.75">
      <c r="B44" s="2"/>
      <c r="C44" s="3"/>
      <c r="D44" s="3"/>
      <c r="E44" s="3"/>
      <c r="F44" s="3"/>
      <c r="G44" s="3"/>
      <c r="H44" s="3"/>
      <c r="I44" s="3"/>
      <c r="J44" s="2"/>
    </row>
    <row r="45" spans="2:21" ht="27.75">
      <c r="B45" s="2"/>
      <c r="C45" s="3"/>
      <c r="D45" s="3"/>
      <c r="E45" s="3"/>
      <c r="F45" s="3"/>
      <c r="G45" s="3"/>
      <c r="H45" s="3"/>
      <c r="I45" s="3"/>
      <c r="J45" s="2"/>
      <c r="N45" s="321"/>
      <c r="O45" s="321"/>
      <c r="P45" s="321"/>
      <c r="Q45" s="321"/>
      <c r="R45" s="321"/>
      <c r="S45" s="321"/>
      <c r="T45" s="321"/>
      <c r="U45" s="321"/>
    </row>
    <row r="46" spans="2:15" ht="27.75">
      <c r="B46" s="2"/>
      <c r="C46" s="2"/>
      <c r="D46" s="2"/>
      <c r="E46" s="2"/>
      <c r="F46" s="2"/>
      <c r="G46" s="2"/>
      <c r="H46" s="2"/>
      <c r="I46" s="2"/>
      <c r="J46" s="2"/>
      <c r="L46" s="63"/>
      <c r="M46" s="316"/>
      <c r="N46" s="64"/>
      <c r="O46" s="204"/>
    </row>
    <row r="47" spans="1:10" ht="27.75">
      <c r="A47" s="63"/>
      <c r="B47" s="64"/>
      <c r="C47" s="2"/>
      <c r="D47" s="2"/>
      <c r="E47" s="2"/>
      <c r="F47" s="2"/>
      <c r="G47" s="2"/>
      <c r="H47" s="2"/>
      <c r="I47" s="2"/>
      <c r="J47" s="2"/>
    </row>
    <row r="48" spans="2:10" ht="27.75">
      <c r="B48" s="2"/>
      <c r="C48" s="2"/>
      <c r="D48" s="2"/>
      <c r="E48" s="2"/>
      <c r="F48" s="2"/>
      <c r="G48" s="2"/>
      <c r="H48" s="2"/>
      <c r="I48" s="2"/>
      <c r="J48" s="2"/>
    </row>
    <row r="49" spans="2:10" ht="27.75">
      <c r="B49" s="2"/>
      <c r="C49" s="2"/>
      <c r="D49" s="2"/>
      <c r="E49" s="2"/>
      <c r="F49" s="2"/>
      <c r="G49" s="2"/>
      <c r="H49" s="2"/>
      <c r="I49" s="2"/>
      <c r="J49" s="2"/>
    </row>
    <row r="50" spans="2:10" ht="27.75">
      <c r="B50" s="2"/>
      <c r="C50" s="2"/>
      <c r="D50" s="2"/>
      <c r="E50" s="2"/>
      <c r="F50" s="2"/>
      <c r="G50" s="2"/>
      <c r="H50" s="2"/>
      <c r="I50" s="2"/>
      <c r="J50" s="2"/>
    </row>
    <row r="51" spans="2:10" ht="27.75">
      <c r="B51" s="2"/>
      <c r="C51" s="2"/>
      <c r="D51" s="2"/>
      <c r="E51" s="2"/>
      <c r="F51" s="2"/>
      <c r="G51" s="2"/>
      <c r="H51" s="2"/>
      <c r="I51" s="2"/>
      <c r="J51" s="2"/>
    </row>
    <row r="52" spans="2:10" ht="27.75">
      <c r="B52" s="2"/>
      <c r="C52" s="2"/>
      <c r="D52" s="2"/>
      <c r="E52" s="2"/>
      <c r="F52" s="2"/>
      <c r="G52" s="2"/>
      <c r="H52" s="2"/>
      <c r="I52" s="2"/>
      <c r="J52" s="2"/>
    </row>
    <row r="53" spans="2:10" ht="27.75">
      <c r="B53" s="2"/>
      <c r="C53" s="2"/>
      <c r="D53" s="2"/>
      <c r="E53" s="2"/>
      <c r="F53" s="2"/>
      <c r="G53" s="2"/>
      <c r="H53" s="2"/>
      <c r="I53" s="2"/>
      <c r="J53" s="2"/>
    </row>
    <row r="54" spans="2:10" ht="27.75">
      <c r="B54" s="2"/>
      <c r="C54" s="2"/>
      <c r="D54" s="2"/>
      <c r="E54" s="2"/>
      <c r="F54" s="2"/>
      <c r="G54" s="2"/>
      <c r="H54" s="2"/>
      <c r="I54" s="2"/>
      <c r="J54" s="2"/>
    </row>
    <row r="55" spans="2:10" ht="27.75">
      <c r="B55" s="2"/>
      <c r="C55" s="2"/>
      <c r="D55" s="2"/>
      <c r="E55" s="2"/>
      <c r="F55" s="2"/>
      <c r="G55" s="2"/>
      <c r="H55" s="2"/>
      <c r="I55" s="2"/>
      <c r="J55" s="2"/>
    </row>
    <row r="56" spans="2:10" ht="27.75">
      <c r="B56" s="2"/>
      <c r="C56" s="2"/>
      <c r="D56" s="2"/>
      <c r="E56" s="2"/>
      <c r="F56" s="2"/>
      <c r="G56" s="2"/>
      <c r="H56" s="2"/>
      <c r="I56" s="2"/>
      <c r="J56" s="2"/>
    </row>
    <row r="57" spans="2:10" ht="27.75">
      <c r="B57" s="2"/>
      <c r="C57" s="2"/>
      <c r="D57" s="2"/>
      <c r="E57" s="2"/>
      <c r="F57" s="2"/>
      <c r="G57" s="2"/>
      <c r="H57" s="2"/>
      <c r="I57" s="2"/>
      <c r="J57" s="2"/>
    </row>
    <row r="58" spans="2:10" ht="27.75">
      <c r="B58" s="2"/>
      <c r="C58" s="2"/>
      <c r="D58" s="2"/>
      <c r="E58" s="2"/>
      <c r="F58" s="2"/>
      <c r="G58" s="2"/>
      <c r="H58" s="2"/>
      <c r="I58" s="2"/>
      <c r="J58" s="2"/>
    </row>
    <row r="59" spans="2:10" ht="27.75">
      <c r="B59" s="2"/>
      <c r="C59" s="2"/>
      <c r="D59" s="2"/>
      <c r="E59" s="2"/>
      <c r="F59" s="2"/>
      <c r="G59" s="2"/>
      <c r="H59" s="2"/>
      <c r="I59" s="2"/>
      <c r="J59" s="2"/>
    </row>
    <row r="60" spans="2:10" ht="27.75">
      <c r="B60" s="2"/>
      <c r="C60" s="2"/>
      <c r="D60" s="2"/>
      <c r="E60" s="2"/>
      <c r="F60" s="2"/>
      <c r="G60" s="2"/>
      <c r="H60" s="2"/>
      <c r="I60" s="2"/>
      <c r="J60" s="2"/>
    </row>
    <row r="61" spans="2:10" ht="27.75">
      <c r="B61" s="2"/>
      <c r="C61" s="2"/>
      <c r="D61" s="2"/>
      <c r="E61" s="2"/>
      <c r="F61" s="2"/>
      <c r="G61" s="2"/>
      <c r="H61" s="2"/>
      <c r="I61" s="2"/>
      <c r="J61" s="2"/>
    </row>
    <row r="62" spans="2:10" ht="27.75">
      <c r="B62" s="2"/>
      <c r="C62" s="2"/>
      <c r="D62" s="2"/>
      <c r="E62" s="2"/>
      <c r="F62" s="2"/>
      <c r="G62" s="2"/>
      <c r="H62" s="2"/>
      <c r="I62" s="2"/>
      <c r="J62" s="2"/>
    </row>
    <row r="63" spans="2:10" ht="27.75">
      <c r="B63" s="2"/>
      <c r="C63" s="2"/>
      <c r="D63" s="2"/>
      <c r="E63" s="2"/>
      <c r="F63" s="2"/>
      <c r="G63" s="2"/>
      <c r="H63" s="2"/>
      <c r="I63" s="2"/>
      <c r="J63" s="2"/>
    </row>
  </sheetData>
  <sheetProtection/>
  <mergeCells count="3">
    <mergeCell ref="N39:U39"/>
    <mergeCell ref="N41:U41"/>
    <mergeCell ref="N43:U43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11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5.75390625" style="145" customWidth="1"/>
    <col min="2" max="2" width="74.375" style="145" customWidth="1"/>
    <col min="3" max="3" width="19.875" style="145" customWidth="1"/>
    <col min="4" max="16384" width="9.125" style="145" customWidth="1"/>
  </cols>
  <sheetData>
    <row r="1" spans="1:3" ht="15.75">
      <c r="A1" s="234" t="s">
        <v>499</v>
      </c>
      <c r="B1" s="234"/>
      <c r="C1" s="83"/>
    </row>
    <row r="2" s="146" customFormat="1" ht="15.75">
      <c r="C2" s="147"/>
    </row>
    <row r="4" spans="1:3" ht="15.75">
      <c r="A4" s="455"/>
      <c r="B4" s="455"/>
      <c r="C4" s="455"/>
    </row>
    <row r="5" spans="1:3" ht="15.75">
      <c r="A5" s="148"/>
      <c r="B5" s="148"/>
      <c r="C5" s="148"/>
    </row>
    <row r="6" spans="1:3" ht="15.75">
      <c r="A6" s="455" t="s">
        <v>3</v>
      </c>
      <c r="B6" s="455"/>
      <c r="C6" s="455"/>
    </row>
    <row r="7" spans="1:3" ht="15.75">
      <c r="A7" s="455" t="s">
        <v>324</v>
      </c>
      <c r="B7" s="455"/>
      <c r="C7" s="455"/>
    </row>
    <row r="8" spans="1:3" ht="15.75">
      <c r="A8" s="455" t="s">
        <v>162</v>
      </c>
      <c r="B8" s="455"/>
      <c r="C8" s="455"/>
    </row>
    <row r="9" ht="16.5" thickBot="1"/>
    <row r="10" spans="1:3" s="5" customFormat="1" ht="15.75">
      <c r="A10" s="149" t="s">
        <v>254</v>
      </c>
      <c r="B10" s="150"/>
      <c r="C10" s="151" t="s">
        <v>15</v>
      </c>
    </row>
    <row r="11" spans="1:3" s="5" customFormat="1" ht="15.75">
      <c r="A11" s="152"/>
      <c r="B11" s="153" t="s">
        <v>255</v>
      </c>
      <c r="C11" s="154" t="s">
        <v>10</v>
      </c>
    </row>
    <row r="12" spans="1:3" s="5" customFormat="1" ht="16.5" thickBot="1">
      <c r="A12" s="155" t="s">
        <v>46</v>
      </c>
      <c r="B12" s="203"/>
      <c r="C12" s="156" t="s">
        <v>256</v>
      </c>
    </row>
    <row r="13" spans="1:3" s="77" customFormat="1" ht="41.25" customHeight="1" thickBot="1">
      <c r="A13" s="163" t="s">
        <v>47</v>
      </c>
      <c r="B13" s="164" t="s">
        <v>321</v>
      </c>
      <c r="C13" s="165">
        <f>2107+185-155-1748-160-35+10000-140-250-480-191-20-20-18+15357-508</f>
        <v>23924</v>
      </c>
    </row>
    <row r="14" spans="1:3" s="5" customFormat="1" ht="42" customHeight="1" thickBot="1">
      <c r="A14" s="158"/>
      <c r="B14" s="159" t="s">
        <v>322</v>
      </c>
      <c r="C14" s="157">
        <f>C13</f>
        <v>23924</v>
      </c>
    </row>
    <row r="15" spans="1:3" s="77" customFormat="1" ht="41.25" customHeight="1" thickBot="1">
      <c r="A15" s="163" t="s">
        <v>47</v>
      </c>
      <c r="B15" s="164" t="s">
        <v>258</v>
      </c>
      <c r="C15" s="165">
        <v>8000</v>
      </c>
    </row>
    <row r="16" spans="1:3" s="5" customFormat="1" ht="42" customHeight="1" thickBot="1">
      <c r="A16" s="158"/>
      <c r="B16" s="159" t="s">
        <v>323</v>
      </c>
      <c r="C16" s="157">
        <f>SUM(C15)</f>
        <v>8000</v>
      </c>
    </row>
    <row r="17" spans="1:3" s="5" customFormat="1" ht="42" customHeight="1" thickBot="1">
      <c r="A17" s="155"/>
      <c r="B17" s="160" t="s">
        <v>257</v>
      </c>
      <c r="C17" s="161">
        <f>C14+C16</f>
        <v>31924</v>
      </c>
    </row>
    <row r="21" ht="15.75">
      <c r="A21" s="162"/>
    </row>
    <row r="22" ht="15.75">
      <c r="A22" s="162"/>
    </row>
    <row r="110" ht="15.75">
      <c r="A110" s="162"/>
    </row>
  </sheetData>
  <sheetProtection/>
  <mergeCells count="4">
    <mergeCell ref="A8:C8"/>
    <mergeCell ref="A4:C4"/>
    <mergeCell ref="A6:C6"/>
    <mergeCell ref="A7:C7"/>
  </mergeCells>
  <printOptions horizontalCentered="1"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85"/>
  <sheetViews>
    <sheetView zoomScalePageLayoutView="0" workbookViewId="0" topLeftCell="A1">
      <selection activeCell="E21" sqref="E21"/>
    </sheetView>
  </sheetViews>
  <sheetFormatPr defaultColWidth="9.00390625" defaultRowHeight="12.75"/>
  <cols>
    <col min="1" max="1" width="5.75390625" style="8" customWidth="1"/>
    <col min="2" max="2" width="74.00390625" style="8" customWidth="1"/>
    <col min="3" max="3" width="21.00390625" style="167" customWidth="1"/>
    <col min="4" max="4" width="9.125" style="8" customWidth="1"/>
    <col min="5" max="5" width="12.625" style="8" bestFit="1" customWidth="1"/>
    <col min="6" max="6" width="14.25390625" style="8" bestFit="1" customWidth="1"/>
    <col min="7" max="16384" width="9.125" style="8" customWidth="1"/>
  </cols>
  <sheetData>
    <row r="1" spans="1:3" ht="15.75">
      <c r="A1" s="234" t="s">
        <v>500</v>
      </c>
      <c r="B1" s="234"/>
      <c r="C1" s="83"/>
    </row>
    <row r="2" s="146" customFormat="1" ht="15.75">
      <c r="C2" s="166"/>
    </row>
    <row r="4" spans="1:3" ht="15.75">
      <c r="A4" s="456"/>
      <c r="B4" s="456"/>
      <c r="C4" s="456"/>
    </row>
    <row r="5" spans="1:3" ht="15.75">
      <c r="A5" s="455"/>
      <c r="B5" s="455"/>
      <c r="C5" s="455"/>
    </row>
    <row r="6" spans="1:3" s="5" customFormat="1" ht="12.75">
      <c r="A6" s="457"/>
      <c r="B6" s="457"/>
      <c r="C6" s="457"/>
    </row>
    <row r="7" spans="1:3" s="128" customFormat="1" ht="15.75">
      <c r="A7" s="148"/>
      <c r="B7" s="76"/>
      <c r="C7" s="76"/>
    </row>
    <row r="8" spans="1:3" s="128" customFormat="1" ht="15.75">
      <c r="A8" s="148"/>
      <c r="B8" s="76"/>
      <c r="C8" s="76"/>
    </row>
    <row r="9" spans="1:3" ht="15.75">
      <c r="A9" s="455" t="s">
        <v>3</v>
      </c>
      <c r="B9" s="455"/>
      <c r="C9" s="455"/>
    </row>
    <row r="10" spans="1:3" ht="15.75">
      <c r="A10" s="367" t="s">
        <v>325</v>
      </c>
      <c r="B10" s="367"/>
      <c r="C10" s="367"/>
    </row>
    <row r="11" spans="1:3" ht="15.75">
      <c r="A11" s="367" t="s">
        <v>260</v>
      </c>
      <c r="B11" s="367"/>
      <c r="C11" s="367"/>
    </row>
    <row r="12" spans="1:3" ht="15.75">
      <c r="A12" s="367" t="s">
        <v>162</v>
      </c>
      <c r="B12" s="367"/>
      <c r="C12" s="367"/>
    </row>
    <row r="13" ht="16.5" thickBot="1"/>
    <row r="14" spans="1:3" ht="15.75">
      <c r="A14" s="169" t="s">
        <v>45</v>
      </c>
      <c r="B14" s="151"/>
      <c r="C14" s="170" t="s">
        <v>15</v>
      </c>
    </row>
    <row r="15" spans="1:3" ht="15.75">
      <c r="A15" s="152"/>
      <c r="B15" s="154" t="s">
        <v>0</v>
      </c>
      <c r="C15" s="171"/>
    </row>
    <row r="16" spans="1:3" ht="34.5" customHeight="1" thickBot="1">
      <c r="A16" s="155" t="s">
        <v>46</v>
      </c>
      <c r="B16" s="172"/>
      <c r="C16" s="173" t="s">
        <v>10</v>
      </c>
    </row>
    <row r="17" spans="1:3" ht="20.25" customHeight="1">
      <c r="A17" s="462" t="s">
        <v>261</v>
      </c>
      <c r="B17" s="462"/>
      <c r="C17" s="462"/>
    </row>
    <row r="18" spans="1:3" ht="20.25" customHeight="1">
      <c r="A18" s="174" t="s">
        <v>47</v>
      </c>
      <c r="B18" s="175" t="s">
        <v>262</v>
      </c>
      <c r="C18" s="176"/>
    </row>
    <row r="19" spans="1:3" ht="20.25" customHeight="1">
      <c r="A19" s="174"/>
      <c r="B19" s="22" t="s">
        <v>263</v>
      </c>
      <c r="C19" s="176">
        <f>25766+186-19+151</f>
        <v>26084</v>
      </c>
    </row>
    <row r="20" spans="1:5" ht="20.25" customHeight="1">
      <c r="A20" s="174"/>
      <c r="B20" s="89" t="s">
        <v>264</v>
      </c>
      <c r="C20" s="176">
        <f>46+633+714</f>
        <v>1393</v>
      </c>
      <c r="D20" s="86"/>
      <c r="E20" s="86"/>
    </row>
    <row r="21" spans="1:3" ht="20.25" customHeight="1">
      <c r="A21" s="174" t="s">
        <v>24</v>
      </c>
      <c r="B21" s="175" t="s">
        <v>265</v>
      </c>
      <c r="C21" s="176">
        <v>7813</v>
      </c>
    </row>
    <row r="22" spans="1:3" ht="20.25" customHeight="1">
      <c r="A22" s="174" t="s">
        <v>48</v>
      </c>
      <c r="B22" s="175" t="s">
        <v>266</v>
      </c>
      <c r="C22" s="176">
        <f>9237+756+735+1130</f>
        <v>11858</v>
      </c>
    </row>
    <row r="23" spans="1:3" ht="20.25" customHeight="1">
      <c r="A23" s="174" t="s">
        <v>106</v>
      </c>
      <c r="B23" s="177" t="s">
        <v>267</v>
      </c>
      <c r="C23" s="176"/>
    </row>
    <row r="24" spans="1:5" ht="36" customHeight="1">
      <c r="A24" s="174"/>
      <c r="B24" s="89" t="s">
        <v>268</v>
      </c>
      <c r="C24" s="176"/>
      <c r="D24" s="89"/>
      <c r="E24" s="89"/>
    </row>
    <row r="25" spans="1:3" ht="20.25" customHeight="1">
      <c r="A25" s="174"/>
      <c r="B25" s="22" t="s">
        <v>269</v>
      </c>
      <c r="C25" s="176"/>
    </row>
    <row r="26" spans="1:3" ht="36" customHeight="1">
      <c r="A26" s="178"/>
      <c r="B26" s="179" t="s">
        <v>270</v>
      </c>
      <c r="C26" s="180">
        <f>SUM(C19:C25)</f>
        <v>47148</v>
      </c>
    </row>
    <row r="27" spans="1:3" ht="21" customHeight="1">
      <c r="A27" s="168" t="s">
        <v>108</v>
      </c>
      <c r="B27" s="175" t="s">
        <v>271</v>
      </c>
      <c r="C27" s="26">
        <f>12767+151+104+1376+558+119+629-12</f>
        <v>15692</v>
      </c>
    </row>
    <row r="28" spans="1:3" ht="21" customHeight="1">
      <c r="A28" s="168" t="s">
        <v>114</v>
      </c>
      <c r="B28" s="175" t="s">
        <v>272</v>
      </c>
      <c r="C28" s="26">
        <f>3561+35+51+372+75+32+85+12</f>
        <v>4223</v>
      </c>
    </row>
    <row r="29" spans="1:3" ht="21" customHeight="1">
      <c r="A29" s="168" t="s">
        <v>273</v>
      </c>
      <c r="B29" s="181" t="s">
        <v>274</v>
      </c>
      <c r="C29" s="26">
        <f>22876+29+8+42+191+119+191+140+480-3293+1130+20</f>
        <v>21933</v>
      </c>
    </row>
    <row r="30" spans="1:3" ht="21" customHeight="1">
      <c r="A30" s="168" t="s">
        <v>275</v>
      </c>
      <c r="B30" s="181" t="s">
        <v>276</v>
      </c>
      <c r="C30" s="26">
        <f>2633+160</f>
        <v>2793</v>
      </c>
    </row>
    <row r="31" spans="1:3" ht="21" customHeight="1">
      <c r="A31" s="168" t="s">
        <v>277</v>
      </c>
      <c r="B31" s="181" t="s">
        <v>278</v>
      </c>
      <c r="C31" s="26"/>
    </row>
    <row r="32" spans="1:3" ht="15.75">
      <c r="A32" s="168"/>
      <c r="B32" s="182" t="s">
        <v>279</v>
      </c>
      <c r="C32" s="26">
        <f>112+135+18</f>
        <v>265</v>
      </c>
    </row>
    <row r="33" spans="1:3" ht="32.25" customHeight="1">
      <c r="A33" s="168"/>
      <c r="B33" s="89" t="s">
        <v>280</v>
      </c>
      <c r="C33" s="183"/>
    </row>
    <row r="34" spans="1:3" ht="15.75">
      <c r="A34" s="168"/>
      <c r="B34" s="182" t="s">
        <v>281</v>
      </c>
      <c r="C34" s="183">
        <f>925+35</f>
        <v>960</v>
      </c>
    </row>
    <row r="35" spans="1:5" ht="15.75">
      <c r="A35" s="168"/>
      <c r="B35" s="182" t="s">
        <v>282</v>
      </c>
      <c r="C35" s="167">
        <f>10107+185-155-1748-160-35+10000-140-250-480-191-20-18-20+15357-508</f>
        <v>31924</v>
      </c>
      <c r="E35" s="91"/>
    </row>
    <row r="36" spans="1:6" ht="33.75" customHeight="1">
      <c r="A36" s="178"/>
      <c r="B36" s="179" t="s">
        <v>283</v>
      </c>
      <c r="C36" s="180">
        <f>SUM(C27:C35)</f>
        <v>77790</v>
      </c>
      <c r="E36" s="91"/>
      <c r="F36" s="91"/>
    </row>
    <row r="37" spans="1:3" ht="16.5" thickBot="1">
      <c r="A37" s="345">
        <v>2</v>
      </c>
      <c r="B37" s="345"/>
      <c r="C37" s="345"/>
    </row>
    <row r="38" spans="1:3" ht="15.75">
      <c r="A38" s="169" t="s">
        <v>45</v>
      </c>
      <c r="B38" s="151"/>
      <c r="C38" s="170" t="s">
        <v>15</v>
      </c>
    </row>
    <row r="39" spans="1:3" ht="15.75">
      <c r="A39" s="152"/>
      <c r="B39" s="154" t="s">
        <v>0</v>
      </c>
      <c r="C39" s="171"/>
    </row>
    <row r="40" spans="1:3" ht="31.5" customHeight="1" thickBot="1">
      <c r="A40" s="155" t="s">
        <v>46</v>
      </c>
      <c r="B40" s="172"/>
      <c r="C40" s="173" t="s">
        <v>10</v>
      </c>
    </row>
    <row r="41" spans="1:3" ht="21" customHeight="1">
      <c r="A41" s="464" t="s">
        <v>284</v>
      </c>
      <c r="B41" s="464"/>
      <c r="C41" s="464"/>
    </row>
    <row r="42" spans="1:3" ht="21" customHeight="1">
      <c r="A42" s="168" t="s">
        <v>285</v>
      </c>
      <c r="B42" s="67" t="s">
        <v>286</v>
      </c>
      <c r="C42" s="167">
        <f>9743+185+21562+10000</f>
        <v>41490</v>
      </c>
    </row>
    <row r="43" spans="1:2" ht="21" customHeight="1">
      <c r="A43" s="168" t="s">
        <v>287</v>
      </c>
      <c r="B43" s="67" t="s">
        <v>288</v>
      </c>
    </row>
    <row r="44" spans="1:2" ht="21" customHeight="1">
      <c r="A44" s="168" t="s">
        <v>289</v>
      </c>
      <c r="B44" s="177" t="s">
        <v>290</v>
      </c>
    </row>
    <row r="45" spans="1:3" ht="31.5" customHeight="1">
      <c r="A45" s="168"/>
      <c r="B45" s="120" t="s">
        <v>291</v>
      </c>
      <c r="C45" s="167">
        <f>26215+92-12586-756+10000</f>
        <v>22965</v>
      </c>
    </row>
    <row r="46" spans="1:2" ht="21" customHeight="1">
      <c r="A46" s="168"/>
      <c r="B46" s="51" t="s">
        <v>292</v>
      </c>
    </row>
    <row r="47" spans="1:5" ht="39.75" customHeight="1">
      <c r="A47" s="178"/>
      <c r="B47" s="179" t="s">
        <v>293</v>
      </c>
      <c r="C47" s="180">
        <f>SUM(C42:C46)</f>
        <v>64455</v>
      </c>
      <c r="E47" s="91"/>
    </row>
    <row r="48" spans="1:3" ht="21" customHeight="1">
      <c r="A48" s="168" t="s">
        <v>294</v>
      </c>
      <c r="B48" s="67" t="s">
        <v>295</v>
      </c>
      <c r="C48" s="167">
        <f>231+148+250+191+20+4028+76</f>
        <v>4944</v>
      </c>
    </row>
    <row r="49" spans="1:3" ht="21" customHeight="1">
      <c r="A49" s="168" t="s">
        <v>296</v>
      </c>
      <c r="B49" s="67" t="s">
        <v>297</v>
      </c>
      <c r="C49" s="167">
        <f>22697+10000+508</f>
        <v>33205</v>
      </c>
    </row>
    <row r="50" spans="1:2" ht="21" customHeight="1">
      <c r="A50" s="168" t="s">
        <v>298</v>
      </c>
      <c r="B50" s="177" t="s">
        <v>299</v>
      </c>
    </row>
    <row r="51" spans="1:3" ht="33" customHeight="1">
      <c r="A51" s="168"/>
      <c r="B51" s="120" t="s">
        <v>300</v>
      </c>
      <c r="C51" s="167">
        <f>26215+10000</f>
        <v>36215</v>
      </c>
    </row>
    <row r="52" spans="1:3" ht="21" customHeight="1">
      <c r="A52" s="168"/>
      <c r="B52" s="182" t="s">
        <v>301</v>
      </c>
      <c r="C52" s="167">
        <v>600</v>
      </c>
    </row>
    <row r="53" spans="1:2" ht="21" customHeight="1">
      <c r="A53" s="168"/>
      <c r="B53" s="182" t="s">
        <v>282</v>
      </c>
    </row>
    <row r="54" spans="1:6" s="9" customFormat="1" ht="42" customHeight="1" thickBot="1">
      <c r="A54" s="178"/>
      <c r="B54" s="179" t="s">
        <v>302</v>
      </c>
      <c r="C54" s="180">
        <f>SUM(C48:C53)</f>
        <v>74964</v>
      </c>
      <c r="F54" s="184"/>
    </row>
    <row r="55" spans="1:3" s="9" customFormat="1" ht="35.25" customHeight="1" thickBot="1">
      <c r="A55" s="185"/>
      <c r="B55" s="186" t="s">
        <v>303</v>
      </c>
      <c r="C55" s="187">
        <f>C26+C47</f>
        <v>111603</v>
      </c>
    </row>
    <row r="56" spans="1:6" s="9" customFormat="1" ht="35.25" customHeight="1" thickBot="1">
      <c r="A56" s="185"/>
      <c r="B56" s="186" t="s">
        <v>304</v>
      </c>
      <c r="C56" s="187">
        <f>C36+C54</f>
        <v>152754</v>
      </c>
      <c r="F56" s="184"/>
    </row>
    <row r="57" spans="1:3" s="9" customFormat="1" ht="15.75">
      <c r="A57" s="188"/>
      <c r="B57" s="189"/>
      <c r="C57" s="190"/>
    </row>
    <row r="62" spans="1:3" s="191" customFormat="1" ht="15.75">
      <c r="A62" s="189"/>
      <c r="B62" s="200"/>
      <c r="C62" s="201"/>
    </row>
    <row r="63" spans="1:3" s="191" customFormat="1" ht="15.75">
      <c r="A63" s="189"/>
      <c r="B63" s="200"/>
      <c r="C63" s="201"/>
    </row>
    <row r="64" spans="1:3" s="191" customFormat="1" ht="15.75">
      <c r="A64" s="189"/>
      <c r="B64" s="200"/>
      <c r="C64" s="201"/>
    </row>
    <row r="65" spans="1:3" s="191" customFormat="1" ht="15.75">
      <c r="A65" s="189"/>
      <c r="B65" s="200"/>
      <c r="C65" s="201"/>
    </row>
    <row r="66" spans="1:3" s="191" customFormat="1" ht="15.75">
      <c r="A66" s="189"/>
      <c r="B66" s="200"/>
      <c r="C66" s="201"/>
    </row>
    <row r="67" spans="1:3" s="191" customFormat="1" ht="15.75">
      <c r="A67" s="189"/>
      <c r="B67" s="200"/>
      <c r="C67" s="201"/>
    </row>
    <row r="68" spans="1:3" s="191" customFormat="1" ht="15.75">
      <c r="A68" s="189"/>
      <c r="B68" s="200"/>
      <c r="C68" s="201"/>
    </row>
    <row r="69" spans="1:3" s="191" customFormat="1" ht="15.75">
      <c r="A69" s="189"/>
      <c r="B69" s="200"/>
      <c r="C69" s="201"/>
    </row>
    <row r="70" spans="1:3" s="191" customFormat="1" ht="16.5" thickBot="1">
      <c r="A70" s="463">
        <v>3</v>
      </c>
      <c r="B70" s="463"/>
      <c r="C70" s="463"/>
    </row>
    <row r="71" spans="1:3" s="191" customFormat="1" ht="19.5" customHeight="1">
      <c r="A71" s="169" t="s">
        <v>45</v>
      </c>
      <c r="B71" s="458" t="s">
        <v>0</v>
      </c>
      <c r="C71" s="170" t="s">
        <v>15</v>
      </c>
    </row>
    <row r="72" spans="1:3" s="191" customFormat="1" ht="15.75">
      <c r="A72" s="152"/>
      <c r="B72" s="459"/>
      <c r="C72" s="171"/>
    </row>
    <row r="73" spans="1:3" s="191" customFormat="1" ht="16.5" thickBot="1">
      <c r="A73" s="155" t="s">
        <v>46</v>
      </c>
      <c r="B73" s="460"/>
      <c r="C73" s="173" t="s">
        <v>10</v>
      </c>
    </row>
    <row r="74" spans="1:3" s="191" customFormat="1" ht="15.75">
      <c r="A74" s="189"/>
      <c r="B74" s="200"/>
      <c r="C74" s="201"/>
    </row>
    <row r="75" spans="1:3" ht="20.25" customHeight="1">
      <c r="A75" s="461" t="s">
        <v>305</v>
      </c>
      <c r="B75" s="461"/>
      <c r="C75" s="461"/>
    </row>
    <row r="76" spans="1:3" ht="20.25" customHeight="1">
      <c r="A76" s="192"/>
      <c r="B76" s="192"/>
      <c r="C76" s="192"/>
    </row>
    <row r="77" spans="1:3" ht="20.25" customHeight="1">
      <c r="A77" s="178" t="s">
        <v>306</v>
      </c>
      <c r="B77" s="193" t="s">
        <v>307</v>
      </c>
      <c r="C77" s="180">
        <f>1115+1348+148+119+191+19+1135+10000+76+15357</f>
        <v>29508</v>
      </c>
    </row>
    <row r="78" spans="1:3" ht="20.25" customHeight="1">
      <c r="A78" s="178" t="s">
        <v>309</v>
      </c>
      <c r="B78" s="193" t="s">
        <v>426</v>
      </c>
      <c r="C78" s="180">
        <v>12586</v>
      </c>
    </row>
    <row r="79" spans="1:3" ht="21" customHeight="1">
      <c r="A79" s="178"/>
      <c r="B79" s="179" t="s">
        <v>308</v>
      </c>
      <c r="C79" s="194">
        <f>SUM(C77:C78)</f>
        <v>42094</v>
      </c>
    </row>
    <row r="80" spans="1:3" ht="15.75">
      <c r="A80" s="174" t="s">
        <v>311</v>
      </c>
      <c r="B80" s="193" t="s">
        <v>310</v>
      </c>
      <c r="C80" s="180"/>
    </row>
    <row r="81" spans="1:3" ht="15.75">
      <c r="A81" s="174" t="s">
        <v>392</v>
      </c>
      <c r="B81" s="193" t="s">
        <v>312</v>
      </c>
      <c r="C81" s="180"/>
    </row>
    <row r="82" spans="1:3" ht="15.75">
      <c r="A82" s="174" t="s">
        <v>394</v>
      </c>
      <c r="B82" s="193" t="s">
        <v>419</v>
      </c>
      <c r="C82" s="180">
        <v>943</v>
      </c>
    </row>
    <row r="83" spans="1:3" s="195" customFormat="1" ht="30" customHeight="1" thickBot="1">
      <c r="A83" s="178"/>
      <c r="B83" s="179" t="s">
        <v>313</v>
      </c>
      <c r="C83" s="194">
        <f>SUM(C80:C82)</f>
        <v>943</v>
      </c>
    </row>
    <row r="84" spans="1:5" s="195" customFormat="1" ht="30" customHeight="1" thickBot="1">
      <c r="A84" s="196"/>
      <c r="B84" s="197" t="s">
        <v>314</v>
      </c>
      <c r="C84" s="198">
        <f>C55+C79</f>
        <v>153697</v>
      </c>
      <c r="E84" s="199"/>
    </row>
    <row r="85" spans="1:5" ht="35.25" customHeight="1" thickBot="1">
      <c r="A85" s="196"/>
      <c r="B85" s="197" t="s">
        <v>315</v>
      </c>
      <c r="C85" s="198">
        <f>C56+C83</f>
        <v>153697</v>
      </c>
      <c r="E85" s="199"/>
    </row>
  </sheetData>
  <sheetProtection/>
  <mergeCells count="13">
    <mergeCell ref="B71:B73"/>
    <mergeCell ref="A75:C75"/>
    <mergeCell ref="A10:C10"/>
    <mergeCell ref="A11:C11"/>
    <mergeCell ref="A12:C12"/>
    <mergeCell ref="A17:C17"/>
    <mergeCell ref="A70:C70"/>
    <mergeCell ref="A37:C37"/>
    <mergeCell ref="A41:C41"/>
    <mergeCell ref="A4:C4"/>
    <mergeCell ref="A5:C5"/>
    <mergeCell ref="A6:C6"/>
    <mergeCell ref="A9:C9"/>
  </mergeCells>
  <printOptions horizontalCentered="1"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57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5.125" style="51" customWidth="1"/>
    <col min="2" max="2" width="43.625" style="51" customWidth="1"/>
    <col min="3" max="15" width="15.375" style="26" customWidth="1"/>
    <col min="16" max="16" width="12.625" style="51" bestFit="1" customWidth="1"/>
    <col min="17" max="16384" width="9.125" style="51" customWidth="1"/>
  </cols>
  <sheetData>
    <row r="2" spans="1:15" s="92" customFormat="1" ht="15.75">
      <c r="A2" s="92" t="s">
        <v>501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</row>
    <row r="4" spans="2:15" ht="15.75">
      <c r="B4" s="353"/>
      <c r="C4" s="353"/>
      <c r="D4" s="353"/>
      <c r="E4" s="353"/>
      <c r="F4" s="353"/>
      <c r="G4" s="353"/>
      <c r="H4" s="353"/>
      <c r="I4" s="353"/>
      <c r="J4" s="353"/>
      <c r="K4" s="353"/>
      <c r="L4" s="353"/>
      <c r="M4" s="353"/>
      <c r="N4" s="353"/>
      <c r="O4" s="353"/>
    </row>
    <row r="5" spans="2:15" ht="15.75">
      <c r="B5" s="353"/>
      <c r="C5" s="353"/>
      <c r="D5" s="353"/>
      <c r="E5" s="353"/>
      <c r="F5" s="353"/>
      <c r="G5" s="353"/>
      <c r="H5" s="353"/>
      <c r="I5" s="353"/>
      <c r="J5" s="353"/>
      <c r="K5" s="353"/>
      <c r="L5" s="353"/>
      <c r="M5" s="353"/>
      <c r="N5" s="353"/>
      <c r="O5" s="353"/>
    </row>
    <row r="6" spans="2:15" ht="15.75">
      <c r="B6" s="353" t="s">
        <v>44</v>
      </c>
      <c r="C6" s="353"/>
      <c r="D6" s="353"/>
      <c r="E6" s="353"/>
      <c r="F6" s="353"/>
      <c r="G6" s="353"/>
      <c r="H6" s="353"/>
      <c r="I6" s="353"/>
      <c r="J6" s="353"/>
      <c r="K6" s="353"/>
      <c r="L6" s="353"/>
      <c r="M6" s="353"/>
      <c r="N6" s="353"/>
      <c r="O6" s="353"/>
    </row>
    <row r="7" spans="2:15" ht="15.75">
      <c r="B7" s="353" t="s">
        <v>356</v>
      </c>
      <c r="C7" s="353"/>
      <c r="D7" s="353"/>
      <c r="E7" s="353"/>
      <c r="F7" s="353"/>
      <c r="G7" s="353"/>
      <c r="H7" s="353"/>
      <c r="I7" s="353"/>
      <c r="J7" s="353"/>
      <c r="K7" s="353"/>
      <c r="L7" s="353"/>
      <c r="M7" s="353"/>
      <c r="N7" s="353"/>
      <c r="O7" s="353"/>
    </row>
    <row r="8" spans="2:15" ht="15.75">
      <c r="B8" s="353" t="s">
        <v>162</v>
      </c>
      <c r="C8" s="353"/>
      <c r="D8" s="353"/>
      <c r="E8" s="353"/>
      <c r="F8" s="353"/>
      <c r="G8" s="353"/>
      <c r="H8" s="353"/>
      <c r="I8" s="353"/>
      <c r="J8" s="353"/>
      <c r="K8" s="353"/>
      <c r="L8" s="353"/>
      <c r="M8" s="353"/>
      <c r="N8" s="353"/>
      <c r="O8" s="353"/>
    </row>
    <row r="9" spans="3:15" ht="16.5" thickBot="1">
      <c r="C9" s="27"/>
      <c r="D9" s="27"/>
      <c r="E9" s="27"/>
      <c r="F9" s="265"/>
      <c r="G9" s="27"/>
      <c r="H9" s="27"/>
      <c r="I9" s="27"/>
      <c r="J9" s="27"/>
      <c r="O9" s="266" t="s">
        <v>7</v>
      </c>
    </row>
    <row r="10" spans="1:15" ht="15.75">
      <c r="A10" s="267" t="s">
        <v>45</v>
      </c>
      <c r="B10" s="268"/>
      <c r="C10" s="269"/>
      <c r="D10" s="270"/>
      <c r="E10" s="271"/>
      <c r="F10" s="272"/>
      <c r="G10" s="272"/>
      <c r="H10" s="272"/>
      <c r="I10" s="272"/>
      <c r="J10" s="272"/>
      <c r="K10" s="273"/>
      <c r="L10" s="273"/>
      <c r="M10" s="273"/>
      <c r="N10" s="274"/>
      <c r="O10" s="275"/>
    </row>
    <row r="11" spans="1:15" ht="15.75">
      <c r="A11" s="276"/>
      <c r="B11" s="277" t="s">
        <v>0</v>
      </c>
      <c r="C11" s="99" t="s">
        <v>357</v>
      </c>
      <c r="D11" s="278" t="s">
        <v>358</v>
      </c>
      <c r="E11" s="279" t="s">
        <v>359</v>
      </c>
      <c r="F11" s="280" t="s">
        <v>360</v>
      </c>
      <c r="G11" s="280" t="s">
        <v>361</v>
      </c>
      <c r="H11" s="280" t="s">
        <v>362</v>
      </c>
      <c r="I11" s="280" t="s">
        <v>363</v>
      </c>
      <c r="J11" s="280" t="s">
        <v>364</v>
      </c>
      <c r="K11" s="280" t="s">
        <v>365</v>
      </c>
      <c r="L11" s="280" t="s">
        <v>366</v>
      </c>
      <c r="M11" s="280" t="s">
        <v>367</v>
      </c>
      <c r="N11" s="279" t="s">
        <v>368</v>
      </c>
      <c r="O11" s="171" t="s">
        <v>345</v>
      </c>
    </row>
    <row r="12" spans="1:15" ht="16.5" thickBot="1">
      <c r="A12" s="281" t="s">
        <v>46</v>
      </c>
      <c r="B12" s="282"/>
      <c r="C12" s="283"/>
      <c r="D12" s="284"/>
      <c r="E12" s="285"/>
      <c r="F12" s="286"/>
      <c r="G12" s="286"/>
      <c r="H12" s="286"/>
      <c r="I12" s="286"/>
      <c r="J12" s="286"/>
      <c r="K12" s="286"/>
      <c r="L12" s="286"/>
      <c r="M12" s="286"/>
      <c r="N12" s="285"/>
      <c r="O12" s="283"/>
    </row>
    <row r="13" spans="1:15" ht="28.5" customHeight="1">
      <c r="A13" s="287"/>
      <c r="B13" s="288" t="s">
        <v>369</v>
      </c>
      <c r="C13" s="289"/>
      <c r="D13" s="289"/>
      <c r="E13" s="289"/>
      <c r="F13" s="289"/>
      <c r="G13" s="289"/>
      <c r="H13" s="289"/>
      <c r="I13" s="289"/>
      <c r="J13" s="289"/>
      <c r="K13" s="289"/>
      <c r="L13" s="289"/>
      <c r="M13" s="289"/>
      <c r="N13" s="289"/>
      <c r="O13" s="290"/>
    </row>
    <row r="14" spans="1:15" ht="28.5" customHeight="1">
      <c r="A14" s="287" t="s">
        <v>47</v>
      </c>
      <c r="B14" s="288" t="s">
        <v>370</v>
      </c>
      <c r="C14" s="289"/>
      <c r="D14" s="289"/>
      <c r="E14" s="289"/>
      <c r="F14" s="289"/>
      <c r="G14" s="289"/>
      <c r="H14" s="289"/>
      <c r="I14" s="289"/>
      <c r="J14" s="289"/>
      <c r="K14" s="289"/>
      <c r="L14" s="289"/>
      <c r="M14" s="289"/>
      <c r="N14" s="289"/>
      <c r="O14" s="290"/>
    </row>
    <row r="15" spans="1:15" ht="28.5" customHeight="1">
      <c r="A15" s="287"/>
      <c r="B15" s="288" t="s">
        <v>371</v>
      </c>
      <c r="C15" s="289">
        <f>3053+109+24</f>
        <v>3186</v>
      </c>
      <c r="D15" s="289">
        <f>2035+109+40</f>
        <v>2184</v>
      </c>
      <c r="E15" s="289">
        <f>2144+41</f>
        <v>2185</v>
      </c>
      <c r="F15" s="289">
        <f>2035+41</f>
        <v>2076</v>
      </c>
      <c r="G15" s="289">
        <f>2035+40</f>
        <v>2075</v>
      </c>
      <c r="H15" s="289">
        <v>2035</v>
      </c>
      <c r="I15" s="289">
        <v>2035</v>
      </c>
      <c r="J15" s="289">
        <v>2035</v>
      </c>
      <c r="K15" s="289">
        <v>2035</v>
      </c>
      <c r="L15" s="289">
        <f>2035-19+151+714</f>
        <v>2881</v>
      </c>
      <c r="M15" s="289">
        <v>2035</v>
      </c>
      <c r="N15" s="289">
        <v>2036</v>
      </c>
      <c r="O15" s="290">
        <f>SUM(C15:N15)</f>
        <v>26798</v>
      </c>
    </row>
    <row r="16" spans="1:15" ht="28.5" customHeight="1">
      <c r="A16" s="287"/>
      <c r="B16" s="288" t="s">
        <v>372</v>
      </c>
      <c r="C16" s="289">
        <f>155+21</f>
        <v>176</v>
      </c>
      <c r="D16" s="289">
        <f>158+21</f>
        <v>179</v>
      </c>
      <c r="E16" s="289">
        <f>159+21</f>
        <v>180</v>
      </c>
      <c r="F16" s="289">
        <f>86+12</f>
        <v>98</v>
      </c>
      <c r="G16" s="289"/>
      <c r="H16" s="289"/>
      <c r="I16" s="289"/>
      <c r="J16" s="289">
        <v>23</v>
      </c>
      <c r="K16" s="289"/>
      <c r="L16" s="289"/>
      <c r="M16" s="289">
        <v>23</v>
      </c>
      <c r="N16" s="289"/>
      <c r="O16" s="290">
        <f>SUM(C16:N16)</f>
        <v>679</v>
      </c>
    </row>
    <row r="17" spans="1:15" ht="28.5" customHeight="1">
      <c r="A17" s="287" t="s">
        <v>24</v>
      </c>
      <c r="B17" s="288" t="s">
        <v>373</v>
      </c>
      <c r="C17" s="289">
        <f>9743+185</f>
        <v>9928</v>
      </c>
      <c r="D17" s="289"/>
      <c r="E17" s="289"/>
      <c r="F17" s="289"/>
      <c r="G17" s="289"/>
      <c r="H17" s="289"/>
      <c r="I17" s="289"/>
      <c r="J17" s="289"/>
      <c r="K17" s="289"/>
      <c r="L17" s="289">
        <v>21562</v>
      </c>
      <c r="M17" s="289">
        <v>10000</v>
      </c>
      <c r="N17" s="289"/>
      <c r="O17" s="290">
        <f aca="true" t="shared" si="0" ref="O17:O28">SUM(C17:N17)</f>
        <v>41490</v>
      </c>
    </row>
    <row r="18" spans="1:15" ht="15.75">
      <c r="A18" s="287" t="s">
        <v>48</v>
      </c>
      <c r="B18" s="288" t="s">
        <v>374</v>
      </c>
      <c r="C18" s="289">
        <f>12+44+32+31</f>
        <v>119</v>
      </c>
      <c r="D18" s="289">
        <f>19+12+118+253+31</f>
        <v>433</v>
      </c>
      <c r="E18" s="289">
        <f>1127+11+620+382+31</f>
        <v>2171</v>
      </c>
      <c r="F18" s="289">
        <f>9+12+76+34+31+200</f>
        <v>362</v>
      </c>
      <c r="G18" s="289">
        <f>408+12+48+35+31-200</f>
        <v>334</v>
      </c>
      <c r="H18" s="289">
        <f>46+12+20+19+31</f>
        <v>128</v>
      </c>
      <c r="I18" s="289">
        <f>12+2+2+31</f>
        <v>47</v>
      </c>
      <c r="J18" s="289">
        <f>12+237+346+31</f>
        <v>626</v>
      </c>
      <c r="K18" s="289">
        <f>1188+11+601+335+31</f>
        <v>2166</v>
      </c>
      <c r="L18" s="289">
        <f>10+12+27+35+31</f>
        <v>115</v>
      </c>
      <c r="M18" s="289">
        <f>852+11+76+12+31</f>
        <v>982</v>
      </c>
      <c r="N18" s="289">
        <f>241+11+34+15+29</f>
        <v>330</v>
      </c>
      <c r="O18" s="290">
        <f t="shared" si="0"/>
        <v>7813</v>
      </c>
    </row>
    <row r="19" spans="1:17" ht="15.75">
      <c r="A19" s="287" t="s">
        <v>106</v>
      </c>
      <c r="B19" s="288" t="s">
        <v>375</v>
      </c>
      <c r="C19" s="289">
        <f>791+756</f>
        <v>1547</v>
      </c>
      <c r="D19" s="289">
        <v>737</v>
      </c>
      <c r="E19" s="289">
        <v>818</v>
      </c>
      <c r="F19" s="289">
        <f>846+50</f>
        <v>896</v>
      </c>
      <c r="G19" s="289">
        <v>750</v>
      </c>
      <c r="H19" s="289">
        <v>664</v>
      </c>
      <c r="I19" s="289">
        <v>618</v>
      </c>
      <c r="J19" s="289">
        <v>564</v>
      </c>
      <c r="K19" s="289">
        <v>864</v>
      </c>
      <c r="L19" s="289">
        <f>773+120+1130</f>
        <v>2023</v>
      </c>
      <c r="M19" s="289">
        <f>773+735</f>
        <v>1508</v>
      </c>
      <c r="N19" s="289">
        <f>845+24</f>
        <v>869</v>
      </c>
      <c r="O19" s="290">
        <f t="shared" si="0"/>
        <v>11858</v>
      </c>
      <c r="Q19" s="312"/>
    </row>
    <row r="20" spans="1:15" ht="15.75">
      <c r="A20" s="287" t="s">
        <v>108</v>
      </c>
      <c r="B20" s="291" t="s">
        <v>376</v>
      </c>
      <c r="C20" s="292"/>
      <c r="D20" s="292"/>
      <c r="E20" s="292"/>
      <c r="F20" s="292"/>
      <c r="G20" s="292"/>
      <c r="H20" s="292"/>
      <c r="I20" s="292"/>
      <c r="J20" s="292"/>
      <c r="K20" s="292"/>
      <c r="L20" s="292"/>
      <c r="M20" s="292"/>
      <c r="N20" s="292"/>
      <c r="O20" s="290">
        <f t="shared" si="0"/>
        <v>0</v>
      </c>
    </row>
    <row r="21" spans="1:15" ht="15.75">
      <c r="A21" s="287" t="s">
        <v>114</v>
      </c>
      <c r="B21" s="291" t="s">
        <v>267</v>
      </c>
      <c r="C21" s="293"/>
      <c r="D21" s="293"/>
      <c r="E21" s="293"/>
      <c r="F21" s="293"/>
      <c r="G21" s="293"/>
      <c r="H21" s="293"/>
      <c r="I21" s="293"/>
      <c r="J21" s="293"/>
      <c r="K21" s="293"/>
      <c r="L21" s="293"/>
      <c r="M21" s="293"/>
      <c r="N21" s="294"/>
      <c r="O21" s="290">
        <f t="shared" si="0"/>
        <v>0</v>
      </c>
    </row>
    <row r="22" spans="1:15" ht="31.5">
      <c r="A22" s="287"/>
      <c r="B22" s="288" t="s">
        <v>377</v>
      </c>
      <c r="C22" s="295"/>
      <c r="D22" s="295"/>
      <c r="E22" s="295"/>
      <c r="F22" s="295"/>
      <c r="G22" s="295"/>
      <c r="H22" s="295"/>
      <c r="I22" s="295"/>
      <c r="J22" s="295"/>
      <c r="K22" s="295"/>
      <c r="L22" s="295"/>
      <c r="M22" s="295"/>
      <c r="N22" s="296"/>
      <c r="O22" s="290">
        <f t="shared" si="0"/>
        <v>0</v>
      </c>
    </row>
    <row r="23" spans="1:15" ht="17.25" customHeight="1">
      <c r="A23" s="287"/>
      <c r="B23" s="288" t="s">
        <v>378</v>
      </c>
      <c r="C23" s="295"/>
      <c r="D23" s="295"/>
      <c r="E23" s="295"/>
      <c r="F23" s="295"/>
      <c r="G23" s="295"/>
      <c r="H23" s="295"/>
      <c r="I23" s="295"/>
      <c r="J23" s="295"/>
      <c r="K23" s="295"/>
      <c r="L23" s="295"/>
      <c r="M23" s="295"/>
      <c r="N23" s="296"/>
      <c r="O23" s="290">
        <f t="shared" si="0"/>
        <v>0</v>
      </c>
    </row>
    <row r="24" spans="1:15" ht="15.75">
      <c r="A24" s="287" t="s">
        <v>273</v>
      </c>
      <c r="B24" s="291" t="s">
        <v>379</v>
      </c>
      <c r="C24" s="295"/>
      <c r="D24" s="295"/>
      <c r="E24" s="295"/>
      <c r="F24" s="295"/>
      <c r="G24" s="295"/>
      <c r="H24" s="295"/>
      <c r="I24" s="295"/>
      <c r="J24" s="295"/>
      <c r="K24" s="295"/>
      <c r="L24" s="295"/>
      <c r="M24" s="295"/>
      <c r="N24" s="296"/>
      <c r="O24" s="290">
        <f t="shared" si="0"/>
        <v>0</v>
      </c>
    </row>
    <row r="25" spans="1:15" ht="47.25">
      <c r="A25" s="287"/>
      <c r="B25" s="310" t="s">
        <v>380</v>
      </c>
      <c r="C25" s="295">
        <v>8</v>
      </c>
      <c r="D25" s="295">
        <v>8</v>
      </c>
      <c r="E25" s="295">
        <f>10007-6671</f>
        <v>3336</v>
      </c>
      <c r="F25" s="295">
        <v>8</v>
      </c>
      <c r="G25" s="295">
        <v>8</v>
      </c>
      <c r="H25" s="295">
        <f>10007-6671</f>
        <v>3336</v>
      </c>
      <c r="I25" s="295">
        <v>8</v>
      </c>
      <c r="J25" s="295">
        <f>6215+8</f>
        <v>6223</v>
      </c>
      <c r="K25" s="295">
        <v>7</v>
      </c>
      <c r="L25" s="295">
        <v>8</v>
      </c>
      <c r="M25" s="295">
        <v>8</v>
      </c>
      <c r="N25" s="296">
        <f>7+10000</f>
        <v>10007</v>
      </c>
      <c r="O25" s="290">
        <f t="shared" si="0"/>
        <v>22965</v>
      </c>
    </row>
    <row r="26" spans="1:15" ht="15.75">
      <c r="A26" s="287"/>
      <c r="B26" s="288" t="s">
        <v>381</v>
      </c>
      <c r="C26" s="295"/>
      <c r="D26" s="295"/>
      <c r="E26" s="295"/>
      <c r="F26" s="295"/>
      <c r="G26" s="295"/>
      <c r="H26" s="295"/>
      <c r="I26" s="295"/>
      <c r="J26" s="295"/>
      <c r="K26" s="295"/>
      <c r="L26" s="295"/>
      <c r="M26" s="295"/>
      <c r="N26" s="296"/>
      <c r="O26" s="290">
        <f t="shared" si="0"/>
        <v>0</v>
      </c>
    </row>
    <row r="27" spans="1:15" ht="15.75">
      <c r="A27" s="287" t="s">
        <v>275</v>
      </c>
      <c r="B27" s="291" t="s">
        <v>382</v>
      </c>
      <c r="C27" s="295">
        <f>1115+1348+148+119+191</f>
        <v>2921</v>
      </c>
      <c r="D27" s="295"/>
      <c r="E27" s="295"/>
      <c r="F27" s="295"/>
      <c r="G27" s="295"/>
      <c r="H27" s="295"/>
      <c r="I27" s="295"/>
      <c r="J27" s="295"/>
      <c r="K27" s="295">
        <v>10000</v>
      </c>
      <c r="L27" s="295">
        <f>19+1135+76</f>
        <v>1230</v>
      </c>
      <c r="M27" s="295"/>
      <c r="N27" s="296">
        <v>15357</v>
      </c>
      <c r="O27" s="290">
        <f t="shared" si="0"/>
        <v>29508</v>
      </c>
    </row>
    <row r="28" spans="1:15" ht="15.75">
      <c r="A28" s="297"/>
      <c r="B28" s="298" t="s">
        <v>428</v>
      </c>
      <c r="C28" s="295">
        <v>12586</v>
      </c>
      <c r="D28" s="295"/>
      <c r="E28" s="295"/>
      <c r="F28" s="295"/>
      <c r="G28" s="295"/>
      <c r="H28" s="295"/>
      <c r="I28" s="295"/>
      <c r="J28" s="295"/>
      <c r="K28" s="295"/>
      <c r="L28" s="295"/>
      <c r="M28" s="295"/>
      <c r="N28" s="296"/>
      <c r="O28" s="290">
        <f t="shared" si="0"/>
        <v>12586</v>
      </c>
    </row>
    <row r="29" spans="1:15" ht="16.5" thickBot="1">
      <c r="A29" s="297" t="s">
        <v>277</v>
      </c>
      <c r="B29" s="298" t="s">
        <v>383</v>
      </c>
      <c r="C29" s="295"/>
      <c r="D29" s="295">
        <f>C51</f>
        <v>15392</v>
      </c>
      <c r="E29" s="295">
        <f aca="true" t="shared" si="1" ref="E29:N29">D51</f>
        <v>15270</v>
      </c>
      <c r="F29" s="295">
        <f t="shared" si="1"/>
        <v>19946</v>
      </c>
      <c r="G29" s="295">
        <f t="shared" si="1"/>
        <v>9327</v>
      </c>
      <c r="H29" s="295">
        <f t="shared" si="1"/>
        <v>7396</v>
      </c>
      <c r="I29" s="295">
        <f t="shared" si="1"/>
        <v>3246</v>
      </c>
      <c r="J29" s="295">
        <f t="shared" si="1"/>
        <v>2638</v>
      </c>
      <c r="K29" s="295">
        <f t="shared" si="1"/>
        <v>8317</v>
      </c>
      <c r="L29" s="295">
        <f t="shared" si="1"/>
        <v>9395</v>
      </c>
      <c r="M29" s="295">
        <f t="shared" si="1"/>
        <v>31484</v>
      </c>
      <c r="N29" s="295">
        <f t="shared" si="1"/>
        <v>9836</v>
      </c>
      <c r="O29" s="290"/>
    </row>
    <row r="30" spans="1:16" s="19" customFormat="1" ht="27.75" customHeight="1" thickBot="1">
      <c r="A30" s="299"/>
      <c r="B30" s="299" t="s">
        <v>384</v>
      </c>
      <c r="C30" s="300">
        <f aca="true" t="shared" si="2" ref="C30:N30">SUM(C15:C29)</f>
        <v>30471</v>
      </c>
      <c r="D30" s="300">
        <f t="shared" si="2"/>
        <v>18933</v>
      </c>
      <c r="E30" s="300">
        <f t="shared" si="2"/>
        <v>23960</v>
      </c>
      <c r="F30" s="300">
        <f t="shared" si="2"/>
        <v>23386</v>
      </c>
      <c r="G30" s="300">
        <f t="shared" si="2"/>
        <v>12494</v>
      </c>
      <c r="H30" s="300">
        <f t="shared" si="2"/>
        <v>13559</v>
      </c>
      <c r="I30" s="300">
        <f t="shared" si="2"/>
        <v>5954</v>
      </c>
      <c r="J30" s="300">
        <f t="shared" si="2"/>
        <v>12109</v>
      </c>
      <c r="K30" s="300">
        <f t="shared" si="2"/>
        <v>23389</v>
      </c>
      <c r="L30" s="300">
        <f t="shared" si="2"/>
        <v>37214</v>
      </c>
      <c r="M30" s="300">
        <f t="shared" si="2"/>
        <v>46040</v>
      </c>
      <c r="N30" s="300">
        <f t="shared" si="2"/>
        <v>38435</v>
      </c>
      <c r="O30" s="301">
        <f>SUM(O14:O29)</f>
        <v>153697</v>
      </c>
      <c r="P30" s="111"/>
    </row>
    <row r="31" spans="1:15" ht="15.75">
      <c r="A31" s="302"/>
      <c r="B31" s="303" t="s">
        <v>385</v>
      </c>
      <c r="C31" s="289"/>
      <c r="D31" s="289"/>
      <c r="E31" s="289"/>
      <c r="F31" s="289"/>
      <c r="G31" s="289"/>
      <c r="H31" s="289"/>
      <c r="I31" s="289"/>
      <c r="J31" s="289"/>
      <c r="K31" s="289"/>
      <c r="L31" s="289"/>
      <c r="M31" s="289"/>
      <c r="N31" s="289"/>
      <c r="O31" s="304"/>
    </row>
    <row r="32" spans="1:16" ht="15.75">
      <c r="A32" s="287" t="s">
        <v>285</v>
      </c>
      <c r="B32" s="291" t="s">
        <v>199</v>
      </c>
      <c r="C32" s="289">
        <f>1061+37+24+155</f>
        <v>1277</v>
      </c>
      <c r="D32" s="289">
        <f>1061+32+158</f>
        <v>1251</v>
      </c>
      <c r="E32" s="289">
        <f>1061+32+104+159</f>
        <v>1356</v>
      </c>
      <c r="F32" s="289">
        <f>1061+32+86</f>
        <v>1179</v>
      </c>
      <c r="G32" s="289">
        <f>1061+31+172</f>
        <v>1264</v>
      </c>
      <c r="H32" s="289">
        <f>1061+172</f>
        <v>1233</v>
      </c>
      <c r="I32" s="289">
        <f>1061+172</f>
        <v>1233</v>
      </c>
      <c r="J32" s="289">
        <f>1061+172</f>
        <v>1233</v>
      </c>
      <c r="K32" s="289">
        <f>1060+172</f>
        <v>1232</v>
      </c>
      <c r="L32" s="289">
        <f>1061+172+119+629</f>
        <v>1981</v>
      </c>
      <c r="M32" s="289">
        <f>1061+172</f>
        <v>1233</v>
      </c>
      <c r="N32" s="289">
        <f>1060+172-12</f>
        <v>1220</v>
      </c>
      <c r="O32" s="290">
        <f aca="true" t="shared" si="3" ref="O32:O49">SUM(C32:N32)</f>
        <v>15692</v>
      </c>
      <c r="P32" s="312"/>
    </row>
    <row r="33" spans="1:15" ht="31.5">
      <c r="A33" s="287" t="s">
        <v>287</v>
      </c>
      <c r="B33" s="310" t="s">
        <v>386</v>
      </c>
      <c r="C33" s="289">
        <f>296+11+21</f>
        <v>328</v>
      </c>
      <c r="D33" s="289">
        <f>296+8+21</f>
        <v>325</v>
      </c>
      <c r="E33" s="289">
        <f>296+9+51+21</f>
        <v>377</v>
      </c>
      <c r="F33" s="289">
        <f>296+9+12</f>
        <v>317</v>
      </c>
      <c r="G33" s="289">
        <f>296+9+46</f>
        <v>351</v>
      </c>
      <c r="H33" s="289">
        <f>296+47</f>
        <v>343</v>
      </c>
      <c r="I33" s="289">
        <f>295+46</f>
        <v>341</v>
      </c>
      <c r="J33" s="289">
        <f>296+47</f>
        <v>343</v>
      </c>
      <c r="K33" s="289">
        <f>296+46</f>
        <v>342</v>
      </c>
      <c r="L33" s="289">
        <f>296+47+32+85</f>
        <v>460</v>
      </c>
      <c r="M33" s="289">
        <f>295+46</f>
        <v>341</v>
      </c>
      <c r="N33" s="289">
        <f>296+47+12</f>
        <v>355</v>
      </c>
      <c r="O33" s="290">
        <f t="shared" si="3"/>
        <v>4223</v>
      </c>
    </row>
    <row r="34" spans="1:15" ht="15.75">
      <c r="A34" s="287" t="s">
        <v>289</v>
      </c>
      <c r="B34" s="291" t="s">
        <v>201</v>
      </c>
      <c r="C34" s="289">
        <f>1827+95+29+8+42+191</f>
        <v>2192</v>
      </c>
      <c r="D34" s="289">
        <f>1701+95</f>
        <v>1796</v>
      </c>
      <c r="E34" s="289">
        <f>1890+95</f>
        <v>1985</v>
      </c>
      <c r="F34" s="289">
        <f>1853+95+119</f>
        <v>2067</v>
      </c>
      <c r="G34" s="289">
        <f>1848+95+635+191</f>
        <v>2769</v>
      </c>
      <c r="H34" s="289">
        <f>1533+95</f>
        <v>1628</v>
      </c>
      <c r="I34" s="289">
        <f>1428+95</f>
        <v>1523</v>
      </c>
      <c r="J34" s="289">
        <f>1302+95</f>
        <v>1397</v>
      </c>
      <c r="K34" s="289">
        <f>1995+95</f>
        <v>2090</v>
      </c>
      <c r="L34" s="289">
        <f>1787+95+1130+20</f>
        <v>3032</v>
      </c>
      <c r="M34" s="289">
        <f>1886+95+140+480-1645</f>
        <v>956</v>
      </c>
      <c r="N34" s="289">
        <f>2047+99-1648</f>
        <v>498</v>
      </c>
      <c r="O34" s="290">
        <f t="shared" si="3"/>
        <v>21933</v>
      </c>
    </row>
    <row r="35" spans="1:15" ht="15.75">
      <c r="A35" s="287" t="s">
        <v>294</v>
      </c>
      <c r="B35" s="291" t="s">
        <v>202</v>
      </c>
      <c r="C35" s="289">
        <f>219+4</f>
        <v>223</v>
      </c>
      <c r="D35" s="289">
        <f>219</f>
        <v>219</v>
      </c>
      <c r="E35" s="289">
        <f>219+1</f>
        <v>220</v>
      </c>
      <c r="F35" s="289">
        <f>219</f>
        <v>219</v>
      </c>
      <c r="G35" s="289">
        <f>219+160</f>
        <v>379</v>
      </c>
      <c r="H35" s="289">
        <f>219</f>
        <v>219</v>
      </c>
      <c r="I35" s="289">
        <f>219</f>
        <v>219</v>
      </c>
      <c r="J35" s="289">
        <f>219</f>
        <v>219</v>
      </c>
      <c r="K35" s="289">
        <f>219</f>
        <v>219</v>
      </c>
      <c r="L35" s="289">
        <f>219</f>
        <v>219</v>
      </c>
      <c r="M35" s="289">
        <v>219</v>
      </c>
      <c r="N35" s="289">
        <f>219</f>
        <v>219</v>
      </c>
      <c r="O35" s="290">
        <f t="shared" si="3"/>
        <v>2793</v>
      </c>
    </row>
    <row r="36" spans="1:15" ht="15.75">
      <c r="A36" s="287" t="s">
        <v>296</v>
      </c>
      <c r="B36" s="291" t="s">
        <v>387</v>
      </c>
      <c r="C36" s="289"/>
      <c r="D36" s="289"/>
      <c r="E36" s="289"/>
      <c r="F36" s="289"/>
      <c r="G36" s="289"/>
      <c r="H36" s="289"/>
      <c r="I36" s="289"/>
      <c r="J36" s="289"/>
      <c r="K36" s="289"/>
      <c r="L36" s="289"/>
      <c r="M36" s="289"/>
      <c r="N36" s="289"/>
      <c r="O36" s="290"/>
    </row>
    <row r="37" spans="1:15" ht="15.75">
      <c r="A37" s="287"/>
      <c r="B37" s="291" t="s">
        <v>388</v>
      </c>
      <c r="C37" s="289"/>
      <c r="D37" s="289"/>
      <c r="E37" s="289"/>
      <c r="F37" s="289">
        <v>112</v>
      </c>
      <c r="G37" s="289">
        <f>135</f>
        <v>135</v>
      </c>
      <c r="H37" s="289"/>
      <c r="I37" s="289"/>
      <c r="J37" s="289"/>
      <c r="K37" s="289"/>
      <c r="L37" s="289">
        <v>18</v>
      </c>
      <c r="M37" s="289"/>
      <c r="N37" s="289"/>
      <c r="O37" s="290">
        <f t="shared" si="3"/>
        <v>265</v>
      </c>
    </row>
    <row r="38" spans="1:16" ht="15.75">
      <c r="A38" s="287"/>
      <c r="B38" s="291" t="s">
        <v>389</v>
      </c>
      <c r="C38" s="289">
        <v>50</v>
      </c>
      <c r="D38" s="289"/>
      <c r="E38" s="289"/>
      <c r="F38" s="289"/>
      <c r="G38" s="289">
        <v>200</v>
      </c>
      <c r="H38" s="289">
        <v>675</v>
      </c>
      <c r="I38" s="289"/>
      <c r="J38" s="289"/>
      <c r="K38" s="289">
        <v>35</v>
      </c>
      <c r="L38" s="289"/>
      <c r="M38" s="289"/>
      <c r="N38" s="289"/>
      <c r="O38" s="290">
        <f t="shared" si="3"/>
        <v>960</v>
      </c>
      <c r="P38" s="312"/>
    </row>
    <row r="39" spans="1:15" ht="15.75">
      <c r="A39" s="287" t="s">
        <v>298</v>
      </c>
      <c r="B39" s="291" t="s">
        <v>205</v>
      </c>
      <c r="C39" s="289">
        <f>58+8</f>
        <v>66</v>
      </c>
      <c r="D39" s="289">
        <v>72</v>
      </c>
      <c r="E39" s="289">
        <f>76</f>
        <v>76</v>
      </c>
      <c r="F39" s="289">
        <v>165</v>
      </c>
      <c r="G39" s="289"/>
      <c r="H39" s="289"/>
      <c r="I39" s="289"/>
      <c r="J39" s="289"/>
      <c r="K39" s="289">
        <v>76</v>
      </c>
      <c r="L39" s="289">
        <v>20</v>
      </c>
      <c r="M39" s="289">
        <v>250</v>
      </c>
      <c r="N39" s="289">
        <f>191+4028</f>
        <v>4219</v>
      </c>
      <c r="O39" s="290">
        <f t="shared" si="3"/>
        <v>4944</v>
      </c>
    </row>
    <row r="40" spans="1:15" ht="15.75">
      <c r="A40" s="287" t="s">
        <v>306</v>
      </c>
      <c r="B40" s="291" t="s">
        <v>73</v>
      </c>
      <c r="C40" s="289"/>
      <c r="D40" s="289"/>
      <c r="E40" s="289"/>
      <c r="F40" s="289"/>
      <c r="G40" s="289"/>
      <c r="H40" s="289"/>
      <c r="I40" s="289"/>
      <c r="J40" s="289"/>
      <c r="K40" s="289"/>
      <c r="L40" s="289"/>
      <c r="M40" s="289">
        <f>22697+10000+508</f>
        <v>33205</v>
      </c>
      <c r="N40" s="289"/>
      <c r="O40" s="290">
        <f t="shared" si="3"/>
        <v>33205</v>
      </c>
    </row>
    <row r="41" spans="1:15" ht="20.25" customHeight="1">
      <c r="A41" s="287" t="s">
        <v>309</v>
      </c>
      <c r="B41" s="291" t="s">
        <v>299</v>
      </c>
      <c r="C41" s="289"/>
      <c r="D41" s="289"/>
      <c r="E41" s="289"/>
      <c r="F41" s="289"/>
      <c r="G41" s="289"/>
      <c r="H41" s="289"/>
      <c r="I41" s="289"/>
      <c r="J41" s="289"/>
      <c r="K41" s="289"/>
      <c r="L41" s="289"/>
      <c r="M41" s="289"/>
      <c r="N41" s="289"/>
      <c r="O41" s="290">
        <f t="shared" si="3"/>
        <v>0</v>
      </c>
    </row>
    <row r="42" spans="1:15" ht="20.25" customHeight="1">
      <c r="A42" s="287"/>
      <c r="B42" s="291" t="s">
        <v>388</v>
      </c>
      <c r="C42" s="289"/>
      <c r="D42" s="289"/>
      <c r="E42" s="289"/>
      <c r="F42" s="289"/>
      <c r="G42" s="289"/>
      <c r="H42" s="289"/>
      <c r="I42" s="289"/>
      <c r="J42" s="289"/>
      <c r="K42" s="289"/>
      <c r="L42" s="289"/>
      <c r="M42" s="289"/>
      <c r="N42" s="289"/>
      <c r="O42" s="290">
        <f t="shared" si="3"/>
        <v>0</v>
      </c>
    </row>
    <row r="43" spans="1:15" ht="15.75">
      <c r="A43" s="287"/>
      <c r="B43" s="291" t="s">
        <v>389</v>
      </c>
      <c r="C43" s="289">
        <v>10000</v>
      </c>
      <c r="D43" s="289"/>
      <c r="E43" s="289"/>
      <c r="F43" s="289">
        <v>10000</v>
      </c>
      <c r="G43" s="289"/>
      <c r="H43" s="289">
        <v>6215</v>
      </c>
      <c r="I43" s="289"/>
      <c r="J43" s="289">
        <v>600</v>
      </c>
      <c r="K43" s="289">
        <v>10000</v>
      </c>
      <c r="L43" s="289"/>
      <c r="M43" s="289"/>
      <c r="N43" s="289"/>
      <c r="O43" s="290">
        <f t="shared" si="3"/>
        <v>36815</v>
      </c>
    </row>
    <row r="44" spans="1:15" ht="15.75">
      <c r="A44" s="287" t="s">
        <v>311</v>
      </c>
      <c r="B44" s="291" t="s">
        <v>198</v>
      </c>
      <c r="C44" s="289"/>
      <c r="D44" s="289"/>
      <c r="E44" s="289"/>
      <c r="F44" s="289"/>
      <c r="G44" s="289"/>
      <c r="H44" s="289"/>
      <c r="I44" s="289"/>
      <c r="J44" s="289"/>
      <c r="K44" s="289"/>
      <c r="L44" s="289"/>
      <c r="M44" s="289"/>
      <c r="N44" s="289"/>
      <c r="O44" s="290">
        <f t="shared" si="3"/>
        <v>0</v>
      </c>
    </row>
    <row r="45" spans="1:15" ht="15.75">
      <c r="A45" s="287"/>
      <c r="B45" s="291" t="s">
        <v>390</v>
      </c>
      <c r="C45" s="289"/>
      <c r="D45" s="289"/>
      <c r="E45" s="289"/>
      <c r="F45" s="289"/>
      <c r="G45" s="289"/>
      <c r="H45" s="289"/>
      <c r="I45" s="289"/>
      <c r="J45" s="289"/>
      <c r="K45" s="289"/>
      <c r="L45" s="289"/>
      <c r="M45" s="289"/>
      <c r="N45" s="289"/>
      <c r="O45" s="290">
        <f t="shared" si="3"/>
        <v>0</v>
      </c>
    </row>
    <row r="46" spans="1:15" ht="15.75">
      <c r="A46" s="287"/>
      <c r="B46" s="291" t="s">
        <v>391</v>
      </c>
      <c r="C46" s="289"/>
      <c r="D46" s="289"/>
      <c r="E46" s="289"/>
      <c r="F46" s="289"/>
      <c r="G46" s="289"/>
      <c r="H46" s="289"/>
      <c r="I46" s="289"/>
      <c r="J46" s="289"/>
      <c r="K46" s="289"/>
      <c r="L46" s="289"/>
      <c r="M46" s="289"/>
      <c r="N46" s="289"/>
      <c r="O46" s="290">
        <f t="shared" si="3"/>
        <v>0</v>
      </c>
    </row>
    <row r="47" spans="1:15" ht="15.75">
      <c r="A47" s="287"/>
      <c r="B47" s="320" t="s">
        <v>422</v>
      </c>
      <c r="C47" s="289">
        <v>943</v>
      </c>
      <c r="D47" s="289"/>
      <c r="E47" s="289"/>
      <c r="F47" s="289"/>
      <c r="G47" s="289"/>
      <c r="H47" s="289"/>
      <c r="I47" s="289"/>
      <c r="J47" s="289"/>
      <c r="K47" s="289"/>
      <c r="L47" s="289"/>
      <c r="M47" s="289"/>
      <c r="N47" s="289"/>
      <c r="O47" s="290">
        <f t="shared" si="3"/>
        <v>943</v>
      </c>
    </row>
    <row r="48" spans="1:16" ht="15.75">
      <c r="A48" s="287" t="s">
        <v>392</v>
      </c>
      <c r="B48" s="291" t="s">
        <v>393</v>
      </c>
      <c r="C48" s="289"/>
      <c r="D48" s="289"/>
      <c r="E48" s="289"/>
      <c r="F48" s="289"/>
      <c r="G48" s="289"/>
      <c r="H48" s="289"/>
      <c r="I48" s="289"/>
      <c r="J48" s="289"/>
      <c r="K48" s="289"/>
      <c r="L48" s="289"/>
      <c r="M48" s="289"/>
      <c r="N48" s="289">
        <f>600+185-155-241-160-35-140+10000-250-480-191-20-18-20+15357-508</f>
        <v>23924</v>
      </c>
      <c r="O48" s="290">
        <f t="shared" si="3"/>
        <v>23924</v>
      </c>
      <c r="P48" s="312"/>
    </row>
    <row r="49" spans="1:15" ht="16.5" thickBot="1">
      <c r="A49" s="297" t="s">
        <v>394</v>
      </c>
      <c r="B49" s="298" t="s">
        <v>395</v>
      </c>
      <c r="C49" s="289"/>
      <c r="D49" s="289"/>
      <c r="E49" s="289"/>
      <c r="F49" s="289"/>
      <c r="G49" s="289"/>
      <c r="H49" s="289"/>
      <c r="I49" s="289"/>
      <c r="J49" s="289"/>
      <c r="K49" s="289"/>
      <c r="L49" s="289"/>
      <c r="M49" s="289"/>
      <c r="N49" s="289">
        <f>8000</f>
        <v>8000</v>
      </c>
      <c r="O49" s="290">
        <f t="shared" si="3"/>
        <v>8000</v>
      </c>
    </row>
    <row r="50" spans="1:19" s="19" customFormat="1" ht="24" customHeight="1" thickBot="1">
      <c r="A50" s="299"/>
      <c r="B50" s="299" t="s">
        <v>396</v>
      </c>
      <c r="C50" s="300">
        <f>SUM(C32:C49)</f>
        <v>15079</v>
      </c>
      <c r="D50" s="300">
        <f aca="true" t="shared" si="4" ref="D50:O50">SUM(D32:D49)</f>
        <v>3663</v>
      </c>
      <c r="E50" s="300">
        <f t="shared" si="4"/>
        <v>4014</v>
      </c>
      <c r="F50" s="300">
        <f t="shared" si="4"/>
        <v>14059</v>
      </c>
      <c r="G50" s="300">
        <f t="shared" si="4"/>
        <v>5098</v>
      </c>
      <c r="H50" s="300">
        <f t="shared" si="4"/>
        <v>10313</v>
      </c>
      <c r="I50" s="300">
        <f t="shared" si="4"/>
        <v>3316</v>
      </c>
      <c r="J50" s="300">
        <f t="shared" si="4"/>
        <v>3792</v>
      </c>
      <c r="K50" s="300">
        <f t="shared" si="4"/>
        <v>13994</v>
      </c>
      <c r="L50" s="300">
        <f t="shared" si="4"/>
        <v>5730</v>
      </c>
      <c r="M50" s="300">
        <f t="shared" si="4"/>
        <v>36204</v>
      </c>
      <c r="N50" s="300">
        <f t="shared" si="4"/>
        <v>38435</v>
      </c>
      <c r="O50" s="301">
        <f t="shared" si="4"/>
        <v>153697</v>
      </c>
      <c r="S50" s="305"/>
    </row>
    <row r="51" spans="1:15" ht="26.25" customHeight="1" thickBot="1">
      <c r="A51" s="306"/>
      <c r="B51" s="307" t="s">
        <v>397</v>
      </c>
      <c r="C51" s="308">
        <f>C30-C50</f>
        <v>15392</v>
      </c>
      <c r="D51" s="308">
        <f aca="true" t="shared" si="5" ref="D51:N51">D30-D50</f>
        <v>15270</v>
      </c>
      <c r="E51" s="308">
        <f t="shared" si="5"/>
        <v>19946</v>
      </c>
      <c r="F51" s="308">
        <f t="shared" si="5"/>
        <v>9327</v>
      </c>
      <c r="G51" s="308">
        <f t="shared" si="5"/>
        <v>7396</v>
      </c>
      <c r="H51" s="308">
        <f t="shared" si="5"/>
        <v>3246</v>
      </c>
      <c r="I51" s="308">
        <f t="shared" si="5"/>
        <v>2638</v>
      </c>
      <c r="J51" s="308">
        <f t="shared" si="5"/>
        <v>8317</v>
      </c>
      <c r="K51" s="308">
        <f t="shared" si="5"/>
        <v>9395</v>
      </c>
      <c r="L51" s="308">
        <f t="shared" si="5"/>
        <v>31484</v>
      </c>
      <c r="M51" s="308">
        <f t="shared" si="5"/>
        <v>9836</v>
      </c>
      <c r="N51" s="308">
        <f t="shared" si="5"/>
        <v>0</v>
      </c>
      <c r="O51" s="309"/>
    </row>
    <row r="53" spans="3:15" ht="15.75">
      <c r="C53" s="311"/>
      <c r="D53" s="311"/>
      <c r="E53" s="311"/>
      <c r="F53" s="311"/>
      <c r="G53" s="311"/>
      <c r="H53" s="311"/>
      <c r="I53" s="311"/>
      <c r="J53" s="311"/>
      <c r="K53" s="311"/>
      <c r="L53" s="311"/>
      <c r="M53" s="311"/>
      <c r="N53" s="311"/>
      <c r="O53" s="311"/>
    </row>
    <row r="54" ht="15.75">
      <c r="O54" s="311"/>
    </row>
    <row r="55" ht="15.75">
      <c r="O55" s="311"/>
    </row>
    <row r="56" ht="15.75">
      <c r="O56" s="311"/>
    </row>
    <row r="57" ht="15.75">
      <c r="O57" s="311"/>
    </row>
  </sheetData>
  <sheetProtection/>
  <mergeCells count="5">
    <mergeCell ref="B8:O8"/>
    <mergeCell ref="B4:O4"/>
    <mergeCell ref="B5:O5"/>
    <mergeCell ref="B6:O6"/>
    <mergeCell ref="B7:O7"/>
  </mergeCells>
  <printOptions horizontalCentered="1"/>
  <pageMargins left="0" right="0" top="0" bottom="0" header="0.31496062992125984" footer="0.31496062992125984"/>
  <pageSetup fitToHeight="1" fitToWidth="1" horizontalDpi="600" verticalDpi="600" orientation="landscape" paperSize="9" scale="5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D37"/>
  <sheetViews>
    <sheetView workbookViewId="0" topLeftCell="A1">
      <selection activeCell="A2" sqref="A2"/>
    </sheetView>
  </sheetViews>
  <sheetFormatPr defaultColWidth="9.00390625" defaultRowHeight="12.75"/>
  <cols>
    <col min="1" max="1" width="75.75390625" style="16" customWidth="1"/>
    <col min="2" max="2" width="20.00390625" style="16" customWidth="1"/>
    <col min="3" max="16384" width="9.125" style="16" customWidth="1"/>
  </cols>
  <sheetData>
    <row r="2" spans="1:3" s="244" customFormat="1" ht="15">
      <c r="A2" s="234" t="s">
        <v>502</v>
      </c>
      <c r="B2" s="234"/>
      <c r="C2" s="234"/>
    </row>
    <row r="4" spans="1:2" ht="15.75">
      <c r="A4" s="418"/>
      <c r="B4" s="418"/>
    </row>
    <row r="5" spans="1:3" s="28" customFormat="1" ht="15.75" customHeight="1">
      <c r="A5" s="453"/>
      <c r="B5" s="453"/>
      <c r="C5" s="245"/>
    </row>
    <row r="6" spans="1:2" ht="15.75">
      <c r="A6" s="246"/>
      <c r="B6" s="246"/>
    </row>
    <row r="7" spans="1:2" s="248" customFormat="1" ht="18.75">
      <c r="A7" s="247" t="s">
        <v>348</v>
      </c>
      <c r="B7" s="247"/>
    </row>
    <row r="8" spans="1:2" s="248" customFormat="1" ht="18.75">
      <c r="A8" s="455" t="s">
        <v>448</v>
      </c>
      <c r="B8" s="455"/>
    </row>
    <row r="9" spans="1:2" s="248" customFormat="1" ht="18.75">
      <c r="A9" s="455" t="s">
        <v>162</v>
      </c>
      <c r="B9" s="455"/>
    </row>
    <row r="10" ht="16.5" thickBot="1"/>
    <row r="11" spans="1:2" ht="15.75">
      <c r="A11" s="249"/>
      <c r="B11" s="250" t="s">
        <v>10</v>
      </c>
    </row>
    <row r="12" spans="1:2" ht="15.75">
      <c r="A12" s="251" t="s">
        <v>350</v>
      </c>
      <c r="B12" s="251"/>
    </row>
    <row r="13" spans="1:2" ht="16.5" thickBot="1">
      <c r="A13" s="252"/>
      <c r="B13" s="253" t="s">
        <v>351</v>
      </c>
    </row>
    <row r="14" spans="1:2" ht="15.75">
      <c r="A14" s="254"/>
      <c r="B14" s="255"/>
    </row>
    <row r="15" spans="1:2" ht="15.75">
      <c r="A15" s="264" t="s">
        <v>463</v>
      </c>
      <c r="B15" s="255"/>
    </row>
    <row r="16" spans="1:2" ht="15.75">
      <c r="A16" s="254"/>
      <c r="B16" s="255"/>
    </row>
    <row r="17" spans="1:2" ht="15.75">
      <c r="A17" s="258" t="s">
        <v>464</v>
      </c>
      <c r="B17" s="332">
        <v>7874</v>
      </c>
    </row>
    <row r="18" spans="1:2" ht="18">
      <c r="A18" s="261" t="s">
        <v>352</v>
      </c>
      <c r="B18" s="333">
        <v>2126</v>
      </c>
    </row>
    <row r="19" spans="1:2" ht="15.75">
      <c r="A19" s="254" t="s">
        <v>1</v>
      </c>
      <c r="B19" s="334">
        <f>SUM(B17:B18)</f>
        <v>10000</v>
      </c>
    </row>
    <row r="20" spans="1:2" ht="15.75">
      <c r="A20" s="254"/>
      <c r="B20" s="255"/>
    </row>
    <row r="21" spans="1:2" ht="15.75">
      <c r="A21" s="313" t="s">
        <v>449</v>
      </c>
      <c r="B21" s="255"/>
    </row>
    <row r="22" spans="1:2" ht="15.75">
      <c r="A22" s="331" t="s">
        <v>450</v>
      </c>
      <c r="B22" s="332">
        <v>17872</v>
      </c>
    </row>
    <row r="23" spans="1:2" ht="18">
      <c r="A23" s="261" t="s">
        <v>352</v>
      </c>
      <c r="B23" s="333">
        <v>4825</v>
      </c>
    </row>
    <row r="24" spans="1:2" ht="15.75">
      <c r="A24" s="254" t="s">
        <v>1</v>
      </c>
      <c r="B24" s="334">
        <f>SUM(B22:B23)</f>
        <v>22697</v>
      </c>
    </row>
    <row r="25" spans="1:2" ht="15.75">
      <c r="A25" s="254"/>
      <c r="B25" s="334"/>
    </row>
    <row r="26" spans="1:2" ht="15.75">
      <c r="A26" s="331" t="s">
        <v>490</v>
      </c>
      <c r="B26" s="332">
        <v>400</v>
      </c>
    </row>
    <row r="27" spans="1:2" ht="18">
      <c r="A27" s="261" t="s">
        <v>352</v>
      </c>
      <c r="B27" s="333">
        <v>108</v>
      </c>
    </row>
    <row r="28" spans="1:2" ht="15.75">
      <c r="A28" s="254" t="s">
        <v>1</v>
      </c>
      <c r="B28" s="334">
        <f>SUM(B26:B27)</f>
        <v>508</v>
      </c>
    </row>
    <row r="30" ht="15.75">
      <c r="A30" s="314" t="s">
        <v>412</v>
      </c>
    </row>
    <row r="32" spans="1:4" ht="15.75">
      <c r="A32" s="318" t="s">
        <v>413</v>
      </c>
      <c r="B32" s="259"/>
      <c r="C32" s="318"/>
      <c r="D32" s="318"/>
    </row>
    <row r="33" spans="1:2" ht="18">
      <c r="A33" s="261" t="s">
        <v>352</v>
      </c>
      <c r="B33" s="262"/>
    </row>
    <row r="34" spans="1:2" ht="13.5" customHeight="1">
      <c r="A34" s="254" t="s">
        <v>1</v>
      </c>
      <c r="B34" s="263"/>
    </row>
    <row r="35" spans="1:2" ht="13.5" customHeight="1">
      <c r="A35" s="254"/>
      <c r="B35" s="263"/>
    </row>
    <row r="36" spans="1:2" ht="15.75">
      <c r="A36" s="254"/>
      <c r="B36" s="256"/>
    </row>
    <row r="37" spans="1:2" ht="15.75">
      <c r="A37" s="254" t="s">
        <v>451</v>
      </c>
      <c r="B37" s="263">
        <f>B19+B24+B28</f>
        <v>33205</v>
      </c>
    </row>
  </sheetData>
  <sheetProtection/>
  <mergeCells count="4">
    <mergeCell ref="A4:B4"/>
    <mergeCell ref="A5:B5"/>
    <mergeCell ref="A8:B8"/>
    <mergeCell ref="A9:B9"/>
  </mergeCells>
  <printOptions horizontalCentered="1"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32"/>
  <sheetViews>
    <sheetView tabSelected="1" workbookViewId="0" topLeftCell="A1">
      <selection activeCell="D21" sqref="D21"/>
    </sheetView>
  </sheetViews>
  <sheetFormatPr defaultColWidth="9.00390625" defaultRowHeight="12.75"/>
  <cols>
    <col min="1" max="1" width="24.75390625" style="0" customWidth="1"/>
    <col min="2" max="2" width="15.375" style="0" customWidth="1"/>
    <col min="3" max="3" width="18.25390625" style="0" customWidth="1"/>
    <col min="4" max="4" width="18.125" style="0" customWidth="1"/>
  </cols>
  <sheetData>
    <row r="1" spans="1:4" ht="16.5">
      <c r="A1" s="336" t="s">
        <v>438</v>
      </c>
      <c r="B1" s="336"/>
      <c r="C1" s="336"/>
      <c r="D1" s="336"/>
    </row>
    <row r="2" spans="1:4" ht="16.5">
      <c r="A2" s="336" t="s">
        <v>439</v>
      </c>
      <c r="B2" s="336"/>
      <c r="C2" s="336" t="s">
        <v>442</v>
      </c>
      <c r="D2" s="337">
        <v>82837</v>
      </c>
    </row>
    <row r="3" spans="1:4" ht="16.5">
      <c r="A3" s="338" t="s">
        <v>440</v>
      </c>
      <c r="B3" s="338" t="s">
        <v>441</v>
      </c>
      <c r="C3" s="337">
        <v>0</v>
      </c>
      <c r="D3" s="337">
        <f>D2+C3</f>
        <v>82837</v>
      </c>
    </row>
    <row r="4" spans="1:4" ht="16.5">
      <c r="A4" s="338" t="s">
        <v>443</v>
      </c>
      <c r="B4" s="338" t="s">
        <v>444</v>
      </c>
      <c r="C4" s="337">
        <v>151</v>
      </c>
      <c r="D4" s="337">
        <f aca="true" t="shared" si="0" ref="D4:D20">D3+C4</f>
        <v>82988</v>
      </c>
    </row>
    <row r="5" spans="1:4" ht="16.5">
      <c r="A5" s="338" t="s">
        <v>445</v>
      </c>
      <c r="B5" s="338" t="s">
        <v>446</v>
      </c>
      <c r="C5" s="337">
        <v>22697</v>
      </c>
      <c r="D5" s="337">
        <f t="shared" si="0"/>
        <v>105685</v>
      </c>
    </row>
    <row r="6" spans="1:4" ht="16.5">
      <c r="A6" s="338" t="s">
        <v>452</v>
      </c>
      <c r="B6" s="338" t="s">
        <v>453</v>
      </c>
      <c r="C6" s="337"/>
      <c r="D6" s="337">
        <f t="shared" si="0"/>
        <v>105685</v>
      </c>
    </row>
    <row r="7" spans="1:4" ht="16.5">
      <c r="A7" s="338" t="s">
        <v>454</v>
      </c>
      <c r="B7" s="338" t="s">
        <v>455</v>
      </c>
      <c r="C7" s="337">
        <v>10000</v>
      </c>
      <c r="D7" s="337">
        <f t="shared" si="0"/>
        <v>115685</v>
      </c>
    </row>
    <row r="8" spans="1:4" ht="16.5">
      <c r="A8" s="338"/>
      <c r="B8" s="338" t="s">
        <v>455</v>
      </c>
      <c r="C8" s="337">
        <v>10000</v>
      </c>
      <c r="D8" s="337">
        <f t="shared" si="0"/>
        <v>125685</v>
      </c>
    </row>
    <row r="9" spans="1:4" ht="16.5">
      <c r="A9" s="338" t="s">
        <v>459</v>
      </c>
      <c r="B9" s="338" t="s">
        <v>455</v>
      </c>
      <c r="C9" s="337">
        <v>10000</v>
      </c>
      <c r="D9" s="337">
        <f t="shared" si="0"/>
        <v>135685</v>
      </c>
    </row>
    <row r="10" spans="1:4" ht="16.5">
      <c r="A10" s="338" t="s">
        <v>465</v>
      </c>
      <c r="B10" s="338" t="s">
        <v>466</v>
      </c>
      <c r="C10" s="337"/>
      <c r="D10" s="337">
        <f t="shared" si="0"/>
        <v>135685</v>
      </c>
    </row>
    <row r="11" spans="1:4" ht="16.5">
      <c r="A11" s="338" t="s">
        <v>467</v>
      </c>
      <c r="B11" s="338" t="s">
        <v>468</v>
      </c>
      <c r="C11" s="337"/>
      <c r="D11" s="337">
        <f t="shared" si="0"/>
        <v>135685</v>
      </c>
    </row>
    <row r="12" spans="1:4" ht="16.5">
      <c r="A12" s="338"/>
      <c r="B12" s="338" t="s">
        <v>470</v>
      </c>
      <c r="C12" s="337"/>
      <c r="D12" s="337">
        <f t="shared" si="0"/>
        <v>135685</v>
      </c>
    </row>
    <row r="13" spans="1:4" ht="16.5">
      <c r="A13" s="338"/>
      <c r="B13" s="338" t="s">
        <v>471</v>
      </c>
      <c r="C13" s="337"/>
      <c r="D13" s="337">
        <f t="shared" si="0"/>
        <v>135685</v>
      </c>
    </row>
    <row r="14" spans="1:4" ht="16.5">
      <c r="A14" s="338"/>
      <c r="B14" s="338" t="s">
        <v>474</v>
      </c>
      <c r="C14" s="337"/>
      <c r="D14" s="337">
        <f t="shared" si="0"/>
        <v>135685</v>
      </c>
    </row>
    <row r="15" spans="1:4" ht="16.5">
      <c r="A15" s="338" t="s">
        <v>476</v>
      </c>
      <c r="B15" s="338" t="s">
        <v>477</v>
      </c>
      <c r="C15" s="337">
        <v>714</v>
      </c>
      <c r="D15" s="337">
        <f t="shared" si="0"/>
        <v>136399</v>
      </c>
    </row>
    <row r="16" spans="1:4" ht="16.5">
      <c r="A16" s="338" t="s">
        <v>445</v>
      </c>
      <c r="B16" s="338" t="s">
        <v>482</v>
      </c>
      <c r="C16" s="337">
        <v>735</v>
      </c>
      <c r="D16" s="337">
        <f t="shared" si="0"/>
        <v>137134</v>
      </c>
    </row>
    <row r="17" spans="1:4" ht="16.5">
      <c r="A17" s="338"/>
      <c r="B17" s="338" t="s">
        <v>483</v>
      </c>
      <c r="C17" s="337">
        <v>1130</v>
      </c>
      <c r="D17" s="337">
        <f t="shared" si="0"/>
        <v>138264</v>
      </c>
    </row>
    <row r="18" spans="1:4" ht="16.5">
      <c r="A18" s="338"/>
      <c r="B18" s="338" t="s">
        <v>484</v>
      </c>
      <c r="C18" s="337">
        <v>76</v>
      </c>
      <c r="D18" s="337">
        <f t="shared" si="0"/>
        <v>138340</v>
      </c>
    </row>
    <row r="19" spans="1:4" ht="16.5">
      <c r="A19" s="338"/>
      <c r="B19" s="338" t="s">
        <v>488</v>
      </c>
      <c r="C19" s="337">
        <v>15357</v>
      </c>
      <c r="D19" s="337">
        <f t="shared" si="0"/>
        <v>153697</v>
      </c>
    </row>
    <row r="20" spans="1:4" ht="16.5">
      <c r="A20" s="325"/>
      <c r="B20" s="338" t="s">
        <v>489</v>
      </c>
      <c r="C20" s="337"/>
      <c r="D20" s="337">
        <f t="shared" si="0"/>
        <v>153697</v>
      </c>
    </row>
    <row r="21" spans="1:4" ht="20.25">
      <c r="A21" s="325"/>
      <c r="B21" s="325"/>
      <c r="C21" s="326"/>
      <c r="D21" s="324"/>
    </row>
    <row r="22" spans="1:4" ht="20.25">
      <c r="A22" s="325"/>
      <c r="B22" s="325"/>
      <c r="C22" s="326"/>
      <c r="D22" s="324"/>
    </row>
    <row r="23" spans="3:4" ht="20.25">
      <c r="C23" s="326"/>
      <c r="D23" s="324"/>
    </row>
    <row r="24" spans="3:4" ht="20.25">
      <c r="C24" s="326"/>
      <c r="D24" s="324"/>
    </row>
    <row r="25" ht="18">
      <c r="D25" s="324"/>
    </row>
    <row r="26" ht="18">
      <c r="D26" s="324"/>
    </row>
    <row r="27" ht="18">
      <c r="D27" s="324"/>
    </row>
    <row r="28" ht="18">
      <c r="D28" s="324"/>
    </row>
    <row r="29" ht="18">
      <c r="D29" s="324"/>
    </row>
    <row r="30" ht="18">
      <c r="D30" s="324"/>
    </row>
    <row r="31" ht="18">
      <c r="D31" s="324"/>
    </row>
    <row r="32" ht="18">
      <c r="D32" s="324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1"/>
  <sheetViews>
    <sheetView zoomScalePageLayoutView="0" workbookViewId="0" topLeftCell="A1">
      <selection activeCell="A1" sqref="A1:E1"/>
    </sheetView>
  </sheetViews>
  <sheetFormatPr defaultColWidth="9.00390625" defaultRowHeight="12.75"/>
  <cols>
    <col min="1" max="1" width="64.625" style="4" customWidth="1"/>
    <col min="2" max="2" width="13.375" style="58" customWidth="1"/>
    <col min="3" max="3" width="4.875" style="4" customWidth="1"/>
    <col min="4" max="4" width="14.25390625" style="58" bestFit="1" customWidth="1"/>
    <col min="5" max="5" width="5.25390625" style="4" customWidth="1"/>
    <col min="6" max="6" width="9.125" style="4" customWidth="1"/>
    <col min="7" max="7" width="14.25390625" style="4" bestFit="1" customWidth="1"/>
    <col min="8" max="16384" width="9.125" style="4" customWidth="1"/>
  </cols>
  <sheetData>
    <row r="1" spans="1:5" ht="15">
      <c r="A1" s="351" t="s">
        <v>491</v>
      </c>
      <c r="B1" s="351"/>
      <c r="C1" s="351"/>
      <c r="D1" s="351"/>
      <c r="E1" s="351"/>
    </row>
    <row r="2" spans="1:5" ht="15">
      <c r="A2" s="84"/>
      <c r="B2" s="84"/>
      <c r="C2" s="84"/>
      <c r="D2" s="84"/>
      <c r="E2" s="84"/>
    </row>
    <row r="3" spans="1:5" s="51" customFormat="1" ht="15.75">
      <c r="A3" s="354"/>
      <c r="B3" s="354"/>
      <c r="C3" s="354"/>
      <c r="D3" s="354"/>
      <c r="E3" s="354"/>
    </row>
    <row r="4" spans="1:5" s="51" customFormat="1" ht="15.75">
      <c r="A4" s="353" t="s">
        <v>44</v>
      </c>
      <c r="B4" s="353"/>
      <c r="C4" s="353"/>
      <c r="D4" s="353"/>
      <c r="E4" s="353"/>
    </row>
    <row r="5" spans="1:5" ht="15.75">
      <c r="A5" s="353" t="s">
        <v>171</v>
      </c>
      <c r="B5" s="353"/>
      <c r="C5" s="353"/>
      <c r="D5" s="353"/>
      <c r="E5" s="353"/>
    </row>
    <row r="6" spans="1:5" ht="12.75" customHeight="1">
      <c r="A6" s="352" t="s">
        <v>251</v>
      </c>
      <c r="B6" s="352"/>
      <c r="C6" s="352"/>
      <c r="D6" s="352"/>
      <c r="E6" s="352"/>
    </row>
    <row r="7" spans="1:5" s="1" customFormat="1" ht="15">
      <c r="A7" s="4"/>
      <c r="B7" s="58"/>
      <c r="C7" s="4"/>
      <c r="D7" s="48"/>
      <c r="E7" s="4"/>
    </row>
    <row r="8" spans="1:4" s="1" customFormat="1" ht="18.75">
      <c r="A8" s="117" t="s">
        <v>172</v>
      </c>
      <c r="B8" s="59"/>
      <c r="D8" s="118"/>
    </row>
    <row r="9" spans="1:5" ht="15.75">
      <c r="A9" s="7" t="s">
        <v>173</v>
      </c>
      <c r="B9" s="59"/>
      <c r="C9" s="1"/>
      <c r="D9" s="119">
        <f>B10+B11</f>
        <v>27477</v>
      </c>
      <c r="E9" s="1" t="s">
        <v>5</v>
      </c>
    </row>
    <row r="10" spans="1:7" ht="15.75">
      <c r="A10" s="120" t="s">
        <v>174</v>
      </c>
      <c r="B10" s="58">
        <f>'2.mell - bevétel'!H67</f>
        <v>26084</v>
      </c>
      <c r="C10" s="4" t="s">
        <v>5</v>
      </c>
      <c r="D10" s="48"/>
      <c r="G10" s="78"/>
    </row>
    <row r="11" spans="1:5" s="1" customFormat="1" ht="15.75" customHeight="1">
      <c r="A11" s="120" t="s">
        <v>175</v>
      </c>
      <c r="B11" s="58">
        <f>'2.mell - bevétel'!H74</f>
        <v>1393</v>
      </c>
      <c r="C11" s="4" t="s">
        <v>5</v>
      </c>
      <c r="D11" s="48"/>
      <c r="E11" s="4"/>
    </row>
    <row r="12" spans="1:4" s="1" customFormat="1" ht="15.75">
      <c r="A12" s="7"/>
      <c r="B12" s="59"/>
      <c r="D12" s="119"/>
    </row>
    <row r="13" spans="1:5" s="1" customFormat="1" ht="15.75">
      <c r="A13" s="7" t="s">
        <v>176</v>
      </c>
      <c r="B13" s="59"/>
      <c r="D13" s="119">
        <f>'2.mell - bevétel'!H87</f>
        <v>41490</v>
      </c>
      <c r="E13" s="1" t="s">
        <v>5</v>
      </c>
    </row>
    <row r="14" spans="1:4" s="1" customFormat="1" ht="15.75">
      <c r="A14" s="7"/>
      <c r="B14" s="59"/>
      <c r="D14" s="119"/>
    </row>
    <row r="15" spans="1:5" s="1" customFormat="1" ht="15.75">
      <c r="A15" s="7" t="s">
        <v>127</v>
      </c>
      <c r="B15" s="59"/>
      <c r="D15" s="119">
        <f>'2.mell - bevétel'!H109</f>
        <v>7813</v>
      </c>
      <c r="E15" s="1" t="s">
        <v>5</v>
      </c>
    </row>
    <row r="16" spans="1:7" s="1" customFormat="1" ht="15.75">
      <c r="A16" s="7"/>
      <c r="B16" s="59"/>
      <c r="D16" s="119"/>
      <c r="G16" s="79"/>
    </row>
    <row r="17" spans="1:5" s="1" customFormat="1" ht="15.75">
      <c r="A17" s="7" t="s">
        <v>61</v>
      </c>
      <c r="B17" s="59"/>
      <c r="D17" s="119">
        <f>'2.mell - bevétel'!H133</f>
        <v>11858</v>
      </c>
      <c r="E17" s="1" t="s">
        <v>5</v>
      </c>
    </row>
    <row r="18" spans="1:4" s="1" customFormat="1" ht="15.75">
      <c r="A18" s="8"/>
      <c r="B18" s="60"/>
      <c r="D18" s="119"/>
    </row>
    <row r="19" spans="1:5" s="1" customFormat="1" ht="15.75">
      <c r="A19" s="7" t="s">
        <v>177</v>
      </c>
      <c r="B19" s="59"/>
      <c r="D19" s="119">
        <v>0</v>
      </c>
      <c r="E19" s="1" t="s">
        <v>5</v>
      </c>
    </row>
    <row r="20" spans="1:4" s="1" customFormat="1" ht="15.75">
      <c r="A20" s="8"/>
      <c r="B20" s="59"/>
      <c r="D20" s="119"/>
    </row>
    <row r="21" spans="1:5" s="1" customFormat="1" ht="15.75">
      <c r="A21" s="7" t="s">
        <v>178</v>
      </c>
      <c r="D21" s="119">
        <f>B22+B23</f>
        <v>0</v>
      </c>
      <c r="E21" s="1" t="s">
        <v>5</v>
      </c>
    </row>
    <row r="22" spans="1:7" s="6" customFormat="1" ht="32.25">
      <c r="A22" s="120" t="s">
        <v>179</v>
      </c>
      <c r="B22" s="60">
        <v>0</v>
      </c>
      <c r="C22" s="1" t="s">
        <v>5</v>
      </c>
      <c r="D22" s="119"/>
      <c r="E22" s="1"/>
      <c r="F22" s="1"/>
      <c r="G22" s="80"/>
    </row>
    <row r="23" spans="1:7" ht="18.75">
      <c r="A23" s="51" t="s">
        <v>180</v>
      </c>
      <c r="B23" s="59">
        <v>0</v>
      </c>
      <c r="C23" s="1" t="s">
        <v>5</v>
      </c>
      <c r="D23" s="119"/>
      <c r="E23" s="1"/>
      <c r="F23" s="6"/>
      <c r="G23" s="81"/>
    </row>
    <row r="24" spans="1:7" s="1" customFormat="1" ht="18.75">
      <c r="A24" s="68"/>
      <c r="B24" s="58"/>
      <c r="C24" s="4"/>
      <c r="D24" s="121"/>
      <c r="E24" s="6"/>
      <c r="G24" s="82"/>
    </row>
    <row r="25" spans="1:5" s="1" customFormat="1" ht="15.75">
      <c r="A25" s="7" t="s">
        <v>152</v>
      </c>
      <c r="B25" s="59"/>
      <c r="D25" s="119">
        <f>B26+B27</f>
        <v>22965</v>
      </c>
      <c r="E25" s="1" t="s">
        <v>5</v>
      </c>
    </row>
    <row r="26" spans="1:4" s="1" customFormat="1" ht="31.5">
      <c r="A26" s="120" t="s">
        <v>181</v>
      </c>
      <c r="B26" s="59">
        <f>'2.mell - bevétel'!H141</f>
        <v>22965</v>
      </c>
      <c r="C26" s="1" t="s">
        <v>5</v>
      </c>
      <c r="D26" s="119"/>
    </row>
    <row r="27" spans="1:4" s="1" customFormat="1" ht="15.75">
      <c r="A27" s="51" t="s">
        <v>182</v>
      </c>
      <c r="B27" s="59">
        <v>0</v>
      </c>
      <c r="C27" s="1" t="s">
        <v>5</v>
      </c>
      <c r="D27" s="119"/>
    </row>
    <row r="28" spans="1:4" s="1" customFormat="1" ht="15.75">
      <c r="A28" s="68"/>
      <c r="D28" s="118"/>
    </row>
    <row r="29" spans="1:5" s="1" customFormat="1" ht="15.75">
      <c r="A29" s="7" t="s">
        <v>49</v>
      </c>
      <c r="D29" s="122">
        <f>SUM(D9:D28)</f>
        <v>111603</v>
      </c>
      <c r="E29" s="1" t="s">
        <v>5</v>
      </c>
    </row>
    <row r="30" spans="1:4" s="1" customFormat="1" ht="15.75">
      <c r="A30" s="51"/>
      <c r="D30" s="118"/>
    </row>
    <row r="31" spans="1:4" s="1" customFormat="1" ht="18.75">
      <c r="A31" s="117" t="s">
        <v>183</v>
      </c>
      <c r="D31" s="118"/>
    </row>
    <row r="32" spans="1:5" s="1" customFormat="1" ht="15.75">
      <c r="A32" s="9" t="s">
        <v>13</v>
      </c>
      <c r="B32" s="59"/>
      <c r="D32" s="119">
        <f>B34+B35+B36+B37+B38</f>
        <v>77790</v>
      </c>
      <c r="E32" s="1" t="s">
        <v>5</v>
      </c>
    </row>
    <row r="33" spans="1:4" s="1" customFormat="1" ht="15.75">
      <c r="A33" s="8" t="s">
        <v>12</v>
      </c>
      <c r="B33" s="59"/>
      <c r="D33" s="119"/>
    </row>
    <row r="34" spans="1:4" s="1" customFormat="1" ht="15.75">
      <c r="A34" s="51" t="s">
        <v>184</v>
      </c>
      <c r="B34" s="59">
        <f>'4.mell. - kiadás'!D46</f>
        <v>15692</v>
      </c>
      <c r="C34" s="1" t="s">
        <v>5</v>
      </c>
      <c r="D34" s="119"/>
    </row>
    <row r="35" spans="1:4" s="1" customFormat="1" ht="15.75">
      <c r="A35" s="51" t="s">
        <v>185</v>
      </c>
      <c r="B35" s="59">
        <f>'4.mell. - kiadás'!E46</f>
        <v>4223</v>
      </c>
      <c r="C35" s="1" t="s">
        <v>5</v>
      </c>
      <c r="D35" s="119"/>
    </row>
    <row r="36" spans="1:4" s="1" customFormat="1" ht="15.75">
      <c r="A36" s="51" t="s">
        <v>186</v>
      </c>
      <c r="B36" s="59">
        <f>'4.mell. - kiadás'!F46</f>
        <v>21933</v>
      </c>
      <c r="C36" s="1" t="s">
        <v>5</v>
      </c>
      <c r="D36" s="119"/>
    </row>
    <row r="37" spans="1:4" s="1" customFormat="1" ht="15.75">
      <c r="A37" s="123" t="s">
        <v>187</v>
      </c>
      <c r="B37" s="59">
        <f>'4.mell. - kiadás'!G46</f>
        <v>2793</v>
      </c>
      <c r="C37" s="1" t="s">
        <v>5</v>
      </c>
      <c r="D37" s="119"/>
    </row>
    <row r="38" spans="1:4" s="1" customFormat="1" ht="15.75">
      <c r="A38" s="51" t="s">
        <v>79</v>
      </c>
      <c r="B38" s="59">
        <f>'4.mell. - kiadás'!H46</f>
        <v>33149</v>
      </c>
      <c r="C38" s="1" t="s">
        <v>5</v>
      </c>
      <c r="D38" s="119"/>
    </row>
    <row r="39" spans="1:4" s="1" customFormat="1" ht="15.75">
      <c r="A39" s="51"/>
      <c r="B39" s="60"/>
      <c r="D39" s="119"/>
    </row>
    <row r="40" spans="1:5" s="1" customFormat="1" ht="15.75">
      <c r="A40" s="9" t="s">
        <v>14</v>
      </c>
      <c r="B40" s="59"/>
      <c r="D40" s="124">
        <f>B42+B43+B44</f>
        <v>74964</v>
      </c>
      <c r="E40" s="1" t="s">
        <v>5</v>
      </c>
    </row>
    <row r="41" spans="1:4" s="1" customFormat="1" ht="15.75">
      <c r="A41" s="8" t="s">
        <v>12</v>
      </c>
      <c r="B41" s="59"/>
      <c r="D41" s="119"/>
    </row>
    <row r="42" spans="1:4" s="1" customFormat="1" ht="15.75">
      <c r="A42" s="51" t="s">
        <v>188</v>
      </c>
      <c r="B42" s="60">
        <f>'4.mell. - kiadás'!J46</f>
        <v>4944</v>
      </c>
      <c r="C42" s="1" t="s">
        <v>5</v>
      </c>
      <c r="D42" s="119"/>
    </row>
    <row r="43" spans="1:4" s="1" customFormat="1" ht="15.75">
      <c r="A43" s="51" t="s">
        <v>189</v>
      </c>
      <c r="B43" s="60">
        <f>'4.mell. - kiadás'!K46</f>
        <v>33205</v>
      </c>
      <c r="C43" s="1" t="s">
        <v>5</v>
      </c>
      <c r="D43" s="119"/>
    </row>
    <row r="44" spans="1:6" ht="15.75">
      <c r="A44" s="51" t="s">
        <v>80</v>
      </c>
      <c r="B44" s="60">
        <f>'4.mell. - kiadás'!L46</f>
        <v>36815</v>
      </c>
      <c r="C44" s="1" t="s">
        <v>5</v>
      </c>
      <c r="D44" s="119"/>
      <c r="E44" s="1"/>
      <c r="F44" s="1"/>
    </row>
    <row r="45" spans="1:4" s="1" customFormat="1" ht="15.75">
      <c r="A45" s="51"/>
      <c r="B45" s="60"/>
      <c r="D45" s="119"/>
    </row>
    <row r="46" spans="1:5" s="1" customFormat="1" ht="15.75">
      <c r="A46" s="51" t="s">
        <v>190</v>
      </c>
      <c r="B46" s="60"/>
      <c r="D46" s="119">
        <f>B47+B48+B49</f>
        <v>943</v>
      </c>
      <c r="E46" s="1" t="s">
        <v>5</v>
      </c>
    </row>
    <row r="47" spans="1:4" s="1" customFormat="1" ht="15.75">
      <c r="A47" s="51" t="s">
        <v>191</v>
      </c>
      <c r="B47" s="59"/>
      <c r="C47" s="1" t="s">
        <v>5</v>
      </c>
      <c r="D47" s="119"/>
    </row>
    <row r="48" spans="1:6" s="6" customFormat="1" ht="18.75">
      <c r="A48" s="51" t="s">
        <v>192</v>
      </c>
      <c r="B48" s="59"/>
      <c r="C48" s="1" t="s">
        <v>5</v>
      </c>
      <c r="D48" s="119"/>
      <c r="E48" s="1"/>
      <c r="F48" s="4"/>
    </row>
    <row r="49" spans="1:6" s="6" customFormat="1" ht="18.75">
      <c r="A49" s="51" t="s">
        <v>423</v>
      </c>
      <c r="B49" s="59">
        <f>'4.mell. - kiadás'!Q46</f>
        <v>943</v>
      </c>
      <c r="C49" s="1" t="s">
        <v>5</v>
      </c>
      <c r="D49" s="119"/>
      <c r="E49" s="1"/>
      <c r="F49" s="4"/>
    </row>
    <row r="50" spans="1:6" ht="15.75">
      <c r="A50" s="51"/>
      <c r="B50" s="60"/>
      <c r="C50" s="1"/>
      <c r="D50" s="119"/>
      <c r="E50" s="1"/>
      <c r="F50" s="1"/>
    </row>
    <row r="51" spans="1:6" ht="15.75">
      <c r="A51" s="7" t="s">
        <v>52</v>
      </c>
      <c r="B51" s="60"/>
      <c r="C51" s="1"/>
      <c r="D51" s="48">
        <f>SUM(D32:D50)</f>
        <v>153697</v>
      </c>
      <c r="E51" s="4" t="s">
        <v>5</v>
      </c>
      <c r="F51" s="1"/>
    </row>
    <row r="52" spans="1:6" ht="15.75">
      <c r="A52" s="51"/>
      <c r="B52" s="59"/>
      <c r="C52" s="1"/>
      <c r="D52" s="124"/>
      <c r="E52" s="1"/>
      <c r="F52" s="1"/>
    </row>
    <row r="53" spans="1:6" ht="18.75">
      <c r="A53" s="7" t="s">
        <v>53</v>
      </c>
      <c r="B53" s="59"/>
      <c r="C53" s="1"/>
      <c r="D53" s="48">
        <f>D29-D51</f>
        <v>-42094</v>
      </c>
      <c r="E53" s="4" t="s">
        <v>5</v>
      </c>
      <c r="F53" s="6"/>
    </row>
    <row r="54" spans="1:4" ht="15.75">
      <c r="A54" s="51"/>
      <c r="B54" s="59"/>
      <c r="C54" s="1"/>
      <c r="D54" s="48"/>
    </row>
    <row r="55" spans="1:5" ht="31.5">
      <c r="A55" s="125" t="s">
        <v>427</v>
      </c>
      <c r="B55" s="125"/>
      <c r="C55" s="125"/>
      <c r="D55" s="48">
        <v>12586</v>
      </c>
      <c r="E55" s="4" t="s">
        <v>5</v>
      </c>
    </row>
    <row r="56" spans="1:5" ht="48">
      <c r="A56" s="125" t="s">
        <v>259</v>
      </c>
      <c r="B56" s="61"/>
      <c r="C56" s="6"/>
      <c r="D56" s="48">
        <f>'2.mell - bevétel'!H155</f>
        <v>29508</v>
      </c>
      <c r="E56" s="4" t="s">
        <v>5</v>
      </c>
    </row>
    <row r="57" spans="1:6" s="1" customFormat="1" ht="15.75">
      <c r="A57" s="51"/>
      <c r="B57" s="58"/>
      <c r="C57" s="4"/>
      <c r="D57" s="48"/>
      <c r="E57" s="4"/>
      <c r="F57" s="4"/>
    </row>
    <row r="58" spans="1:5" ht="15.75">
      <c r="A58" s="7" t="s">
        <v>78</v>
      </c>
      <c r="D58" s="48">
        <f>D53+D56+D55</f>
        <v>0</v>
      </c>
      <c r="E58" s="4" t="s">
        <v>5</v>
      </c>
    </row>
    <row r="59" spans="1:4" s="1" customFormat="1" ht="10.5" customHeight="1">
      <c r="A59" s="5"/>
      <c r="B59" s="59"/>
      <c r="D59" s="26"/>
    </row>
    <row r="60" spans="1:5" ht="15.75">
      <c r="A60" s="5"/>
      <c r="B60" s="59"/>
      <c r="C60" s="1"/>
      <c r="D60" s="26"/>
      <c r="E60" s="7"/>
    </row>
    <row r="61" spans="1:5" ht="15.75">
      <c r="A61" s="7"/>
      <c r="D61" s="27"/>
      <c r="E61" s="7"/>
    </row>
  </sheetData>
  <sheetProtection/>
  <mergeCells count="5">
    <mergeCell ref="A1:E1"/>
    <mergeCell ref="A6:E6"/>
    <mergeCell ref="A4:E4"/>
    <mergeCell ref="A3:E3"/>
    <mergeCell ref="A5:E5"/>
  </mergeCells>
  <printOptions horizontalCentered="1"/>
  <pageMargins left="0.1968503937007874" right="0.1968503937007874" top="0" bottom="0" header="0.5118110236220472" footer="0.5118110236220472"/>
  <pageSetup fitToHeight="1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5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25390625" style="67" customWidth="1"/>
    <col min="2" max="5" width="3.125" style="66" customWidth="1"/>
    <col min="6" max="6" width="51.375" style="8" customWidth="1"/>
    <col min="7" max="7" width="11.25390625" style="8" customWidth="1"/>
    <col min="8" max="8" width="12.75390625" style="8" customWidth="1"/>
    <col min="9" max="9" width="9.375" style="8" customWidth="1"/>
    <col min="10" max="16384" width="9.125" style="8" customWidth="1"/>
  </cols>
  <sheetData>
    <row r="1" spans="1:9" ht="15.75">
      <c r="A1" s="234" t="s">
        <v>492</v>
      </c>
      <c r="B1" s="234"/>
      <c r="C1" s="234"/>
      <c r="D1" s="234"/>
      <c r="E1" s="234"/>
      <c r="F1" s="83"/>
      <c r="G1" s="83"/>
      <c r="H1" s="83"/>
      <c r="I1" s="83"/>
    </row>
    <row r="2" spans="1:9" ht="15.75">
      <c r="A2" s="357"/>
      <c r="B2" s="357"/>
      <c r="C2" s="357"/>
      <c r="D2" s="357"/>
      <c r="E2" s="357"/>
      <c r="F2" s="357"/>
      <c r="G2" s="357"/>
      <c r="H2" s="357"/>
      <c r="I2" s="357"/>
    </row>
    <row r="3" spans="1:9" s="9" customFormat="1" ht="15.75">
      <c r="A3" s="367" t="s">
        <v>3</v>
      </c>
      <c r="B3" s="367"/>
      <c r="C3" s="367"/>
      <c r="D3" s="367"/>
      <c r="E3" s="367"/>
      <c r="F3" s="367"/>
      <c r="G3" s="367"/>
      <c r="H3" s="367"/>
      <c r="I3" s="367"/>
    </row>
    <row r="4" spans="1:9" s="9" customFormat="1" ht="15.75">
      <c r="A4" s="367" t="s">
        <v>41</v>
      </c>
      <c r="B4" s="367"/>
      <c r="C4" s="367"/>
      <c r="D4" s="367"/>
      <c r="E4" s="367"/>
      <c r="F4" s="367"/>
      <c r="G4" s="367"/>
      <c r="H4" s="367"/>
      <c r="I4" s="367"/>
    </row>
    <row r="5" spans="1:9" ht="15.75">
      <c r="A5" s="367" t="s">
        <v>162</v>
      </c>
      <c r="B5" s="367"/>
      <c r="C5" s="367"/>
      <c r="D5" s="367"/>
      <c r="E5" s="367"/>
      <c r="F5" s="367"/>
      <c r="G5" s="367"/>
      <c r="H5" s="367"/>
      <c r="I5" s="367"/>
    </row>
    <row r="6" ht="15.75" hidden="1"/>
    <row r="7" spans="8:9" ht="16.5" thickBot="1">
      <c r="H7" s="69"/>
      <c r="I7" s="70" t="s">
        <v>4</v>
      </c>
    </row>
    <row r="8" spans="1:9" ht="15.75">
      <c r="A8" s="348" t="s">
        <v>17</v>
      </c>
      <c r="B8" s="342"/>
      <c r="C8" s="342"/>
      <c r="D8" s="342"/>
      <c r="E8" s="342"/>
      <c r="F8" s="343"/>
      <c r="G8" s="71" t="s">
        <v>15</v>
      </c>
      <c r="H8" s="71" t="s">
        <v>15</v>
      </c>
      <c r="I8" s="71" t="s">
        <v>16</v>
      </c>
    </row>
    <row r="9" spans="1:9" ht="15.75">
      <c r="A9" s="344"/>
      <c r="B9" s="345"/>
      <c r="C9" s="345"/>
      <c r="D9" s="345"/>
      <c r="E9" s="345"/>
      <c r="F9" s="340"/>
      <c r="G9" s="72" t="s">
        <v>10</v>
      </c>
      <c r="H9" s="73" t="s">
        <v>10</v>
      </c>
      <c r="I9" s="72"/>
    </row>
    <row r="10" spans="1:9" ht="16.5" thickBot="1">
      <c r="A10" s="341"/>
      <c r="B10" s="365"/>
      <c r="C10" s="365"/>
      <c r="D10" s="365"/>
      <c r="E10" s="365"/>
      <c r="F10" s="366"/>
      <c r="G10" s="74" t="s">
        <v>67</v>
      </c>
      <c r="H10" s="74" t="s">
        <v>162</v>
      </c>
      <c r="I10" s="74" t="s">
        <v>18</v>
      </c>
    </row>
    <row r="11" spans="1:9" ht="15.75">
      <c r="A11" s="19" t="s">
        <v>55</v>
      </c>
      <c r="B11" s="347" t="s">
        <v>87</v>
      </c>
      <c r="C11" s="347"/>
      <c r="D11" s="347"/>
      <c r="E11" s="347"/>
      <c r="F11" s="347"/>
      <c r="G11" s="86"/>
      <c r="H11" s="87"/>
      <c r="I11" s="86"/>
    </row>
    <row r="12" spans="1:9" ht="15.75">
      <c r="A12" s="19"/>
      <c r="B12" s="19" t="s">
        <v>55</v>
      </c>
      <c r="C12" s="19" t="s">
        <v>88</v>
      </c>
      <c r="D12" s="19"/>
      <c r="E12" s="19"/>
      <c r="F12" s="19"/>
      <c r="G12" s="43"/>
      <c r="H12" s="43"/>
      <c r="I12" s="19"/>
    </row>
    <row r="13" spans="1:9" ht="33" customHeight="1">
      <c r="A13" s="19"/>
      <c r="B13" s="19"/>
      <c r="C13" s="19" t="s">
        <v>47</v>
      </c>
      <c r="D13" s="347" t="s">
        <v>89</v>
      </c>
      <c r="E13" s="347"/>
      <c r="F13" s="347"/>
      <c r="G13" s="87"/>
      <c r="H13" s="87"/>
      <c r="I13" s="86"/>
    </row>
    <row r="14" spans="1:9" ht="33.75" customHeight="1">
      <c r="A14" s="19"/>
      <c r="B14" s="19"/>
      <c r="C14" s="19"/>
      <c r="D14" s="19" t="s">
        <v>47</v>
      </c>
      <c r="E14" s="347" t="s">
        <v>90</v>
      </c>
      <c r="F14" s="347"/>
      <c r="G14" s="87"/>
      <c r="H14" s="87"/>
      <c r="I14" s="86"/>
    </row>
    <row r="15" spans="1:9" ht="15.75">
      <c r="A15" s="22"/>
      <c r="B15" s="22"/>
      <c r="C15" s="22"/>
      <c r="D15" s="22"/>
      <c r="E15" s="22" t="s">
        <v>62</v>
      </c>
      <c r="F15" s="22" t="s">
        <v>56</v>
      </c>
      <c r="G15" s="42"/>
      <c r="H15" s="42"/>
      <c r="I15" s="88"/>
    </row>
    <row r="16" spans="1:9" ht="15.75">
      <c r="A16" s="22"/>
      <c r="B16" s="22"/>
      <c r="C16" s="22"/>
      <c r="D16" s="22"/>
      <c r="E16" s="22"/>
      <c r="F16" s="22" t="s">
        <v>91</v>
      </c>
      <c r="G16" s="42"/>
      <c r="I16" s="88"/>
    </row>
    <row r="17" spans="1:9" ht="31.5">
      <c r="A17" s="22"/>
      <c r="B17" s="22"/>
      <c r="C17" s="22"/>
      <c r="D17" s="22"/>
      <c r="E17" s="22" t="s">
        <v>63</v>
      </c>
      <c r="F17" s="89" t="s">
        <v>57</v>
      </c>
      <c r="G17" s="90"/>
      <c r="I17" s="88"/>
    </row>
    <row r="18" spans="1:9" ht="31.5">
      <c r="A18" s="22"/>
      <c r="B18" s="22"/>
      <c r="C18" s="22"/>
      <c r="D18" s="22"/>
      <c r="E18" s="22" t="s">
        <v>92</v>
      </c>
      <c r="F18" s="89" t="s">
        <v>93</v>
      </c>
      <c r="G18" s="42">
        <v>2540</v>
      </c>
      <c r="H18" s="327">
        <v>2553</v>
      </c>
      <c r="I18" s="88">
        <f>H18/G18*100</f>
        <v>100.51181102362206</v>
      </c>
    </row>
    <row r="19" spans="1:9" ht="15.75">
      <c r="A19" s="22"/>
      <c r="B19" s="22"/>
      <c r="C19" s="22"/>
      <c r="D19" s="22"/>
      <c r="E19" s="22"/>
      <c r="F19" s="22" t="s">
        <v>91</v>
      </c>
      <c r="G19" s="42"/>
      <c r="H19" s="327"/>
      <c r="I19" s="88"/>
    </row>
    <row r="20" spans="1:9" ht="15.75">
      <c r="A20" s="22"/>
      <c r="B20" s="22"/>
      <c r="C20" s="22"/>
      <c r="D20" s="22"/>
      <c r="E20" s="22" t="s">
        <v>94</v>
      </c>
      <c r="F20" s="89" t="s">
        <v>95</v>
      </c>
      <c r="G20" s="42">
        <v>3002</v>
      </c>
      <c r="H20" s="327">
        <v>3392</v>
      </c>
      <c r="I20" s="88">
        <f aca="true" t="shared" si="0" ref="I20:I27">H20/G20*100</f>
        <v>112.99133910726182</v>
      </c>
    </row>
    <row r="21" spans="1:9" ht="15.75">
      <c r="A21" s="22"/>
      <c r="B21" s="22"/>
      <c r="C21" s="22"/>
      <c r="D21" s="22"/>
      <c r="E21" s="22"/>
      <c r="F21" s="22" t="s">
        <v>91</v>
      </c>
      <c r="G21" s="42"/>
      <c r="H21" s="327"/>
      <c r="I21" s="88"/>
    </row>
    <row r="22" spans="1:9" ht="33" customHeight="1">
      <c r="A22" s="22"/>
      <c r="B22" s="22"/>
      <c r="C22" s="22"/>
      <c r="D22" s="22"/>
      <c r="E22" s="22" t="s">
        <v>96</v>
      </c>
      <c r="F22" s="89" t="s">
        <v>97</v>
      </c>
      <c r="G22" s="42">
        <v>372</v>
      </c>
      <c r="H22" s="327">
        <v>100</v>
      </c>
      <c r="I22" s="88">
        <f t="shared" si="0"/>
        <v>26.881720430107524</v>
      </c>
    </row>
    <row r="23" spans="1:9" ht="15.75">
      <c r="A23" s="22"/>
      <c r="B23" s="22"/>
      <c r="C23" s="22"/>
      <c r="D23" s="22"/>
      <c r="E23" s="22"/>
      <c r="F23" s="22" t="s">
        <v>91</v>
      </c>
      <c r="G23" s="42"/>
      <c r="H23" s="327"/>
      <c r="I23" s="88"/>
    </row>
    <row r="24" spans="1:9" ht="15.75">
      <c r="A24" s="22"/>
      <c r="B24" s="22"/>
      <c r="C24" s="22"/>
      <c r="D24" s="22"/>
      <c r="E24" s="22" t="s">
        <v>98</v>
      </c>
      <c r="F24" s="89" t="s">
        <v>99</v>
      </c>
      <c r="G24" s="42">
        <v>7507</v>
      </c>
      <c r="H24" s="327">
        <v>7507</v>
      </c>
      <c r="I24" s="88">
        <f t="shared" si="0"/>
        <v>100</v>
      </c>
    </row>
    <row r="25" spans="1:9" s="52" customFormat="1" ht="15.75">
      <c r="A25" s="22"/>
      <c r="B25" s="22"/>
      <c r="C25" s="22"/>
      <c r="D25" s="22"/>
      <c r="E25" s="22"/>
      <c r="F25" s="22" t="s">
        <v>91</v>
      </c>
      <c r="G25" s="42"/>
      <c r="H25" s="328"/>
      <c r="I25" s="88"/>
    </row>
    <row r="26" spans="1:9" ht="15.75">
      <c r="A26" s="22"/>
      <c r="B26" s="22"/>
      <c r="C26" s="22"/>
      <c r="D26" s="22" t="s">
        <v>64</v>
      </c>
      <c r="E26" s="22" t="s">
        <v>100</v>
      </c>
      <c r="F26" s="22"/>
      <c r="G26" s="42">
        <v>4000</v>
      </c>
      <c r="H26" s="327">
        <v>4000</v>
      </c>
      <c r="I26" s="88">
        <f t="shared" si="0"/>
        <v>100</v>
      </c>
    </row>
    <row r="27" spans="1:9" ht="15.75">
      <c r="A27" s="22"/>
      <c r="B27" s="22"/>
      <c r="C27" s="22"/>
      <c r="D27" s="22"/>
      <c r="E27" s="22"/>
      <c r="F27" s="22" t="s">
        <v>91</v>
      </c>
      <c r="G27" s="42">
        <v>-69</v>
      </c>
      <c r="H27" s="327">
        <v>-239</v>
      </c>
      <c r="I27" s="88">
        <f t="shared" si="0"/>
        <v>346.3768115942029</v>
      </c>
    </row>
    <row r="28" spans="1:9" ht="15.75">
      <c r="A28" s="22"/>
      <c r="B28" s="22"/>
      <c r="C28" s="22"/>
      <c r="D28" s="22" t="s">
        <v>65</v>
      </c>
      <c r="E28" s="22" t="s">
        <v>164</v>
      </c>
      <c r="F28" s="22"/>
      <c r="G28" s="42"/>
      <c r="H28" s="327">
        <v>20</v>
      </c>
      <c r="I28" s="88"/>
    </row>
    <row r="29" spans="1:9" ht="15.75">
      <c r="A29" s="22"/>
      <c r="B29" s="22"/>
      <c r="C29" s="22"/>
      <c r="D29" s="22" t="s">
        <v>165</v>
      </c>
      <c r="E29" s="22" t="s">
        <v>116</v>
      </c>
      <c r="F29" s="22"/>
      <c r="G29" s="42"/>
      <c r="H29" s="327">
        <v>682</v>
      </c>
      <c r="I29" s="88"/>
    </row>
    <row r="30" spans="1:9" ht="15.75">
      <c r="A30" s="22"/>
      <c r="B30" s="22"/>
      <c r="C30" s="22" t="s">
        <v>24</v>
      </c>
      <c r="D30" s="355" t="s">
        <v>102</v>
      </c>
      <c r="E30" s="355"/>
      <c r="F30" s="355"/>
      <c r="G30" s="42">
        <v>5</v>
      </c>
      <c r="H30" s="327">
        <v>6</v>
      </c>
      <c r="I30" s="88">
        <f>H30/G30*100</f>
        <v>120</v>
      </c>
    </row>
    <row r="31" spans="1:9" ht="15.75">
      <c r="A31" s="22"/>
      <c r="B31" s="22"/>
      <c r="C31" s="22" t="s">
        <v>114</v>
      </c>
      <c r="D31" s="22" t="s">
        <v>166</v>
      </c>
      <c r="E31" s="22"/>
      <c r="F31" s="22"/>
      <c r="G31" s="42"/>
      <c r="H31" s="327">
        <v>48</v>
      </c>
      <c r="I31" s="88"/>
    </row>
    <row r="32" spans="1:9" s="52" customFormat="1" ht="15.75">
      <c r="A32" s="22"/>
      <c r="B32" s="22"/>
      <c r="C32" s="22"/>
      <c r="D32" s="22" t="s">
        <v>24</v>
      </c>
      <c r="E32" s="22" t="s">
        <v>101</v>
      </c>
      <c r="F32" s="22"/>
      <c r="G32" s="42">
        <v>842</v>
      </c>
      <c r="H32" s="328"/>
      <c r="I32" s="88"/>
    </row>
    <row r="33" spans="1:9" ht="15.75">
      <c r="A33" s="22"/>
      <c r="B33" s="22"/>
      <c r="C33" s="22"/>
      <c r="D33" s="22"/>
      <c r="E33" s="22"/>
      <c r="F33" s="22" t="s">
        <v>91</v>
      </c>
      <c r="G33" s="42">
        <v>-421</v>
      </c>
      <c r="H33" s="327"/>
      <c r="I33" s="88"/>
    </row>
    <row r="34" spans="1:9" ht="15.75">
      <c r="A34" s="22"/>
      <c r="B34" s="22"/>
      <c r="C34" s="22"/>
      <c r="D34" s="22"/>
      <c r="E34" s="22"/>
      <c r="F34" s="22"/>
      <c r="G34" s="42"/>
      <c r="H34" s="327"/>
      <c r="I34" s="88"/>
    </row>
    <row r="35" spans="1:9" ht="31.5" customHeight="1">
      <c r="A35" s="92"/>
      <c r="B35" s="92"/>
      <c r="C35" s="93"/>
      <c r="D35" s="368" t="s">
        <v>103</v>
      </c>
      <c r="E35" s="368"/>
      <c r="F35" s="368"/>
      <c r="G35" s="94">
        <f>SUM(G15:G34)</f>
        <v>17778</v>
      </c>
      <c r="H35" s="329">
        <f>SUM(H15:H34)</f>
        <v>18069</v>
      </c>
      <c r="I35" s="116">
        <f>H35/G35*100</f>
        <v>101.63685453931825</v>
      </c>
    </row>
    <row r="36" spans="1:9" s="52" customFormat="1" ht="15.75">
      <c r="A36" s="19"/>
      <c r="B36" s="19"/>
      <c r="C36" s="19"/>
      <c r="D36" s="85"/>
      <c r="E36" s="85"/>
      <c r="F36" s="85"/>
      <c r="G36" s="87"/>
      <c r="H36" s="328"/>
      <c r="I36" s="88"/>
    </row>
    <row r="37" spans="1:9" ht="15.75">
      <c r="A37" s="22"/>
      <c r="B37" s="22"/>
      <c r="C37" s="19" t="s">
        <v>48</v>
      </c>
      <c r="D37" s="347" t="s">
        <v>104</v>
      </c>
      <c r="E37" s="347"/>
      <c r="F37" s="347"/>
      <c r="G37" s="87"/>
      <c r="H37" s="327"/>
      <c r="I37" s="88"/>
    </row>
    <row r="38" spans="1:9" ht="15.75">
      <c r="A38" s="22"/>
      <c r="B38" s="22"/>
      <c r="C38" s="22"/>
      <c r="D38" s="22" t="s">
        <v>47</v>
      </c>
      <c r="E38" s="22" t="s">
        <v>167</v>
      </c>
      <c r="F38" s="22"/>
      <c r="G38" s="42">
        <v>782</v>
      </c>
      <c r="H38" s="327">
        <f>326</f>
        <v>326</v>
      </c>
      <c r="I38" s="88">
        <f>H38/G38*100</f>
        <v>41.687979539641944</v>
      </c>
    </row>
    <row r="39" spans="1:9" ht="30.75" customHeight="1">
      <c r="A39" s="22"/>
      <c r="B39" s="22"/>
      <c r="C39" s="22"/>
      <c r="D39" s="22" t="s">
        <v>24</v>
      </c>
      <c r="E39" s="355" t="s">
        <v>168</v>
      </c>
      <c r="F39" s="355"/>
      <c r="G39" s="42"/>
      <c r="H39" s="327">
        <v>1990</v>
      </c>
      <c r="I39" s="88"/>
    </row>
    <row r="40" spans="1:9" ht="15.75">
      <c r="A40" s="22"/>
      <c r="B40" s="22"/>
      <c r="C40" s="22"/>
      <c r="D40" s="22" t="s">
        <v>48</v>
      </c>
      <c r="E40" s="22" t="s">
        <v>105</v>
      </c>
      <c r="F40" s="22"/>
      <c r="G40" s="42">
        <f>280+830</f>
        <v>1110</v>
      </c>
      <c r="H40" s="327">
        <v>1052</v>
      </c>
      <c r="I40" s="88">
        <f>H40/G40*100</f>
        <v>94.77477477477477</v>
      </c>
    </row>
    <row r="41" spans="1:9" ht="15.75">
      <c r="A41" s="22"/>
      <c r="B41" s="22"/>
      <c r="C41" s="22"/>
      <c r="D41" s="22" t="s">
        <v>106</v>
      </c>
      <c r="E41" s="22" t="s">
        <v>107</v>
      </c>
      <c r="F41" s="22"/>
      <c r="G41" s="42">
        <v>709</v>
      </c>
      <c r="H41" s="327"/>
      <c r="I41" s="88"/>
    </row>
    <row r="42" spans="1:9" ht="15.75">
      <c r="A42" s="22"/>
      <c r="B42" s="22"/>
      <c r="C42" s="22"/>
      <c r="D42" s="22" t="s">
        <v>108</v>
      </c>
      <c r="E42" s="22" t="s">
        <v>109</v>
      </c>
      <c r="F42" s="22"/>
      <c r="G42" s="42">
        <v>2605</v>
      </c>
      <c r="H42" s="327">
        <f>3129-19</f>
        <v>3110</v>
      </c>
      <c r="I42" s="88">
        <f>H42/G42*100</f>
        <v>119.38579654510558</v>
      </c>
    </row>
    <row r="43" spans="1:9" ht="15.75">
      <c r="A43" s="22"/>
      <c r="B43" s="22"/>
      <c r="C43" s="22"/>
      <c r="D43" s="22"/>
      <c r="E43" s="22"/>
      <c r="F43" s="22"/>
      <c r="G43" s="42"/>
      <c r="H43" s="327"/>
      <c r="I43" s="88"/>
    </row>
    <row r="44" spans="1:9" ht="33.75" customHeight="1">
      <c r="A44" s="92"/>
      <c r="B44" s="92"/>
      <c r="C44" s="368" t="s">
        <v>110</v>
      </c>
      <c r="D44" s="368"/>
      <c r="E44" s="368"/>
      <c r="F44" s="368"/>
      <c r="G44" s="95">
        <f>SUM(G38:G43)</f>
        <v>5206</v>
      </c>
      <c r="H44" s="330">
        <f>SUM(H38:H43)</f>
        <v>6478</v>
      </c>
      <c r="I44" s="116">
        <f>H44/G44*100</f>
        <v>124.43334613907031</v>
      </c>
    </row>
    <row r="45" spans="1:9" ht="16.5" thickBot="1">
      <c r="A45" s="92"/>
      <c r="B45" s="92"/>
      <c r="C45" s="315"/>
      <c r="D45" s="315"/>
      <c r="E45" s="315"/>
      <c r="F45" s="315"/>
      <c r="G45" s="95"/>
      <c r="H45" s="330"/>
      <c r="I45" s="116"/>
    </row>
    <row r="46" spans="1:9" ht="15.75">
      <c r="A46" s="358" t="s">
        <v>17</v>
      </c>
      <c r="B46" s="359"/>
      <c r="C46" s="359"/>
      <c r="D46" s="359"/>
      <c r="E46" s="359"/>
      <c r="F46" s="360"/>
      <c r="G46" s="71" t="s">
        <v>15</v>
      </c>
      <c r="H46" s="71" t="s">
        <v>15</v>
      </c>
      <c r="I46" s="71" t="s">
        <v>16</v>
      </c>
    </row>
    <row r="47" spans="1:9" ht="15.75">
      <c r="A47" s="361"/>
      <c r="B47" s="362"/>
      <c r="C47" s="362"/>
      <c r="D47" s="362"/>
      <c r="E47" s="362"/>
      <c r="F47" s="363"/>
      <c r="G47" s="72" t="s">
        <v>10</v>
      </c>
      <c r="H47" s="73" t="s">
        <v>10</v>
      </c>
      <c r="I47" s="72"/>
    </row>
    <row r="48" spans="1:9" ht="16.5" thickBot="1">
      <c r="A48" s="364"/>
      <c r="B48" s="349"/>
      <c r="C48" s="349"/>
      <c r="D48" s="349"/>
      <c r="E48" s="349"/>
      <c r="F48" s="346"/>
      <c r="G48" s="74" t="s">
        <v>67</v>
      </c>
      <c r="H48" s="74" t="s">
        <v>162</v>
      </c>
      <c r="I48" s="74" t="s">
        <v>18</v>
      </c>
    </row>
    <row r="49" spans="1:9" ht="12" customHeight="1">
      <c r="A49" s="22"/>
      <c r="B49" s="22"/>
      <c r="C49" s="22"/>
      <c r="D49" s="22"/>
      <c r="E49" s="22"/>
      <c r="F49" s="22"/>
      <c r="G49" s="42"/>
      <c r="H49" s="42"/>
      <c r="I49" s="88"/>
    </row>
    <row r="50" spans="1:9" ht="31.5" customHeight="1">
      <c r="A50" s="22"/>
      <c r="B50" s="22"/>
      <c r="C50" s="19" t="s">
        <v>106</v>
      </c>
      <c r="D50" s="347" t="s">
        <v>111</v>
      </c>
      <c r="E50" s="347"/>
      <c r="F50" s="347"/>
      <c r="G50" s="87"/>
      <c r="H50" s="87"/>
      <c r="I50" s="86"/>
    </row>
    <row r="51" spans="1:9" ht="15.75">
      <c r="A51" s="22"/>
      <c r="B51" s="22"/>
      <c r="C51" s="22"/>
      <c r="D51" s="22" t="s">
        <v>47</v>
      </c>
      <c r="E51" s="355" t="s">
        <v>60</v>
      </c>
      <c r="F51" s="355"/>
      <c r="G51" s="90"/>
      <c r="H51" s="90"/>
      <c r="I51" s="89"/>
    </row>
    <row r="52" spans="1:9" ht="31.5">
      <c r="A52" s="22"/>
      <c r="B52" s="22"/>
      <c r="C52" s="22"/>
      <c r="D52" s="22"/>
      <c r="E52" s="22" t="s">
        <v>65</v>
      </c>
      <c r="F52" s="89" t="s">
        <v>112</v>
      </c>
      <c r="G52" s="42">
        <v>808</v>
      </c>
      <c r="H52" s="90">
        <v>1200</v>
      </c>
      <c r="I52" s="88">
        <f>H52/G52*100</f>
        <v>148.5148514851485</v>
      </c>
    </row>
    <row r="53" spans="1:9" ht="12" customHeight="1">
      <c r="A53" s="22"/>
      <c r="B53" s="22"/>
      <c r="C53" s="22"/>
      <c r="D53" s="22"/>
      <c r="E53" s="22"/>
      <c r="F53" s="22"/>
      <c r="G53" s="42"/>
      <c r="H53" s="42"/>
      <c r="I53" s="88"/>
    </row>
    <row r="54" spans="1:9" ht="15.75">
      <c r="A54" s="92"/>
      <c r="B54" s="92"/>
      <c r="C54" s="369" t="s">
        <v>113</v>
      </c>
      <c r="D54" s="369"/>
      <c r="E54" s="369"/>
      <c r="F54" s="369"/>
      <c r="G54" s="95">
        <f>SUM(G52:G53)</f>
        <v>808</v>
      </c>
      <c r="H54" s="95">
        <f>SUM(H52:H53)</f>
        <v>1200</v>
      </c>
      <c r="I54" s="116">
        <f>H54/G54*100</f>
        <v>148.5148514851485</v>
      </c>
    </row>
    <row r="55" spans="1:9" ht="12" customHeight="1">
      <c r="A55" s="22"/>
      <c r="B55" s="22"/>
      <c r="C55" s="22"/>
      <c r="D55" s="22"/>
      <c r="E55" s="22"/>
      <c r="F55" s="22"/>
      <c r="G55" s="42"/>
      <c r="H55" s="42"/>
      <c r="I55" s="88"/>
    </row>
    <row r="56" spans="1:9" ht="15.75">
      <c r="A56" s="22"/>
      <c r="B56" s="22"/>
      <c r="C56" s="19" t="s">
        <v>108</v>
      </c>
      <c r="D56" s="347" t="s">
        <v>414</v>
      </c>
      <c r="E56" s="347"/>
      <c r="F56" s="347"/>
      <c r="G56" s="87"/>
      <c r="H56" s="87"/>
      <c r="I56" s="86"/>
    </row>
    <row r="57" spans="1:9" ht="15.75">
      <c r="A57" s="22"/>
      <c r="B57" s="22"/>
      <c r="C57" s="22"/>
      <c r="D57" s="22" t="s">
        <v>47</v>
      </c>
      <c r="E57" s="355" t="s">
        <v>415</v>
      </c>
      <c r="F57" s="355"/>
      <c r="G57" s="90"/>
      <c r="H57" s="90">
        <f>186+151</f>
        <v>337</v>
      </c>
      <c r="I57" s="89"/>
    </row>
    <row r="58" spans="1:9" ht="15.75">
      <c r="A58" s="22"/>
      <c r="B58" s="22"/>
      <c r="C58" s="22"/>
      <c r="D58" s="22"/>
      <c r="E58" s="101"/>
      <c r="F58" s="101"/>
      <c r="G58" s="90"/>
      <c r="H58" s="90"/>
      <c r="I58" s="89"/>
    </row>
    <row r="59" spans="1:9" ht="15.75">
      <c r="A59" s="92"/>
      <c r="B59" s="92"/>
      <c r="C59" s="369" t="s">
        <v>416</v>
      </c>
      <c r="D59" s="369"/>
      <c r="E59" s="369"/>
      <c r="F59" s="369"/>
      <c r="G59" s="95"/>
      <c r="H59" s="95">
        <f>H57</f>
        <v>337</v>
      </c>
      <c r="I59" s="116"/>
    </row>
    <row r="60" spans="1:9" ht="12" customHeight="1">
      <c r="A60" s="22"/>
      <c r="B60" s="22"/>
      <c r="C60" s="22"/>
      <c r="D60" s="22"/>
      <c r="E60" s="22"/>
      <c r="F60" s="22"/>
      <c r="G60" s="42"/>
      <c r="H60" s="42"/>
      <c r="I60" s="88"/>
    </row>
    <row r="61" spans="1:9" ht="15.75">
      <c r="A61" s="98"/>
      <c r="B61" s="98"/>
      <c r="C61" s="102" t="s">
        <v>114</v>
      </c>
      <c r="D61" s="19" t="s">
        <v>115</v>
      </c>
      <c r="E61" s="98"/>
      <c r="F61" s="98"/>
      <c r="G61" s="103"/>
      <c r="H61" s="103"/>
      <c r="I61" s="88"/>
    </row>
    <row r="62" spans="1:9" ht="15.75">
      <c r="A62" s="98"/>
      <c r="B62" s="98"/>
      <c r="C62" s="98"/>
      <c r="D62" s="98" t="s">
        <v>47</v>
      </c>
      <c r="E62" s="370" t="s">
        <v>116</v>
      </c>
      <c r="F62" s="370"/>
      <c r="G62" s="103">
        <v>280</v>
      </c>
      <c r="H62" s="103"/>
      <c r="I62" s="88"/>
    </row>
    <row r="63" spans="1:9" ht="15.75">
      <c r="A63" s="98"/>
      <c r="B63" s="98"/>
      <c r="C63" s="8"/>
      <c r="D63" s="98" t="s">
        <v>24</v>
      </c>
      <c r="E63" s="104" t="s">
        <v>117</v>
      </c>
      <c r="F63" s="98"/>
      <c r="G63" s="103">
        <v>21</v>
      </c>
      <c r="H63" s="103"/>
      <c r="I63" s="88"/>
    </row>
    <row r="64" spans="1:9" ht="12" customHeight="1">
      <c r="A64" s="22"/>
      <c r="B64" s="22"/>
      <c r="C64" s="22"/>
      <c r="D64" s="22"/>
      <c r="E64" s="22"/>
      <c r="F64" s="22"/>
      <c r="G64" s="42"/>
      <c r="H64" s="42"/>
      <c r="I64" s="88"/>
    </row>
    <row r="65" spans="1:9" ht="15.75">
      <c r="A65" s="22"/>
      <c r="B65" s="22"/>
      <c r="C65" s="92" t="s">
        <v>163</v>
      </c>
      <c r="D65" s="22"/>
      <c r="E65" s="22"/>
      <c r="F65" s="22"/>
      <c r="G65" s="95">
        <f>SUM(G62:G64)</f>
        <v>301</v>
      </c>
      <c r="H65" s="95"/>
      <c r="I65" s="88"/>
    </row>
    <row r="66" spans="1:9" ht="12" customHeight="1">
      <c r="A66" s="22"/>
      <c r="B66" s="22"/>
      <c r="C66" s="19"/>
      <c r="D66" s="22"/>
      <c r="E66" s="22"/>
      <c r="F66" s="22"/>
      <c r="G66" s="42"/>
      <c r="H66" s="42"/>
      <c r="I66" s="88"/>
    </row>
    <row r="67" spans="1:9" ht="15.75">
      <c r="A67" s="98"/>
      <c r="B67" s="347" t="s">
        <v>118</v>
      </c>
      <c r="C67" s="347"/>
      <c r="D67" s="347"/>
      <c r="E67" s="347"/>
      <c r="F67" s="347"/>
      <c r="G67" s="105">
        <f>G35+G44+G54+G65</f>
        <v>24093</v>
      </c>
      <c r="H67" s="105">
        <f>H35+H44+H54+H65+H59</f>
        <v>26084</v>
      </c>
      <c r="I67" s="106">
        <f>H67/G67*100</f>
        <v>108.2638110654547</v>
      </c>
    </row>
    <row r="68" spans="1:9" ht="12" customHeight="1">
      <c r="A68" s="22"/>
      <c r="B68" s="22"/>
      <c r="C68" s="22"/>
      <c r="D68" s="22"/>
      <c r="E68" s="22"/>
      <c r="F68" s="22"/>
      <c r="G68" s="42"/>
      <c r="H68" s="42"/>
      <c r="I68" s="88"/>
    </row>
    <row r="69" spans="1:9" ht="15.75">
      <c r="A69" s="98"/>
      <c r="B69" s="19" t="s">
        <v>58</v>
      </c>
      <c r="C69" s="347" t="s">
        <v>119</v>
      </c>
      <c r="D69" s="347"/>
      <c r="E69" s="347"/>
      <c r="F69" s="347"/>
      <c r="G69" s="86"/>
      <c r="H69" s="87"/>
      <c r="I69" s="88"/>
    </row>
    <row r="70" spans="1:9" ht="31.5" customHeight="1">
      <c r="A70" s="98"/>
      <c r="B70" s="98"/>
      <c r="C70" s="8" t="s">
        <v>47</v>
      </c>
      <c r="D70" s="356" t="s">
        <v>86</v>
      </c>
      <c r="E70" s="356"/>
      <c r="F70" s="356"/>
      <c r="G70" s="103">
        <v>7433</v>
      </c>
      <c r="H70" s="103"/>
      <c r="I70" s="88"/>
    </row>
    <row r="71" spans="1:9" ht="15.75">
      <c r="A71" s="22"/>
      <c r="B71" s="22"/>
      <c r="C71" s="22" t="s">
        <v>24</v>
      </c>
      <c r="D71" s="22" t="s">
        <v>120</v>
      </c>
      <c r="E71" s="22"/>
      <c r="F71" s="22"/>
      <c r="G71" s="103">
        <v>437</v>
      </c>
      <c r="H71" s="42">
        <f>633+714</f>
        <v>1347</v>
      </c>
      <c r="I71" s="88"/>
    </row>
    <row r="72" spans="1:9" ht="30" customHeight="1">
      <c r="A72" s="22"/>
      <c r="B72" s="22"/>
      <c r="C72" s="22" t="s">
        <v>48</v>
      </c>
      <c r="D72" s="356" t="s">
        <v>409</v>
      </c>
      <c r="E72" s="356"/>
      <c r="F72" s="356"/>
      <c r="G72" s="103"/>
      <c r="H72" s="42">
        <v>46</v>
      </c>
      <c r="I72" s="88"/>
    </row>
    <row r="73" spans="1:9" ht="12" customHeight="1">
      <c r="A73" s="22"/>
      <c r="B73" s="22"/>
      <c r="C73" s="22"/>
      <c r="D73" s="22"/>
      <c r="E73" s="22"/>
      <c r="F73" s="22"/>
      <c r="G73" s="42"/>
      <c r="H73" s="42"/>
      <c r="I73" s="88"/>
    </row>
    <row r="74" spans="1:9" ht="15.75" customHeight="1">
      <c r="A74" s="98"/>
      <c r="B74" s="347" t="s">
        <v>121</v>
      </c>
      <c r="C74" s="347"/>
      <c r="D74" s="347"/>
      <c r="E74" s="347"/>
      <c r="F74" s="347"/>
      <c r="G74" s="105">
        <f>SUM(G70:G73)</f>
        <v>7870</v>
      </c>
      <c r="H74" s="105">
        <f>SUM(H70:H73)</f>
        <v>1393</v>
      </c>
      <c r="I74" s="106"/>
    </row>
    <row r="75" spans="1:9" ht="12" customHeight="1">
      <c r="A75" s="22"/>
      <c r="B75" s="22"/>
      <c r="C75" s="22"/>
      <c r="D75" s="22"/>
      <c r="E75" s="22"/>
      <c r="F75" s="22"/>
      <c r="G75" s="42"/>
      <c r="H75" s="42"/>
      <c r="I75" s="88"/>
    </row>
    <row r="76" spans="1:9" ht="36" customHeight="1">
      <c r="A76" s="347" t="s">
        <v>122</v>
      </c>
      <c r="B76" s="347"/>
      <c r="C76" s="347"/>
      <c r="D76" s="347"/>
      <c r="E76" s="347"/>
      <c r="F76" s="347"/>
      <c r="G76" s="107">
        <f>G74+G67</f>
        <v>31963</v>
      </c>
      <c r="H76" s="107">
        <f>H74+H67</f>
        <v>27477</v>
      </c>
      <c r="I76" s="88">
        <f>H76/G76*100</f>
        <v>85.96502205675311</v>
      </c>
    </row>
    <row r="77" spans="1:9" ht="5.25" customHeight="1">
      <c r="A77" s="22"/>
      <c r="B77" s="22"/>
      <c r="C77" s="22"/>
      <c r="D77" s="22"/>
      <c r="E77" s="22"/>
      <c r="F77" s="22"/>
      <c r="G77" s="42"/>
      <c r="H77" s="42"/>
      <c r="I77" s="88"/>
    </row>
    <row r="78" spans="1:9" s="75" customFormat="1" ht="15.75" customHeight="1">
      <c r="A78" s="19" t="s">
        <v>58</v>
      </c>
      <c r="B78" s="347" t="s">
        <v>123</v>
      </c>
      <c r="C78" s="347"/>
      <c r="D78" s="347"/>
      <c r="E78" s="347"/>
      <c r="F78" s="347"/>
      <c r="G78" s="86"/>
      <c r="H78" s="87"/>
      <c r="I78" s="88"/>
    </row>
    <row r="79" spans="1:9" ht="4.5" customHeight="1">
      <c r="A79" s="22"/>
      <c r="B79" s="22"/>
      <c r="C79" s="22"/>
      <c r="D79" s="22"/>
      <c r="E79" s="22"/>
      <c r="F79" s="22"/>
      <c r="G79" s="42"/>
      <c r="H79" s="42"/>
      <c r="I79" s="88"/>
    </row>
    <row r="80" spans="1:9" s="75" customFormat="1" ht="27.75" customHeight="1">
      <c r="A80" s="22"/>
      <c r="B80" s="19" t="s">
        <v>47</v>
      </c>
      <c r="C80" s="347" t="s">
        <v>124</v>
      </c>
      <c r="D80" s="347"/>
      <c r="E80" s="347"/>
      <c r="F80" s="347"/>
      <c r="G80" s="86"/>
      <c r="H80" s="87"/>
      <c r="I80" s="88"/>
    </row>
    <row r="81" spans="3:9" ht="35.25" customHeight="1">
      <c r="C81" s="335" t="s">
        <v>47</v>
      </c>
      <c r="D81" s="356" t="s">
        <v>85</v>
      </c>
      <c r="E81" s="356"/>
      <c r="F81" s="356"/>
      <c r="G81" s="108">
        <v>4390</v>
      </c>
      <c r="H81" s="108"/>
      <c r="I81" s="10"/>
    </row>
    <row r="82" spans="3:9" ht="35.25" customHeight="1">
      <c r="C82" s="66" t="s">
        <v>24</v>
      </c>
      <c r="D82" s="356" t="s">
        <v>169</v>
      </c>
      <c r="E82" s="356"/>
      <c r="F82" s="356"/>
      <c r="G82" s="108"/>
      <c r="H82" s="108">
        <f>9743+185</f>
        <v>9928</v>
      </c>
      <c r="I82" s="10"/>
    </row>
    <row r="83" spans="1:9" ht="22.5" customHeight="1">
      <c r="A83" s="22"/>
      <c r="B83" s="22"/>
      <c r="C83" s="22" t="s">
        <v>48</v>
      </c>
      <c r="D83" s="356" t="s">
        <v>447</v>
      </c>
      <c r="E83" s="356"/>
      <c r="F83" s="356"/>
      <c r="G83" s="42"/>
      <c r="H83" s="42">
        <v>21562</v>
      </c>
      <c r="I83" s="88"/>
    </row>
    <row r="84" spans="1:9" ht="30" customHeight="1">
      <c r="A84" s="22"/>
      <c r="B84" s="22"/>
      <c r="C84" s="335" t="s">
        <v>106</v>
      </c>
      <c r="D84" s="356" t="s">
        <v>460</v>
      </c>
      <c r="E84" s="356"/>
      <c r="F84" s="356"/>
      <c r="G84" s="42"/>
      <c r="H84" s="42">
        <v>10000</v>
      </c>
      <c r="I84" s="88"/>
    </row>
    <row r="85" spans="1:9" ht="15.75">
      <c r="A85" s="98"/>
      <c r="B85" s="347" t="s">
        <v>125</v>
      </c>
      <c r="C85" s="347"/>
      <c r="D85" s="347"/>
      <c r="E85" s="347"/>
      <c r="F85" s="347"/>
      <c r="G85" s="109">
        <f>SUM(G81:G83)</f>
        <v>4390</v>
      </c>
      <c r="H85" s="109">
        <f>SUM(H81:H84)</f>
        <v>41490</v>
      </c>
      <c r="I85" s="88">
        <f>H85/G85*100</f>
        <v>945.1025056947609</v>
      </c>
    </row>
    <row r="86" spans="1:9" ht="3" customHeight="1">
      <c r="A86" s="22"/>
      <c r="B86" s="22"/>
      <c r="C86" s="22"/>
      <c r="D86" s="22"/>
      <c r="E86" s="22"/>
      <c r="F86" s="22"/>
      <c r="G86" s="42"/>
      <c r="H86" s="42"/>
      <c r="I86" s="88"/>
    </row>
    <row r="87" spans="1:9" ht="34.5" customHeight="1">
      <c r="A87" s="347" t="s">
        <v>126</v>
      </c>
      <c r="B87" s="347"/>
      <c r="C87" s="347"/>
      <c r="D87" s="347"/>
      <c r="E87" s="347"/>
      <c r="F87" s="347"/>
      <c r="G87" s="105">
        <f>G85</f>
        <v>4390</v>
      </c>
      <c r="H87" s="105">
        <f>H85</f>
        <v>41490</v>
      </c>
      <c r="I87" s="106">
        <f>H87/G87*100</f>
        <v>945.1025056947609</v>
      </c>
    </row>
    <row r="88" spans="1:9" ht="6.75" customHeight="1">
      <c r="A88" s="22"/>
      <c r="B88" s="22"/>
      <c r="C88" s="22"/>
      <c r="D88" s="22"/>
      <c r="E88" s="22"/>
      <c r="F88" s="22"/>
      <c r="G88" s="42"/>
      <c r="H88" s="42"/>
      <c r="I88" s="88"/>
    </row>
    <row r="89" spans="1:9" ht="15.75">
      <c r="A89" s="19" t="s">
        <v>59</v>
      </c>
      <c r="B89" s="19" t="s">
        <v>127</v>
      </c>
      <c r="C89" s="19"/>
      <c r="D89" s="19"/>
      <c r="E89" s="19"/>
      <c r="F89" s="19"/>
      <c r="G89" s="19"/>
      <c r="H89" s="43"/>
      <c r="I89" s="88"/>
    </row>
    <row r="90" spans="1:9" ht="3.75" customHeight="1">
      <c r="A90" s="22"/>
      <c r="B90" s="22"/>
      <c r="C90" s="22"/>
      <c r="D90" s="22"/>
      <c r="E90" s="22"/>
      <c r="F90" s="22"/>
      <c r="G90" s="42"/>
      <c r="H90" s="42"/>
      <c r="I90" s="88"/>
    </row>
    <row r="91" spans="1:9" ht="15.75">
      <c r="A91" s="22"/>
      <c r="B91" s="22" t="s">
        <v>47</v>
      </c>
      <c r="C91" s="22" t="s">
        <v>128</v>
      </c>
      <c r="D91" s="22"/>
      <c r="E91" s="22"/>
      <c r="F91" s="22"/>
      <c r="G91" s="22"/>
      <c r="H91" s="42"/>
      <c r="I91" s="88"/>
    </row>
    <row r="92" spans="1:9" ht="15.75">
      <c r="A92" s="22"/>
      <c r="B92" s="22"/>
      <c r="C92" s="22" t="s">
        <v>47</v>
      </c>
      <c r="D92" s="22" t="s">
        <v>129</v>
      </c>
      <c r="E92" s="22"/>
      <c r="F92" s="22"/>
      <c r="G92" s="103">
        <v>1600</v>
      </c>
      <c r="H92" s="42">
        <v>1500</v>
      </c>
      <c r="I92" s="88">
        <f>H92/G92*100</f>
        <v>93.75</v>
      </c>
    </row>
    <row r="93" spans="1:9" ht="16.5" thickBot="1">
      <c r="A93" s="371" t="s">
        <v>486</v>
      </c>
      <c r="B93" s="371"/>
      <c r="C93" s="371"/>
      <c r="D93" s="371"/>
      <c r="E93" s="371"/>
      <c r="F93" s="371"/>
      <c r="G93" s="371"/>
      <c r="H93" s="371"/>
      <c r="I93" s="371"/>
    </row>
    <row r="94" spans="1:9" ht="15.75" customHeight="1">
      <c r="A94" s="358" t="s">
        <v>17</v>
      </c>
      <c r="B94" s="359"/>
      <c r="C94" s="359"/>
      <c r="D94" s="359"/>
      <c r="E94" s="359"/>
      <c r="F94" s="360"/>
      <c r="G94" s="96" t="s">
        <v>15</v>
      </c>
      <c r="H94" s="96" t="s">
        <v>15</v>
      </c>
      <c r="I94" s="97" t="s">
        <v>16</v>
      </c>
    </row>
    <row r="95" spans="1:9" ht="15.75">
      <c r="A95" s="361"/>
      <c r="B95" s="362"/>
      <c r="C95" s="362"/>
      <c r="D95" s="362"/>
      <c r="E95" s="362"/>
      <c r="F95" s="363"/>
      <c r="G95" s="99" t="s">
        <v>10</v>
      </c>
      <c r="H95" s="99" t="s">
        <v>10</v>
      </c>
      <c r="I95" s="72"/>
    </row>
    <row r="96" spans="1:9" s="75" customFormat="1" ht="15.75" customHeight="1" thickBot="1">
      <c r="A96" s="364"/>
      <c r="B96" s="349"/>
      <c r="C96" s="349"/>
      <c r="D96" s="349"/>
      <c r="E96" s="349"/>
      <c r="F96" s="346"/>
      <c r="G96" s="100" t="s">
        <v>67</v>
      </c>
      <c r="H96" s="100" t="s">
        <v>252</v>
      </c>
      <c r="I96" s="74" t="s">
        <v>18</v>
      </c>
    </row>
    <row r="97" spans="1:9" ht="15.75">
      <c r="A97" s="19"/>
      <c r="B97" s="19" t="s">
        <v>24</v>
      </c>
      <c r="C97" s="19" t="s">
        <v>130</v>
      </c>
      <c r="D97" s="19"/>
      <c r="E97" s="19"/>
      <c r="F97" s="19"/>
      <c r="G97" s="19"/>
      <c r="H97" s="43"/>
      <c r="I97" s="88"/>
    </row>
    <row r="98" spans="1:9" s="9" customFormat="1" ht="15.75">
      <c r="A98" s="22"/>
      <c r="B98" s="22"/>
      <c r="C98" s="22" t="s">
        <v>47</v>
      </c>
      <c r="D98" s="22" t="s">
        <v>131</v>
      </c>
      <c r="E98" s="22"/>
      <c r="F98" s="22"/>
      <c r="G98" s="103">
        <v>4500</v>
      </c>
      <c r="H98" s="42">
        <v>3900</v>
      </c>
      <c r="I98" s="88">
        <f>H98/G98*100</f>
        <v>86.66666666666667</v>
      </c>
    </row>
    <row r="99" spans="1:9" ht="15.75">
      <c r="A99" s="19"/>
      <c r="B99" s="19" t="s">
        <v>48</v>
      </c>
      <c r="C99" s="19" t="s">
        <v>132</v>
      </c>
      <c r="D99" s="19"/>
      <c r="E99" s="19"/>
      <c r="F99" s="19"/>
      <c r="G99" s="103"/>
      <c r="H99" s="43"/>
      <c r="I99" s="88"/>
    </row>
    <row r="100" spans="1:9" ht="15.75">
      <c r="A100" s="22"/>
      <c r="B100" s="22"/>
      <c r="C100" s="22" t="s">
        <v>47</v>
      </c>
      <c r="D100" s="22" t="s">
        <v>133</v>
      </c>
      <c r="E100" s="22"/>
      <c r="F100" s="22"/>
      <c r="G100" s="103">
        <v>1760</v>
      </c>
      <c r="H100" s="42">
        <v>1913</v>
      </c>
      <c r="I100" s="88">
        <f>H100/G100*100</f>
        <v>108.69318181818181</v>
      </c>
    </row>
    <row r="101" spans="1:9" ht="15.75">
      <c r="A101" s="22"/>
      <c r="B101" s="19" t="s">
        <v>106</v>
      </c>
      <c r="C101" s="19" t="s">
        <v>134</v>
      </c>
      <c r="D101" s="22"/>
      <c r="E101" s="22"/>
      <c r="F101" s="22"/>
      <c r="G101" s="103"/>
      <c r="H101" s="42"/>
      <c r="I101" s="88"/>
    </row>
    <row r="102" spans="1:9" ht="15.75">
      <c r="A102" s="22"/>
      <c r="B102" s="22"/>
      <c r="C102" s="22" t="s">
        <v>47</v>
      </c>
      <c r="D102" s="22" t="s">
        <v>135</v>
      </c>
      <c r="E102" s="22"/>
      <c r="F102" s="22"/>
      <c r="G102" s="103">
        <v>400</v>
      </c>
      <c r="H102" s="42">
        <v>140</v>
      </c>
      <c r="I102" s="88">
        <f>H102/G102*100</f>
        <v>35</v>
      </c>
    </row>
    <row r="103" spans="1:9" ht="15.75">
      <c r="A103" s="22"/>
      <c r="B103" s="22"/>
      <c r="C103" s="19" t="s">
        <v>24</v>
      </c>
      <c r="D103" s="22" t="s">
        <v>84</v>
      </c>
      <c r="E103" s="22"/>
      <c r="F103" s="22"/>
      <c r="G103" s="103">
        <v>357</v>
      </c>
      <c r="H103" s="42">
        <v>280</v>
      </c>
      <c r="I103" s="88">
        <f>H103/G103*100</f>
        <v>78.43137254901961</v>
      </c>
    </row>
    <row r="104" spans="1:9" ht="15.75">
      <c r="A104" s="19"/>
      <c r="B104" s="19" t="s">
        <v>108</v>
      </c>
      <c r="C104" s="19" t="s">
        <v>136</v>
      </c>
      <c r="D104" s="19"/>
      <c r="E104" s="19"/>
      <c r="F104" s="19"/>
      <c r="G104" s="103"/>
      <c r="H104" s="43"/>
      <c r="I104" s="88"/>
    </row>
    <row r="105" spans="1:9" ht="15.75">
      <c r="A105" s="22"/>
      <c r="B105" s="22"/>
      <c r="C105" s="19" t="s">
        <v>47</v>
      </c>
      <c r="D105" s="22" t="s">
        <v>137</v>
      </c>
      <c r="E105" s="22"/>
      <c r="F105" s="22"/>
      <c r="G105" s="103">
        <v>30</v>
      </c>
      <c r="H105" s="42">
        <v>5</v>
      </c>
      <c r="I105" s="88">
        <f>H105/G105*100</f>
        <v>16.666666666666664</v>
      </c>
    </row>
    <row r="106" spans="1:9" ht="15.75" customHeight="1">
      <c r="A106" s="98"/>
      <c r="B106" s="98"/>
      <c r="C106" s="98" t="s">
        <v>48</v>
      </c>
      <c r="D106" s="104" t="s">
        <v>136</v>
      </c>
      <c r="E106" s="98"/>
      <c r="F106" s="98"/>
      <c r="G106" s="103">
        <v>30</v>
      </c>
      <c r="H106" s="103"/>
      <c r="I106" s="88"/>
    </row>
    <row r="107" spans="1:9" ht="15.75">
      <c r="A107" s="22"/>
      <c r="B107" s="22"/>
      <c r="C107" s="19" t="s">
        <v>106</v>
      </c>
      <c r="D107" s="22" t="s">
        <v>138</v>
      </c>
      <c r="E107" s="22"/>
      <c r="F107" s="22"/>
      <c r="G107" s="103">
        <v>120</v>
      </c>
      <c r="H107" s="42">
        <v>75</v>
      </c>
      <c r="I107" s="88">
        <f>H107/G107*100</f>
        <v>62.5</v>
      </c>
    </row>
    <row r="108" spans="1:9" ht="9" customHeight="1">
      <c r="A108" s="98"/>
      <c r="B108" s="98"/>
      <c r="C108" s="98"/>
      <c r="D108" s="98"/>
      <c r="E108" s="98"/>
      <c r="F108" s="98"/>
      <c r="G108" s="103"/>
      <c r="H108" s="103"/>
      <c r="I108" s="88"/>
    </row>
    <row r="109" spans="1:9" s="9" customFormat="1" ht="15.75">
      <c r="A109" s="19" t="s">
        <v>68</v>
      </c>
      <c r="B109" s="98"/>
      <c r="C109" s="98"/>
      <c r="D109" s="98"/>
      <c r="E109" s="98"/>
      <c r="F109" s="98"/>
      <c r="G109" s="105">
        <f>G92+G98+G100+G102+G103+G105+G106+G107</f>
        <v>8797</v>
      </c>
      <c r="H109" s="105">
        <f>H92+H98+H100+H102+H103+H105+H106+H107</f>
        <v>7813</v>
      </c>
      <c r="I109" s="106">
        <f>H109/G109*100</f>
        <v>88.81436853472775</v>
      </c>
    </row>
    <row r="110" spans="1:9" ht="9" customHeight="1">
      <c r="A110" s="98"/>
      <c r="B110" s="98"/>
      <c r="C110" s="98"/>
      <c r="D110" s="98"/>
      <c r="E110" s="98"/>
      <c r="F110" s="98"/>
      <c r="G110" s="103"/>
      <c r="H110" s="103"/>
      <c r="I110" s="88"/>
    </row>
    <row r="111" spans="1:9" ht="15.75">
      <c r="A111" s="19" t="s">
        <v>139</v>
      </c>
      <c r="B111" s="19" t="s">
        <v>61</v>
      </c>
      <c r="C111" s="19"/>
      <c r="D111" s="19"/>
      <c r="E111" s="19"/>
      <c r="F111" s="19"/>
      <c r="G111" s="19"/>
      <c r="H111" s="43"/>
      <c r="I111" s="88"/>
    </row>
    <row r="112" spans="1:9" ht="9" customHeight="1">
      <c r="A112" s="98"/>
      <c r="B112" s="98"/>
      <c r="C112" s="98"/>
      <c r="D112" s="98"/>
      <c r="E112" s="98"/>
      <c r="F112" s="98"/>
      <c r="G112" s="103"/>
      <c r="H112" s="103"/>
      <c r="I112" s="88"/>
    </row>
    <row r="113" spans="1:9" ht="15.75">
      <c r="A113" s="98"/>
      <c r="B113" s="98" t="s">
        <v>47</v>
      </c>
      <c r="C113" s="370" t="s">
        <v>140</v>
      </c>
      <c r="D113" s="370"/>
      <c r="E113" s="370"/>
      <c r="F113" s="370"/>
      <c r="G113" s="103"/>
      <c r="H113" s="103"/>
      <c r="I113" s="88"/>
    </row>
    <row r="114" spans="1:9" ht="15.75">
      <c r="A114" s="98"/>
      <c r="B114" s="98"/>
      <c r="C114" s="98" t="s">
        <v>47</v>
      </c>
      <c r="D114" s="104" t="s">
        <v>148</v>
      </c>
      <c r="E114" s="104"/>
      <c r="F114" s="104"/>
      <c r="G114" s="103">
        <v>183</v>
      </c>
      <c r="H114" s="103">
        <v>180</v>
      </c>
      <c r="I114" s="88">
        <f>H114/G114*100</f>
        <v>98.36065573770492</v>
      </c>
    </row>
    <row r="115" spans="1:9" ht="15.75">
      <c r="A115" s="98"/>
      <c r="B115" s="98"/>
      <c r="C115" s="98" t="s">
        <v>24</v>
      </c>
      <c r="D115" s="104" t="s">
        <v>143</v>
      </c>
      <c r="E115" s="104"/>
      <c r="F115" s="104"/>
      <c r="G115" s="103"/>
      <c r="H115" s="103"/>
      <c r="I115" s="88"/>
    </row>
    <row r="116" spans="1:9" ht="15.75">
      <c r="A116" s="98"/>
      <c r="B116" s="98"/>
      <c r="C116" s="98"/>
      <c r="D116" s="104" t="s">
        <v>47</v>
      </c>
      <c r="E116" s="104" t="s">
        <v>144</v>
      </c>
      <c r="F116" s="104"/>
      <c r="G116" s="103">
        <v>76</v>
      </c>
      <c r="H116" s="103">
        <v>20</v>
      </c>
      <c r="I116" s="88">
        <f>H116/G116*100</f>
        <v>26.31578947368421</v>
      </c>
    </row>
    <row r="117" spans="1:9" ht="15.75">
      <c r="A117" s="98"/>
      <c r="B117" s="98"/>
      <c r="C117" s="98"/>
      <c r="D117" s="104" t="s">
        <v>24</v>
      </c>
      <c r="E117" s="104" t="s">
        <v>145</v>
      </c>
      <c r="F117" s="104"/>
      <c r="G117" s="103">
        <v>381</v>
      </c>
      <c r="H117" s="103">
        <v>820</v>
      </c>
      <c r="I117" s="88">
        <f>H117/G117*100</f>
        <v>215.2230971128609</v>
      </c>
    </row>
    <row r="118" spans="1:9" ht="15.75">
      <c r="A118" s="98"/>
      <c r="B118" s="98"/>
      <c r="C118" s="98"/>
      <c r="D118" s="104" t="s">
        <v>48</v>
      </c>
      <c r="E118" s="104" t="s">
        <v>431</v>
      </c>
      <c r="F118" s="104"/>
      <c r="G118" s="103">
        <v>10</v>
      </c>
      <c r="H118" s="103">
        <v>2</v>
      </c>
      <c r="I118" s="88">
        <f>H118/G118*100</f>
        <v>20</v>
      </c>
    </row>
    <row r="119" spans="1:9" ht="15.75">
      <c r="A119" s="98"/>
      <c r="B119" s="98"/>
      <c r="C119" s="98"/>
      <c r="D119" s="104" t="s">
        <v>106</v>
      </c>
      <c r="E119" s="104" t="s">
        <v>69</v>
      </c>
      <c r="F119" s="104"/>
      <c r="G119" s="103">
        <v>8</v>
      </c>
      <c r="H119" s="103">
        <v>1</v>
      </c>
      <c r="I119" s="88">
        <f>H119/G119*100</f>
        <v>12.5</v>
      </c>
    </row>
    <row r="120" spans="1:9" ht="15.75">
      <c r="A120" s="98"/>
      <c r="B120" s="98"/>
      <c r="C120" s="98"/>
      <c r="D120" s="104" t="s">
        <v>108</v>
      </c>
      <c r="E120" s="104" t="s">
        <v>432</v>
      </c>
      <c r="F120" s="104"/>
      <c r="G120" s="103">
        <v>35</v>
      </c>
      <c r="H120" s="103">
        <v>85</v>
      </c>
      <c r="I120" s="88">
        <f>H120/G120*100</f>
        <v>242.85714285714283</v>
      </c>
    </row>
    <row r="121" spans="1:9" ht="15.75">
      <c r="A121" s="98"/>
      <c r="B121" s="98"/>
      <c r="C121" s="98" t="s">
        <v>48</v>
      </c>
      <c r="D121" s="104" t="s">
        <v>170</v>
      </c>
      <c r="E121" s="104"/>
      <c r="F121" s="104"/>
      <c r="G121" s="103"/>
      <c r="H121" s="103"/>
      <c r="I121" s="88"/>
    </row>
    <row r="122" spans="1:9" ht="15.75">
      <c r="A122" s="98"/>
      <c r="B122" s="98"/>
      <c r="D122" s="98" t="s">
        <v>47</v>
      </c>
      <c r="E122" s="104" t="s">
        <v>141</v>
      </c>
      <c r="F122" s="98"/>
      <c r="G122" s="103">
        <v>2</v>
      </c>
      <c r="H122" s="103">
        <v>40</v>
      </c>
      <c r="I122" s="88">
        <f>H122/G122*100</f>
        <v>2000</v>
      </c>
    </row>
    <row r="123" spans="1:9" ht="15.75">
      <c r="A123" s="98"/>
      <c r="B123" s="98"/>
      <c r="D123" s="98" t="s">
        <v>24</v>
      </c>
      <c r="E123" s="104" t="s">
        <v>142</v>
      </c>
      <c r="F123" s="104"/>
      <c r="G123" s="103">
        <v>1690</v>
      </c>
      <c r="H123" s="103">
        <v>1149</v>
      </c>
      <c r="I123" s="88">
        <f>H123/G123*100</f>
        <v>67.98816568047337</v>
      </c>
    </row>
    <row r="124" spans="4:9" ht="15.75">
      <c r="D124" s="66" t="s">
        <v>48</v>
      </c>
      <c r="E124" s="104" t="s">
        <v>70</v>
      </c>
      <c r="G124" s="103">
        <v>460</v>
      </c>
      <c r="H124" s="103">
        <v>340</v>
      </c>
      <c r="I124" s="88">
        <f>H124/G124*100</f>
        <v>73.91304347826086</v>
      </c>
    </row>
    <row r="125" spans="1:9" ht="15.75">
      <c r="A125" s="98"/>
      <c r="B125" s="98" t="s">
        <v>24</v>
      </c>
      <c r="C125" s="104" t="s">
        <v>146</v>
      </c>
      <c r="D125" s="104"/>
      <c r="E125" s="104"/>
      <c r="F125" s="104"/>
      <c r="G125" s="103"/>
      <c r="H125" s="103"/>
      <c r="I125" s="88"/>
    </row>
    <row r="126" spans="1:9" ht="15.75">
      <c r="A126" s="98"/>
      <c r="B126" s="98"/>
      <c r="C126" s="98" t="s">
        <v>47</v>
      </c>
      <c r="D126" s="104" t="s">
        <v>433</v>
      </c>
      <c r="E126" s="104"/>
      <c r="F126" s="104"/>
      <c r="G126" s="103">
        <v>2652</v>
      </c>
      <c r="H126" s="103">
        <f>2593+735+1130</f>
        <v>4458</v>
      </c>
      <c r="I126" s="88">
        <f>H126/G126*100</f>
        <v>168.0995475113122</v>
      </c>
    </row>
    <row r="127" spans="1:9" ht="15.75">
      <c r="A127" s="98"/>
      <c r="B127" s="98" t="s">
        <v>48</v>
      </c>
      <c r="C127" s="104" t="s">
        <v>147</v>
      </c>
      <c r="D127" s="104"/>
      <c r="E127" s="104"/>
      <c r="F127" s="104"/>
      <c r="G127" s="103"/>
      <c r="H127" s="103"/>
      <c r="I127" s="88"/>
    </row>
    <row r="128" spans="1:9" ht="15.75">
      <c r="A128" s="98"/>
      <c r="B128" s="98"/>
      <c r="C128" s="98" t="s">
        <v>47</v>
      </c>
      <c r="D128" s="104" t="s">
        <v>81</v>
      </c>
      <c r="E128" s="104"/>
      <c r="F128" s="104"/>
      <c r="G128" s="103">
        <v>1307</v>
      </c>
      <c r="H128" s="103">
        <f>1107</f>
        <v>1107</v>
      </c>
      <c r="I128" s="88">
        <f>H128/G128*100</f>
        <v>84.69778117827084</v>
      </c>
    </row>
    <row r="129" spans="1:9" ht="15.75">
      <c r="A129" s="98"/>
      <c r="B129" s="98" t="s">
        <v>106</v>
      </c>
      <c r="C129" s="104" t="s">
        <v>149</v>
      </c>
      <c r="D129" s="98"/>
      <c r="E129" s="98"/>
      <c r="F129" s="98"/>
      <c r="G129" s="103">
        <v>1722</v>
      </c>
      <c r="H129" s="103">
        <v>1489</v>
      </c>
      <c r="I129" s="88">
        <f>H129/G129*100</f>
        <v>86.46922183507549</v>
      </c>
    </row>
    <row r="130" spans="1:9" ht="15.75">
      <c r="A130" s="98"/>
      <c r="B130" s="98" t="s">
        <v>108</v>
      </c>
      <c r="C130" s="104" t="s">
        <v>150</v>
      </c>
      <c r="D130" s="98"/>
      <c r="E130" s="98"/>
      <c r="F130" s="98"/>
      <c r="G130" s="103">
        <v>642</v>
      </c>
      <c r="H130" s="103">
        <v>1409</v>
      </c>
      <c r="I130" s="88">
        <f>H130/G130*100</f>
        <v>219.47040498442368</v>
      </c>
    </row>
    <row r="131" spans="1:9" ht="15.75">
      <c r="A131" s="98"/>
      <c r="B131" s="98" t="s">
        <v>114</v>
      </c>
      <c r="C131" s="104" t="s">
        <v>151</v>
      </c>
      <c r="D131" s="98"/>
      <c r="E131" s="98"/>
      <c r="F131" s="98"/>
      <c r="G131" s="103">
        <v>100</v>
      </c>
      <c r="H131" s="103">
        <f>2+756</f>
        <v>758</v>
      </c>
      <c r="I131" s="88">
        <f>H131/G131*100</f>
        <v>758</v>
      </c>
    </row>
    <row r="132" spans="1:9" ht="9" customHeight="1">
      <c r="A132" s="98"/>
      <c r="B132" s="98"/>
      <c r="C132" s="98"/>
      <c r="D132" s="98"/>
      <c r="E132" s="98"/>
      <c r="F132" s="98"/>
      <c r="G132" s="103"/>
      <c r="H132" s="103"/>
      <c r="I132" s="88"/>
    </row>
    <row r="133" spans="1:9" ht="15.75">
      <c r="A133" s="19" t="s">
        <v>19</v>
      </c>
      <c r="B133" s="98"/>
      <c r="C133" s="98"/>
      <c r="D133" s="98"/>
      <c r="E133" s="98"/>
      <c r="F133" s="98"/>
      <c r="G133" s="105">
        <f>SUM(G113:G132)</f>
        <v>9268</v>
      </c>
      <c r="H133" s="105">
        <f>SUM(H113:H132)</f>
        <v>11858</v>
      </c>
      <c r="I133" s="106">
        <f>H133/G133*100</f>
        <v>127.94561933534743</v>
      </c>
    </row>
    <row r="134" spans="1:9" ht="9" customHeight="1">
      <c r="A134" s="98"/>
      <c r="B134" s="98"/>
      <c r="C134" s="98"/>
      <c r="D134" s="98"/>
      <c r="E134" s="98"/>
      <c r="F134" s="98"/>
      <c r="G134" s="103"/>
      <c r="H134" s="103"/>
      <c r="I134" s="88"/>
    </row>
    <row r="135" spans="1:9" ht="15.75">
      <c r="A135" s="19" t="s">
        <v>66</v>
      </c>
      <c r="B135" s="19" t="s">
        <v>152</v>
      </c>
      <c r="C135" s="19"/>
      <c r="D135" s="19"/>
      <c r="E135" s="19"/>
      <c r="F135" s="19"/>
      <c r="G135" s="19"/>
      <c r="H135" s="43"/>
      <c r="I135" s="88"/>
    </row>
    <row r="136" spans="1:9" ht="15.75">
      <c r="A136" s="22"/>
      <c r="B136" s="22" t="s">
        <v>47</v>
      </c>
      <c r="C136" s="355" t="s">
        <v>153</v>
      </c>
      <c r="D136" s="355"/>
      <c r="E136" s="355"/>
      <c r="F136" s="355"/>
      <c r="G136" s="89"/>
      <c r="H136" s="90"/>
      <c r="I136" s="88"/>
    </row>
    <row r="137" spans="1:9" ht="30" customHeight="1">
      <c r="A137" s="22"/>
      <c r="B137" s="22"/>
      <c r="C137" s="101" t="s">
        <v>47</v>
      </c>
      <c r="D137" s="355" t="s">
        <v>154</v>
      </c>
      <c r="E137" s="355"/>
      <c r="F137" s="355"/>
      <c r="G137" s="103">
        <v>93</v>
      </c>
      <c r="H137" s="110">
        <v>92</v>
      </c>
      <c r="I137" s="88">
        <f>H137/G137*100</f>
        <v>98.9247311827957</v>
      </c>
    </row>
    <row r="138" spans="1:9" ht="30" customHeight="1">
      <c r="A138" s="22"/>
      <c r="B138" s="22"/>
      <c r="C138" s="101" t="s">
        <v>24</v>
      </c>
      <c r="D138" s="355" t="s">
        <v>434</v>
      </c>
      <c r="E138" s="355"/>
      <c r="F138" s="355"/>
      <c r="G138" s="103"/>
      <c r="H138" s="110">
        <f>26215-12586-756</f>
        <v>12873</v>
      </c>
      <c r="I138" s="88"/>
    </row>
    <row r="139" spans="1:9" ht="30" customHeight="1">
      <c r="A139" s="22"/>
      <c r="B139" s="22"/>
      <c r="C139" s="101" t="s">
        <v>48</v>
      </c>
      <c r="D139" s="355" t="s">
        <v>458</v>
      </c>
      <c r="E139" s="355"/>
      <c r="F139" s="355"/>
      <c r="G139" s="103"/>
      <c r="H139" s="110">
        <v>10000</v>
      </c>
      <c r="I139" s="88"/>
    </row>
    <row r="140" spans="1:9" ht="9" customHeight="1">
      <c r="A140" s="98"/>
      <c r="B140" s="98"/>
      <c r="C140" s="98"/>
      <c r="D140" s="22"/>
      <c r="E140" s="98"/>
      <c r="F140" s="98"/>
      <c r="G140" s="103"/>
      <c r="H140" s="103"/>
      <c r="I140" s="88"/>
    </row>
    <row r="141" spans="1:9" ht="15.75">
      <c r="A141" s="374" t="s">
        <v>155</v>
      </c>
      <c r="B141" s="374"/>
      <c r="C141" s="374"/>
      <c r="D141" s="374"/>
      <c r="E141" s="374"/>
      <c r="F141" s="374"/>
      <c r="G141" s="111">
        <f>SUM(G137:G140)</f>
        <v>93</v>
      </c>
      <c r="H141" s="111">
        <f>SUM(H137:H140)</f>
        <v>22965</v>
      </c>
      <c r="I141" s="106">
        <f>H141/G141*100</f>
        <v>24693.548387096773</v>
      </c>
    </row>
    <row r="142" spans="1:9" ht="9" customHeight="1">
      <c r="A142" s="98"/>
      <c r="B142" s="98"/>
      <c r="C142" s="98"/>
      <c r="D142" s="98"/>
      <c r="E142" s="98"/>
      <c r="F142" s="98"/>
      <c r="G142" s="103"/>
      <c r="H142" s="103"/>
      <c r="I142" s="88"/>
    </row>
    <row r="143" spans="1:9" ht="16.5">
      <c r="A143" s="112" t="s">
        <v>156</v>
      </c>
      <c r="B143" s="112"/>
      <c r="C143" s="112"/>
      <c r="D143" s="112"/>
      <c r="E143" s="112"/>
      <c r="F143" s="112"/>
      <c r="G143" s="111">
        <f>G141+G133+G109+G87+G76</f>
        <v>54511</v>
      </c>
      <c r="H143" s="111">
        <f>H141+H133+H109+H87+H76</f>
        <v>111603</v>
      </c>
      <c r="I143" s="106">
        <f>H143/G143*100</f>
        <v>204.73482416393023</v>
      </c>
    </row>
    <row r="144" spans="1:9" ht="16.5">
      <c r="A144" s="112"/>
      <c r="B144" s="112"/>
      <c r="C144" s="112"/>
      <c r="D144" s="112"/>
      <c r="E144" s="112"/>
      <c r="F144" s="112"/>
      <c r="G144" s="111"/>
      <c r="H144" s="111"/>
      <c r="I144" s="106"/>
    </row>
    <row r="145" spans="1:9" ht="16.5">
      <c r="A145" s="112"/>
      <c r="B145" s="112"/>
      <c r="C145" s="112"/>
      <c r="D145" s="112"/>
      <c r="E145" s="112"/>
      <c r="F145" s="112"/>
      <c r="G145" s="111"/>
      <c r="H145" s="111"/>
      <c r="I145" s="106"/>
    </row>
    <row r="146" spans="1:9" ht="16.5" customHeight="1">
      <c r="A146" s="372" t="s">
        <v>487</v>
      </c>
      <c r="B146" s="372"/>
      <c r="C146" s="372"/>
      <c r="D146" s="372"/>
      <c r="E146" s="372"/>
      <c r="F146" s="372"/>
      <c r="G146" s="372"/>
      <c r="H146" s="372"/>
      <c r="I146" s="372"/>
    </row>
    <row r="147" spans="1:9" ht="6.75" customHeight="1" thickBot="1">
      <c r="A147" s="373"/>
      <c r="B147" s="373"/>
      <c r="C147" s="373"/>
      <c r="D147" s="373"/>
      <c r="E147" s="373"/>
      <c r="F147" s="373"/>
      <c r="G147" s="373"/>
      <c r="H147" s="373"/>
      <c r="I147" s="373"/>
    </row>
    <row r="148" spans="1:9" ht="15.75" customHeight="1">
      <c r="A148" s="358" t="s">
        <v>17</v>
      </c>
      <c r="B148" s="359"/>
      <c r="C148" s="359"/>
      <c r="D148" s="359"/>
      <c r="E148" s="359"/>
      <c r="F148" s="360"/>
      <c r="G148" s="96" t="s">
        <v>15</v>
      </c>
      <c r="H148" s="96" t="s">
        <v>15</v>
      </c>
      <c r="I148" s="97" t="s">
        <v>16</v>
      </c>
    </row>
    <row r="149" spans="1:9" ht="15.75">
      <c r="A149" s="361"/>
      <c r="B149" s="362"/>
      <c r="C149" s="362"/>
      <c r="D149" s="362"/>
      <c r="E149" s="362"/>
      <c r="F149" s="363"/>
      <c r="G149" s="99" t="s">
        <v>10</v>
      </c>
      <c r="H149" s="99" t="s">
        <v>10</v>
      </c>
      <c r="I149" s="72"/>
    </row>
    <row r="150" spans="1:9" s="75" customFormat="1" ht="15.75" customHeight="1" thickBot="1">
      <c r="A150" s="364"/>
      <c r="B150" s="349"/>
      <c r="C150" s="349"/>
      <c r="D150" s="349"/>
      <c r="E150" s="349"/>
      <c r="F150" s="346"/>
      <c r="G150" s="100" t="s">
        <v>67</v>
      </c>
      <c r="H150" s="100" t="s">
        <v>252</v>
      </c>
      <c r="I150" s="74" t="s">
        <v>18</v>
      </c>
    </row>
    <row r="151" spans="1:9" ht="16.5">
      <c r="A151" s="112"/>
      <c r="B151" s="112"/>
      <c r="C151" s="112"/>
      <c r="D151" s="112"/>
      <c r="E151" s="112"/>
      <c r="F151" s="112"/>
      <c r="G151" s="113"/>
      <c r="H151" s="113"/>
      <c r="I151" s="106"/>
    </row>
    <row r="152" spans="1:9" ht="15.75">
      <c r="A152" s="114" t="s">
        <v>157</v>
      </c>
      <c r="B152" s="347" t="s">
        <v>158</v>
      </c>
      <c r="C152" s="347"/>
      <c r="D152" s="347"/>
      <c r="E152" s="347"/>
      <c r="F152" s="347"/>
      <c r="G152" s="19"/>
      <c r="H152" s="90"/>
      <c r="I152" s="88"/>
    </row>
    <row r="153" spans="1:9" ht="15.75">
      <c r="A153" s="19"/>
      <c r="B153" s="85" t="s">
        <v>47</v>
      </c>
      <c r="C153" s="347" t="s">
        <v>159</v>
      </c>
      <c r="D153" s="347"/>
      <c r="E153" s="347"/>
      <c r="F153" s="347"/>
      <c r="G153" s="103"/>
      <c r="H153" s="90"/>
      <c r="I153" s="88"/>
    </row>
    <row r="154" spans="1:9" ht="15.75">
      <c r="A154" s="19"/>
      <c r="B154" s="85"/>
      <c r="C154" s="101" t="s">
        <v>47</v>
      </c>
      <c r="D154" s="355" t="s">
        <v>426</v>
      </c>
      <c r="E154" s="355"/>
      <c r="F154" s="355"/>
      <c r="G154" s="103"/>
      <c r="H154" s="90">
        <v>12586</v>
      </c>
      <c r="I154" s="88"/>
    </row>
    <row r="155" spans="1:9" ht="15.75">
      <c r="A155" s="19"/>
      <c r="B155" s="85"/>
      <c r="C155" s="101" t="s">
        <v>24</v>
      </c>
      <c r="D155" s="355" t="s">
        <v>160</v>
      </c>
      <c r="E155" s="355"/>
      <c r="F155" s="355"/>
      <c r="G155" s="103">
        <v>1167</v>
      </c>
      <c r="H155" s="90">
        <f>1115+1348+148+119+191+19+1135+10000+76+15357</f>
        <v>29508</v>
      </c>
      <c r="I155" s="88">
        <f>H155/G155*100</f>
        <v>2528.53470437018</v>
      </c>
    </row>
    <row r="156" spans="1:9" ht="15.75">
      <c r="A156" s="22"/>
      <c r="B156" s="22"/>
      <c r="C156" s="22"/>
      <c r="D156" s="22"/>
      <c r="E156" s="22"/>
      <c r="F156" s="22"/>
      <c r="G156" s="51"/>
      <c r="H156" s="42"/>
      <c r="I156" s="88"/>
    </row>
    <row r="157" spans="1:9" ht="16.5">
      <c r="A157" s="112" t="s">
        <v>158</v>
      </c>
      <c r="B157" s="112"/>
      <c r="C157" s="112"/>
      <c r="D157" s="112"/>
      <c r="E157" s="112"/>
      <c r="F157" s="112"/>
      <c r="G157" s="115">
        <f>G155</f>
        <v>1167</v>
      </c>
      <c r="H157" s="113">
        <f>H155+H154</f>
        <v>42094</v>
      </c>
      <c r="I157" s="88">
        <f>H157/G157*100</f>
        <v>3607.0265638389033</v>
      </c>
    </row>
    <row r="158" spans="1:9" ht="15.75">
      <c r="A158" s="22"/>
      <c r="B158" s="22"/>
      <c r="C158" s="22"/>
      <c r="D158" s="22"/>
      <c r="E158" s="22"/>
      <c r="F158" s="22"/>
      <c r="G158" s="51"/>
      <c r="H158" s="22"/>
      <c r="I158" s="88"/>
    </row>
    <row r="159" spans="1:9" ht="18.75">
      <c r="A159" s="21" t="s">
        <v>161</v>
      </c>
      <c r="B159" s="21"/>
      <c r="C159" s="21"/>
      <c r="D159" s="21"/>
      <c r="E159" s="21"/>
      <c r="F159" s="21"/>
      <c r="G159" s="115">
        <f>G143+G157</f>
        <v>55678</v>
      </c>
      <c r="H159" s="111">
        <f>H143+H157</f>
        <v>153697</v>
      </c>
      <c r="I159" s="106">
        <f>H159/G159*100</f>
        <v>276.0461941880096</v>
      </c>
    </row>
  </sheetData>
  <sheetProtection/>
  <mergeCells count="49">
    <mergeCell ref="C153:F153"/>
    <mergeCell ref="D155:F155"/>
    <mergeCell ref="E39:F39"/>
    <mergeCell ref="D82:F82"/>
    <mergeCell ref="D138:F138"/>
    <mergeCell ref="D137:F137"/>
    <mergeCell ref="A141:F141"/>
    <mergeCell ref="B152:F152"/>
    <mergeCell ref="A87:F87"/>
    <mergeCell ref="A76:F76"/>
    <mergeCell ref="B78:F78"/>
    <mergeCell ref="C113:F113"/>
    <mergeCell ref="A146:I147"/>
    <mergeCell ref="C136:F136"/>
    <mergeCell ref="C80:F80"/>
    <mergeCell ref="D81:F81"/>
    <mergeCell ref="B85:F85"/>
    <mergeCell ref="D83:F83"/>
    <mergeCell ref="A93:I93"/>
    <mergeCell ref="A94:F96"/>
    <mergeCell ref="D50:F50"/>
    <mergeCell ref="E51:F51"/>
    <mergeCell ref="C54:F54"/>
    <mergeCell ref="E62:F62"/>
    <mergeCell ref="D56:F56"/>
    <mergeCell ref="E57:F57"/>
    <mergeCell ref="C59:F59"/>
    <mergeCell ref="D70:F70"/>
    <mergeCell ref="B74:F74"/>
    <mergeCell ref="B67:F67"/>
    <mergeCell ref="C69:F69"/>
    <mergeCell ref="D72:F72"/>
    <mergeCell ref="D13:F13"/>
    <mergeCell ref="C44:F44"/>
    <mergeCell ref="A46:F48"/>
    <mergeCell ref="E14:F14"/>
    <mergeCell ref="D30:F30"/>
    <mergeCell ref="D35:F35"/>
    <mergeCell ref="D37:F37"/>
    <mergeCell ref="D139:F139"/>
    <mergeCell ref="D84:F84"/>
    <mergeCell ref="D154:F154"/>
    <mergeCell ref="A2:I2"/>
    <mergeCell ref="A148:F150"/>
    <mergeCell ref="B11:F11"/>
    <mergeCell ref="A8:F10"/>
    <mergeCell ref="A3:I3"/>
    <mergeCell ref="A4:I4"/>
    <mergeCell ref="A5:I5"/>
  </mergeCells>
  <printOptions horizontalCentered="1"/>
  <pageMargins left="0" right="0" top="0.1968503937007874" bottom="0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0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9.125" style="222" customWidth="1"/>
    <col min="2" max="2" width="61.125" style="222" customWidth="1"/>
    <col min="3" max="6" width="26.25390625" style="222" customWidth="1"/>
    <col min="7" max="16384" width="9.125" style="222" customWidth="1"/>
  </cols>
  <sheetData>
    <row r="2" spans="1:6" s="210" customFormat="1" ht="15.75">
      <c r="A2" s="148" t="s">
        <v>493</v>
      </c>
      <c r="C2" s="211"/>
      <c r="D2" s="212"/>
      <c r="E2" s="212"/>
      <c r="F2" s="212"/>
    </row>
    <row r="3" spans="2:6" s="77" customFormat="1" ht="15" customHeight="1">
      <c r="B3" s="357"/>
      <c r="C3" s="357"/>
      <c r="D3" s="357"/>
      <c r="E3" s="357"/>
      <c r="F3" s="357"/>
    </row>
    <row r="4" spans="3:6" s="213" customFormat="1" ht="15" customHeight="1">
      <c r="C4" s="214"/>
      <c r="D4" s="215"/>
      <c r="E4" s="215"/>
      <c r="F4" s="215"/>
    </row>
    <row r="5" spans="2:6" s="145" customFormat="1" ht="15" customHeight="1">
      <c r="B5" s="395" t="s">
        <v>44</v>
      </c>
      <c r="C5" s="395"/>
      <c r="D5" s="395"/>
      <c r="E5" s="395"/>
      <c r="F5" s="395"/>
    </row>
    <row r="6" spans="2:6" s="145" customFormat="1" ht="15.75">
      <c r="B6" s="396" t="s">
        <v>326</v>
      </c>
      <c r="C6" s="396"/>
      <c r="D6" s="396"/>
      <c r="E6" s="396"/>
      <c r="F6" s="396"/>
    </row>
    <row r="7" spans="2:6" s="145" customFormat="1" ht="15" customHeight="1">
      <c r="B7" s="395" t="s">
        <v>162</v>
      </c>
      <c r="C7" s="395"/>
      <c r="D7" s="395"/>
      <c r="E7" s="395"/>
      <c r="F7" s="395"/>
    </row>
    <row r="8" spans="2:6" s="210" customFormat="1" ht="12" customHeight="1" thickBot="1">
      <c r="B8" s="211"/>
      <c r="C8" s="216"/>
      <c r="D8" s="217"/>
      <c r="E8" s="217"/>
      <c r="F8" s="218"/>
    </row>
    <row r="9" spans="1:6" s="210" customFormat="1" ht="16.5" customHeight="1" thickBot="1">
      <c r="A9" s="375" t="s">
        <v>194</v>
      </c>
      <c r="B9" s="378" t="s">
        <v>195</v>
      </c>
      <c r="C9" s="381" t="s">
        <v>327</v>
      </c>
      <c r="D9" s="384" t="s">
        <v>328</v>
      </c>
      <c r="E9" s="384"/>
      <c r="F9" s="385"/>
    </row>
    <row r="10" spans="1:6" s="210" customFormat="1" ht="33" customHeight="1" thickBot="1">
      <c r="A10" s="376"/>
      <c r="B10" s="379"/>
      <c r="C10" s="382"/>
      <c r="D10" s="219" t="s">
        <v>329</v>
      </c>
      <c r="E10" s="220" t="s">
        <v>330</v>
      </c>
      <c r="F10" s="221" t="s">
        <v>331</v>
      </c>
    </row>
    <row r="11" spans="1:6" s="210" customFormat="1" ht="22.5" customHeight="1">
      <c r="A11" s="376"/>
      <c r="B11" s="379"/>
      <c r="C11" s="382"/>
      <c r="D11" s="386" t="s">
        <v>332</v>
      </c>
      <c r="E11" s="387"/>
      <c r="F11" s="388"/>
    </row>
    <row r="12" spans="1:6" ht="12.75">
      <c r="A12" s="376"/>
      <c r="B12" s="379"/>
      <c r="C12" s="382"/>
      <c r="D12" s="389"/>
      <c r="E12" s="390"/>
      <c r="F12" s="391"/>
    </row>
    <row r="13" spans="1:6" ht="3" customHeight="1" thickBot="1">
      <c r="A13" s="377"/>
      <c r="B13" s="380"/>
      <c r="C13" s="383"/>
      <c r="D13" s="392"/>
      <c r="E13" s="393"/>
      <c r="F13" s="394"/>
    </row>
    <row r="14" spans="1:6" ht="30">
      <c r="A14" s="223" t="s">
        <v>212</v>
      </c>
      <c r="B14" s="224" t="s">
        <v>213</v>
      </c>
      <c r="C14" s="225">
        <f>SUM(D14:F14)</f>
        <v>73422</v>
      </c>
      <c r="D14" s="225">
        <f>7+9743+185+191+135+148+119+19+1135+10000+76+15357</f>
        <v>37115</v>
      </c>
      <c r="E14" s="225">
        <f>26215+92+10000</f>
        <v>36307</v>
      </c>
      <c r="F14" s="226"/>
    </row>
    <row r="15" spans="1:6" ht="15">
      <c r="A15" s="133" t="s">
        <v>214</v>
      </c>
      <c r="B15" s="130" t="s">
        <v>39</v>
      </c>
      <c r="C15" s="227">
        <f aca="true" t="shared" si="0" ref="C15:C29">SUM(D15:F15)</f>
        <v>52</v>
      </c>
      <c r="D15" s="227">
        <v>52</v>
      </c>
      <c r="E15" s="227"/>
      <c r="F15" s="228"/>
    </row>
    <row r="16" spans="1:6" ht="15">
      <c r="A16" s="133" t="s">
        <v>215</v>
      </c>
      <c r="B16" s="130" t="s">
        <v>216</v>
      </c>
      <c r="C16" s="227">
        <f t="shared" si="0"/>
        <v>1599</v>
      </c>
      <c r="D16" s="227">
        <f>820+643</f>
        <v>1463</v>
      </c>
      <c r="E16" s="227">
        <v>136</v>
      </c>
      <c r="F16" s="228"/>
    </row>
    <row r="17" spans="1:6" ht="15">
      <c r="A17" s="133" t="s">
        <v>333</v>
      </c>
      <c r="B17" s="130" t="s">
        <v>334</v>
      </c>
      <c r="C17" s="227">
        <f t="shared" si="0"/>
        <v>58589</v>
      </c>
      <c r="D17" s="227">
        <f>25766-326+186+943-19+151+21562+10000</f>
        <v>58263</v>
      </c>
      <c r="E17" s="227"/>
      <c r="F17" s="228">
        <f>326</f>
        <v>326</v>
      </c>
    </row>
    <row r="18" spans="1:6" ht="15">
      <c r="A18" s="133" t="s">
        <v>417</v>
      </c>
      <c r="B18" s="240" t="s">
        <v>418</v>
      </c>
      <c r="C18" s="227">
        <f t="shared" si="0"/>
        <v>1347</v>
      </c>
      <c r="D18" s="227"/>
      <c r="E18" s="227">
        <f>633+714</f>
        <v>1347</v>
      </c>
      <c r="F18" s="228"/>
    </row>
    <row r="19" spans="1:6" ht="15">
      <c r="A19" s="133" t="s">
        <v>343</v>
      </c>
      <c r="B19" s="240" t="s">
        <v>344</v>
      </c>
      <c r="C19" s="227">
        <f t="shared" si="0"/>
        <v>58</v>
      </c>
      <c r="D19" s="227">
        <v>58</v>
      </c>
      <c r="E19" s="227"/>
      <c r="F19" s="228"/>
    </row>
    <row r="20" spans="1:6" ht="15">
      <c r="A20" s="133" t="s">
        <v>219</v>
      </c>
      <c r="B20" s="130" t="s">
        <v>220</v>
      </c>
      <c r="C20" s="227">
        <f t="shared" si="0"/>
        <v>5858</v>
      </c>
      <c r="D20" s="227">
        <f>3993+735+1130</f>
        <v>5858</v>
      </c>
      <c r="E20" s="227"/>
      <c r="F20" s="228"/>
    </row>
    <row r="21" spans="1:6" ht="15">
      <c r="A21" s="133" t="s">
        <v>227</v>
      </c>
      <c r="B21" s="130" t="s">
        <v>228</v>
      </c>
      <c r="C21" s="227">
        <f t="shared" si="0"/>
        <v>165</v>
      </c>
      <c r="D21" s="227">
        <v>165</v>
      </c>
      <c r="E21" s="227"/>
      <c r="F21" s="228"/>
    </row>
    <row r="22" spans="1:6" ht="15">
      <c r="A22" s="133" t="s">
        <v>234</v>
      </c>
      <c r="B22" s="130" t="s">
        <v>235</v>
      </c>
      <c r="C22" s="227">
        <f t="shared" si="0"/>
        <v>191</v>
      </c>
      <c r="D22" s="227">
        <v>191</v>
      </c>
      <c r="E22" s="227"/>
      <c r="F22" s="228"/>
    </row>
    <row r="23" spans="1:6" ht="15">
      <c r="A23" s="133" t="s">
        <v>335</v>
      </c>
      <c r="B23" s="130" t="s">
        <v>336</v>
      </c>
      <c r="C23" s="227">
        <f t="shared" si="0"/>
        <v>1808</v>
      </c>
      <c r="D23" s="227">
        <f>1785+23</f>
        <v>1808</v>
      </c>
      <c r="E23" s="227"/>
      <c r="F23" s="228"/>
    </row>
    <row r="24" spans="1:6" ht="15">
      <c r="A24" s="133" t="s">
        <v>337</v>
      </c>
      <c r="B24" s="130" t="s">
        <v>338</v>
      </c>
      <c r="C24" s="227">
        <f t="shared" si="0"/>
        <v>275</v>
      </c>
      <c r="D24" s="227"/>
      <c r="E24" s="227">
        <f>271+4</f>
        <v>275</v>
      </c>
      <c r="F24" s="228"/>
    </row>
    <row r="25" spans="1:6" ht="15">
      <c r="A25" s="232">
        <v>104051</v>
      </c>
      <c r="B25" s="130" t="s">
        <v>401</v>
      </c>
      <c r="C25" s="227">
        <f t="shared" si="0"/>
        <v>46</v>
      </c>
      <c r="D25" s="227"/>
      <c r="E25" s="227"/>
      <c r="F25" s="228">
        <v>46</v>
      </c>
    </row>
    <row r="26" spans="1:6" ht="15">
      <c r="A26" s="133" t="s">
        <v>242</v>
      </c>
      <c r="B26" s="136" t="s">
        <v>398</v>
      </c>
      <c r="C26" s="227">
        <f t="shared" si="0"/>
        <v>1702</v>
      </c>
      <c r="D26" s="227">
        <f>29+1655+18</f>
        <v>1702</v>
      </c>
      <c r="E26" s="227"/>
      <c r="F26" s="228"/>
    </row>
    <row r="27" spans="1:6" ht="15">
      <c r="A27" s="133" t="s">
        <v>242</v>
      </c>
      <c r="B27" s="136" t="s">
        <v>400</v>
      </c>
      <c r="C27" s="227">
        <f t="shared" si="0"/>
        <v>528</v>
      </c>
      <c r="D27" s="227"/>
      <c r="E27" s="227">
        <f>523+5</f>
        <v>528</v>
      </c>
      <c r="F27" s="228"/>
    </row>
    <row r="28" spans="1:6" ht="15">
      <c r="A28" s="133">
        <v>107060</v>
      </c>
      <c r="B28" s="130" t="s">
        <v>244</v>
      </c>
      <c r="C28" s="227">
        <f t="shared" si="0"/>
        <v>249</v>
      </c>
      <c r="D28" s="227">
        <v>249</v>
      </c>
      <c r="E28" s="227"/>
      <c r="F28" s="228"/>
    </row>
    <row r="29" spans="1:6" ht="30.75" thickBot="1">
      <c r="A29" s="232">
        <v>900020</v>
      </c>
      <c r="B29" s="130" t="s">
        <v>339</v>
      </c>
      <c r="C29" s="227">
        <f t="shared" si="0"/>
        <v>7808</v>
      </c>
      <c r="D29" s="227">
        <v>7808</v>
      </c>
      <c r="E29" s="227"/>
      <c r="F29" s="228"/>
    </row>
    <row r="30" spans="1:6" ht="30" customHeight="1" thickBot="1">
      <c r="A30" s="233"/>
      <c r="B30" s="233" t="s">
        <v>1</v>
      </c>
      <c r="C30" s="231">
        <f>SUM(C14:C29)</f>
        <v>153697</v>
      </c>
      <c r="D30" s="231">
        <f>SUM(D14:D29)</f>
        <v>114732</v>
      </c>
      <c r="E30" s="231">
        <f>SUM(E14:E29)</f>
        <v>38593</v>
      </c>
      <c r="F30" s="231">
        <f>SUM(F14:F29)</f>
        <v>372</v>
      </c>
    </row>
  </sheetData>
  <sheetProtection/>
  <mergeCells count="9">
    <mergeCell ref="B3:F3"/>
    <mergeCell ref="B5:F5"/>
    <mergeCell ref="B6:F6"/>
    <mergeCell ref="B7:F7"/>
    <mergeCell ref="A9:A13"/>
    <mergeCell ref="B9:B13"/>
    <mergeCell ref="C9:C13"/>
    <mergeCell ref="D9:F9"/>
    <mergeCell ref="D11:F13"/>
  </mergeCells>
  <printOptions horizontalCentered="1"/>
  <pageMargins left="0" right="0" top="0.7874015748031497" bottom="0.7480314960629921" header="0.31496062992125984" footer="0.31496062992125984"/>
  <pageSetup fitToHeight="1" fitToWidth="1" horizontalDpi="600" verticalDpi="600" orientation="landscape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9.125" style="11" customWidth="1"/>
    <col min="2" max="2" width="42.125" style="11" customWidth="1"/>
    <col min="3" max="3" width="10.125" style="11" customWidth="1"/>
    <col min="4" max="7" width="10.375" style="11" customWidth="1"/>
    <col min="8" max="11" width="10.25390625" style="11" customWidth="1"/>
    <col min="12" max="12" width="9.625" style="11" customWidth="1"/>
    <col min="13" max="13" width="10.875" style="11" customWidth="1"/>
    <col min="14" max="14" width="11.125" style="11" customWidth="1"/>
    <col min="15" max="15" width="9.875" style="11" customWidth="1"/>
    <col min="16" max="16" width="10.625" style="11" customWidth="1"/>
    <col min="17" max="17" width="12.00390625" style="11" customWidth="1"/>
    <col min="18" max="18" width="10.375" style="11" customWidth="1"/>
    <col min="19" max="16384" width="9.125" style="11" customWidth="1"/>
  </cols>
  <sheetData>
    <row r="1" spans="1:20" ht="15.75">
      <c r="A1" s="148" t="s">
        <v>494</v>
      </c>
      <c r="K1" s="403"/>
      <c r="L1" s="403"/>
      <c r="M1" s="403"/>
      <c r="N1" s="403"/>
      <c r="O1" s="403"/>
      <c r="P1" s="403"/>
      <c r="Q1" s="403"/>
      <c r="R1" s="403"/>
      <c r="S1" s="403"/>
      <c r="T1" s="403"/>
    </row>
    <row r="2" spans="1:17" ht="15.75" customHeight="1">
      <c r="A2" s="418"/>
      <c r="B2" s="418"/>
      <c r="C2" s="418"/>
      <c r="D2" s="418"/>
      <c r="E2" s="418"/>
      <c r="F2" s="418"/>
      <c r="G2" s="418"/>
      <c r="H2" s="418"/>
      <c r="I2" s="418"/>
      <c r="J2" s="418"/>
      <c r="K2" s="418"/>
      <c r="L2" s="418"/>
      <c r="M2" s="418"/>
      <c r="N2" s="418"/>
      <c r="O2" s="418"/>
      <c r="P2" s="418"/>
      <c r="Q2" s="317"/>
    </row>
    <row r="3" spans="1:20" s="127" customFormat="1" ht="15.75" customHeight="1">
      <c r="A3" s="405"/>
      <c r="B3" s="405"/>
      <c r="C3" s="405"/>
      <c r="D3" s="405"/>
      <c r="E3" s="405"/>
      <c r="F3" s="405"/>
      <c r="G3" s="405"/>
      <c r="H3" s="405"/>
      <c r="I3" s="405"/>
      <c r="J3" s="405"/>
      <c r="K3" s="405"/>
      <c r="L3" s="405"/>
      <c r="M3" s="405"/>
      <c r="N3" s="405"/>
      <c r="O3" s="405"/>
      <c r="P3" s="405"/>
      <c r="Q3" s="405"/>
      <c r="R3" s="405"/>
      <c r="S3" s="405"/>
      <c r="T3" s="405"/>
    </row>
    <row r="4" spans="1:17" s="127" customFormat="1" ht="15.75" customHeight="1">
      <c r="A4" s="126"/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</row>
    <row r="5" spans="1:20" s="127" customFormat="1" ht="15.75" customHeight="1">
      <c r="A5" s="405" t="s">
        <v>44</v>
      </c>
      <c r="B5" s="405"/>
      <c r="C5" s="405"/>
      <c r="D5" s="405"/>
      <c r="E5" s="405"/>
      <c r="F5" s="405"/>
      <c r="G5" s="405"/>
      <c r="H5" s="405"/>
      <c r="I5" s="405"/>
      <c r="J5" s="405"/>
      <c r="K5" s="405"/>
      <c r="L5" s="405"/>
      <c r="M5" s="405"/>
      <c r="N5" s="405"/>
      <c r="O5" s="405"/>
      <c r="P5" s="405"/>
      <c r="Q5" s="405"/>
      <c r="R5" s="405"/>
      <c r="S5" s="405"/>
      <c r="T5" s="405"/>
    </row>
    <row r="6" spans="1:20" s="127" customFormat="1" ht="15.75" customHeight="1">
      <c r="A6" s="405" t="s">
        <v>193</v>
      </c>
      <c r="B6" s="405"/>
      <c r="C6" s="405"/>
      <c r="D6" s="405"/>
      <c r="E6" s="405"/>
      <c r="F6" s="405"/>
      <c r="G6" s="405"/>
      <c r="H6" s="405"/>
      <c r="I6" s="405"/>
      <c r="J6" s="405"/>
      <c r="K6" s="405"/>
      <c r="L6" s="405"/>
      <c r="M6" s="405"/>
      <c r="N6" s="405"/>
      <c r="O6" s="405"/>
      <c r="P6" s="405"/>
      <c r="Q6" s="405"/>
      <c r="R6" s="405"/>
      <c r="S6" s="405"/>
      <c r="T6" s="405"/>
    </row>
    <row r="7" spans="1:20" s="127" customFormat="1" ht="15.75" customHeight="1">
      <c r="A7" s="405" t="s">
        <v>251</v>
      </c>
      <c r="B7" s="405"/>
      <c r="C7" s="405"/>
      <c r="D7" s="405"/>
      <c r="E7" s="405"/>
      <c r="F7" s="405"/>
      <c r="G7" s="405"/>
      <c r="H7" s="405"/>
      <c r="I7" s="405"/>
      <c r="J7" s="405"/>
      <c r="K7" s="405"/>
      <c r="L7" s="405"/>
      <c r="M7" s="405"/>
      <c r="N7" s="405"/>
      <c r="O7" s="405"/>
      <c r="P7" s="405"/>
      <c r="Q7" s="405"/>
      <c r="R7" s="405"/>
      <c r="S7" s="405"/>
      <c r="T7" s="405"/>
    </row>
    <row r="8" spans="19:20" s="127" customFormat="1" ht="15.75" thickBot="1">
      <c r="S8" s="404" t="s">
        <v>7</v>
      </c>
      <c r="T8" s="404"/>
    </row>
    <row r="9" spans="1:20" s="128" customFormat="1" ht="20.25" customHeight="1" thickBot="1">
      <c r="A9" s="415" t="s">
        <v>194</v>
      </c>
      <c r="B9" s="434" t="s">
        <v>195</v>
      </c>
      <c r="C9" s="409" t="s">
        <v>196</v>
      </c>
      <c r="D9" s="400" t="s">
        <v>197</v>
      </c>
      <c r="E9" s="401"/>
      <c r="F9" s="401"/>
      <c r="G9" s="401"/>
      <c r="H9" s="401"/>
      <c r="I9" s="401"/>
      <c r="J9" s="401"/>
      <c r="K9" s="401"/>
      <c r="L9" s="401"/>
      <c r="M9" s="401"/>
      <c r="N9" s="401"/>
      <c r="O9" s="401"/>
      <c r="P9" s="401"/>
      <c r="Q9" s="401"/>
      <c r="R9" s="402"/>
      <c r="S9" s="426" t="s">
        <v>2</v>
      </c>
      <c r="T9" s="427"/>
    </row>
    <row r="10" spans="1:20" s="128" customFormat="1" ht="38.25" customHeight="1" thickBot="1">
      <c r="A10" s="416"/>
      <c r="B10" s="435"/>
      <c r="C10" s="410"/>
      <c r="D10" s="428" t="s">
        <v>71</v>
      </c>
      <c r="E10" s="429"/>
      <c r="F10" s="429"/>
      <c r="G10" s="429"/>
      <c r="H10" s="429"/>
      <c r="I10" s="430"/>
      <c r="J10" s="400" t="s">
        <v>72</v>
      </c>
      <c r="K10" s="401"/>
      <c r="L10" s="401"/>
      <c r="M10" s="402"/>
      <c r="N10" s="423" t="s">
        <v>198</v>
      </c>
      <c r="O10" s="424"/>
      <c r="P10" s="424"/>
      <c r="Q10" s="424"/>
      <c r="R10" s="425"/>
      <c r="S10" s="421" t="s">
        <v>8</v>
      </c>
      <c r="T10" s="422"/>
    </row>
    <row r="11" spans="1:20" s="128" customFormat="1" ht="21" customHeight="1" thickBot="1">
      <c r="A11" s="416"/>
      <c r="B11" s="435"/>
      <c r="C11" s="410"/>
      <c r="D11" s="409" t="s">
        <v>199</v>
      </c>
      <c r="E11" s="409" t="s">
        <v>200</v>
      </c>
      <c r="F11" s="409" t="s">
        <v>201</v>
      </c>
      <c r="G11" s="409" t="s">
        <v>202</v>
      </c>
      <c r="H11" s="409" t="s">
        <v>203</v>
      </c>
      <c r="I11" s="412" t="s">
        <v>204</v>
      </c>
      <c r="J11" s="406" t="s">
        <v>205</v>
      </c>
      <c r="K11" s="406" t="s">
        <v>73</v>
      </c>
      <c r="L11" s="409" t="s">
        <v>340</v>
      </c>
      <c r="M11" s="397" t="s">
        <v>341</v>
      </c>
      <c r="N11" s="409" t="s">
        <v>206</v>
      </c>
      <c r="O11" s="409" t="s">
        <v>207</v>
      </c>
      <c r="P11" s="409" t="s">
        <v>208</v>
      </c>
      <c r="Q11" s="431" t="s">
        <v>419</v>
      </c>
      <c r="R11" s="397" t="s">
        <v>342</v>
      </c>
      <c r="S11" s="206" t="s">
        <v>209</v>
      </c>
      <c r="T11" s="207" t="s">
        <v>210</v>
      </c>
    </row>
    <row r="12" spans="1:20" s="128" customFormat="1" ht="18.75" customHeight="1">
      <c r="A12" s="416"/>
      <c r="B12" s="435"/>
      <c r="C12" s="410"/>
      <c r="D12" s="410"/>
      <c r="E12" s="410"/>
      <c r="F12" s="410"/>
      <c r="G12" s="410"/>
      <c r="H12" s="410"/>
      <c r="I12" s="413"/>
      <c r="J12" s="407"/>
      <c r="K12" s="407"/>
      <c r="L12" s="410"/>
      <c r="M12" s="398"/>
      <c r="N12" s="410"/>
      <c r="O12" s="410"/>
      <c r="P12" s="410"/>
      <c r="Q12" s="432"/>
      <c r="R12" s="398"/>
      <c r="S12" s="419" t="s">
        <v>211</v>
      </c>
      <c r="T12" s="420"/>
    </row>
    <row r="13" spans="1:20" s="128" customFormat="1" ht="20.25" customHeight="1" thickBot="1">
      <c r="A13" s="417"/>
      <c r="B13" s="436"/>
      <c r="C13" s="411"/>
      <c r="D13" s="411"/>
      <c r="E13" s="411"/>
      <c r="F13" s="411"/>
      <c r="G13" s="411"/>
      <c r="H13" s="411"/>
      <c r="I13" s="414"/>
      <c r="J13" s="408"/>
      <c r="K13" s="408"/>
      <c r="L13" s="411"/>
      <c r="M13" s="399"/>
      <c r="N13" s="411"/>
      <c r="O13" s="411"/>
      <c r="P13" s="411"/>
      <c r="Q13" s="433"/>
      <c r="R13" s="399"/>
      <c r="S13" s="421"/>
      <c r="T13" s="422"/>
    </row>
    <row r="14" spans="1:20" s="127" customFormat="1" ht="30">
      <c r="A14" s="129" t="s">
        <v>212</v>
      </c>
      <c r="B14" s="130" t="s">
        <v>213</v>
      </c>
      <c r="C14" s="235">
        <f>I14+M14+O14+P14</f>
        <v>50450</v>
      </c>
      <c r="D14" s="142">
        <f>5750+26+13+1376+22</f>
        <v>7187</v>
      </c>
      <c r="E14" s="143">
        <f>1664+6+6+372+6-12</f>
        <v>2042</v>
      </c>
      <c r="F14" s="143">
        <f>4281+191+119</f>
        <v>4591</v>
      </c>
      <c r="G14" s="143"/>
      <c r="H14" s="143">
        <f>112+15+120</f>
        <v>247</v>
      </c>
      <c r="I14" s="236">
        <f aca="true" t="shared" si="0" ref="I14:I45">SUM(D14:H14)</f>
        <v>14067</v>
      </c>
      <c r="J14" s="144">
        <f>148+20</f>
        <v>168</v>
      </c>
      <c r="K14" s="144"/>
      <c r="L14" s="144">
        <f>26215+10000</f>
        <v>36215</v>
      </c>
      <c r="M14" s="237">
        <f>SUM(J14:L14)</f>
        <v>36383</v>
      </c>
      <c r="N14" s="237"/>
      <c r="O14" s="238"/>
      <c r="P14" s="239"/>
      <c r="Q14" s="239"/>
      <c r="R14" s="239"/>
      <c r="S14" s="132">
        <f>0.5+0.1+0.2-0.3</f>
        <v>0.5</v>
      </c>
      <c r="T14" s="205">
        <v>0.5</v>
      </c>
    </row>
    <row r="15" spans="1:20" s="127" customFormat="1" ht="15">
      <c r="A15" s="133" t="s">
        <v>214</v>
      </c>
      <c r="B15" s="130" t="s">
        <v>39</v>
      </c>
      <c r="C15" s="235">
        <f aca="true" t="shared" si="1" ref="C15:C45">I15+M15+O15+P15</f>
        <v>64</v>
      </c>
      <c r="D15" s="142"/>
      <c r="E15" s="143"/>
      <c r="F15" s="143">
        <v>64</v>
      </c>
      <c r="G15" s="143"/>
      <c r="H15" s="143"/>
      <c r="I15" s="236">
        <f t="shared" si="0"/>
        <v>64</v>
      </c>
      <c r="J15" s="144"/>
      <c r="K15" s="144"/>
      <c r="L15" s="144"/>
      <c r="M15" s="237"/>
      <c r="N15" s="237"/>
      <c r="O15" s="238"/>
      <c r="P15" s="239"/>
      <c r="Q15" s="239"/>
      <c r="R15" s="239"/>
      <c r="S15" s="134"/>
      <c r="T15" s="131"/>
    </row>
    <row r="16" spans="1:20" s="127" customFormat="1" ht="29.25" customHeight="1">
      <c r="A16" s="133" t="s">
        <v>215</v>
      </c>
      <c r="B16" s="130" t="s">
        <v>216</v>
      </c>
      <c r="C16" s="235">
        <f t="shared" si="1"/>
        <v>1929</v>
      </c>
      <c r="D16" s="142"/>
      <c r="E16" s="143">
        <v>12</v>
      </c>
      <c r="F16" s="143">
        <f>1515-286+480-50</f>
        <v>1659</v>
      </c>
      <c r="G16" s="143"/>
      <c r="H16" s="143"/>
      <c r="I16" s="236">
        <f t="shared" si="0"/>
        <v>1671</v>
      </c>
      <c r="J16" s="144">
        <f>8+250</f>
        <v>258</v>
      </c>
      <c r="K16" s="144"/>
      <c r="L16" s="144"/>
      <c r="M16" s="237">
        <f>SUM(J16:L16)</f>
        <v>258</v>
      </c>
      <c r="N16" s="237"/>
      <c r="O16" s="238"/>
      <c r="P16" s="239"/>
      <c r="Q16" s="239"/>
      <c r="R16" s="239"/>
      <c r="S16" s="135"/>
      <c r="T16" s="131"/>
    </row>
    <row r="17" spans="1:20" s="127" customFormat="1" ht="29.25" customHeight="1">
      <c r="A17" s="133" t="s">
        <v>333</v>
      </c>
      <c r="B17" s="130" t="s">
        <v>334</v>
      </c>
      <c r="C17" s="235">
        <f>I17+M17+O17+P17+R17</f>
        <v>961</v>
      </c>
      <c r="D17" s="142"/>
      <c r="E17" s="143"/>
      <c r="F17" s="143"/>
      <c r="G17" s="143"/>
      <c r="H17" s="143">
        <v>18</v>
      </c>
      <c r="I17" s="236">
        <f t="shared" si="0"/>
        <v>18</v>
      </c>
      <c r="J17" s="144"/>
      <c r="K17" s="144"/>
      <c r="L17" s="144"/>
      <c r="M17" s="237"/>
      <c r="N17" s="237"/>
      <c r="O17" s="238"/>
      <c r="P17" s="239"/>
      <c r="Q17" s="239">
        <v>943</v>
      </c>
      <c r="R17" s="319">
        <f>SUM(N17:Q17)</f>
        <v>943</v>
      </c>
      <c r="S17" s="135"/>
      <c r="T17" s="131"/>
    </row>
    <row r="18" spans="1:20" s="127" customFormat="1" ht="15">
      <c r="A18" s="133" t="s">
        <v>417</v>
      </c>
      <c r="B18" s="240" t="s">
        <v>418</v>
      </c>
      <c r="C18" s="235">
        <f t="shared" si="1"/>
        <v>1371</v>
      </c>
      <c r="D18" s="142">
        <f>16+558+629</f>
        <v>1203</v>
      </c>
      <c r="E18" s="143">
        <f>8+75+85</f>
        <v>168</v>
      </c>
      <c r="F18" s="143"/>
      <c r="G18" s="143"/>
      <c r="H18" s="143"/>
      <c r="I18" s="236">
        <f t="shared" si="0"/>
        <v>1371</v>
      </c>
      <c r="J18" s="144"/>
      <c r="K18" s="144"/>
      <c r="L18" s="144"/>
      <c r="M18" s="237"/>
      <c r="N18" s="237"/>
      <c r="O18" s="238"/>
      <c r="P18" s="239"/>
      <c r="Q18" s="239"/>
      <c r="R18" s="239"/>
      <c r="S18" s="135"/>
      <c r="T18" s="131"/>
    </row>
    <row r="19" spans="1:20" s="127" customFormat="1" ht="15">
      <c r="A19" s="133" t="s">
        <v>461</v>
      </c>
      <c r="B19" s="240" t="s">
        <v>462</v>
      </c>
      <c r="C19" s="235">
        <f t="shared" si="1"/>
        <v>10000</v>
      </c>
      <c r="D19" s="142"/>
      <c r="E19" s="143"/>
      <c r="F19" s="143"/>
      <c r="G19" s="143"/>
      <c r="H19" s="143"/>
      <c r="I19" s="236"/>
      <c r="J19" s="144"/>
      <c r="K19" s="144">
        <v>10000</v>
      </c>
      <c r="L19" s="144"/>
      <c r="M19" s="237">
        <f>SUM(J19:L19)</f>
        <v>10000</v>
      </c>
      <c r="N19" s="237"/>
      <c r="O19" s="238"/>
      <c r="P19" s="239"/>
      <c r="Q19" s="239"/>
      <c r="R19" s="239"/>
      <c r="S19" s="135"/>
      <c r="T19" s="131"/>
    </row>
    <row r="20" spans="1:20" s="127" customFormat="1" ht="15">
      <c r="A20" s="133" t="s">
        <v>343</v>
      </c>
      <c r="B20" s="240" t="s">
        <v>344</v>
      </c>
      <c r="C20" s="235">
        <f>I20+M20+O20+P20</f>
        <v>312</v>
      </c>
      <c r="D20" s="142"/>
      <c r="E20" s="143"/>
      <c r="F20" s="143">
        <v>254</v>
      </c>
      <c r="G20" s="143"/>
      <c r="H20" s="143"/>
      <c r="I20" s="236">
        <f t="shared" si="0"/>
        <v>254</v>
      </c>
      <c r="J20" s="144">
        <v>58</v>
      </c>
      <c r="K20" s="144"/>
      <c r="L20" s="144"/>
      <c r="M20" s="237">
        <f>SUM(J20:L20)</f>
        <v>58</v>
      </c>
      <c r="N20" s="237"/>
      <c r="O20" s="238"/>
      <c r="P20" s="239"/>
      <c r="Q20" s="239"/>
      <c r="R20" s="239"/>
      <c r="S20" s="135"/>
      <c r="T20" s="131"/>
    </row>
    <row r="21" spans="1:20" s="127" customFormat="1" ht="30">
      <c r="A21" s="133" t="s">
        <v>217</v>
      </c>
      <c r="B21" s="130" t="s">
        <v>218</v>
      </c>
      <c r="C21" s="235">
        <f>I21+M21+O21+P21</f>
        <v>237</v>
      </c>
      <c r="D21" s="142"/>
      <c r="E21" s="143"/>
      <c r="F21" s="143">
        <v>237</v>
      </c>
      <c r="G21" s="143"/>
      <c r="H21" s="143"/>
      <c r="I21" s="236">
        <f t="shared" si="0"/>
        <v>237</v>
      </c>
      <c r="J21" s="144"/>
      <c r="K21" s="144"/>
      <c r="L21" s="144"/>
      <c r="M21" s="237"/>
      <c r="N21" s="237"/>
      <c r="O21" s="238"/>
      <c r="P21" s="239"/>
      <c r="Q21" s="239"/>
      <c r="R21" s="239"/>
      <c r="S21" s="132"/>
      <c r="T21" s="131"/>
    </row>
    <row r="22" spans="1:20" s="127" customFormat="1" ht="30">
      <c r="A22" s="133" t="s">
        <v>219</v>
      </c>
      <c r="B22" s="130" t="s">
        <v>220</v>
      </c>
      <c r="C22" s="235">
        <f>I22+M22+O22+P22</f>
        <v>5858</v>
      </c>
      <c r="D22" s="142"/>
      <c r="E22" s="143"/>
      <c r="F22" s="143">
        <f>3993-3293+1130</f>
        <v>1830</v>
      </c>
      <c r="G22" s="143"/>
      <c r="H22" s="143"/>
      <c r="I22" s="236">
        <f t="shared" si="0"/>
        <v>1830</v>
      </c>
      <c r="J22" s="144">
        <v>4028</v>
      </c>
      <c r="K22" s="144"/>
      <c r="L22" s="144"/>
      <c r="M22" s="237">
        <f>SUM(J22:L22)</f>
        <v>4028</v>
      </c>
      <c r="N22" s="237"/>
      <c r="O22" s="238"/>
      <c r="P22" s="239"/>
      <c r="Q22" s="239"/>
      <c r="R22" s="239"/>
      <c r="S22" s="135"/>
      <c r="T22" s="131"/>
    </row>
    <row r="23" spans="1:20" s="127" customFormat="1" ht="15">
      <c r="A23" s="133" t="s">
        <v>221</v>
      </c>
      <c r="B23" s="130" t="s">
        <v>222</v>
      </c>
      <c r="C23" s="235">
        <f>I23+M23+O23+P23</f>
        <v>600</v>
      </c>
      <c r="D23" s="142"/>
      <c r="E23" s="143"/>
      <c r="F23" s="143"/>
      <c r="G23" s="143"/>
      <c r="H23" s="143"/>
      <c r="I23" s="236"/>
      <c r="J23" s="144"/>
      <c r="K23" s="144"/>
      <c r="L23" s="144">
        <v>600</v>
      </c>
      <c r="M23" s="237">
        <f>SUM(J23:L23)</f>
        <v>600</v>
      </c>
      <c r="N23" s="237"/>
      <c r="O23" s="238"/>
      <c r="P23" s="239"/>
      <c r="Q23" s="239"/>
      <c r="R23" s="239"/>
      <c r="S23" s="135"/>
      <c r="T23" s="131"/>
    </row>
    <row r="24" spans="1:20" s="127" customFormat="1" ht="15">
      <c r="A24" s="133" t="s">
        <v>223</v>
      </c>
      <c r="B24" s="130" t="s">
        <v>224</v>
      </c>
      <c r="C24" s="235">
        <f t="shared" si="1"/>
        <v>3056</v>
      </c>
      <c r="D24" s="142"/>
      <c r="E24" s="143"/>
      <c r="F24" s="143">
        <v>3056</v>
      </c>
      <c r="G24" s="144"/>
      <c r="H24" s="143"/>
      <c r="I24" s="236">
        <f t="shared" si="0"/>
        <v>3056</v>
      </c>
      <c r="J24" s="144"/>
      <c r="K24" s="144"/>
      <c r="L24" s="144"/>
      <c r="M24" s="237"/>
      <c r="N24" s="237"/>
      <c r="O24" s="238"/>
      <c r="P24" s="239"/>
      <c r="Q24" s="239"/>
      <c r="R24" s="239"/>
      <c r="S24" s="135"/>
      <c r="T24" s="131"/>
    </row>
    <row r="25" spans="1:20" s="127" customFormat="1" ht="15">
      <c r="A25" s="133" t="s">
        <v>225</v>
      </c>
      <c r="B25" s="130" t="s">
        <v>226</v>
      </c>
      <c r="C25" s="235">
        <f t="shared" si="1"/>
        <v>381</v>
      </c>
      <c r="D25" s="142"/>
      <c r="E25" s="143"/>
      <c r="F25" s="143">
        <v>381</v>
      </c>
      <c r="G25" s="144"/>
      <c r="H25" s="143"/>
      <c r="I25" s="236">
        <f t="shared" si="0"/>
        <v>381</v>
      </c>
      <c r="J25" s="144"/>
      <c r="K25" s="144"/>
      <c r="L25" s="144"/>
      <c r="M25" s="237"/>
      <c r="N25" s="237"/>
      <c r="O25" s="238"/>
      <c r="P25" s="239"/>
      <c r="Q25" s="239"/>
      <c r="R25" s="239"/>
      <c r="S25" s="135"/>
      <c r="T25" s="131"/>
    </row>
    <row r="26" spans="1:20" s="127" customFormat="1" ht="30">
      <c r="A26" s="133" t="s">
        <v>227</v>
      </c>
      <c r="B26" s="130" t="s">
        <v>228</v>
      </c>
      <c r="C26" s="235">
        <f t="shared" si="1"/>
        <v>2906</v>
      </c>
      <c r="D26" s="142">
        <f>671+65+13+56-12</f>
        <v>793</v>
      </c>
      <c r="E26" s="143">
        <f>183+15+6+15+12</f>
        <v>231</v>
      </c>
      <c r="F26" s="143">
        <f>1577+140</f>
        <v>1717</v>
      </c>
      <c r="G26" s="144"/>
      <c r="H26" s="143"/>
      <c r="I26" s="236">
        <f t="shared" si="0"/>
        <v>2741</v>
      </c>
      <c r="J26" s="144">
        <v>165</v>
      </c>
      <c r="K26" s="144"/>
      <c r="L26" s="144"/>
      <c r="M26" s="237">
        <f>SUM(J26:L26)</f>
        <v>165</v>
      </c>
      <c r="N26" s="237"/>
      <c r="O26" s="238"/>
      <c r="P26" s="239"/>
      <c r="Q26" s="239"/>
      <c r="R26" s="239"/>
      <c r="S26" s="135">
        <v>0.5</v>
      </c>
      <c r="T26" s="131">
        <v>0.5</v>
      </c>
    </row>
    <row r="27" spans="1:20" s="127" customFormat="1" ht="15">
      <c r="A27" s="133" t="s">
        <v>229</v>
      </c>
      <c r="B27" s="130" t="s">
        <v>36</v>
      </c>
      <c r="C27" s="235">
        <f t="shared" si="1"/>
        <v>23315</v>
      </c>
      <c r="D27" s="142"/>
      <c r="E27" s="143"/>
      <c r="F27" s="143">
        <f>60+50</f>
        <v>110</v>
      </c>
      <c r="G27" s="144"/>
      <c r="H27" s="143"/>
      <c r="I27" s="236">
        <f t="shared" si="0"/>
        <v>110</v>
      </c>
      <c r="J27" s="144"/>
      <c r="K27" s="144">
        <f>22697+508</f>
        <v>23205</v>
      </c>
      <c r="L27" s="144"/>
      <c r="M27" s="237">
        <f>SUM(J27:L27)</f>
        <v>23205</v>
      </c>
      <c r="N27" s="237"/>
      <c r="O27" s="238"/>
      <c r="P27" s="239"/>
      <c r="Q27" s="239"/>
      <c r="R27" s="239"/>
      <c r="S27" s="135"/>
      <c r="T27" s="131"/>
    </row>
    <row r="28" spans="1:20" s="127" customFormat="1" ht="33.75" customHeight="1">
      <c r="A28" s="133" t="s">
        <v>230</v>
      </c>
      <c r="B28" s="130" t="s">
        <v>231</v>
      </c>
      <c r="C28" s="235">
        <f t="shared" si="1"/>
        <v>675</v>
      </c>
      <c r="D28" s="142"/>
      <c r="E28" s="143"/>
      <c r="F28" s="143"/>
      <c r="G28" s="143"/>
      <c r="H28" s="143">
        <v>675</v>
      </c>
      <c r="I28" s="236">
        <f t="shared" si="0"/>
        <v>675</v>
      </c>
      <c r="J28" s="144"/>
      <c r="K28" s="144"/>
      <c r="L28" s="144"/>
      <c r="M28" s="237"/>
      <c r="N28" s="237"/>
      <c r="O28" s="238"/>
      <c r="P28" s="239"/>
      <c r="Q28" s="239"/>
      <c r="R28" s="239"/>
      <c r="S28" s="135"/>
      <c r="T28" s="131"/>
    </row>
    <row r="29" spans="1:20" s="127" customFormat="1" ht="15">
      <c r="A29" s="133" t="s">
        <v>232</v>
      </c>
      <c r="B29" s="130" t="s">
        <v>40</v>
      </c>
      <c r="C29" s="235">
        <f t="shared" si="1"/>
        <v>567</v>
      </c>
      <c r="D29" s="142">
        <f>356+11+5+9</f>
        <v>381</v>
      </c>
      <c r="E29" s="143">
        <f>97+2+2+2</f>
        <v>103</v>
      </c>
      <c r="F29" s="143">
        <v>83</v>
      </c>
      <c r="G29" s="143"/>
      <c r="H29" s="143"/>
      <c r="I29" s="236">
        <f t="shared" si="0"/>
        <v>567</v>
      </c>
      <c r="J29" s="144"/>
      <c r="K29" s="144"/>
      <c r="L29" s="144"/>
      <c r="M29" s="237"/>
      <c r="N29" s="237"/>
      <c r="O29" s="238"/>
      <c r="P29" s="239"/>
      <c r="Q29" s="239"/>
      <c r="R29" s="239"/>
      <c r="S29" s="135">
        <v>0.2</v>
      </c>
      <c r="T29" s="131">
        <v>0.2</v>
      </c>
    </row>
    <row r="30" spans="1:20" s="127" customFormat="1" ht="15">
      <c r="A30" s="133" t="s">
        <v>429</v>
      </c>
      <c r="B30" s="130" t="s">
        <v>430</v>
      </c>
      <c r="C30" s="235">
        <f t="shared" si="1"/>
        <v>331</v>
      </c>
      <c r="D30" s="142">
        <v>266</v>
      </c>
      <c r="E30" s="143">
        <v>65</v>
      </c>
      <c r="F30" s="143"/>
      <c r="G30" s="143"/>
      <c r="H30" s="143"/>
      <c r="I30" s="236">
        <f t="shared" si="0"/>
        <v>331</v>
      </c>
      <c r="J30" s="144"/>
      <c r="K30" s="144"/>
      <c r="L30" s="144"/>
      <c r="M30" s="237"/>
      <c r="N30" s="237"/>
      <c r="O30" s="238"/>
      <c r="P30" s="239"/>
      <c r="Q30" s="239"/>
      <c r="R30" s="239"/>
      <c r="S30" s="135"/>
      <c r="T30" s="131"/>
    </row>
    <row r="31" spans="1:20" s="127" customFormat="1" ht="15">
      <c r="A31" s="133" t="s">
        <v>233</v>
      </c>
      <c r="B31" s="130" t="s">
        <v>38</v>
      </c>
      <c r="C31" s="235">
        <f t="shared" si="1"/>
        <v>235</v>
      </c>
      <c r="D31" s="142"/>
      <c r="E31" s="143"/>
      <c r="F31" s="143"/>
      <c r="G31" s="143"/>
      <c r="H31" s="143">
        <f>200+35</f>
        <v>235</v>
      </c>
      <c r="I31" s="236">
        <f t="shared" si="0"/>
        <v>235</v>
      </c>
      <c r="J31" s="144"/>
      <c r="K31" s="144"/>
      <c r="L31" s="144"/>
      <c r="M31" s="237"/>
      <c r="N31" s="237"/>
      <c r="O31" s="238"/>
      <c r="P31" s="239"/>
      <c r="Q31" s="239"/>
      <c r="R31" s="239"/>
      <c r="S31" s="135"/>
      <c r="T31" s="131"/>
    </row>
    <row r="32" spans="1:20" s="127" customFormat="1" ht="30">
      <c r="A32" s="133" t="s">
        <v>234</v>
      </c>
      <c r="B32" s="130" t="s">
        <v>235</v>
      </c>
      <c r="C32" s="235">
        <f t="shared" si="1"/>
        <v>3050</v>
      </c>
      <c r="D32" s="142">
        <f>1788+22+33-266+19</f>
        <v>1596</v>
      </c>
      <c r="E32" s="143">
        <f>478+6+16-65+5</f>
        <v>440</v>
      </c>
      <c r="F32" s="143">
        <f>537+191+286</f>
        <v>1014</v>
      </c>
      <c r="G32" s="143"/>
      <c r="H32" s="143"/>
      <c r="I32" s="236">
        <f t="shared" si="0"/>
        <v>3050</v>
      </c>
      <c r="J32" s="144"/>
      <c r="K32" s="144"/>
      <c r="L32" s="144"/>
      <c r="M32" s="237"/>
      <c r="N32" s="237"/>
      <c r="O32" s="238"/>
      <c r="P32" s="239"/>
      <c r="Q32" s="239"/>
      <c r="R32" s="239"/>
      <c r="S32" s="135">
        <f>0.3+0.75</f>
        <v>1.05</v>
      </c>
      <c r="T32" s="131">
        <v>1.05</v>
      </c>
    </row>
    <row r="33" spans="1:20" s="127" customFormat="1" ht="30">
      <c r="A33" s="133" t="s">
        <v>236</v>
      </c>
      <c r="B33" s="130" t="s">
        <v>237</v>
      </c>
      <c r="C33" s="235">
        <f t="shared" si="1"/>
        <v>50</v>
      </c>
      <c r="D33" s="142"/>
      <c r="E33" s="143"/>
      <c r="F33" s="143"/>
      <c r="G33" s="143"/>
      <c r="H33" s="143">
        <v>50</v>
      </c>
      <c r="I33" s="236">
        <f t="shared" si="0"/>
        <v>50</v>
      </c>
      <c r="J33" s="144"/>
      <c r="K33" s="144"/>
      <c r="L33" s="144"/>
      <c r="M33" s="237"/>
      <c r="N33" s="237"/>
      <c r="O33" s="238"/>
      <c r="P33" s="239"/>
      <c r="Q33" s="239"/>
      <c r="R33" s="239"/>
      <c r="S33" s="135"/>
      <c r="T33" s="131"/>
    </row>
    <row r="34" spans="1:20" s="127" customFormat="1" ht="15">
      <c r="A34" s="133" t="s">
        <v>335</v>
      </c>
      <c r="B34" s="130" t="s">
        <v>336</v>
      </c>
      <c r="C34" s="235">
        <f t="shared" si="1"/>
        <v>5462</v>
      </c>
      <c r="D34" s="142">
        <f>1839+13+11+6</f>
        <v>1869</v>
      </c>
      <c r="E34" s="143">
        <f>501+2+6+1</f>
        <v>510</v>
      </c>
      <c r="F34" s="143">
        <f>2823+23</f>
        <v>2846</v>
      </c>
      <c r="G34" s="143"/>
      <c r="H34" s="143"/>
      <c r="I34" s="236">
        <f t="shared" si="0"/>
        <v>5225</v>
      </c>
      <c r="J34" s="144">
        <f>191+46</f>
        <v>237</v>
      </c>
      <c r="K34" s="144"/>
      <c r="L34" s="144"/>
      <c r="M34" s="237">
        <f>SUM(J34:L34)</f>
        <v>237</v>
      </c>
      <c r="N34" s="237"/>
      <c r="O34" s="238"/>
      <c r="P34" s="239"/>
      <c r="Q34" s="239"/>
      <c r="R34" s="239"/>
      <c r="S34" s="208">
        <v>1</v>
      </c>
      <c r="T34" s="209">
        <v>1</v>
      </c>
    </row>
    <row r="35" spans="1:20" s="127" customFormat="1" ht="30">
      <c r="A35" s="133" t="s">
        <v>337</v>
      </c>
      <c r="B35" s="130" t="s">
        <v>338</v>
      </c>
      <c r="C35" s="235">
        <f t="shared" si="1"/>
        <v>846</v>
      </c>
      <c r="D35" s="142">
        <f>320+2+2+1</f>
        <v>325</v>
      </c>
      <c r="E35" s="143">
        <f>87+1+1+1</f>
        <v>90</v>
      </c>
      <c r="F35" s="143">
        <f>422+4</f>
        <v>426</v>
      </c>
      <c r="G35" s="143"/>
      <c r="H35" s="143"/>
      <c r="I35" s="236">
        <f t="shared" si="0"/>
        <v>841</v>
      </c>
      <c r="J35" s="144">
        <v>5</v>
      </c>
      <c r="K35" s="144"/>
      <c r="L35" s="144"/>
      <c r="M35" s="237">
        <f>SUM(J35:L35)</f>
        <v>5</v>
      </c>
      <c r="N35" s="237"/>
      <c r="O35" s="238"/>
      <c r="P35" s="239"/>
      <c r="Q35" s="239"/>
      <c r="R35" s="239"/>
      <c r="S35" s="135"/>
      <c r="T35" s="131"/>
    </row>
    <row r="36" spans="1:20" s="127" customFormat="1" ht="30">
      <c r="A36" s="133">
        <v>101150</v>
      </c>
      <c r="B36" s="130" t="s">
        <v>238</v>
      </c>
      <c r="C36" s="235">
        <f t="shared" si="1"/>
        <v>116</v>
      </c>
      <c r="D36" s="142"/>
      <c r="E36" s="143"/>
      <c r="F36" s="143"/>
      <c r="G36" s="143">
        <f>45+71</f>
        <v>116</v>
      </c>
      <c r="H36" s="143"/>
      <c r="I36" s="236">
        <f t="shared" si="0"/>
        <v>116</v>
      </c>
      <c r="J36" s="144"/>
      <c r="K36" s="144"/>
      <c r="L36" s="144"/>
      <c r="M36" s="237"/>
      <c r="N36" s="237"/>
      <c r="O36" s="238"/>
      <c r="P36" s="239"/>
      <c r="Q36" s="239"/>
      <c r="R36" s="239"/>
      <c r="S36" s="135"/>
      <c r="T36" s="131"/>
    </row>
    <row r="37" spans="1:20" s="127" customFormat="1" ht="15">
      <c r="A37" s="133" t="s">
        <v>239</v>
      </c>
      <c r="B37" s="136" t="s">
        <v>37</v>
      </c>
      <c r="C37" s="235">
        <f t="shared" si="1"/>
        <v>284</v>
      </c>
      <c r="D37" s="142">
        <v>204</v>
      </c>
      <c r="E37" s="143">
        <v>50</v>
      </c>
      <c r="F37" s="143">
        <f>10+20</f>
        <v>30</v>
      </c>
      <c r="G37" s="143"/>
      <c r="H37" s="143"/>
      <c r="I37" s="236">
        <f t="shared" si="0"/>
        <v>284</v>
      </c>
      <c r="J37" s="144"/>
      <c r="K37" s="144"/>
      <c r="L37" s="144"/>
      <c r="M37" s="237"/>
      <c r="N37" s="237"/>
      <c r="O37" s="238"/>
      <c r="P37" s="239"/>
      <c r="Q37" s="239"/>
      <c r="R37" s="239"/>
      <c r="S37" s="135"/>
      <c r="T37" s="131"/>
    </row>
    <row r="38" spans="1:20" s="127" customFormat="1" ht="30">
      <c r="A38" s="133">
        <v>104051</v>
      </c>
      <c r="B38" s="130" t="s">
        <v>401</v>
      </c>
      <c r="C38" s="235">
        <f t="shared" si="1"/>
        <v>46</v>
      </c>
      <c r="D38" s="142"/>
      <c r="E38" s="143"/>
      <c r="F38" s="143"/>
      <c r="G38" s="143">
        <v>46</v>
      </c>
      <c r="H38" s="143"/>
      <c r="I38" s="236">
        <f t="shared" si="0"/>
        <v>46</v>
      </c>
      <c r="J38" s="144"/>
      <c r="K38" s="144"/>
      <c r="L38" s="144"/>
      <c r="M38" s="237"/>
      <c r="N38" s="237"/>
      <c r="O38" s="238"/>
      <c r="P38" s="239"/>
      <c r="Q38" s="239"/>
      <c r="R38" s="239"/>
      <c r="S38" s="135"/>
      <c r="T38" s="131"/>
    </row>
    <row r="39" spans="1:20" s="127" customFormat="1" ht="15">
      <c r="A39" s="133">
        <v>105010</v>
      </c>
      <c r="B39" s="130" t="s">
        <v>240</v>
      </c>
      <c r="C39" s="235">
        <f t="shared" si="1"/>
        <v>173</v>
      </c>
      <c r="D39" s="142"/>
      <c r="E39" s="143"/>
      <c r="F39" s="143"/>
      <c r="G39" s="143">
        <f>147+26</f>
        <v>173</v>
      </c>
      <c r="H39" s="143"/>
      <c r="I39" s="236">
        <f t="shared" si="0"/>
        <v>173</v>
      </c>
      <c r="J39" s="144"/>
      <c r="K39" s="144"/>
      <c r="L39" s="144"/>
      <c r="M39" s="237"/>
      <c r="N39" s="237"/>
      <c r="O39" s="238"/>
      <c r="P39" s="239"/>
      <c r="Q39" s="239"/>
      <c r="R39" s="239"/>
      <c r="S39" s="135"/>
      <c r="T39" s="131"/>
    </row>
    <row r="40" spans="1:20" s="127" customFormat="1" ht="30">
      <c r="A40" s="133">
        <v>106020</v>
      </c>
      <c r="B40" s="130" t="s">
        <v>241</v>
      </c>
      <c r="C40" s="235">
        <f t="shared" si="1"/>
        <v>791</v>
      </c>
      <c r="D40" s="142"/>
      <c r="E40" s="143"/>
      <c r="F40" s="143"/>
      <c r="G40" s="143">
        <v>791</v>
      </c>
      <c r="H40" s="143"/>
      <c r="I40" s="236">
        <f t="shared" si="0"/>
        <v>791</v>
      </c>
      <c r="J40" s="144"/>
      <c r="K40" s="144"/>
      <c r="L40" s="144"/>
      <c r="M40" s="237"/>
      <c r="N40" s="237"/>
      <c r="O40" s="238"/>
      <c r="P40" s="239"/>
      <c r="Q40" s="239"/>
      <c r="R40" s="239"/>
      <c r="S40" s="135">
        <v>0.6</v>
      </c>
      <c r="T40" s="131">
        <v>0.6</v>
      </c>
    </row>
    <row r="41" spans="1:20" s="127" customFormat="1" ht="15">
      <c r="A41" s="133" t="s">
        <v>242</v>
      </c>
      <c r="B41" s="136" t="s">
        <v>398</v>
      </c>
      <c r="C41" s="235">
        <f t="shared" si="1"/>
        <v>4227</v>
      </c>
      <c r="D41" s="142">
        <f>1479+10+9+5</f>
        <v>1503</v>
      </c>
      <c r="E41" s="143">
        <f>403+2+5+1</f>
        <v>411</v>
      </c>
      <c r="F41" s="143">
        <f>2261+29+18</f>
        <v>2308</v>
      </c>
      <c r="G41" s="143"/>
      <c r="H41" s="143"/>
      <c r="I41" s="236">
        <f t="shared" si="0"/>
        <v>4222</v>
      </c>
      <c r="J41" s="144">
        <v>5</v>
      </c>
      <c r="K41" s="144"/>
      <c r="L41" s="144"/>
      <c r="M41" s="237">
        <f>SUM(J41:L41)</f>
        <v>5</v>
      </c>
      <c r="N41" s="237"/>
      <c r="O41" s="238"/>
      <c r="P41" s="239"/>
      <c r="Q41" s="239"/>
      <c r="R41" s="239"/>
      <c r="S41" s="135"/>
      <c r="T41" s="131"/>
    </row>
    <row r="42" spans="1:20" s="127" customFormat="1" ht="15">
      <c r="A42" s="133" t="s">
        <v>399</v>
      </c>
      <c r="B42" s="136" t="s">
        <v>400</v>
      </c>
      <c r="C42" s="235">
        <f t="shared" si="1"/>
        <v>1204</v>
      </c>
      <c r="D42" s="142">
        <f>360+2+2+1</f>
        <v>365</v>
      </c>
      <c r="E42" s="143">
        <f>98+1+1+1</f>
        <v>101</v>
      </c>
      <c r="F42" s="143">
        <f>713+5</f>
        <v>718</v>
      </c>
      <c r="G42" s="143"/>
      <c r="H42" s="143"/>
      <c r="I42" s="236">
        <f t="shared" si="0"/>
        <v>1184</v>
      </c>
      <c r="J42" s="144">
        <v>20</v>
      </c>
      <c r="K42" s="144"/>
      <c r="L42" s="144"/>
      <c r="M42" s="237">
        <f>SUM(J42:L42)</f>
        <v>20</v>
      </c>
      <c r="N42" s="237"/>
      <c r="O42" s="238"/>
      <c r="P42" s="239"/>
      <c r="Q42" s="239"/>
      <c r="R42" s="239"/>
      <c r="S42" s="135"/>
      <c r="T42" s="131"/>
    </row>
    <row r="43" spans="1:20" s="127" customFormat="1" ht="15">
      <c r="A43" s="133">
        <v>107052</v>
      </c>
      <c r="B43" s="137" t="s">
        <v>243</v>
      </c>
      <c r="C43" s="235">
        <f t="shared" si="1"/>
        <v>360</v>
      </c>
      <c r="D43" s="142"/>
      <c r="E43" s="143"/>
      <c r="F43" s="143">
        <v>360</v>
      </c>
      <c r="G43" s="143"/>
      <c r="H43" s="143"/>
      <c r="I43" s="236">
        <f t="shared" si="0"/>
        <v>360</v>
      </c>
      <c r="J43" s="144"/>
      <c r="K43" s="144"/>
      <c r="L43" s="144"/>
      <c r="M43" s="237"/>
      <c r="N43" s="237"/>
      <c r="O43" s="238"/>
      <c r="P43" s="239"/>
      <c r="Q43" s="239"/>
      <c r="R43" s="239"/>
      <c r="S43" s="135"/>
      <c r="T43" s="131"/>
    </row>
    <row r="44" spans="1:20" s="127" customFormat="1" ht="27.75" customHeight="1">
      <c r="A44" s="133">
        <v>107060</v>
      </c>
      <c r="B44" s="130" t="s">
        <v>244</v>
      </c>
      <c r="C44" s="235">
        <f t="shared" si="1"/>
        <v>1916</v>
      </c>
      <c r="D44" s="142"/>
      <c r="E44" s="143"/>
      <c r="F44" s="143">
        <v>249</v>
      </c>
      <c r="G44" s="143">
        <f>1604+160-71-26</f>
        <v>1667</v>
      </c>
      <c r="H44" s="143"/>
      <c r="I44" s="236">
        <f t="shared" si="0"/>
        <v>1916</v>
      </c>
      <c r="J44" s="144"/>
      <c r="K44" s="144"/>
      <c r="L44" s="144"/>
      <c r="M44" s="237"/>
      <c r="N44" s="237"/>
      <c r="O44" s="238"/>
      <c r="P44" s="239"/>
      <c r="Q44" s="239"/>
      <c r="R44" s="239"/>
      <c r="S44" s="132">
        <v>0.4</v>
      </c>
      <c r="T44" s="131">
        <v>0.4</v>
      </c>
    </row>
    <row r="45" spans="1:20" s="127" customFormat="1" ht="15.75" thickBot="1">
      <c r="A45" s="133">
        <v>900070</v>
      </c>
      <c r="B45" s="137" t="s">
        <v>402</v>
      </c>
      <c r="C45" s="235">
        <f t="shared" si="1"/>
        <v>31924</v>
      </c>
      <c r="D45" s="142"/>
      <c r="E45" s="143"/>
      <c r="F45" s="143"/>
      <c r="G45" s="143"/>
      <c r="H45" s="143">
        <f>10107+185-155-1748-160-35+10000-140-250-480-191-20-18-20+15357-508</f>
        <v>31924</v>
      </c>
      <c r="I45" s="236">
        <f t="shared" si="0"/>
        <v>31924</v>
      </c>
      <c r="J45" s="144"/>
      <c r="K45" s="144"/>
      <c r="L45" s="144"/>
      <c r="M45" s="237"/>
      <c r="N45" s="237"/>
      <c r="O45" s="238"/>
      <c r="P45" s="239"/>
      <c r="Q45" s="239"/>
      <c r="R45" s="239"/>
      <c r="S45" s="135"/>
      <c r="T45" s="131"/>
    </row>
    <row r="46" spans="1:20" ht="15" thickBot="1">
      <c r="A46" s="241"/>
      <c r="B46" s="242" t="s">
        <v>345</v>
      </c>
      <c r="C46" s="243">
        <f>SUM(C14:C45)</f>
        <v>153697</v>
      </c>
      <c r="D46" s="243">
        <f aca="true" t="shared" si="2" ref="D46:K46">SUM(D14:D45)</f>
        <v>15692</v>
      </c>
      <c r="E46" s="243">
        <f t="shared" si="2"/>
        <v>4223</v>
      </c>
      <c r="F46" s="243">
        <f t="shared" si="2"/>
        <v>21933</v>
      </c>
      <c r="G46" s="243">
        <f t="shared" si="2"/>
        <v>2793</v>
      </c>
      <c r="H46" s="243">
        <f t="shared" si="2"/>
        <v>33149</v>
      </c>
      <c r="I46" s="243">
        <f t="shared" si="2"/>
        <v>77790</v>
      </c>
      <c r="J46" s="243">
        <f t="shared" si="2"/>
        <v>4944</v>
      </c>
      <c r="K46" s="243">
        <f t="shared" si="2"/>
        <v>33205</v>
      </c>
      <c r="L46" s="243">
        <f>SUM(L14:L44)</f>
        <v>36815</v>
      </c>
      <c r="M46" s="243">
        <f>SUM(M14:M44)</f>
        <v>74964</v>
      </c>
      <c r="N46" s="243"/>
      <c r="O46" s="243"/>
      <c r="P46" s="243"/>
      <c r="Q46" s="243">
        <f>SUM(Q14:Q44)</f>
        <v>943</v>
      </c>
      <c r="R46" s="243">
        <f>SUM(R14:R44)</f>
        <v>943</v>
      </c>
      <c r="S46" s="138">
        <f>SUM(S14:S44)</f>
        <v>4.25</v>
      </c>
      <c r="T46" s="138">
        <f>SUM(T14:T44)</f>
        <v>4.25</v>
      </c>
    </row>
  </sheetData>
  <sheetProtection/>
  <mergeCells count="32">
    <mergeCell ref="C9:C13"/>
    <mergeCell ref="J11:J13"/>
    <mergeCell ref="H11:H13"/>
    <mergeCell ref="D9:R9"/>
    <mergeCell ref="A7:T7"/>
    <mergeCell ref="S9:T9"/>
    <mergeCell ref="D10:I10"/>
    <mergeCell ref="Q11:Q13"/>
    <mergeCell ref="S10:T10"/>
    <mergeCell ref="D11:D13"/>
    <mergeCell ref="F11:F13"/>
    <mergeCell ref="B9:B13"/>
    <mergeCell ref="I11:I13"/>
    <mergeCell ref="A9:A13"/>
    <mergeCell ref="A2:P2"/>
    <mergeCell ref="A3:T3"/>
    <mergeCell ref="S12:T13"/>
    <mergeCell ref="N10:R10"/>
    <mergeCell ref="A5:T5"/>
    <mergeCell ref="R11:R13"/>
    <mergeCell ref="N11:N13"/>
    <mergeCell ref="E11:E13"/>
    <mergeCell ref="M11:M13"/>
    <mergeCell ref="J10:M10"/>
    <mergeCell ref="K1:T1"/>
    <mergeCell ref="S8:T8"/>
    <mergeCell ref="A6:T6"/>
    <mergeCell ref="K11:K13"/>
    <mergeCell ref="L11:L13"/>
    <mergeCell ref="O11:O13"/>
    <mergeCell ref="P11:P13"/>
    <mergeCell ref="G11:G13"/>
  </mergeCells>
  <printOptions horizontalCentered="1"/>
  <pageMargins left="0" right="0" top="0" bottom="0" header="0.5118110236220472" footer="0.5118110236220472"/>
  <pageSetup fitToHeight="1" fitToWidth="1" horizontalDpi="600" verticalDpi="600" orientation="landscape" paperSize="9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5"/>
  <sheetViews>
    <sheetView zoomScale="75" zoomScaleNormal="75" zoomScalePageLayoutView="0" workbookViewId="0" topLeftCell="A1">
      <selection activeCell="A2" sqref="A2"/>
    </sheetView>
  </sheetViews>
  <sheetFormatPr defaultColWidth="9.00390625" defaultRowHeight="12.75"/>
  <cols>
    <col min="1" max="1" width="9.125" style="222" customWidth="1"/>
    <col min="2" max="2" width="63.125" style="222" customWidth="1"/>
    <col min="3" max="6" width="26.25390625" style="222" customWidth="1"/>
    <col min="7" max="16384" width="9.125" style="222" customWidth="1"/>
  </cols>
  <sheetData>
    <row r="2" spans="1:6" s="210" customFormat="1" ht="15.75">
      <c r="A2" s="148" t="s">
        <v>495</v>
      </c>
      <c r="C2" s="211"/>
      <c r="D2" s="212"/>
      <c r="E2" s="212"/>
      <c r="F2" s="212"/>
    </row>
    <row r="3" spans="2:6" s="77" customFormat="1" ht="15" customHeight="1">
      <c r="B3" s="357"/>
      <c r="C3" s="357"/>
      <c r="D3" s="357"/>
      <c r="E3" s="357"/>
      <c r="F3" s="357"/>
    </row>
    <row r="4" spans="3:6" s="213" customFormat="1" ht="15" customHeight="1">
      <c r="C4" s="214"/>
      <c r="D4" s="215"/>
      <c r="E4" s="215"/>
      <c r="F4" s="215"/>
    </row>
    <row r="5" spans="2:6" s="145" customFormat="1" ht="15" customHeight="1">
      <c r="B5" s="395" t="s">
        <v>44</v>
      </c>
      <c r="C5" s="395"/>
      <c r="D5" s="395"/>
      <c r="E5" s="395"/>
      <c r="F5" s="395"/>
    </row>
    <row r="6" spans="2:6" s="145" customFormat="1" ht="15.75">
      <c r="B6" s="396" t="s">
        <v>346</v>
      </c>
      <c r="C6" s="396"/>
      <c r="D6" s="396"/>
      <c r="E6" s="396"/>
      <c r="F6" s="396"/>
    </row>
    <row r="7" spans="2:6" s="145" customFormat="1" ht="15" customHeight="1">
      <c r="B7" s="395" t="s">
        <v>162</v>
      </c>
      <c r="C7" s="395"/>
      <c r="D7" s="395"/>
      <c r="E7" s="395"/>
      <c r="F7" s="395"/>
    </row>
    <row r="8" spans="2:6" s="210" customFormat="1" ht="12" customHeight="1" thickBot="1">
      <c r="B8" s="211"/>
      <c r="C8" s="216"/>
      <c r="D8" s="217"/>
      <c r="E8" s="217"/>
      <c r="F8" s="218"/>
    </row>
    <row r="9" spans="1:6" s="210" customFormat="1" ht="16.5" customHeight="1" thickBot="1">
      <c r="A9" s="375" t="s">
        <v>194</v>
      </c>
      <c r="B9" s="378" t="s">
        <v>195</v>
      </c>
      <c r="C9" s="381" t="s">
        <v>347</v>
      </c>
      <c r="D9" s="384" t="s">
        <v>328</v>
      </c>
      <c r="E9" s="384"/>
      <c r="F9" s="385"/>
    </row>
    <row r="10" spans="1:6" s="210" customFormat="1" ht="33" customHeight="1" thickBot="1">
      <c r="A10" s="376"/>
      <c r="B10" s="379"/>
      <c r="C10" s="382"/>
      <c r="D10" s="219" t="s">
        <v>329</v>
      </c>
      <c r="E10" s="220" t="s">
        <v>330</v>
      </c>
      <c r="F10" s="221" t="s">
        <v>331</v>
      </c>
    </row>
    <row r="11" spans="1:6" s="210" customFormat="1" ht="22.5" customHeight="1">
      <c r="A11" s="376"/>
      <c r="B11" s="379"/>
      <c r="C11" s="382"/>
      <c r="D11" s="386" t="s">
        <v>332</v>
      </c>
      <c r="E11" s="387"/>
      <c r="F11" s="388"/>
    </row>
    <row r="12" spans="1:6" ht="12.75">
      <c r="A12" s="376"/>
      <c r="B12" s="379"/>
      <c r="C12" s="382"/>
      <c r="D12" s="389"/>
      <c r="E12" s="390"/>
      <c r="F12" s="391"/>
    </row>
    <row r="13" spans="1:6" ht="3" customHeight="1" thickBot="1">
      <c r="A13" s="377"/>
      <c r="B13" s="380"/>
      <c r="C13" s="383"/>
      <c r="D13" s="392"/>
      <c r="E13" s="393"/>
      <c r="F13" s="394"/>
    </row>
    <row r="14" spans="1:6" ht="30">
      <c r="A14" s="129" t="s">
        <v>212</v>
      </c>
      <c r="B14" s="130" t="s">
        <v>213</v>
      </c>
      <c r="C14" s="225">
        <f>SUM(D14:F14)</f>
        <v>50450</v>
      </c>
      <c r="D14" s="225">
        <f>38022-27044+32+1748+191+135+148+28+20-12</f>
        <v>13268</v>
      </c>
      <c r="E14" s="225">
        <f>30792+37-3785+19+119+10000</f>
        <v>37182</v>
      </c>
      <c r="F14" s="225"/>
    </row>
    <row r="15" spans="1:6" ht="15">
      <c r="A15" s="133" t="s">
        <v>214</v>
      </c>
      <c r="B15" s="130" t="s">
        <v>39</v>
      </c>
      <c r="C15" s="227">
        <f aca="true" t="shared" si="0" ref="C15:C44">SUM(D15:F15)</f>
        <v>64</v>
      </c>
      <c r="D15" s="227">
        <v>64</v>
      </c>
      <c r="E15" s="227"/>
      <c r="F15" s="227"/>
    </row>
    <row r="16" spans="1:6" ht="15">
      <c r="A16" s="133" t="s">
        <v>215</v>
      </c>
      <c r="B16" s="130" t="s">
        <v>216</v>
      </c>
      <c r="C16" s="227">
        <f t="shared" si="0"/>
        <v>1929</v>
      </c>
      <c r="D16" s="227">
        <f>1523-8-286+250+480-50+12</f>
        <v>1921</v>
      </c>
      <c r="E16" s="227">
        <v>8</v>
      </c>
      <c r="F16" s="227"/>
    </row>
    <row r="17" spans="1:6" ht="15">
      <c r="A17" s="133" t="s">
        <v>333</v>
      </c>
      <c r="B17" s="130" t="s">
        <v>334</v>
      </c>
      <c r="C17" s="227">
        <f t="shared" si="0"/>
        <v>961</v>
      </c>
      <c r="D17" s="227">
        <f>943+18</f>
        <v>961</v>
      </c>
      <c r="E17" s="227"/>
      <c r="F17" s="227"/>
    </row>
    <row r="18" spans="1:6" ht="15">
      <c r="A18" s="133" t="s">
        <v>417</v>
      </c>
      <c r="B18" s="130" t="s">
        <v>418</v>
      </c>
      <c r="C18" s="227">
        <f t="shared" si="0"/>
        <v>1371</v>
      </c>
      <c r="D18" s="227"/>
      <c r="E18" s="227">
        <f>24+633+714</f>
        <v>1371</v>
      </c>
      <c r="F18" s="227"/>
    </row>
    <row r="19" spans="1:6" ht="15">
      <c r="A19" s="133" t="s">
        <v>461</v>
      </c>
      <c r="B19" s="130" t="s">
        <v>462</v>
      </c>
      <c r="C19" s="227">
        <f t="shared" si="0"/>
        <v>10000</v>
      </c>
      <c r="D19" s="227">
        <v>10000</v>
      </c>
      <c r="E19" s="227"/>
      <c r="F19" s="227"/>
    </row>
    <row r="20" spans="1:6" ht="15">
      <c r="A20" s="133" t="s">
        <v>343</v>
      </c>
      <c r="B20" s="240" t="s">
        <v>344</v>
      </c>
      <c r="C20" s="227">
        <f t="shared" si="0"/>
        <v>312</v>
      </c>
      <c r="D20" s="227">
        <v>312</v>
      </c>
      <c r="E20" s="227"/>
      <c r="F20" s="227"/>
    </row>
    <row r="21" spans="1:6" ht="30">
      <c r="A21" s="133" t="s">
        <v>217</v>
      </c>
      <c r="B21" s="130" t="s">
        <v>218</v>
      </c>
      <c r="C21" s="227">
        <f t="shared" si="0"/>
        <v>237</v>
      </c>
      <c r="D21" s="227">
        <v>237</v>
      </c>
      <c r="E21" s="227"/>
      <c r="F21" s="227"/>
    </row>
    <row r="22" spans="1:6" ht="15">
      <c r="A22" s="133" t="s">
        <v>219</v>
      </c>
      <c r="B22" s="130" t="s">
        <v>220</v>
      </c>
      <c r="C22" s="227">
        <f t="shared" si="0"/>
        <v>5858</v>
      </c>
      <c r="D22" s="227">
        <f>3993+735+1130</f>
        <v>5858</v>
      </c>
      <c r="E22" s="227"/>
      <c r="F22" s="227"/>
    </row>
    <row r="23" spans="1:6" ht="15">
      <c r="A23" s="133" t="s">
        <v>221</v>
      </c>
      <c r="B23" s="130" t="s">
        <v>222</v>
      </c>
      <c r="C23" s="227">
        <f t="shared" si="0"/>
        <v>600</v>
      </c>
      <c r="D23" s="227"/>
      <c r="E23" s="227">
        <v>600</v>
      </c>
      <c r="F23" s="227"/>
    </row>
    <row r="24" spans="1:6" ht="15">
      <c r="A24" s="133" t="s">
        <v>223</v>
      </c>
      <c r="B24" s="130" t="s">
        <v>224</v>
      </c>
      <c r="C24" s="227">
        <f t="shared" si="0"/>
        <v>3056</v>
      </c>
      <c r="D24" s="227">
        <v>3056</v>
      </c>
      <c r="E24" s="227"/>
      <c r="F24" s="227"/>
    </row>
    <row r="25" spans="1:6" ht="15">
      <c r="A25" s="133" t="s">
        <v>225</v>
      </c>
      <c r="B25" s="130" t="s">
        <v>226</v>
      </c>
      <c r="C25" s="227">
        <f t="shared" si="0"/>
        <v>381</v>
      </c>
      <c r="D25" s="227">
        <v>381</v>
      </c>
      <c r="E25" s="227"/>
      <c r="F25" s="227"/>
    </row>
    <row r="26" spans="1:6" ht="15">
      <c r="A26" s="133" t="s">
        <v>227</v>
      </c>
      <c r="B26" s="130" t="s">
        <v>228</v>
      </c>
      <c r="C26" s="227">
        <f t="shared" si="0"/>
        <v>2906</v>
      </c>
      <c r="D26" s="227">
        <f>2431-37+165+80+71+140</f>
        <v>2850</v>
      </c>
      <c r="E26" s="227">
        <f>37+19</f>
        <v>56</v>
      </c>
      <c r="F26" s="227"/>
    </row>
    <row r="27" spans="1:6" ht="15">
      <c r="A27" s="133" t="s">
        <v>229</v>
      </c>
      <c r="B27" s="130" t="s">
        <v>36</v>
      </c>
      <c r="C27" s="227">
        <f t="shared" si="0"/>
        <v>23315</v>
      </c>
      <c r="D27" s="227">
        <f>60+50</f>
        <v>110</v>
      </c>
      <c r="E27" s="227">
        <f>22697+508</f>
        <v>23205</v>
      </c>
      <c r="F27" s="227"/>
    </row>
    <row r="28" spans="1:6" ht="15">
      <c r="A28" s="133" t="s">
        <v>230</v>
      </c>
      <c r="B28" s="130" t="s">
        <v>231</v>
      </c>
      <c r="C28" s="227">
        <f t="shared" si="0"/>
        <v>675</v>
      </c>
      <c r="D28" s="227">
        <v>675</v>
      </c>
      <c r="E28" s="227"/>
      <c r="F28" s="227"/>
    </row>
    <row r="29" spans="1:6" ht="15">
      <c r="A29" s="133" t="s">
        <v>232</v>
      </c>
      <c r="B29" s="130" t="s">
        <v>40</v>
      </c>
      <c r="C29" s="227">
        <f t="shared" si="0"/>
        <v>567</v>
      </c>
      <c r="D29" s="227">
        <f>536-15+13+11</f>
        <v>545</v>
      </c>
      <c r="E29" s="227">
        <f>15+7</f>
        <v>22</v>
      </c>
      <c r="F29" s="227"/>
    </row>
    <row r="30" spans="1:6" ht="15">
      <c r="A30" s="133" t="s">
        <v>233</v>
      </c>
      <c r="B30" s="130" t="s">
        <v>38</v>
      </c>
      <c r="C30" s="227">
        <f t="shared" si="0"/>
        <v>235</v>
      </c>
      <c r="D30" s="227"/>
      <c r="E30" s="227">
        <f>200+35</f>
        <v>235</v>
      </c>
      <c r="F30" s="227"/>
    </row>
    <row r="31" spans="1:6" ht="15">
      <c r="A31" s="133" t="s">
        <v>234</v>
      </c>
      <c r="B31" s="130" t="s">
        <v>235</v>
      </c>
      <c r="C31" s="227">
        <f t="shared" si="0"/>
        <v>3381</v>
      </c>
      <c r="D31" s="227">
        <f>2803-75+28+191+286+24</f>
        <v>3257</v>
      </c>
      <c r="E31" s="227">
        <f>75+49</f>
        <v>124</v>
      </c>
      <c r="F31" s="227"/>
    </row>
    <row r="32" spans="1:6" ht="15">
      <c r="A32" s="133" t="s">
        <v>236</v>
      </c>
      <c r="B32" s="130" t="s">
        <v>237</v>
      </c>
      <c r="C32" s="227">
        <f t="shared" si="0"/>
        <v>50</v>
      </c>
      <c r="D32" s="227"/>
      <c r="E32" s="227">
        <v>50</v>
      </c>
      <c r="F32" s="227"/>
    </row>
    <row r="33" spans="1:6" ht="15">
      <c r="A33" s="133" t="s">
        <v>335</v>
      </c>
      <c r="B33" s="130" t="s">
        <v>336</v>
      </c>
      <c r="C33" s="227">
        <f t="shared" si="0"/>
        <v>5462</v>
      </c>
      <c r="D33" s="227">
        <f>5163-68+15+23+7+191+46</f>
        <v>5377</v>
      </c>
      <c r="E33" s="227">
        <f>68+17</f>
        <v>85</v>
      </c>
      <c r="F33" s="227"/>
    </row>
    <row r="34" spans="1:6" ht="15">
      <c r="A34" s="133" t="s">
        <v>337</v>
      </c>
      <c r="B34" s="130" t="s">
        <v>338</v>
      </c>
      <c r="C34" s="227">
        <f t="shared" si="0"/>
        <v>846</v>
      </c>
      <c r="D34" s="227"/>
      <c r="E34" s="227">
        <f>832+3+4+2+5</f>
        <v>846</v>
      </c>
      <c r="F34" s="227"/>
    </row>
    <row r="35" spans="1:6" ht="15">
      <c r="A35" s="133">
        <v>101150</v>
      </c>
      <c r="B35" s="130" t="s">
        <v>238</v>
      </c>
      <c r="C35" s="227">
        <f t="shared" si="0"/>
        <v>116</v>
      </c>
      <c r="D35" s="227">
        <f>45+71</f>
        <v>116</v>
      </c>
      <c r="E35" s="227"/>
      <c r="F35" s="227"/>
    </row>
    <row r="36" spans="1:6" ht="15">
      <c r="A36" s="133" t="s">
        <v>239</v>
      </c>
      <c r="B36" s="136" t="s">
        <v>37</v>
      </c>
      <c r="C36" s="227">
        <f t="shared" si="0"/>
        <v>284</v>
      </c>
      <c r="D36" s="227">
        <f>264+20</f>
        <v>284</v>
      </c>
      <c r="E36" s="227"/>
      <c r="F36" s="227"/>
    </row>
    <row r="37" spans="1:6" ht="15">
      <c r="A37" s="133">
        <v>104051</v>
      </c>
      <c r="B37" s="137" t="s">
        <v>401</v>
      </c>
      <c r="C37" s="227">
        <f t="shared" si="0"/>
        <v>46</v>
      </c>
      <c r="D37" s="227"/>
      <c r="E37" s="227"/>
      <c r="F37" s="227">
        <v>46</v>
      </c>
    </row>
    <row r="38" spans="1:6" ht="15">
      <c r="A38" s="133">
        <v>105010</v>
      </c>
      <c r="B38" s="130" t="s">
        <v>240</v>
      </c>
      <c r="C38" s="227">
        <f t="shared" si="0"/>
        <v>173</v>
      </c>
      <c r="D38" s="227"/>
      <c r="E38" s="227"/>
      <c r="F38" s="227">
        <f>147+26</f>
        <v>173</v>
      </c>
    </row>
    <row r="39" spans="1:6" ht="15">
      <c r="A39" s="133">
        <v>106020</v>
      </c>
      <c r="B39" s="130" t="s">
        <v>241</v>
      </c>
      <c r="C39" s="227">
        <f t="shared" si="0"/>
        <v>791</v>
      </c>
      <c r="D39" s="227">
        <v>600</v>
      </c>
      <c r="E39" s="227"/>
      <c r="F39" s="227">
        <v>191</v>
      </c>
    </row>
    <row r="40" spans="1:6" ht="15">
      <c r="A40" s="133" t="s">
        <v>242</v>
      </c>
      <c r="B40" s="136" t="s">
        <v>398</v>
      </c>
      <c r="C40" s="227">
        <f t="shared" si="0"/>
        <v>4227</v>
      </c>
      <c r="D40" s="227">
        <f>4143-54+12+18+29+6+5</f>
        <v>4159</v>
      </c>
      <c r="E40" s="227">
        <f>54+14</f>
        <v>68</v>
      </c>
      <c r="F40" s="227"/>
    </row>
    <row r="41" spans="1:6" ht="15">
      <c r="A41" s="133" t="s">
        <v>399</v>
      </c>
      <c r="B41" s="136" t="s">
        <v>400</v>
      </c>
      <c r="C41" s="227">
        <f t="shared" si="0"/>
        <v>1204</v>
      </c>
      <c r="D41" s="227"/>
      <c r="E41" s="227">
        <f>1174+3+5+2+20</f>
        <v>1204</v>
      </c>
      <c r="F41" s="227"/>
    </row>
    <row r="42" spans="1:6" ht="15">
      <c r="A42" s="133">
        <v>107052</v>
      </c>
      <c r="B42" s="136" t="s">
        <v>243</v>
      </c>
      <c r="C42" s="227">
        <f t="shared" si="0"/>
        <v>360</v>
      </c>
      <c r="D42" s="227">
        <v>360</v>
      </c>
      <c r="E42" s="227"/>
      <c r="F42" s="227"/>
    </row>
    <row r="43" spans="1:6" ht="15">
      <c r="A43" s="133">
        <v>107060</v>
      </c>
      <c r="B43" s="136" t="s">
        <v>244</v>
      </c>
      <c r="C43" s="227">
        <f t="shared" si="0"/>
        <v>1916</v>
      </c>
      <c r="D43" s="227">
        <v>249</v>
      </c>
      <c r="E43" s="227">
        <f>1604+160-71-26</f>
        <v>1667</v>
      </c>
      <c r="F43" s="227"/>
    </row>
    <row r="44" spans="1:6" ht="15.75" thickBot="1">
      <c r="A44" s="133">
        <v>900070</v>
      </c>
      <c r="B44" s="136" t="s">
        <v>402</v>
      </c>
      <c r="C44" s="227">
        <f t="shared" si="0"/>
        <v>31924</v>
      </c>
      <c r="D44" s="227">
        <f>10107+185-155-1748-160-35+10000-140-250-480-191-20-18-20+15357-508</f>
        <v>31924</v>
      </c>
      <c r="E44" s="227"/>
      <c r="F44" s="227"/>
    </row>
    <row r="45" spans="1:6" ht="33" customHeight="1" thickBot="1">
      <c r="A45" s="229"/>
      <c r="B45" s="230" t="s">
        <v>1</v>
      </c>
      <c r="C45" s="231">
        <f>SUM(C14:C44)</f>
        <v>153697</v>
      </c>
      <c r="D45" s="231">
        <f>SUM(D14:D44)</f>
        <v>86564</v>
      </c>
      <c r="E45" s="231">
        <f>SUM(E14:E44)</f>
        <v>66723</v>
      </c>
      <c r="F45" s="231">
        <f>SUM(F14:F44)</f>
        <v>410</v>
      </c>
    </row>
  </sheetData>
  <sheetProtection/>
  <mergeCells count="9">
    <mergeCell ref="B3:F3"/>
    <mergeCell ref="B5:F5"/>
    <mergeCell ref="B6:F6"/>
    <mergeCell ref="B7:F7"/>
    <mergeCell ref="A9:A13"/>
    <mergeCell ref="B9:B13"/>
    <mergeCell ref="C9:C13"/>
    <mergeCell ref="D9:F9"/>
    <mergeCell ref="D11:F13"/>
  </mergeCells>
  <printOptions horizontalCentered="1"/>
  <pageMargins left="0" right="0" top="0" bottom="0" header="0.31496062992125984" footer="0.31496062992125984"/>
  <pageSetup fitToHeight="1" fitToWidth="1" horizontalDpi="600" verticalDpi="600" orientation="landscape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U4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2" width="9.125" style="12" customWidth="1"/>
    <col min="3" max="3" width="23.125" style="12" customWidth="1"/>
    <col min="4" max="4" width="17.375" style="12" customWidth="1"/>
    <col min="5" max="5" width="14.375" style="12" customWidth="1"/>
    <col min="6" max="6" width="17.125" style="12" customWidth="1"/>
    <col min="7" max="16384" width="9.125" style="12" customWidth="1"/>
  </cols>
  <sheetData>
    <row r="1" spans="1:10" ht="15.75">
      <c r="A1" s="148" t="s">
        <v>496</v>
      </c>
      <c r="C1" s="83"/>
      <c r="D1" s="83"/>
      <c r="E1" s="83"/>
      <c r="F1" s="83"/>
      <c r="G1" s="83"/>
      <c r="H1" s="83"/>
      <c r="I1" s="83"/>
      <c r="J1" s="83"/>
    </row>
    <row r="2" spans="1:6" ht="15">
      <c r="A2" s="440"/>
      <c r="B2" s="440"/>
      <c r="C2" s="440"/>
      <c r="D2" s="440"/>
      <c r="E2" s="440"/>
      <c r="F2" s="440"/>
    </row>
    <row r="3" spans="1:6" ht="15">
      <c r="A3" s="440"/>
      <c r="B3" s="440"/>
      <c r="C3" s="440"/>
      <c r="D3" s="440"/>
      <c r="E3" s="440"/>
      <c r="F3" s="440"/>
    </row>
    <row r="4" ht="12.75" customHeight="1"/>
    <row r="5" spans="1:6" s="22" customFormat="1" ht="15.75">
      <c r="A5" s="441" t="s">
        <v>3</v>
      </c>
      <c r="B5" s="441"/>
      <c r="C5" s="441"/>
      <c r="D5" s="441"/>
      <c r="E5" s="441"/>
      <c r="F5" s="441"/>
    </row>
    <row r="6" spans="1:6" s="22" customFormat="1" ht="15.75">
      <c r="A6" s="441" t="s">
        <v>456</v>
      </c>
      <c r="B6" s="441"/>
      <c r="C6" s="441"/>
      <c r="D6" s="441"/>
      <c r="E6" s="441"/>
      <c r="F6" s="441"/>
    </row>
    <row r="7" spans="1:6" ht="12.75" customHeight="1">
      <c r="A7" s="442"/>
      <c r="B7" s="442"/>
      <c r="C7" s="442"/>
      <c r="D7" s="442"/>
      <c r="E7" s="442"/>
      <c r="F7" s="442"/>
    </row>
    <row r="8" ht="15">
      <c r="F8" s="139" t="s">
        <v>7</v>
      </c>
    </row>
    <row r="9" spans="1:6" ht="15">
      <c r="A9" s="443" t="s">
        <v>0</v>
      </c>
      <c r="B9" s="444"/>
      <c r="C9" s="444"/>
      <c r="D9" s="444"/>
      <c r="E9" s="445"/>
      <c r="F9" s="437" t="s">
        <v>11</v>
      </c>
    </row>
    <row r="10" spans="1:6" ht="15">
      <c r="A10" s="446"/>
      <c r="B10" s="447"/>
      <c r="C10" s="447"/>
      <c r="D10" s="447"/>
      <c r="E10" s="448"/>
      <c r="F10" s="438"/>
    </row>
    <row r="11" spans="1:6" ht="15">
      <c r="A11" s="449"/>
      <c r="B11" s="450"/>
      <c r="C11" s="450"/>
      <c r="D11" s="450"/>
      <c r="E11" s="451"/>
      <c r="F11" s="439"/>
    </row>
    <row r="12" spans="1:6" ht="15">
      <c r="A12" s="14" t="s">
        <v>245</v>
      </c>
      <c r="E12" s="24"/>
      <c r="F12" s="25"/>
    </row>
    <row r="13" spans="1:2" s="14" customFormat="1" ht="11.25" customHeight="1">
      <c r="A13" s="139"/>
      <c r="B13" s="12"/>
    </row>
    <row r="14" spans="1:5" ht="29.25" customHeight="1">
      <c r="A14" s="139"/>
      <c r="B14" s="374" t="s">
        <v>246</v>
      </c>
      <c r="C14" s="374"/>
      <c r="D14" s="374"/>
      <c r="E14" s="374"/>
    </row>
    <row r="15" spans="1:6" ht="15.75">
      <c r="A15" s="140" t="s">
        <v>47</v>
      </c>
      <c r="B15" s="15" t="s">
        <v>20</v>
      </c>
      <c r="D15" s="13"/>
      <c r="F15" s="47"/>
    </row>
    <row r="16" spans="1:6" ht="15.75">
      <c r="A16" s="141" t="s">
        <v>24</v>
      </c>
      <c r="B16" s="16" t="s">
        <v>74</v>
      </c>
      <c r="F16" s="47">
        <v>20</v>
      </c>
    </row>
    <row r="17" spans="1:6" ht="15">
      <c r="A17" s="13" t="s">
        <v>48</v>
      </c>
      <c r="B17" s="12" t="s">
        <v>25</v>
      </c>
      <c r="F17" s="47">
        <v>92</v>
      </c>
    </row>
    <row r="18" spans="1:6" ht="15">
      <c r="A18" s="13" t="s">
        <v>106</v>
      </c>
      <c r="B18" s="12" t="s">
        <v>420</v>
      </c>
      <c r="F18" s="47">
        <v>15</v>
      </c>
    </row>
    <row r="19" spans="1:6" ht="15">
      <c r="A19" s="13" t="s">
        <v>108</v>
      </c>
      <c r="B19" s="12" t="s">
        <v>421</v>
      </c>
      <c r="F19" s="47">
        <v>120</v>
      </c>
    </row>
    <row r="20" spans="1:6" s="14" customFormat="1" ht="13.5" customHeight="1">
      <c r="A20" s="13" t="s">
        <v>114</v>
      </c>
      <c r="B20" s="12" t="s">
        <v>475</v>
      </c>
      <c r="F20" s="47">
        <v>18</v>
      </c>
    </row>
    <row r="21" spans="1:6" ht="33.75" customHeight="1">
      <c r="A21" s="14"/>
      <c r="B21" s="374" t="s">
        <v>247</v>
      </c>
      <c r="C21" s="374"/>
      <c r="D21" s="374"/>
      <c r="E21" s="374"/>
      <c r="F21" s="48">
        <f>SUM(F15:F20)</f>
        <v>265</v>
      </c>
    </row>
    <row r="22" spans="1:2" s="14" customFormat="1" ht="11.25" customHeight="1">
      <c r="A22" s="139"/>
      <c r="B22" s="12"/>
    </row>
    <row r="23" spans="1:6" ht="33" customHeight="1">
      <c r="A23" s="14"/>
      <c r="B23" s="374" t="s">
        <v>248</v>
      </c>
      <c r="C23" s="374"/>
      <c r="D23" s="374"/>
      <c r="E23" s="374"/>
      <c r="F23" s="47"/>
    </row>
    <row r="24" spans="1:2" s="14" customFormat="1" ht="11.25" customHeight="1">
      <c r="A24" s="139"/>
      <c r="B24" s="12"/>
    </row>
    <row r="25" spans="1:6" ht="15.75">
      <c r="A25" s="13" t="s">
        <v>47</v>
      </c>
      <c r="B25" s="15" t="s">
        <v>21</v>
      </c>
      <c r="C25" s="15"/>
      <c r="F25" s="47">
        <v>50</v>
      </c>
    </row>
    <row r="26" spans="1:2" s="14" customFormat="1" ht="11.25" customHeight="1">
      <c r="A26" s="139"/>
      <c r="B26" s="12"/>
    </row>
    <row r="27" spans="1:255" ht="15.75">
      <c r="A27" s="13" t="s">
        <v>24</v>
      </c>
      <c r="B27" s="18" t="s">
        <v>22</v>
      </c>
      <c r="C27" s="18"/>
      <c r="D27" s="18"/>
      <c r="E27" s="18"/>
      <c r="F27" s="47">
        <v>40</v>
      </c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8"/>
      <c r="FN27" s="18"/>
      <c r="FO27" s="18"/>
      <c r="FP27" s="18"/>
      <c r="FQ27" s="18"/>
      <c r="FR27" s="18"/>
      <c r="FS27" s="18"/>
      <c r="FT27" s="18"/>
      <c r="FU27" s="18"/>
      <c r="FV27" s="18"/>
      <c r="FW27" s="18"/>
      <c r="FX27" s="18"/>
      <c r="FY27" s="18"/>
      <c r="FZ27" s="18"/>
      <c r="GA27" s="18"/>
      <c r="GB27" s="18"/>
      <c r="GC27" s="18"/>
      <c r="GD27" s="18"/>
      <c r="GE27" s="18"/>
      <c r="GF27" s="18"/>
      <c r="GG27" s="18"/>
      <c r="GH27" s="18"/>
      <c r="GI27" s="18"/>
      <c r="GJ27" s="18"/>
      <c r="GK27" s="18"/>
      <c r="GL27" s="18"/>
      <c r="GM27" s="18"/>
      <c r="GN27" s="18"/>
      <c r="GO27" s="18"/>
      <c r="GP27" s="18"/>
      <c r="GQ27" s="18"/>
      <c r="GR27" s="18"/>
      <c r="GS27" s="18"/>
      <c r="GT27" s="18"/>
      <c r="GU27" s="18"/>
      <c r="GV27" s="18"/>
      <c r="GW27" s="18"/>
      <c r="GX27" s="18"/>
      <c r="GY27" s="18"/>
      <c r="GZ27" s="18"/>
      <c r="HA27" s="18"/>
      <c r="HB27" s="18"/>
      <c r="HC27" s="18"/>
      <c r="HD27" s="18"/>
      <c r="HE27" s="18"/>
      <c r="HF27" s="18"/>
      <c r="HG27" s="18"/>
      <c r="HH27" s="18"/>
      <c r="HI27" s="18"/>
      <c r="HJ27" s="18"/>
      <c r="HK27" s="18"/>
      <c r="HL27" s="18"/>
      <c r="HM27" s="18"/>
      <c r="HN27" s="18"/>
      <c r="HO27" s="18"/>
      <c r="HP27" s="18"/>
      <c r="HQ27" s="18"/>
      <c r="HR27" s="18"/>
      <c r="HS27" s="18"/>
      <c r="HT27" s="18"/>
      <c r="HU27" s="18"/>
      <c r="HV27" s="18"/>
      <c r="HW27" s="18"/>
      <c r="HX27" s="18"/>
      <c r="HY27" s="18"/>
      <c r="HZ27" s="18"/>
      <c r="IA27" s="18"/>
      <c r="IB27" s="18"/>
      <c r="IC27" s="18"/>
      <c r="ID27" s="18"/>
      <c r="IE27" s="18"/>
      <c r="IF27" s="18"/>
      <c r="IG27" s="18"/>
      <c r="IH27" s="18"/>
      <c r="II27" s="18"/>
      <c r="IJ27" s="18"/>
      <c r="IK27" s="18"/>
      <c r="IL27" s="18"/>
      <c r="IM27" s="18"/>
      <c r="IN27" s="18"/>
      <c r="IO27" s="18"/>
      <c r="IP27" s="18"/>
      <c r="IQ27" s="18"/>
      <c r="IR27" s="18"/>
      <c r="IS27" s="18"/>
      <c r="IT27" s="18"/>
      <c r="IU27" s="18"/>
    </row>
    <row r="28" spans="1:255" ht="15.75">
      <c r="A28" s="13" t="s">
        <v>48</v>
      </c>
      <c r="B28" s="18" t="s">
        <v>23</v>
      </c>
      <c r="C28" s="18"/>
      <c r="D28" s="18"/>
      <c r="E28" s="18"/>
      <c r="F28" s="47">
        <f>80+35</f>
        <v>115</v>
      </c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8"/>
      <c r="EY28" s="18"/>
      <c r="EZ28" s="18"/>
      <c r="FA28" s="18"/>
      <c r="FB28" s="18"/>
      <c r="FC28" s="18"/>
      <c r="FD28" s="18"/>
      <c r="FE28" s="18"/>
      <c r="FF28" s="18"/>
      <c r="FG28" s="18"/>
      <c r="FH28" s="18"/>
      <c r="FI28" s="18"/>
      <c r="FJ28" s="18"/>
      <c r="FK28" s="18"/>
      <c r="FL28" s="18"/>
      <c r="FM28" s="18"/>
      <c r="FN28" s="18"/>
      <c r="FO28" s="18"/>
      <c r="FP28" s="18"/>
      <c r="FQ28" s="18"/>
      <c r="FR28" s="18"/>
      <c r="FS28" s="18"/>
      <c r="FT28" s="18"/>
      <c r="FU28" s="18"/>
      <c r="FV28" s="18"/>
      <c r="FW28" s="18"/>
      <c r="FX28" s="18"/>
      <c r="FY28" s="18"/>
      <c r="FZ28" s="18"/>
      <c r="GA28" s="18"/>
      <c r="GB28" s="18"/>
      <c r="GC28" s="18"/>
      <c r="GD28" s="18"/>
      <c r="GE28" s="18"/>
      <c r="GF28" s="18"/>
      <c r="GG28" s="18"/>
      <c r="GH28" s="18"/>
      <c r="GI28" s="18"/>
      <c r="GJ28" s="18"/>
      <c r="GK28" s="18"/>
      <c r="GL28" s="18"/>
      <c r="GM28" s="18"/>
      <c r="GN28" s="18"/>
      <c r="GO28" s="18"/>
      <c r="GP28" s="18"/>
      <c r="GQ28" s="18"/>
      <c r="GR28" s="18"/>
      <c r="GS28" s="18"/>
      <c r="GT28" s="18"/>
      <c r="GU28" s="18"/>
      <c r="GV28" s="18"/>
      <c r="GW28" s="18"/>
      <c r="GX28" s="18"/>
      <c r="GY28" s="18"/>
      <c r="GZ28" s="18"/>
      <c r="HA28" s="18"/>
      <c r="HB28" s="18"/>
      <c r="HC28" s="18"/>
      <c r="HD28" s="18"/>
      <c r="HE28" s="18"/>
      <c r="HF28" s="18"/>
      <c r="HG28" s="18"/>
      <c r="HH28" s="18"/>
      <c r="HI28" s="18"/>
      <c r="HJ28" s="18"/>
      <c r="HK28" s="18"/>
      <c r="HL28" s="18"/>
      <c r="HM28" s="18"/>
      <c r="HN28" s="18"/>
      <c r="HO28" s="18"/>
      <c r="HP28" s="18"/>
      <c r="HQ28" s="18"/>
      <c r="HR28" s="18"/>
      <c r="HS28" s="18"/>
      <c r="HT28" s="18"/>
      <c r="HU28" s="18"/>
      <c r="HV28" s="18"/>
      <c r="HW28" s="18"/>
      <c r="HX28" s="18"/>
      <c r="HY28" s="18"/>
      <c r="HZ28" s="18"/>
      <c r="IA28" s="18"/>
      <c r="IB28" s="18"/>
      <c r="IC28" s="18"/>
      <c r="ID28" s="18"/>
      <c r="IE28" s="18"/>
      <c r="IF28" s="18"/>
      <c r="IG28" s="18"/>
      <c r="IH28" s="18"/>
      <c r="II28" s="18"/>
      <c r="IJ28" s="18"/>
      <c r="IK28" s="18"/>
      <c r="IL28" s="18"/>
      <c r="IM28" s="18"/>
      <c r="IN28" s="18"/>
      <c r="IO28" s="18"/>
      <c r="IP28" s="18"/>
      <c r="IQ28" s="18"/>
      <c r="IR28" s="18"/>
      <c r="IS28" s="18"/>
      <c r="IT28" s="18"/>
      <c r="IU28" s="18"/>
    </row>
    <row r="29" spans="1:255" ht="15.75">
      <c r="A29" s="13" t="s">
        <v>106</v>
      </c>
      <c r="B29" s="18" t="s">
        <v>50</v>
      </c>
      <c r="C29" s="18"/>
      <c r="D29" s="18"/>
      <c r="E29" s="18"/>
      <c r="F29" s="47">
        <f>80</f>
        <v>80</v>
      </c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8"/>
      <c r="EC29" s="18"/>
      <c r="ED29" s="18"/>
      <c r="EE29" s="18"/>
      <c r="EF29" s="18"/>
      <c r="EG29" s="18"/>
      <c r="EH29" s="18"/>
      <c r="EI29" s="18"/>
      <c r="EJ29" s="18"/>
      <c r="EK29" s="18"/>
      <c r="EL29" s="18"/>
      <c r="EM29" s="18"/>
      <c r="EN29" s="18"/>
      <c r="EO29" s="18"/>
      <c r="EP29" s="18"/>
      <c r="EQ29" s="18"/>
      <c r="ER29" s="18"/>
      <c r="ES29" s="18"/>
      <c r="ET29" s="18"/>
      <c r="EU29" s="18"/>
      <c r="EV29" s="18"/>
      <c r="EW29" s="18"/>
      <c r="EX29" s="18"/>
      <c r="EY29" s="18"/>
      <c r="EZ29" s="18"/>
      <c r="FA29" s="18"/>
      <c r="FB29" s="18"/>
      <c r="FC29" s="18"/>
      <c r="FD29" s="18"/>
      <c r="FE29" s="18"/>
      <c r="FF29" s="18"/>
      <c r="FG29" s="18"/>
      <c r="FH29" s="18"/>
      <c r="FI29" s="18"/>
      <c r="FJ29" s="18"/>
      <c r="FK29" s="18"/>
      <c r="FL29" s="18"/>
      <c r="FM29" s="18"/>
      <c r="FN29" s="18"/>
      <c r="FO29" s="18"/>
      <c r="FP29" s="18"/>
      <c r="FQ29" s="18"/>
      <c r="FR29" s="18"/>
      <c r="FS29" s="18"/>
      <c r="FT29" s="18"/>
      <c r="FU29" s="18"/>
      <c r="FV29" s="18"/>
      <c r="FW29" s="18"/>
      <c r="FX29" s="18"/>
      <c r="FY29" s="18"/>
      <c r="FZ29" s="18"/>
      <c r="GA29" s="18"/>
      <c r="GB29" s="18"/>
      <c r="GC29" s="18"/>
      <c r="GD29" s="18"/>
      <c r="GE29" s="18"/>
      <c r="GF29" s="18"/>
      <c r="GG29" s="18"/>
      <c r="GH29" s="18"/>
      <c r="GI29" s="18"/>
      <c r="GJ29" s="18"/>
      <c r="GK29" s="18"/>
      <c r="GL29" s="18"/>
      <c r="GM29" s="18"/>
      <c r="GN29" s="18"/>
      <c r="GO29" s="18"/>
      <c r="GP29" s="18"/>
      <c r="GQ29" s="18"/>
      <c r="GR29" s="18"/>
      <c r="GS29" s="18"/>
      <c r="GT29" s="18"/>
      <c r="GU29" s="18"/>
      <c r="GV29" s="18"/>
      <c r="GW29" s="18"/>
      <c r="GX29" s="18"/>
      <c r="GY29" s="18"/>
      <c r="GZ29" s="18"/>
      <c r="HA29" s="18"/>
      <c r="HB29" s="18"/>
      <c r="HC29" s="18"/>
      <c r="HD29" s="18"/>
      <c r="HE29" s="18"/>
      <c r="HF29" s="18"/>
      <c r="HG29" s="18"/>
      <c r="HH29" s="18"/>
      <c r="HI29" s="18"/>
      <c r="HJ29" s="18"/>
      <c r="HK29" s="18"/>
      <c r="HL29" s="18"/>
      <c r="HM29" s="18"/>
      <c r="HN29" s="18"/>
      <c r="HO29" s="18"/>
      <c r="HP29" s="18"/>
      <c r="HQ29" s="18"/>
      <c r="HR29" s="18"/>
      <c r="HS29" s="18"/>
      <c r="HT29" s="18"/>
      <c r="HU29" s="18"/>
      <c r="HV29" s="18"/>
      <c r="HW29" s="18"/>
      <c r="HX29" s="18"/>
      <c r="HY29" s="18"/>
      <c r="HZ29" s="18"/>
      <c r="IA29" s="18"/>
      <c r="IB29" s="18"/>
      <c r="IC29" s="18"/>
      <c r="ID29" s="18"/>
      <c r="IE29" s="18"/>
      <c r="IF29" s="18"/>
      <c r="IG29" s="18"/>
      <c r="IH29" s="18"/>
      <c r="II29" s="18"/>
      <c r="IJ29" s="18"/>
      <c r="IK29" s="18"/>
      <c r="IL29" s="18"/>
      <c r="IM29" s="18"/>
      <c r="IN29" s="18"/>
      <c r="IO29" s="18"/>
      <c r="IP29" s="18"/>
      <c r="IQ29" s="18"/>
      <c r="IR29" s="18"/>
      <c r="IS29" s="18"/>
      <c r="IT29" s="18"/>
      <c r="IU29" s="18"/>
    </row>
    <row r="30" spans="1:255" ht="15.75">
      <c r="A30" s="13" t="s">
        <v>108</v>
      </c>
      <c r="B30" s="18" t="s">
        <v>51</v>
      </c>
      <c r="C30" s="18"/>
      <c r="D30" s="18"/>
      <c r="E30" s="18"/>
      <c r="F30" s="47">
        <v>75</v>
      </c>
      <c r="G30" s="65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A30" s="18"/>
      <c r="EB30" s="18"/>
      <c r="EC30" s="18"/>
      <c r="ED30" s="18"/>
      <c r="EE30" s="18"/>
      <c r="EF30" s="18"/>
      <c r="EG30" s="18"/>
      <c r="EH30" s="18"/>
      <c r="EI30" s="18"/>
      <c r="EJ30" s="18"/>
      <c r="EK30" s="18"/>
      <c r="EL30" s="18"/>
      <c r="EM30" s="18"/>
      <c r="EN30" s="18"/>
      <c r="EO30" s="18"/>
      <c r="EP30" s="18"/>
      <c r="EQ30" s="18"/>
      <c r="ER30" s="18"/>
      <c r="ES30" s="18"/>
      <c r="ET30" s="18"/>
      <c r="EU30" s="18"/>
      <c r="EV30" s="18"/>
      <c r="EW30" s="18"/>
      <c r="EX30" s="18"/>
      <c r="EY30" s="18"/>
      <c r="EZ30" s="18"/>
      <c r="FA30" s="18"/>
      <c r="FB30" s="18"/>
      <c r="FC30" s="18"/>
      <c r="FD30" s="18"/>
      <c r="FE30" s="18"/>
      <c r="FF30" s="18"/>
      <c r="FG30" s="18"/>
      <c r="FH30" s="18"/>
      <c r="FI30" s="18"/>
      <c r="FJ30" s="18"/>
      <c r="FK30" s="18"/>
      <c r="FL30" s="18"/>
      <c r="FM30" s="18"/>
      <c r="FN30" s="18"/>
      <c r="FO30" s="18"/>
      <c r="FP30" s="18"/>
      <c r="FQ30" s="18"/>
      <c r="FR30" s="18"/>
      <c r="FS30" s="18"/>
      <c r="FT30" s="18"/>
      <c r="FU30" s="18"/>
      <c r="FV30" s="18"/>
      <c r="FW30" s="18"/>
      <c r="FX30" s="18"/>
      <c r="FY30" s="18"/>
      <c r="FZ30" s="18"/>
      <c r="GA30" s="18"/>
      <c r="GB30" s="18"/>
      <c r="GC30" s="18"/>
      <c r="GD30" s="18"/>
      <c r="GE30" s="18"/>
      <c r="GF30" s="18"/>
      <c r="GG30" s="18"/>
      <c r="GH30" s="18"/>
      <c r="GI30" s="18"/>
      <c r="GJ30" s="18"/>
      <c r="GK30" s="18"/>
      <c r="GL30" s="18"/>
      <c r="GM30" s="18"/>
      <c r="GN30" s="18"/>
      <c r="GO30" s="18"/>
      <c r="GP30" s="18"/>
      <c r="GQ30" s="18"/>
      <c r="GR30" s="18"/>
      <c r="GS30" s="18"/>
      <c r="GT30" s="18"/>
      <c r="GU30" s="18"/>
      <c r="GV30" s="18"/>
      <c r="GW30" s="18"/>
      <c r="GX30" s="18"/>
      <c r="GY30" s="18"/>
      <c r="GZ30" s="18"/>
      <c r="HA30" s="18"/>
      <c r="HB30" s="18"/>
      <c r="HC30" s="18"/>
      <c r="HD30" s="18"/>
      <c r="HE30" s="18"/>
      <c r="HF30" s="18"/>
      <c r="HG30" s="18"/>
      <c r="HH30" s="18"/>
      <c r="HI30" s="18"/>
      <c r="HJ30" s="18"/>
      <c r="HK30" s="18"/>
      <c r="HL30" s="18"/>
      <c r="HM30" s="18"/>
      <c r="HN30" s="18"/>
      <c r="HO30" s="18"/>
      <c r="HP30" s="18"/>
      <c r="HQ30" s="18"/>
      <c r="HR30" s="18"/>
      <c r="HS30" s="18"/>
      <c r="HT30" s="18"/>
      <c r="HU30" s="18"/>
      <c r="HV30" s="18"/>
      <c r="HW30" s="18"/>
      <c r="HX30" s="18"/>
      <c r="HY30" s="18"/>
      <c r="HZ30" s="18"/>
      <c r="IA30" s="18"/>
      <c r="IB30" s="18"/>
      <c r="IC30" s="18"/>
      <c r="ID30" s="18"/>
      <c r="IE30" s="18"/>
      <c r="IF30" s="18"/>
      <c r="IG30" s="18"/>
      <c r="IH30" s="18"/>
      <c r="II30" s="18"/>
      <c r="IJ30" s="18"/>
      <c r="IK30" s="18"/>
      <c r="IL30" s="18"/>
      <c r="IM30" s="18"/>
      <c r="IN30" s="18"/>
      <c r="IO30" s="18"/>
      <c r="IP30" s="18"/>
      <c r="IQ30" s="18"/>
      <c r="IR30" s="18"/>
      <c r="IS30" s="18"/>
      <c r="IT30" s="18"/>
      <c r="IU30" s="18"/>
    </row>
    <row r="31" spans="1:6" ht="13.5" customHeight="1">
      <c r="A31" s="13" t="s">
        <v>114</v>
      </c>
      <c r="B31" s="18" t="s">
        <v>75</v>
      </c>
      <c r="F31" s="47">
        <v>600</v>
      </c>
    </row>
    <row r="32" spans="1:2" s="14" customFormat="1" ht="11.25" customHeight="1">
      <c r="A32" s="139"/>
      <c r="B32" s="12"/>
    </row>
    <row r="33" spans="1:8" ht="32.25" customHeight="1">
      <c r="A33" s="14"/>
      <c r="B33" s="374" t="s">
        <v>249</v>
      </c>
      <c r="C33" s="374"/>
      <c r="D33" s="374"/>
      <c r="E33" s="374"/>
      <c r="F33" s="48">
        <f>SUM(F25:F32)</f>
        <v>960</v>
      </c>
      <c r="G33" s="17"/>
      <c r="H33" s="17"/>
    </row>
    <row r="34" spans="1:2" s="14" customFormat="1" ht="11.25" customHeight="1">
      <c r="A34" s="139"/>
      <c r="B34" s="12"/>
    </row>
    <row r="35" spans="1:7" s="19" customFormat="1" ht="15.75">
      <c r="A35" s="14" t="s">
        <v>250</v>
      </c>
      <c r="F35" s="48">
        <f>F33+F21</f>
        <v>1225</v>
      </c>
      <c r="G35" s="20"/>
    </row>
    <row r="36" spans="1:2" s="14" customFormat="1" ht="11.25" customHeight="1">
      <c r="A36" s="139"/>
      <c r="B36" s="12"/>
    </row>
    <row r="37" spans="2:7" s="19" customFormat="1" ht="54.75" customHeight="1">
      <c r="B37" s="347" t="s">
        <v>318</v>
      </c>
      <c r="C37" s="347"/>
      <c r="D37" s="347"/>
      <c r="E37" s="347"/>
      <c r="F37" s="48"/>
      <c r="G37" s="20"/>
    </row>
    <row r="38" spans="1:2" s="14" customFormat="1" ht="11.25" customHeight="1">
      <c r="A38" s="139"/>
      <c r="B38" s="12"/>
    </row>
    <row r="39" spans="1:6" ht="31.5" customHeight="1">
      <c r="A39" s="13" t="s">
        <v>47</v>
      </c>
      <c r="B39" s="452" t="s">
        <v>319</v>
      </c>
      <c r="C39" s="452"/>
      <c r="D39" s="452"/>
      <c r="E39" s="452"/>
      <c r="F39" s="47">
        <v>26215</v>
      </c>
    </row>
    <row r="40" spans="1:6" ht="31.5" customHeight="1">
      <c r="A40" s="13" t="s">
        <v>24</v>
      </c>
      <c r="B40" s="452" t="s">
        <v>457</v>
      </c>
      <c r="C40" s="452"/>
      <c r="D40" s="452"/>
      <c r="E40" s="452"/>
      <c r="F40" s="47">
        <v>10000</v>
      </c>
    </row>
    <row r="41" spans="1:2" s="14" customFormat="1" ht="11.25" customHeight="1">
      <c r="A41" s="139"/>
      <c r="B41" s="12"/>
    </row>
    <row r="42" spans="1:7" s="19" customFormat="1" ht="50.25" customHeight="1">
      <c r="A42" s="347" t="s">
        <v>320</v>
      </c>
      <c r="B42" s="347"/>
      <c r="C42" s="347"/>
      <c r="D42" s="347"/>
      <c r="E42" s="347"/>
      <c r="F42" s="48">
        <f>F39+F40</f>
        <v>36215</v>
      </c>
      <c r="G42" s="20"/>
    </row>
    <row r="43" spans="1:2" s="14" customFormat="1" ht="11.25" customHeight="1">
      <c r="A43" s="139"/>
      <c r="B43" s="12"/>
    </row>
    <row r="44" spans="1:6" s="21" customFormat="1" ht="18.75">
      <c r="A44" s="21" t="s">
        <v>6</v>
      </c>
      <c r="F44" s="43">
        <f>F35+F42</f>
        <v>37440</v>
      </c>
    </row>
  </sheetData>
  <sheetProtection/>
  <mergeCells count="15">
    <mergeCell ref="A42:E42"/>
    <mergeCell ref="B23:E23"/>
    <mergeCell ref="B33:E33"/>
    <mergeCell ref="A9:E11"/>
    <mergeCell ref="B14:E14"/>
    <mergeCell ref="B21:E21"/>
    <mergeCell ref="B39:E39"/>
    <mergeCell ref="B37:E37"/>
    <mergeCell ref="B40:E40"/>
    <mergeCell ref="F9:F11"/>
    <mergeCell ref="A2:F2"/>
    <mergeCell ref="A3:F3"/>
    <mergeCell ref="A5:F5"/>
    <mergeCell ref="A7:F7"/>
    <mergeCell ref="A6:F6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5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67.875" style="28" customWidth="1"/>
    <col min="2" max="2" width="12.125" style="28" customWidth="1"/>
    <col min="3" max="3" width="16.00390625" style="42" customWidth="1"/>
    <col min="4" max="16384" width="9.125" style="28" customWidth="1"/>
  </cols>
  <sheetData>
    <row r="1" spans="1:4" ht="15.75">
      <c r="A1" s="148" t="s">
        <v>497</v>
      </c>
      <c r="B1" s="148"/>
      <c r="C1" s="148"/>
      <c r="D1" s="83"/>
    </row>
    <row r="2" spans="1:4" ht="15">
      <c r="A2" s="84"/>
      <c r="B2" s="84"/>
      <c r="C2" s="84"/>
      <c r="D2" s="83"/>
    </row>
    <row r="3" spans="1:3" ht="15.75" customHeight="1">
      <c r="A3" s="453"/>
      <c r="B3" s="453"/>
      <c r="C3" s="453"/>
    </row>
    <row r="4" spans="1:3" ht="15.75">
      <c r="A4" s="29"/>
      <c r="B4" s="29"/>
      <c r="C4" s="40"/>
    </row>
    <row r="5" spans="1:3" s="15" customFormat="1" ht="15.75" customHeight="1">
      <c r="A5" s="454" t="s">
        <v>42</v>
      </c>
      <c r="B5" s="454"/>
      <c r="C5" s="454"/>
    </row>
    <row r="6" spans="1:6" s="22" customFormat="1" ht="15.75">
      <c r="A6" s="441" t="s">
        <v>43</v>
      </c>
      <c r="B6" s="441"/>
      <c r="C6" s="441"/>
      <c r="D6" s="50"/>
      <c r="E6" s="50"/>
      <c r="F6" s="50"/>
    </row>
    <row r="7" spans="1:6" s="12" customFormat="1" ht="15">
      <c r="A7" s="440" t="s">
        <v>252</v>
      </c>
      <c r="B7" s="440"/>
      <c r="C7" s="440"/>
      <c r="D7" s="49"/>
      <c r="E7" s="49"/>
      <c r="F7" s="49"/>
    </row>
    <row r="8" spans="2:3" ht="15.75" customHeight="1" thickBot="1">
      <c r="B8" s="30"/>
      <c r="C8" s="41" t="s">
        <v>4</v>
      </c>
    </row>
    <row r="9" spans="1:3" ht="15" customHeight="1">
      <c r="A9" s="31"/>
      <c r="B9" s="32" t="s">
        <v>15</v>
      </c>
      <c r="C9" s="44" t="s">
        <v>33</v>
      </c>
    </row>
    <row r="10" spans="1:3" ht="15.75" customHeight="1">
      <c r="A10" s="33" t="s">
        <v>0</v>
      </c>
      <c r="B10" s="34"/>
      <c r="C10" s="45" t="s">
        <v>34</v>
      </c>
    </row>
    <row r="11" spans="1:3" ht="32.25" thickBot="1">
      <c r="A11" s="35"/>
      <c r="B11" s="36" t="s">
        <v>10</v>
      </c>
      <c r="C11" s="46" t="s">
        <v>35</v>
      </c>
    </row>
    <row r="12" ht="11.25" customHeight="1">
      <c r="C12" s="28"/>
    </row>
    <row r="13" ht="15.75">
      <c r="A13" s="37" t="s">
        <v>26</v>
      </c>
    </row>
    <row r="14" ht="15.75">
      <c r="A14" s="37" t="s">
        <v>9</v>
      </c>
    </row>
    <row r="15" ht="11.25" customHeight="1"/>
    <row r="16" spans="1:3" ht="15">
      <c r="A16" s="28" t="s">
        <v>54</v>
      </c>
      <c r="B16" s="54">
        <f>51+26</f>
        <v>77</v>
      </c>
      <c r="C16" s="54">
        <v>69</v>
      </c>
    </row>
    <row r="17" spans="1:3" ht="15">
      <c r="A17" s="28" t="s">
        <v>76</v>
      </c>
      <c r="B17" s="54">
        <v>96</v>
      </c>
      <c r="C17" s="54">
        <f>B17*0.8</f>
        <v>76.80000000000001</v>
      </c>
    </row>
    <row r="18" spans="1:3" ht="15">
      <c r="A18" s="28" t="s">
        <v>82</v>
      </c>
      <c r="B18" s="47">
        <v>191</v>
      </c>
      <c r="C18" s="54">
        <f>48+133</f>
        <v>181</v>
      </c>
    </row>
    <row r="19" spans="2:3" ht="11.25" customHeight="1">
      <c r="B19" s="47"/>
      <c r="C19" s="47"/>
    </row>
    <row r="20" spans="1:2" ht="15.75">
      <c r="A20" s="37" t="s">
        <v>26</v>
      </c>
      <c r="B20" s="47"/>
    </row>
    <row r="21" spans="1:3" ht="15">
      <c r="A21" s="37" t="s">
        <v>27</v>
      </c>
      <c r="B21" s="48">
        <f>SUM(B16:B20)</f>
        <v>364</v>
      </c>
      <c r="C21" s="48">
        <f>SUM(C16:C20)</f>
        <v>326.8</v>
      </c>
    </row>
    <row r="22" ht="11.25" customHeight="1">
      <c r="B22" s="47"/>
    </row>
    <row r="23" spans="1:3" ht="15.75">
      <c r="A23" s="37" t="s">
        <v>28</v>
      </c>
      <c r="B23" s="47"/>
      <c r="C23" s="42">
        <f>B22*0.9</f>
        <v>0</v>
      </c>
    </row>
    <row r="24" spans="1:2" ht="15.75">
      <c r="A24" s="37" t="s">
        <v>9</v>
      </c>
      <c r="B24" s="47"/>
    </row>
    <row r="25" ht="11.25" customHeight="1">
      <c r="B25" s="47"/>
    </row>
    <row r="26" spans="1:2" ht="15.75">
      <c r="A26" s="28" t="s">
        <v>253</v>
      </c>
      <c r="B26" s="47">
        <f>15+40</f>
        <v>55</v>
      </c>
    </row>
    <row r="27" spans="1:3" s="23" customFormat="1" ht="15.75">
      <c r="A27" s="23" t="s">
        <v>403</v>
      </c>
      <c r="B27" s="55">
        <f>71</f>
        <v>71</v>
      </c>
      <c r="C27" s="42"/>
    </row>
    <row r="28" spans="1:2" ht="15.75">
      <c r="A28" s="28" t="s">
        <v>77</v>
      </c>
      <c r="B28" s="47">
        <f>342</f>
        <v>342</v>
      </c>
    </row>
    <row r="29" spans="1:2" ht="15.75">
      <c r="A29" s="28" t="s">
        <v>404</v>
      </c>
      <c r="B29" s="47">
        <f>45+47</f>
        <v>92</v>
      </c>
    </row>
    <row r="30" spans="1:2" ht="30">
      <c r="A30" s="202" t="s">
        <v>405</v>
      </c>
      <c r="B30" s="47">
        <v>600</v>
      </c>
    </row>
    <row r="31" spans="1:2" ht="15.75">
      <c r="A31" s="202" t="s">
        <v>406</v>
      </c>
      <c r="B31" s="47">
        <f>700-137</f>
        <v>563</v>
      </c>
    </row>
    <row r="32" spans="1:2" ht="15.75">
      <c r="A32" s="202" t="s">
        <v>407</v>
      </c>
      <c r="B32" s="47">
        <v>450</v>
      </c>
    </row>
    <row r="33" spans="1:2" ht="30">
      <c r="A33" s="202" t="s">
        <v>408</v>
      </c>
      <c r="B33" s="47">
        <v>46</v>
      </c>
    </row>
    <row r="34" spans="1:2" ht="15.75">
      <c r="A34" s="28" t="s">
        <v>83</v>
      </c>
      <c r="B34" s="47">
        <f>50+160</f>
        <v>210</v>
      </c>
    </row>
    <row r="35" ht="11.25" customHeight="1">
      <c r="B35" s="47"/>
    </row>
    <row r="36" spans="1:2" ht="15.75">
      <c r="A36" s="37" t="s">
        <v>28</v>
      </c>
      <c r="B36" s="47"/>
    </row>
    <row r="37" spans="1:3" ht="15">
      <c r="A37" s="37" t="s">
        <v>29</v>
      </c>
      <c r="B37" s="48">
        <f>SUM(B26:B36)</f>
        <v>2429</v>
      </c>
      <c r="C37" s="48">
        <f>SUM(C26:C36)</f>
        <v>0</v>
      </c>
    </row>
    <row r="38" ht="11.25" customHeight="1">
      <c r="B38" s="47"/>
    </row>
    <row r="39" spans="1:3" ht="15">
      <c r="A39" s="37" t="s">
        <v>30</v>
      </c>
      <c r="B39" s="48">
        <f>B37+B21</f>
        <v>2793</v>
      </c>
      <c r="C39" s="48">
        <f>C37+C21</f>
        <v>326.8</v>
      </c>
    </row>
    <row r="40" ht="11.25" customHeight="1">
      <c r="B40" s="47"/>
    </row>
    <row r="41" spans="1:3" s="37" customFormat="1" ht="15.75">
      <c r="A41" s="37" t="s">
        <v>316</v>
      </c>
      <c r="B41" s="48"/>
      <c r="C41" s="43"/>
    </row>
    <row r="42" ht="11.25" customHeight="1">
      <c r="B42" s="47"/>
    </row>
    <row r="43" spans="1:2" ht="30" customHeight="1">
      <c r="A43" s="202" t="s">
        <v>435</v>
      </c>
      <c r="B43" s="47">
        <v>600</v>
      </c>
    </row>
    <row r="44" ht="11.25" customHeight="1">
      <c r="B44" s="47"/>
    </row>
    <row r="45" spans="1:2" ht="15.75">
      <c r="A45" s="37" t="s">
        <v>317</v>
      </c>
      <c r="B45" s="48">
        <v>600</v>
      </c>
    </row>
    <row r="46" ht="11.25" customHeight="1">
      <c r="B46" s="47"/>
    </row>
    <row r="47" spans="1:3" s="39" customFormat="1" ht="16.5">
      <c r="A47" s="38" t="s">
        <v>31</v>
      </c>
      <c r="B47" s="56"/>
      <c r="C47" s="42"/>
    </row>
    <row r="48" spans="1:3" s="39" customFormat="1" ht="16.5">
      <c r="A48" s="38" t="s">
        <v>32</v>
      </c>
      <c r="B48" s="57">
        <f>B21+B37+B45</f>
        <v>3393</v>
      </c>
      <c r="C48" s="57">
        <f>C39</f>
        <v>326.8</v>
      </c>
    </row>
    <row r="52" ht="15">
      <c r="C52" s="28"/>
    </row>
    <row r="53" ht="15.75">
      <c r="C53" s="15"/>
    </row>
    <row r="54" ht="15.75">
      <c r="C54" s="15"/>
    </row>
    <row r="55" ht="15.75">
      <c r="C55" s="43"/>
    </row>
  </sheetData>
  <sheetProtection/>
  <mergeCells count="4">
    <mergeCell ref="A7:C7"/>
    <mergeCell ref="A6:C6"/>
    <mergeCell ref="A3:C3"/>
    <mergeCell ref="A5:C5"/>
  </mergeCells>
  <printOptions horizontalCentered="1"/>
  <pageMargins left="0" right="0" top="0.1968503937007874" bottom="0.1968503937007874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6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75.75390625" style="16" customWidth="1"/>
    <col min="2" max="2" width="20.00390625" style="16" customWidth="1"/>
    <col min="3" max="16384" width="9.125" style="16" customWidth="1"/>
  </cols>
  <sheetData>
    <row r="1" spans="1:3" s="244" customFormat="1" ht="15">
      <c r="A1" s="234" t="s">
        <v>498</v>
      </c>
      <c r="B1" s="234"/>
      <c r="C1" s="234"/>
    </row>
    <row r="2" ht="8.25" customHeight="1"/>
    <row r="3" spans="1:2" ht="15.75">
      <c r="A3" s="418"/>
      <c r="B3" s="418"/>
    </row>
    <row r="4" spans="1:2" ht="6" customHeight="1">
      <c r="A4" s="246"/>
      <c r="B4" s="246"/>
    </row>
    <row r="5" spans="1:2" s="248" customFormat="1" ht="18.75">
      <c r="A5" s="247" t="s">
        <v>348</v>
      </c>
      <c r="B5" s="247"/>
    </row>
    <row r="6" spans="1:2" s="248" customFormat="1" ht="18.75">
      <c r="A6" s="455" t="s">
        <v>349</v>
      </c>
      <c r="B6" s="455"/>
    </row>
    <row r="7" spans="1:2" s="248" customFormat="1" ht="18.75">
      <c r="A7" s="455" t="s">
        <v>162</v>
      </c>
      <c r="B7" s="455"/>
    </row>
    <row r="8" ht="9.75" customHeight="1" thickBot="1"/>
    <row r="9" spans="1:2" ht="15.75">
      <c r="A9" s="249"/>
      <c r="B9" s="250" t="s">
        <v>10</v>
      </c>
    </row>
    <row r="10" spans="1:2" ht="15.75">
      <c r="A10" s="251" t="s">
        <v>350</v>
      </c>
      <c r="B10" s="251"/>
    </row>
    <row r="11" spans="1:2" ht="16.5" thickBot="1">
      <c r="A11" s="252"/>
      <c r="B11" s="253" t="s">
        <v>351</v>
      </c>
    </row>
    <row r="12" spans="1:2" ht="9.75" customHeight="1">
      <c r="A12" s="254"/>
      <c r="B12" s="255"/>
    </row>
    <row r="13" spans="1:2" ht="29.25">
      <c r="A13" s="313" t="s">
        <v>424</v>
      </c>
      <c r="B13" s="255"/>
    </row>
    <row r="14" spans="1:2" ht="9" customHeight="1">
      <c r="A14" s="254"/>
      <c r="B14" s="255"/>
    </row>
    <row r="15" spans="1:2" ht="15.75">
      <c r="A15" s="258" t="s">
        <v>425</v>
      </c>
      <c r="B15" s="259">
        <f>116+20</f>
        <v>136</v>
      </c>
    </row>
    <row r="16" spans="1:2" ht="18">
      <c r="A16" s="261" t="s">
        <v>352</v>
      </c>
      <c r="B16" s="262">
        <v>32</v>
      </c>
    </row>
    <row r="17" spans="1:2" ht="15.75">
      <c r="A17" s="254" t="s">
        <v>1</v>
      </c>
      <c r="B17" s="263">
        <f>SUM(B15:B16)</f>
        <v>168</v>
      </c>
    </row>
    <row r="18" spans="1:2" ht="12" customHeight="1">
      <c r="A18" s="254"/>
      <c r="B18" s="255"/>
    </row>
    <row r="19" spans="1:2" ht="18.75" customHeight="1">
      <c r="A19" s="313" t="s">
        <v>410</v>
      </c>
      <c r="B19" s="255"/>
    </row>
    <row r="20" spans="1:2" ht="15.75">
      <c r="A20" s="254"/>
      <c r="B20" s="255"/>
    </row>
    <row r="21" spans="1:2" ht="15.75">
      <c r="A21" s="261" t="s">
        <v>411</v>
      </c>
      <c r="B21" s="263">
        <v>8</v>
      </c>
    </row>
    <row r="22" spans="1:2" ht="15.75">
      <c r="A22" s="261" t="s">
        <v>469</v>
      </c>
      <c r="B22" s="263">
        <v>250</v>
      </c>
    </row>
    <row r="23" spans="1:2" ht="15.75">
      <c r="A23" s="254"/>
      <c r="B23" s="255"/>
    </row>
    <row r="24" spans="1:2" ht="15.75">
      <c r="A24" s="264" t="s">
        <v>354</v>
      </c>
      <c r="B24" s="256"/>
    </row>
    <row r="25" spans="1:2" ht="13.5" customHeight="1">
      <c r="A25" s="254"/>
      <c r="B25" s="257"/>
    </row>
    <row r="26" spans="1:6" ht="15.75">
      <c r="A26" s="258" t="s">
        <v>355</v>
      </c>
      <c r="B26" s="259">
        <v>46</v>
      </c>
      <c r="C26" s="260"/>
      <c r="D26" s="260"/>
      <c r="E26" s="260"/>
      <c r="F26" s="260"/>
    </row>
    <row r="27" spans="1:2" ht="18">
      <c r="A27" s="261" t="s">
        <v>352</v>
      </c>
      <c r="B27" s="262">
        <v>12</v>
      </c>
    </row>
    <row r="28" spans="1:2" ht="15.75">
      <c r="A28" s="254" t="s">
        <v>1</v>
      </c>
      <c r="B28" s="263">
        <f>SUM(B25:B27)</f>
        <v>58</v>
      </c>
    </row>
    <row r="29" spans="1:2" ht="15.75">
      <c r="A29" s="254"/>
      <c r="B29" s="263"/>
    </row>
    <row r="30" spans="1:2" ht="15.75">
      <c r="A30" s="314" t="s">
        <v>478</v>
      </c>
      <c r="B30" s="263"/>
    </row>
    <row r="31" spans="1:2" ht="15.75">
      <c r="A31" s="254"/>
      <c r="B31" s="263"/>
    </row>
    <row r="32" spans="1:2" ht="15.75">
      <c r="A32" s="261" t="s">
        <v>479</v>
      </c>
      <c r="B32" s="259">
        <v>1290</v>
      </c>
    </row>
    <row r="33" spans="1:2" ht="18">
      <c r="A33" s="261" t="s">
        <v>352</v>
      </c>
      <c r="B33" s="262">
        <v>348</v>
      </c>
    </row>
    <row r="34" spans="1:2" ht="15.75">
      <c r="A34" s="254" t="s">
        <v>1</v>
      </c>
      <c r="B34" s="263">
        <f>SUM(B32:B33)</f>
        <v>1638</v>
      </c>
    </row>
    <row r="35" spans="1:2" ht="10.5" customHeight="1">
      <c r="A35" s="254"/>
      <c r="B35" s="263"/>
    </row>
    <row r="36" spans="1:2" ht="15.75">
      <c r="A36" s="261" t="s">
        <v>480</v>
      </c>
      <c r="B36" s="259">
        <v>482</v>
      </c>
    </row>
    <row r="37" spans="1:2" ht="18">
      <c r="A37" s="261" t="s">
        <v>352</v>
      </c>
      <c r="B37" s="262">
        <v>130</v>
      </c>
    </row>
    <row r="38" spans="1:2" ht="15.75">
      <c r="A38" s="254" t="s">
        <v>1</v>
      </c>
      <c r="B38" s="263">
        <f>SUM(B36:B37)</f>
        <v>612</v>
      </c>
    </row>
    <row r="39" spans="1:2" ht="12.75" customHeight="1">
      <c r="A39" s="254"/>
      <c r="B39" s="263"/>
    </row>
    <row r="40" spans="1:2" ht="15.75">
      <c r="A40" s="261" t="s">
        <v>481</v>
      </c>
      <c r="B40" s="259">
        <v>1400</v>
      </c>
    </row>
    <row r="41" spans="1:2" ht="18">
      <c r="A41" s="261" t="s">
        <v>352</v>
      </c>
      <c r="B41" s="262">
        <v>378</v>
      </c>
    </row>
    <row r="42" spans="1:2" ht="15.75">
      <c r="A42" s="254" t="s">
        <v>1</v>
      </c>
      <c r="B42" s="263">
        <f>SUM(B40:B41)</f>
        <v>1778</v>
      </c>
    </row>
    <row r="43" ht="15.75">
      <c r="A43" s="314" t="s">
        <v>412</v>
      </c>
    </row>
    <row r="44" ht="11.25" customHeight="1"/>
    <row r="45" spans="1:4" ht="15.75">
      <c r="A45" s="318" t="s">
        <v>413</v>
      </c>
      <c r="B45" s="259">
        <v>130</v>
      </c>
      <c r="C45" s="318"/>
      <c r="D45" s="318"/>
    </row>
    <row r="46" spans="1:2" ht="18">
      <c r="A46" s="261" t="s">
        <v>352</v>
      </c>
      <c r="B46" s="262">
        <v>35</v>
      </c>
    </row>
    <row r="47" spans="1:2" ht="13.5" customHeight="1">
      <c r="A47" s="254" t="s">
        <v>1</v>
      </c>
      <c r="B47" s="263">
        <f>SUM(B45:B46)</f>
        <v>165</v>
      </c>
    </row>
    <row r="48" spans="1:2" ht="10.5" customHeight="1">
      <c r="A48" s="254"/>
      <c r="B48" s="263"/>
    </row>
    <row r="49" spans="1:2" ht="19.5" customHeight="1">
      <c r="A49" s="314" t="s">
        <v>472</v>
      </c>
      <c r="B49" s="255"/>
    </row>
    <row r="50" spans="1:2" ht="19.5" customHeight="1" thickBot="1">
      <c r="A50" s="339" t="s">
        <v>486</v>
      </c>
      <c r="B50" s="255"/>
    </row>
    <row r="51" spans="1:2" ht="19.5" customHeight="1">
      <c r="A51" s="249"/>
      <c r="B51" s="250" t="s">
        <v>10</v>
      </c>
    </row>
    <row r="52" spans="1:2" ht="19.5" customHeight="1">
      <c r="A52" s="251" t="s">
        <v>350</v>
      </c>
      <c r="B52" s="251"/>
    </row>
    <row r="53" spans="1:2" ht="19.5" customHeight="1" thickBot="1">
      <c r="A53" s="252"/>
      <c r="B53" s="253" t="s">
        <v>351</v>
      </c>
    </row>
    <row r="54" spans="1:2" ht="15.75" customHeight="1">
      <c r="A54" s="314"/>
      <c r="B54" s="255"/>
    </row>
    <row r="55" spans="1:2" ht="19.5" customHeight="1">
      <c r="A55" s="318" t="s">
        <v>473</v>
      </c>
      <c r="B55" s="259">
        <v>150</v>
      </c>
    </row>
    <row r="56" spans="1:2" ht="19.5" customHeight="1">
      <c r="A56" s="261" t="s">
        <v>352</v>
      </c>
      <c r="B56" s="262">
        <v>41</v>
      </c>
    </row>
    <row r="57" spans="1:2" ht="19.5" customHeight="1">
      <c r="A57" s="254" t="s">
        <v>1</v>
      </c>
      <c r="B57" s="263">
        <f>SUM(B55:B56)</f>
        <v>191</v>
      </c>
    </row>
    <row r="58" spans="1:2" ht="19.5" customHeight="1">
      <c r="A58" s="254"/>
      <c r="B58" s="263"/>
    </row>
    <row r="59" spans="1:2" ht="19.5" customHeight="1">
      <c r="A59" s="261" t="s">
        <v>485</v>
      </c>
      <c r="B59" s="259">
        <v>60</v>
      </c>
    </row>
    <row r="60" spans="1:2" ht="19.5" customHeight="1">
      <c r="A60" s="261" t="s">
        <v>352</v>
      </c>
      <c r="B60" s="262">
        <v>16</v>
      </c>
    </row>
    <row r="61" spans="1:2" ht="15.75">
      <c r="A61" s="254" t="s">
        <v>1</v>
      </c>
      <c r="B61" s="263">
        <v>76</v>
      </c>
    </row>
    <row r="62" spans="1:2" ht="15.75">
      <c r="A62" s="254"/>
      <c r="B62" s="256"/>
    </row>
    <row r="63" spans="1:2" ht="15.75">
      <c r="A63" s="254" t="s">
        <v>353</v>
      </c>
      <c r="B63" s="263">
        <f>B21+B28+B47+B17+B22+B57+B34+B38+B42+B61</f>
        <v>4944</v>
      </c>
    </row>
  </sheetData>
  <sheetProtection/>
  <mergeCells count="3">
    <mergeCell ref="A3:B3"/>
    <mergeCell ref="A6:B6"/>
    <mergeCell ref="A7:B7"/>
  </mergeCells>
  <printOptions horizontalCentered="1"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PMH_SÁRVÁR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PÉNZÜGY</dc:creator>
  <cp:keywords/>
  <dc:description/>
  <cp:lastModifiedBy>Marsitsj</cp:lastModifiedBy>
  <cp:lastPrinted>2015-09-18T09:53:09Z</cp:lastPrinted>
  <dcterms:created xsi:type="dcterms:W3CDTF">2002-11-26T17:22:50Z</dcterms:created>
  <dcterms:modified xsi:type="dcterms:W3CDTF">2015-09-24T09:55:00Z</dcterms:modified>
  <cp:category/>
  <cp:version/>
  <cp:contentType/>
  <cp:contentStatus/>
</cp:coreProperties>
</file>