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210" tabRatio="888" activeTab="1"/>
  </bookViews>
  <sheets>
    <sheet name="Tartalom" sheetId="1" r:id="rId1"/>
    <sheet name="1. bevételek össz" sheetId="2" r:id="rId2"/>
    <sheet name="2. kiadások össz" sheetId="3" r:id="rId3"/>
    <sheet name="3. szakfeladatok" sheetId="4" r:id="rId4"/>
    <sheet name="4. feladattípus" sheetId="5" r:id="rId5"/>
    <sheet name="5.finansz bev kiad" sheetId="6" r:id="rId6"/>
    <sheet name="6. támog érték kiad" sheetId="7" r:id="rId7"/>
    <sheet name="7.átadott pénz" sheetId="8" r:id="rId8"/>
    <sheet name="8.szoc segély" sheetId="9" r:id="rId9"/>
    <sheet name="9. beruh felújít" sheetId="10" r:id="rId10"/>
    <sheet name="10. EU PROJEKT" sheetId="11" r:id="rId11"/>
    <sheet name="11.tartalékok" sheetId="12" r:id="rId12"/>
    <sheet name="12.intézmény finansz" sheetId="13" r:id="rId13"/>
    <sheet name="13.stabilitási 3 év" sheetId="14" r:id="rId14"/>
    <sheet name="14.stabilitási" sheetId="15" r:id="rId15"/>
    <sheet name="15. TÖBB ÉVES" sheetId="16" r:id="rId16"/>
    <sheet name="16.támogatás átvett" sheetId="17" r:id="rId17"/>
    <sheet name="17.átvett pénz" sheetId="18" r:id="rId18"/>
    <sheet name="18.helyi adók" sheetId="19" r:id="rId19"/>
    <sheet name="19.egyéb felhalm bevétel" sheetId="20" r:id="rId20"/>
    <sheet name="20.létszám" sheetId="21" r:id="rId21"/>
    <sheet name="21. állami támogatás" sheetId="22" r:id="rId22"/>
    <sheet name="22.KÖZVETETT" sheetId="23" r:id="rId23"/>
    <sheet name="23.EI ÜTEMTERV" sheetId="24" r:id="rId24"/>
    <sheet name="támogatások" sheetId="25" r:id="rId25"/>
    <sheet name="segély" sheetId="26" r:id="rId26"/>
  </sheets>
  <externalReferences>
    <externalReference r:id="rId29"/>
  </externalReferences>
  <definedNames>
    <definedName name="_xlnm._FilterDatabase" localSheetId="3" hidden="1">'3. szakfeladatok'!$A$4:$AA$36</definedName>
    <definedName name="csDesignMode">1</definedName>
    <definedName name="_xlnm.Print_Titles" localSheetId="3">'3. szakfeladatok'!$3:$4</definedName>
    <definedName name="_xlnm.Print_Titles" localSheetId="24">'támogatások'!$1:$1</definedName>
    <definedName name="_xlnm.Print_Area" localSheetId="1">'1. bevételek össz'!$A$1:$H$34</definedName>
    <definedName name="_xlnm.Print_Area" localSheetId="10">'10. EU PROJEKT'!$A$1:$G$20</definedName>
    <definedName name="_xlnm.Print_Area" localSheetId="11">'11.tartalékok'!$A$1:$H$22</definedName>
    <definedName name="_xlnm.Print_Area" localSheetId="12">'12.intézmény finansz'!$A$1:$F$20</definedName>
    <definedName name="_xlnm.Print_Area" localSheetId="13">'13.stabilitási 3 év'!$A$1:$E$30</definedName>
    <definedName name="_xlnm.Print_Area" localSheetId="14">'14.stabilitási'!$A$1:$L$30</definedName>
    <definedName name="_xlnm.Print_Area" localSheetId="15">'15. TÖBB ÉVES'!$A$1:$J$22</definedName>
    <definedName name="_xlnm.Print_Area" localSheetId="16">'16.támogatás átvett'!$A$1:$H$31</definedName>
    <definedName name="_xlnm.Print_Area" localSheetId="17">'17.átvett pénz'!$A$1:$H$30</definedName>
    <definedName name="_xlnm.Print_Area" localSheetId="18">'18.helyi adók'!$A$1:$H$31</definedName>
    <definedName name="_xlnm.Print_Area" localSheetId="19">'19.egyéb felhalm bevétel'!$A$1:$H$20</definedName>
    <definedName name="_xlnm.Print_Area" localSheetId="2">'2. kiadások össz'!$A$1:$H$34</definedName>
    <definedName name="_xlnm.Print_Area" localSheetId="20">'20.létszám'!$A$1:$H$16</definedName>
    <definedName name="_xlnm.Print_Area" localSheetId="21">'21. állami támogatás'!$A$1:$B$31</definedName>
    <definedName name="_xlnm.Print_Area" localSheetId="22">'22.KÖZVETETT'!$A$1:$D$42</definedName>
    <definedName name="_xlnm.Print_Area" localSheetId="23">'23.EI ÜTEMTERV'!$A$1:$N$63</definedName>
    <definedName name="_xlnm.Print_Area" localSheetId="3">'3. szakfeladatok'!$A$1:$AA$35</definedName>
    <definedName name="_xlnm.Print_Area" localSheetId="4">'4. feladattípus'!$A$1:$S$63</definedName>
    <definedName name="_xlnm.Print_Area" localSheetId="5">'5.finansz bev kiad'!$A$1:$H$18</definedName>
    <definedName name="_xlnm.Print_Area" localSheetId="6">'6. támog érték kiad'!$A$1:$H$30</definedName>
    <definedName name="_xlnm.Print_Area" localSheetId="7">'7.átadott pénz'!$A$1:$H$28</definedName>
    <definedName name="_xlnm.Print_Area" localSheetId="8">'8.szoc segély'!$A$1:$H$20</definedName>
    <definedName name="_xlnm.Print_Area" localSheetId="9">'9. beruh felújít'!$A$1:$F$49</definedName>
    <definedName name="_xlnm.Print_Area" localSheetId="24">'támogatások'!$A$1:$H$20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<sst xmlns="http://schemas.openxmlformats.org/spreadsheetml/2006/main" count="1040" uniqueCount="508">
  <si>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</si>
  <si>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</si>
  <si>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</si>
  <si>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</si>
  <si>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</si>
  <si>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</si>
  <si>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</si>
  <si>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</si>
  <si>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</si>
  <si>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</si>
  <si>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</si>
  <si>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</si>
  <si>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</si>
  <si>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</si>
  <si>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</si>
  <si>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</si>
  <si>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</si>
  <si>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</si>
  <si>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</si>
  <si>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</si>
  <si>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</si>
  <si>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</si>
  <si>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</si>
  <si>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</si>
  <si>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</si>
  <si>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</si>
  <si>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</si>
  <si>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</si>
  <si>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</si>
  <si>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</si>
  <si>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</si>
  <si>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</si>
  <si>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</si>
  <si>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</si>
  <si>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</si>
  <si>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</si>
  <si>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</si>
  <si>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</si>
  <si>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</si>
  <si>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</si>
  <si>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</si>
  <si>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</si>
  <si>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</si>
  <si>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</si>
  <si>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</si>
  <si>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</si>
  <si>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</si>
  <si>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Polgármesteri Hivatal</t>
  </si>
  <si>
    <t>megnevezés</t>
  </si>
  <si>
    <t>ÖNKORMÁNYZAT ÖSSZESEN</t>
  </si>
  <si>
    <t>MINDÖSSZESEN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</si>
  <si>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</si>
  <si>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</si>
  <si>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</si>
  <si>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</si>
  <si>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</si>
  <si>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</si>
  <si>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</si>
  <si>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</si>
  <si>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</si>
  <si>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</si>
  <si>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Támogatásértékű működési kiadás központi költségvetési szervnek </t>
  </si>
  <si>
    <t xml:space="preserve">Támogatásértékű működési kiadás fejezeti kezelésű előirányzatnak hazai programokra </t>
  </si>
  <si>
    <t xml:space="preserve">Támogatásértékű működési kiadás fejezeti kezelésű előirányzatnak EU-s programokra és azok hazai társfinanszírozására </t>
  </si>
  <si>
    <t>Támogatásértékű működési kiadás társadalombiztosítási alapok kezelőinek</t>
  </si>
  <si>
    <t xml:space="preserve">Támogatásértékű működési kiadás elkülönített állami pénzalapnak </t>
  </si>
  <si>
    <t xml:space="preserve">Támogatásértékű működési kiadás helyi önkormányzatoknak és költségvetési szerveiknek </t>
  </si>
  <si>
    <t xml:space="preserve">Támogatásértékű működési kiadás többcélú kistérségi társulásnak </t>
  </si>
  <si>
    <t xml:space="preserve">Támogatásértékű működési kiadás országos nemzetiségi önkormányzatoknak </t>
  </si>
  <si>
    <t xml:space="preserve">Működési célú garancia- és kezességvállalásból származó kifizetés államháztartáson belülre </t>
  </si>
  <si>
    <t>Támogatásértékű működési kiadások</t>
  </si>
  <si>
    <t xml:space="preserve">Támogatásértékű felhalmozási kiadás központi költségvetési szervnek </t>
  </si>
  <si>
    <t xml:space="preserve">Támogatásértékű felhalmozási kiadás fejezeti kezelésű előirányzatnak hazai programokra </t>
  </si>
  <si>
    <t xml:space="preserve">Támogatásértékű felhalmozási kiadás fejezeti kezelésű előirányzatnak EU-s programokra és azok hazai társfinanszírozására </t>
  </si>
  <si>
    <t xml:space="preserve">Támogatásértékű felhalmozási kiadás társadalombiztosítási alapok kezelőinek </t>
  </si>
  <si>
    <t xml:space="preserve">Támogatásértékű felhalmozási kiadás elkülönített állami pénzalapnak </t>
  </si>
  <si>
    <t xml:space="preserve">Támogatásértékű felhalmozási kiadás helyi önkormányzatoknak és költségvetési szerveiknek </t>
  </si>
  <si>
    <t xml:space="preserve">Támogatásértékű felhalmozási kiadás többcélú kistérségi társulásnak </t>
  </si>
  <si>
    <t xml:space="preserve">Támogatásértékű felhalmozási kiadás országos nemzetiségi önkormányzatoknak </t>
  </si>
  <si>
    <t>Támogatásértékű felhalmozási kiadások</t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</si>
  <si>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</si>
  <si>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</si>
  <si>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</si>
  <si>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</si>
  <si>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</si>
  <si>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</si>
  <si>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</si>
  <si>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>Működési célú pénzeszközátadások államháztartáson kívülre összese</t>
  </si>
  <si>
    <t xml:space="preserve">Működési célú pénzeszközátadások államháztartáson kívülre 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</si>
  <si>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</si>
  <si>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</si>
  <si>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</si>
  <si>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</si>
  <si>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</si>
  <si>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</si>
  <si>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</si>
  <si>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</si>
  <si>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</si>
  <si>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</si>
  <si>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</si>
  <si>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Összesen:</t>
  </si>
  <si>
    <t>FELÚJÍTÁSOK ÖSSZESEN: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</si>
  <si>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</si>
  <si>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</si>
  <si>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</si>
  <si>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</si>
  <si>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</si>
  <si>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Összesen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</si>
  <si>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</si>
  <si>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</si>
  <si>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</si>
  <si>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</si>
  <si>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</si>
  <si>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</si>
  <si>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</si>
  <si>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</si>
  <si>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</si>
  <si>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</si>
  <si>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</si>
  <si>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</si>
  <si>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</si>
  <si>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</si>
  <si>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</si>
  <si>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</si>
  <si>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</si>
  <si>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</si>
  <si>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</si>
  <si>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</si>
  <si>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Bevétel (forrás) összesen:</t>
  </si>
  <si>
    <t>Állami támogatás (kötelező feladatra)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</si>
  <si>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</si>
  <si>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</si>
  <si>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</si>
  <si>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</si>
  <si>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</si>
  <si>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</si>
  <si>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</si>
  <si>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</si>
  <si>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</si>
  <si>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</si>
  <si>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</si>
  <si>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</si>
  <si>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</si>
  <si>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</si>
  <si>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</si>
  <si>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</si>
  <si>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</si>
  <si>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A 179. és 180. sorba nem tartozó támogatásértékű felhalmozási bevétel fejezeti kezelésű előirányzattól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</si>
  <si>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</si>
  <si>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</si>
  <si>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</si>
  <si>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</si>
  <si>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</si>
  <si>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</si>
  <si>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</si>
  <si>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</si>
  <si>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</si>
  <si>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</si>
  <si>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</si>
  <si>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</si>
  <si>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</si>
  <si>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</si>
  <si>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</si>
  <si>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</si>
  <si>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</si>
  <si>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</si>
  <si>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</si>
  <si>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</si>
  <si>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</si>
  <si>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</si>
  <si>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</si>
  <si>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</si>
  <si>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</si>
  <si>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</si>
  <si>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</si>
  <si>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</si>
  <si>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</si>
  <si>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</si>
  <si>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</si>
  <si>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</si>
  <si>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</si>
  <si>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</si>
  <si>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</si>
  <si>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</si>
  <si>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Helyi adók összesen:</t>
  </si>
  <si>
    <t>Gépjárműadó</t>
  </si>
  <si>
    <t>Termőföld bérbeadásából származó jövedelemadó</t>
  </si>
  <si>
    <t>Átengedett központi adók</t>
  </si>
  <si>
    <t>felhalmozási bevétel</t>
  </si>
  <si>
    <t>nemzeti vagyonnal kapcsolatos bevételek összesen</t>
  </si>
  <si>
    <t>felhalmozási bevételek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</si>
  <si>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</si>
  <si>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</si>
  <si>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</si>
  <si>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</si>
  <si>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</si>
  <si>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</si>
  <si>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</si>
  <si>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többéves kihatással járó feladatok előirányzatai éves bontásban</t>
  </si>
  <si>
    <t>Kötelezettségek megnevezése</t>
  </si>
  <si>
    <t>Köt.vállalás éve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</si>
  <si>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</si>
  <si>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</si>
  <si>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</si>
  <si>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</si>
  <si>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</si>
  <si>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</si>
  <si>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</si>
  <si>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</si>
  <si>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</si>
  <si>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</si>
  <si>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</si>
  <si>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</si>
  <si>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</si>
  <si>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</si>
  <si>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</si>
  <si>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</si>
  <si>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</si>
  <si>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</si>
  <si>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</si>
  <si>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</si>
  <si>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</si>
  <si>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</si>
  <si>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</si>
  <si>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</si>
  <si>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</si>
  <si>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</si>
  <si>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</si>
  <si>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</si>
  <si>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</si>
  <si>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</si>
  <si>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</si>
  <si>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</si>
  <si>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ÖNKÉNT VÁLLALT FELADAT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</si>
  <si>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</si>
  <si>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</si>
  <si>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</si>
  <si>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</si>
  <si>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</si>
  <si>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</si>
  <si>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</si>
  <si>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</si>
  <si>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</si>
  <si>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</si>
  <si>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Nyitnikék Óvoda</t>
  </si>
  <si>
    <t>Szigetmonostor Faluház</t>
  </si>
  <si>
    <t>Önkormányzati Hivatal</t>
  </si>
  <si>
    <t>Önkormányzat</t>
  </si>
  <si>
    <t>Szakfeladat</t>
  </si>
  <si>
    <t>Felhalmozási kiadások</t>
  </si>
  <si>
    <t>Működési költségvetés</t>
  </si>
  <si>
    <t>Száma</t>
  </si>
  <si>
    <t>Megnevezése</t>
  </si>
  <si>
    <t>Személyi juttatások (51+52)</t>
  </si>
  <si>
    <t>Enge-             délyezett létszám</t>
  </si>
  <si>
    <t>Munka- adókat terhelő járulékok</t>
  </si>
  <si>
    <t>Dologi kiadások</t>
  </si>
  <si>
    <t>Ellátottak pénzbeli juttatása                       (5/A.sz.m.)</t>
  </si>
  <si>
    <t>Egyéb működési célú támogatások                 (5/B.sz.m.)</t>
  </si>
  <si>
    <t>Intézmény</t>
  </si>
  <si>
    <t xml:space="preserve"> Óvodai nevelés, ellátás</t>
  </si>
  <si>
    <t>kötelező</t>
  </si>
  <si>
    <t>Önkormányzatok és társulások általános végrehajtó igazgatási tevékenysége</t>
  </si>
  <si>
    <t xml:space="preserve"> Közművelődési intézmények, közösségi színterek működtetése</t>
  </si>
  <si>
    <t>Szennyvíz gyűjtése, tisztítása, elhelyezése</t>
  </si>
  <si>
    <t>Szigetmonostor Önkormányzat</t>
  </si>
  <si>
    <t>Települési hulladék összetevőinek válogatása, elkülönített begyűjtése, szállítása, átrakása</t>
  </si>
  <si>
    <t>Óvodai intézményi étkeztetés</t>
  </si>
  <si>
    <t>Iskolai intézményi étkeztetés</t>
  </si>
  <si>
    <t>Közvilágítás (841402)</t>
  </si>
  <si>
    <t xml:space="preserve"> Város-, községgazdálkodási m.n.s. szolgáltatások (841403)</t>
  </si>
  <si>
    <t xml:space="preserve"> Család- és nővédelmi egészségügyi gondozás</t>
  </si>
  <si>
    <t xml:space="preserve"> Rendszeres szociális segély</t>
  </si>
  <si>
    <t xml:space="preserve"> Ápolási díj alanyi jogon</t>
  </si>
  <si>
    <t>Kiegészítő gyermekvédelmi támogatás</t>
  </si>
  <si>
    <t xml:space="preserve"> Helyi eseti lakásfenntartási támogatás</t>
  </si>
  <si>
    <t>Átmeneti segély</t>
  </si>
  <si>
    <t>Temetési segély</t>
  </si>
  <si>
    <t>Rendkívüli gyermekvédelmi támogatás</t>
  </si>
  <si>
    <t xml:space="preserve"> Mozgáskorlátozottak közlekedési támogatása</t>
  </si>
  <si>
    <t>Egyéb önkormányzati eseti pénzbeli ellátások</t>
  </si>
  <si>
    <t>Köztemetés</t>
  </si>
  <si>
    <t>Gyermekjóléti szolgáltatás</t>
  </si>
  <si>
    <t xml:space="preserve"> Szociális étkeztetés</t>
  </si>
  <si>
    <t xml:space="preserve"> Rövid időtartamú közfoglalkoztatás</t>
  </si>
  <si>
    <t xml:space="preserve"> Bérpótló juttatásra jogosultak hosszabb időtartamú közfoglalkoztatása</t>
  </si>
  <si>
    <t xml:space="preserve"> Komp- és révközlekedés (503020)</t>
  </si>
  <si>
    <t xml:space="preserve"> Munkahelyi étkeztetés</t>
  </si>
  <si>
    <t>önként</t>
  </si>
  <si>
    <t>Finanszírozási műveletek</t>
  </si>
  <si>
    <t>Adó, illeték kiszabása, beszedése, adóellenőrzés</t>
  </si>
  <si>
    <t>Önkormányzatok és társulások elszámolásai</t>
  </si>
  <si>
    <t>Bölcsődei ellátás</t>
  </si>
  <si>
    <t>eFt</t>
  </si>
  <si>
    <t>Konszolidációs különbözet</t>
  </si>
  <si>
    <t>Pótlékok</t>
  </si>
  <si>
    <t>Bírságok</t>
  </si>
  <si>
    <t>Talajterhelési díj</t>
  </si>
  <si>
    <t>Mindösszesen</t>
  </si>
  <si>
    <t>Korr. Különbözet</t>
  </si>
  <si>
    <t>Egyesületek (+sátor) támogatása</t>
  </si>
  <si>
    <t>Polgárőrség támogatása</t>
  </si>
  <si>
    <t>Magánszemélyek támogatása (futóverseny, sakk, néptánc)</t>
  </si>
  <si>
    <t>Körzeti ügyelet, mentőszolgálat támogatása</t>
  </si>
  <si>
    <t>Tűzoltó egyesület támogatása</t>
  </si>
  <si>
    <t>Lakásépítési kölcsönök</t>
  </si>
  <si>
    <t>Egyéb támogatás (építéshatósági körzet, műszakis hely Pócsmegyer)</t>
  </si>
  <si>
    <t>Házigondozói támogatás</t>
  </si>
  <si>
    <t>Vízirendészetnek átadott pénzeszköz</t>
  </si>
  <si>
    <t>Kistérségi támogatás (tagdíj, szúnyoggyérítés, csatorna)</t>
  </si>
  <si>
    <t>Ikerrendelet</t>
  </si>
  <si>
    <t>Szociális kölcsön</t>
  </si>
  <si>
    <t>Pénzeszköz átadás Zöld Híd</t>
  </si>
  <si>
    <t>Működési célra átadott pénzeszközök összesen</t>
  </si>
  <si>
    <t>Felhalmozási célra átadott pénzeszközök összesen</t>
  </si>
  <si>
    <t>Támogatások összesen:</t>
  </si>
  <si>
    <t>Szakfeladat főkönyv</t>
  </si>
  <si>
    <t>Megnevezés</t>
  </si>
  <si>
    <t>2013. terv</t>
  </si>
  <si>
    <t>Saját forrásból (kötelező feladatra)</t>
  </si>
  <si>
    <t>Saját forrásból (önként vállalt feladatra)</t>
  </si>
  <si>
    <t xml:space="preserve">Kezességvállalás társulati hitelekre: </t>
  </si>
  <si>
    <t>Tűzoltótársulás</t>
  </si>
  <si>
    <t>DCST</t>
  </si>
  <si>
    <t>Krízis Alap</t>
  </si>
  <si>
    <t>Étkezési díjakra adott kedvezmény (átlagosan 26 fő)</t>
  </si>
  <si>
    <t>A Képviselő-testület 2013. évben egyéb közvetett támogatásokat nem tervez.</t>
  </si>
  <si>
    <t>MŰKÖDÉSI KÖLTSÉGVETÉSI BEVÉTELEK ÖSSZESEN</t>
  </si>
  <si>
    <t>Közfoglalkoztatottak engedélyezett létszáma:</t>
  </si>
  <si>
    <t>Foglalkoztatottak engedélyezett létszáma:</t>
  </si>
  <si>
    <t>helyi adóból származó bevétel 100%</t>
  </si>
  <si>
    <t>az önkormányzati vagyon és az önkormányzatot megillető vagyoni értékű jog értékesítéséből és hasznosításából származó bevétel 100%</t>
  </si>
  <si>
    <t>az osztalék, a koncessziós díj és a hozambevétel 100%</t>
  </si>
  <si>
    <t>a tárgyi eszköz és az immateriális jószág, részvény, részesedés, vállalat értékesítéséből vagy privatizációból származó bevétel 100%</t>
  </si>
  <si>
    <t>bírság-, pótlék- és díjbevétel 100%</t>
  </si>
  <si>
    <t>kezességvállalással kapcsolatos megtérülés 100%</t>
  </si>
  <si>
    <t xml:space="preserve"> központi költségvetésből származó egyéb költségvetési támogatások</t>
  </si>
  <si>
    <t>Működési bevételek</t>
  </si>
  <si>
    <t>Felhalmozási bevételek</t>
  </si>
  <si>
    <t>Összes kiadás</t>
  </si>
  <si>
    <t>Feladat típusa</t>
  </si>
  <si>
    <t>Összes bevétel</t>
  </si>
  <si>
    <t>Tartalék</t>
  </si>
  <si>
    <t>Irányított szervnek folyósított támogatás</t>
  </si>
  <si>
    <t>előző évek pénzmaradványának felhasználása</t>
  </si>
  <si>
    <t>Előző évi pénzmaradvány összege:</t>
  </si>
  <si>
    <t>Új bölcsőde a kisgyermekes családokért (KMOP-4.5.2-11-2012-0006)</t>
  </si>
  <si>
    <t>Faluház gázkazánház rekonstrukció</t>
  </si>
  <si>
    <t>Orvosi rendelő felújítása, nyílászáró csere, hőszigetelés</t>
  </si>
  <si>
    <t>Számítógép, és szoftver vásárlása védőnői feladatokra</t>
  </si>
  <si>
    <t>Szoftver beszerzése étkeztetési feladatok ellátásához</t>
  </si>
  <si>
    <t>Óvodai sószoba kialakítása</t>
  </si>
  <si>
    <t>Szürkő-sziget területén erdő telepítése (FV Zrt. koncepció keretében)</t>
  </si>
  <si>
    <t>Szigeti katasztrófavédelmi központ létrehozása (FV Zrt. koncepció keretében)</t>
  </si>
  <si>
    <t>Vízkelő élőhely rekultiválással történő helyreállítása (FV Zrt. koncepció keretében)</t>
  </si>
  <si>
    <t>Zöldhulladék kezelő telephely kialakítása (FV Zrt. koncepció keretében)</t>
  </si>
  <si>
    <t>Faluház zöldfelületeinek kezelésére fűnyíró és fűkasza beszerzése</t>
  </si>
  <si>
    <t xml:space="preserve">Bútorok beszerzése a Faluházba a civil szervezetek felszereléseinek tárolására </t>
  </si>
  <si>
    <t>20 db szék beszerzése Faluház rendezvényeihez</t>
  </si>
  <si>
    <t>10 garnitúra asztal és pad beszerzése Faluház rendezvényekhez</t>
  </si>
  <si>
    <t>Polgármesteri Hivatal épületének hőszigetelése</t>
  </si>
  <si>
    <t>EU Projekt megnevezése: Új bölcsőde a kisgyermekes családokért (KMOP-4.5.2-11-2012-0006)</t>
  </si>
  <si>
    <t>ÁLLAMI FELADAT</t>
  </si>
  <si>
    <t>Tárgyév előtti kifizetések</t>
  </si>
  <si>
    <t>összesen</t>
  </si>
  <si>
    <t>Kiadások megnevezése</t>
  </si>
  <si>
    <t>Bevételek megnevezése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</si>
  <si>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</si>
  <si>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</si>
  <si>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</si>
  <si>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</si>
  <si>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</si>
  <si>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</si>
  <si>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</si>
  <si>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</si>
  <si>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A 669/2 és 673/4. hrsz ingatlanokra vonatkozó városüzemeltetési funkciójú telephely kialakítása I.ütem (FV Zrt. koncepció keretében)</t>
  </si>
  <si>
    <t>Konstruma Mérnöki Iroda Kft. terve a 669/2 és 673/4. hrsz ingatlanokra vonatkozó városüzemeltetési funkció (FV Zrt. koncepció keretében)</t>
  </si>
  <si>
    <t>Konstruma Mérnöki Iroda Kft. terve  a Szabadság tér egyesített térrendezésére (FV Zrt. koncepció keretében)</t>
  </si>
  <si>
    <t>AEBI CC66 egytengelyes rézsűkaszáló gép és kalapácsos rendszerű szárzúzó Y késekkel (Városkert Kft.) (FV Zrt. koncepció keretében)</t>
  </si>
  <si>
    <t>Klímapark kialakítása a HUSK/1101/2.2.1/0158.számú Magyarország-Szlovákia Határon Átnyúló Együttműködési Program 2007-2013. keretében (FV Zrt. koncepció keretében)</t>
  </si>
  <si>
    <t>Bokút-Terv Mérnöki és Vállalkozó Kft. terve a meglévő utcák egyirányúsításának tanulmányterve (FV Zrt. koncepció keretében)</t>
  </si>
  <si>
    <t>Kukásautó korszerűsítése, felújítása (FV Zrt. koncepció keretében)</t>
  </si>
  <si>
    <t>Általános tartalékok összesen</t>
  </si>
  <si>
    <t>Fővárosi Vízművek Zrt. 1% támogatás</t>
  </si>
  <si>
    <t>EU támogatás Új bölcsőde a kisgyermekes családokért (KMOP-4.5.2-11-2012-0006)</t>
  </si>
  <si>
    <t>Mellékletek tartalomjegyzéke</t>
  </si>
  <si>
    <t>Működési és felhalmozási célú bevételi előirányzatok mérlegszerű bemutatása</t>
  </si>
  <si>
    <t>Működési és felhalmozási célú kiadási előirányzatok mérlegszerű bemutatása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</si>
  <si>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</si>
  <si>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</si>
  <si>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</si>
  <si>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</si>
  <si>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</si>
  <si>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</si>
  <si>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</si>
  <si>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</si>
  <si>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</si>
  <si>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</si>
  <si>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</si>
  <si>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</si>
  <si>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</si>
  <si>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</si>
  <si>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</si>
  <si>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</si>
  <si>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</si>
  <si>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</si>
  <si>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</si>
  <si>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</si>
  <si>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 sz. melléklet</t>
  </si>
  <si>
    <t>2.sz. melléklet</t>
  </si>
  <si>
    <t>Működési és felhalmozási célú bevételi és kiadási előirányzatok mérlegszerű bemutatása intézményenként és feladatonként</t>
  </si>
  <si>
    <t>3.sz. melléklet</t>
  </si>
  <si>
    <t>4.sz. melléklet</t>
  </si>
  <si>
    <t>Működési és felhalmozási célú bevételi és kiadási előirányzatok mérlegszerű bemutatása intézményenként és feladattípusonként</t>
  </si>
  <si>
    <t>Finanszírozási múveletek bevételi és kiadási előirányzatai intézményeként</t>
  </si>
  <si>
    <t>5.sz. melléklet</t>
  </si>
  <si>
    <t>6.sz. melléklet</t>
  </si>
  <si>
    <t>Támogatásértékű kiadási előirányzatok bemutatása intézményenként</t>
  </si>
  <si>
    <t>Pénzeszközátadási előirányzatok bemutatása intézményenként</t>
  </si>
  <si>
    <t>7.sz. melléklet</t>
  </si>
  <si>
    <t xml:space="preserve">8.sz. melléklet </t>
  </si>
  <si>
    <t>Szociális ellátások előirányzatai intézményenként</t>
  </si>
  <si>
    <t>9.sz. melléklet</t>
  </si>
  <si>
    <t>Beruházások és felújítások előirányzatai intézményenként</t>
  </si>
  <si>
    <t>10.sz. melléklet</t>
  </si>
  <si>
    <t>Európai Uniós forrásból finanszírozott támogatással megvalósuló programok, projektek bevételi és kiadási előirányzatai</t>
  </si>
  <si>
    <t>Költségvetési tartalékok előirányzatai és pénzmaradvány felhasználás cél szerinti bemutatása</t>
  </si>
  <si>
    <t>11.sz. melléklet</t>
  </si>
  <si>
    <t>12. sz. melléklet</t>
  </si>
  <si>
    <t>Irányító szerv alá tartozó költségvetési szervnek folyósított működési és felhalmozási célú támogatások előirányzatai</t>
  </si>
  <si>
    <t>Adósságot keletkeztető ügyletekből és kezességvállalásokból fennálló kötelezettségek előirányzatainak bemutatása 3 éves időszakra</t>
  </si>
  <si>
    <t>13.sz. melléklet</t>
  </si>
  <si>
    <t>Adósságot keletkeztető ügyletekből és kezességvállalásokból fennálló kötelezettségek előirányzatainak bemutatása a futamidő végéig</t>
  </si>
  <si>
    <t>14.sz. melléklet</t>
  </si>
  <si>
    <t>15.sz. melléklet</t>
  </si>
  <si>
    <t>Többéves kihatással járó feladatok előirányzatai éves bontásban</t>
  </si>
  <si>
    <t>16.sz. melléklet</t>
  </si>
  <si>
    <t>Támogatásértékű átvett pénzeszközök bevételi előirányzatai intézményenként</t>
  </si>
  <si>
    <t>Működési és felhalmozási célú átvett pénzeszközök bevételi előirányzatai intézményenként</t>
  </si>
  <si>
    <t>17.sz. melléklet</t>
  </si>
  <si>
    <t>Az Önkormányzat által beszedett adó és adójellegű bevételek  előirányzatai</t>
  </si>
  <si>
    <t>18.sz. melléklet</t>
  </si>
  <si>
    <t>19.sz. melléklet</t>
  </si>
  <si>
    <t>Felhalmozási célú bevételek előirányzatai intézményenként</t>
  </si>
  <si>
    <t>20.sz. melléklet</t>
  </si>
  <si>
    <t>Engedélyezett létszámkeretek intézményenként</t>
  </si>
  <si>
    <t>21.sz. melléklet</t>
  </si>
  <si>
    <t>Központi költségvetésből származó támogatások bevételi előirányzatai</t>
  </si>
  <si>
    <t>Magánszemélyek kommunális adója (15 fő)</t>
  </si>
  <si>
    <t>Iparűzési adó állandó (10 db)</t>
  </si>
  <si>
    <t>Gépjárműadó  (12 db)</t>
  </si>
  <si>
    <t>Telekadó (20 db)</t>
  </si>
  <si>
    <t>22.sz. melléklet</t>
  </si>
  <si>
    <t>Közvetett támogatások előirányzatai cél szerini bontásban</t>
  </si>
  <si>
    <t>Konyha (5 fő)</t>
  </si>
  <si>
    <t>Faluház (5 fő)</t>
  </si>
  <si>
    <t>23.sz. melléklet</t>
  </si>
  <si>
    <t xml:space="preserve">Likviditási terv </t>
  </si>
  <si>
    <t>Finanszírozási műveletek bevételi és kiadási előirányzatai intézményeként</t>
  </si>
  <si>
    <t>Közvetett támogatások előirányzatai cél szerinti bontásban</t>
  </si>
  <si>
    <t>BERUHÁZÁSOK ÖSSZESEN</t>
  </si>
  <si>
    <t>Árvízi támogatások</t>
  </si>
  <si>
    <t>Ápolási díj alanyi jogon</t>
  </si>
  <si>
    <t>A 2013.évi működési és felhalmozási célú bevételi és kiadási előirányzatok és teljesítéseik mérlegszerű bemutatása intézményenként és feladattípusonként (eFt)</t>
  </si>
  <si>
    <t>KÖTELEZŐ FELADAT Módosított előirányzat</t>
  </si>
  <si>
    <t>ÁLLAMI FELADAT Módosított előirányzat</t>
  </si>
  <si>
    <t>ÖNKÉNT VÁLLALT FELADAT Módosított előirányzat</t>
  </si>
  <si>
    <t>Önkormányzat összesen</t>
  </si>
  <si>
    <t>Működési célú pénzeszközátadások (árvízi támogatás)</t>
  </si>
  <si>
    <t>Notebook Samsung beszerzése</t>
  </si>
  <si>
    <t>Acer aspire Notebook beszerzése</t>
  </si>
  <si>
    <t>Telefonhálózat bővítése</t>
  </si>
  <si>
    <t>Gázzsámoly az étkeztetési feladatok ellátására</t>
  </si>
  <si>
    <t>Weblap</t>
  </si>
  <si>
    <t>JCB Árokásó és felhajtó beszerzése</t>
  </si>
  <si>
    <t>Renault beszerzése LOV-037</t>
  </si>
  <si>
    <t>Határcsárda közvilágítás</t>
  </si>
  <si>
    <t>Hótolólap beszerzése JCB árokásóra</t>
  </si>
  <si>
    <t>Vízkelő hidrológiai vizsgálata</t>
  </si>
  <si>
    <t>Aszfaltozás utak</t>
  </si>
  <si>
    <t>Támogatás árvízi célra</t>
  </si>
  <si>
    <t>Állami támogatások (eFt)</t>
  </si>
  <si>
    <t>Önkormányzat Módosított előirányzat</t>
  </si>
  <si>
    <t>A települési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</si>
  <si>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</si>
  <si>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</si>
  <si>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</si>
  <si>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</si>
  <si>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</si>
  <si>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</si>
  <si>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</si>
  <si>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</si>
  <si>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</si>
  <si>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</si>
  <si>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</si>
  <si>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</si>
  <si>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</si>
  <si>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</si>
  <si>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</si>
  <si>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</si>
  <si>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 xml:space="preserve">Önkormányzat működési célú költségvetési támogatása                  </t>
  </si>
  <si>
    <t>Előző évi költségvetési kiegészítések, visszatérülések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</si>
  <si>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</si>
  <si>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</si>
  <si>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</si>
  <si>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</si>
  <si>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</si>
  <si>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 xml:space="preserve">Önkormányzat felhalmozási célú költségvetési támogatása                  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</si>
</sst>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###\ ###"/>
    <numFmt numFmtId="184" formatCode="mmmm\ d\."/>
    <numFmt numFmtId="185" formatCode="0.0%"/>
    <numFmt numFmtId="186" formatCode="mmm/\ d\."/>
    <numFmt numFmtId="187" formatCode="0.000000%"/>
    <numFmt numFmtId="188" formatCode="0.00000%"/>
    <numFmt numFmtId="189" formatCode="#,##0.000"/>
    <numFmt numFmtId="190" formatCode="#,##0.0000"/>
    <numFmt numFmtId="191" formatCode="#,##0;[Red]#,##0"/>
    <numFmt numFmtId="192" formatCode="#,##0_ ;[Red]\-#,##0\ "/>
    <numFmt numFmtId="193" formatCode="#,##0_ ;\-#,##0\ "/>
    <numFmt numFmtId="194" formatCode="#,##0\ _F_t"/>
    <numFmt numFmtId="195" formatCode="[$-40E]yyyy\.\ mmmm\ d\."/>
    <numFmt numFmtId="196" formatCode="m\.\ d\."/>
    <numFmt numFmtId="197" formatCode="#,##0\ &quot;Ft&quot;"/>
    <numFmt numFmtId="198" formatCode="_-* #,##0.0\ _F_t_-;\-* #,##0.0\ _F_t_-;_-* &quot;-&quot;??\ _F_t_-;_-@_-"/>
    <numFmt numFmtId="199" formatCode="_-* #,##0\ _F_t_-;\-* #,##0\ _F_t_-;_-* &quot;-&quot;??\ _F_t_-;_-@_-"/>
    <numFmt numFmtId="200" formatCode="_-* #,##0.000\ _F_t_-;\-* #,##0.000\ _F_t_-;_-* &quot;-&quot;??\ _F_t_-;_-@_-"/>
    <numFmt numFmtId="201" formatCode="[$€-2]\ #\ ##,000_);[Red]\([$€-2]\ #\ ##,000\)"/>
    <numFmt numFmtId="202" formatCode="_-* #,##0.0000\ _F_t_-;\-* #,##0.0000\ _F_t_-;_-* &quot;-&quot;??\ _F_t_-;_-@_-"/>
    <numFmt numFmtId="203" formatCode="_-* #,##0.00000\ _F_t_-;\-* #,##0.00000\ _F_t_-;_-* &quot;-&quot;??\ _F_t_-;_-@_-"/>
    <numFmt numFmtId="204" formatCode="_-* #,##0.000000\ _F_t_-;\-* #,##0.000000\ _F_t_-;_-* &quot;-&quot;??\ _F_t_-;_-@_-"/>
    <numFmt numFmtId="205" formatCode="_-* #,##0.0000000\ _F_t_-;\-* #,##0.0000000\ _F_t_-;_-* &quot;-&quot;??\ _F_t_-;_-@_-"/>
    <numFmt numFmtId="206" formatCode="_-* #,##0.00000000\ _F_t_-;\-* #,##0.00000000\ _F_t_-;_-* &quot;-&quot;??\ _F_t_-;_-@_-"/>
    <numFmt numFmtId="207" formatCode="_-* #,##0.000000000\ _F_t_-;\-* #,##0.000000000\ _F_t_-;_-* &quot;-&quot;??\ _F_t_-;_-@_-"/>
    <numFmt numFmtId="208" formatCode="#,##0.00\ &quot;Ft&quot;"/>
  </numFmts>
  <fonts count="78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sz val="8"/>
      <name val="Arial"/>
      <family val="0"/>
    </font>
    <font>
      <sz val="1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Georgia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2"/>
      <color indexed="8"/>
      <name val="Georgia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sz val="14"/>
      <name val="Bookman Old Style"/>
      <family val="1"/>
    </font>
    <font>
      <sz val="10"/>
      <name val="Arial CE"/>
      <family val="0"/>
    </font>
    <font>
      <b/>
      <i/>
      <sz val="10"/>
      <color indexed="8"/>
      <name val="Bookman Old Style"/>
      <family val="1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sz val="10"/>
      <color indexed="10"/>
      <name val="Bookman Old Style"/>
      <family val="1"/>
    </font>
    <font>
      <i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NewRomanPSMT"/>
      <family val="0"/>
    </font>
    <font>
      <sz val="11"/>
      <name val="Arial Narrow"/>
      <family val="2"/>
    </font>
    <font>
      <sz val="7"/>
      <name val="Arial"/>
      <family val="0"/>
    </font>
    <font>
      <b/>
      <i/>
      <sz val="12"/>
      <name val="Georgia"/>
      <family val="1"/>
    </font>
    <font>
      <b/>
      <i/>
      <sz val="12"/>
      <name val="Arial"/>
      <family val="0"/>
    </font>
    <font>
      <sz val="12"/>
      <name val="Arial"/>
      <family val="0"/>
    </font>
    <font>
      <sz val="10"/>
      <name val="MS Sans Serif"/>
      <family val="2"/>
    </font>
    <font>
      <i/>
      <sz val="10"/>
      <name val="Arial"/>
      <family val="0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28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6" fillId="4" borderId="0" applyNumberFormat="0" applyBorder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7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11" fillId="0" borderId="10" xfId="71" applyNumberFormat="1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4" fillId="2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24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64" fontId="18" fillId="0" borderId="10" xfId="71" applyNumberFormat="1" applyFont="1" applyFill="1" applyBorder="1" applyAlignment="1">
      <alignment horizontal="left" vertical="center"/>
      <protection/>
    </xf>
    <xf numFmtId="164" fontId="20" fillId="0" borderId="0" xfId="71" applyNumberFormat="1" applyFont="1" applyFill="1" applyBorder="1" applyAlignment="1">
      <alignment horizontal="left" vertical="center" wrapText="1"/>
      <protection/>
    </xf>
    <xf numFmtId="164" fontId="21" fillId="0" borderId="10" xfId="71" applyNumberFormat="1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justify" wrapText="1"/>
    </xf>
    <xf numFmtId="0" fontId="1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10" borderId="10" xfId="0" applyFont="1" applyFill="1" applyBorder="1" applyAlignment="1">
      <alignment/>
    </xf>
    <xf numFmtId="0" fontId="16" fillId="1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1" fillId="0" borderId="10" xfId="70" applyFont="1" applyFill="1" applyBorder="1" applyAlignment="1">
      <alignment horizontal="left" vertical="center" wrapText="1"/>
      <protection/>
    </xf>
    <xf numFmtId="164" fontId="11" fillId="0" borderId="10" xfId="71" applyNumberFormat="1" applyFont="1" applyFill="1" applyBorder="1" applyAlignment="1">
      <alignment vertical="center" wrapText="1"/>
      <protection/>
    </xf>
    <xf numFmtId="164" fontId="18" fillId="0" borderId="10" xfId="71" applyNumberFormat="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9" fillId="23" borderId="12" xfId="0" applyFont="1" applyFill="1" applyBorder="1" applyAlignment="1">
      <alignment wrapText="1"/>
    </xf>
    <xf numFmtId="0" fontId="11" fillId="0" borderId="13" xfId="74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30" fillId="0" borderId="15" xfId="0" applyFont="1" applyFill="1" applyBorder="1" applyAlignment="1">
      <alignment/>
    </xf>
    <xf numFmtId="0" fontId="29" fillId="0" borderId="13" xfId="0" applyFont="1" applyBorder="1" applyAlignment="1">
      <alignment wrapText="1"/>
    </xf>
    <xf numFmtId="0" fontId="12" fillId="0" borderId="13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29" fillId="0" borderId="13" xfId="0" applyFont="1" applyFill="1" applyBorder="1" applyAlignment="1">
      <alignment wrapText="1"/>
    </xf>
    <xf numFmtId="0" fontId="29" fillId="23" borderId="16" xfId="0" applyFont="1" applyFill="1" applyBorder="1" applyAlignment="1">
      <alignment wrapText="1"/>
    </xf>
    <xf numFmtId="0" fontId="30" fillId="0" borderId="13" xfId="0" applyFont="1" applyFill="1" applyBorder="1" applyAlignment="1">
      <alignment/>
    </xf>
    <xf numFmtId="0" fontId="24" fillId="0" borderId="17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54" fillId="0" borderId="0" xfId="72" applyFont="1" applyFill="1" applyAlignment="1">
      <alignment horizontal="center" vertical="center" wrapText="1"/>
      <protection/>
    </xf>
    <xf numFmtId="3" fontId="55" fillId="0" borderId="10" xfId="72" applyNumberFormat="1" applyFont="1" applyFill="1" applyBorder="1" applyAlignment="1">
      <alignment horizontal="center" vertical="center" wrapText="1"/>
      <protection/>
    </xf>
    <xf numFmtId="0" fontId="56" fillId="0" borderId="10" xfId="72" applyFont="1" applyFill="1" applyBorder="1" applyAlignment="1">
      <alignment horizontal="right"/>
      <protection/>
    </xf>
    <xf numFmtId="199" fontId="12" fillId="0" borderId="10" xfId="40" applyNumberFormat="1" applyFont="1" applyFill="1" applyBorder="1" applyAlignment="1">
      <alignment/>
    </xf>
    <xf numFmtId="0" fontId="56" fillId="0" borderId="10" xfId="72" applyFont="1" applyFill="1" applyBorder="1" applyAlignment="1">
      <alignment horizontal="left" vertical="center" wrapText="1"/>
      <protection/>
    </xf>
    <xf numFmtId="199" fontId="57" fillId="0" borderId="10" xfId="40" applyNumberFormat="1" applyFont="1" applyFill="1" applyBorder="1" applyAlignment="1">
      <alignment horizontal="left" vertical="center" wrapText="1"/>
    </xf>
    <xf numFmtId="3" fontId="57" fillId="0" borderId="10" xfId="72" applyNumberFormat="1" applyFont="1" applyFill="1" applyBorder="1" applyAlignment="1">
      <alignment horizontal="center" vertical="center" wrapText="1"/>
      <protection/>
    </xf>
    <xf numFmtId="199" fontId="56" fillId="0" borderId="10" xfId="40" applyNumberFormat="1" applyFont="1" applyFill="1" applyBorder="1" applyAlignment="1">
      <alignment horizontal="center" vertical="center" wrapText="1"/>
    </xf>
    <xf numFmtId="0" fontId="58" fillId="0" borderId="0" xfId="72" applyFont="1" applyFill="1" applyAlignment="1">
      <alignment horizontal="center" vertical="center" wrapText="1"/>
      <protection/>
    </xf>
    <xf numFmtId="0" fontId="56" fillId="0" borderId="10" xfId="72" applyNumberFormat="1" applyFont="1" applyFill="1" applyBorder="1" applyAlignment="1">
      <alignment horizontal="right" vertical="center" wrapText="1"/>
      <protection/>
    </xf>
    <xf numFmtId="3" fontId="56" fillId="0" borderId="0" xfId="72" applyNumberFormat="1" applyFont="1" applyFill="1" applyAlignment="1">
      <alignment horizontal="right"/>
      <protection/>
    </xf>
    <xf numFmtId="0" fontId="56" fillId="0" borderId="0" xfId="72" applyFont="1" applyFill="1">
      <alignment/>
      <protection/>
    </xf>
    <xf numFmtId="199" fontId="57" fillId="0" borderId="0" xfId="40" applyNumberFormat="1" applyFont="1" applyFill="1" applyAlignment="1">
      <alignment/>
    </xf>
    <xf numFmtId="3" fontId="58" fillId="0" borderId="0" xfId="72" applyNumberFormat="1" applyFont="1" applyFill="1">
      <alignment/>
      <protection/>
    </xf>
    <xf numFmtId="0" fontId="58" fillId="0" borderId="0" xfId="72" applyFont="1" applyFill="1">
      <alignment/>
      <protection/>
    </xf>
    <xf numFmtId="3" fontId="57" fillId="0" borderId="0" xfId="72" applyNumberFormat="1" applyFont="1" applyFill="1" applyBorder="1" applyAlignment="1">
      <alignment horizontal="center" vertical="center" wrapText="1"/>
      <protection/>
    </xf>
    <xf numFmtId="3" fontId="58" fillId="0" borderId="0" xfId="72" applyNumberFormat="1" applyFont="1" applyFill="1" applyBorder="1">
      <alignment/>
      <protection/>
    </xf>
    <xf numFmtId="199" fontId="56" fillId="0" borderId="0" xfId="40" applyNumberFormat="1" applyFont="1" applyFill="1" applyAlignment="1">
      <alignment/>
    </xf>
    <xf numFmtId="199" fontId="2" fillId="0" borderId="10" xfId="40" applyNumberFormat="1" applyFont="1" applyBorder="1" applyAlignment="1">
      <alignment/>
    </xf>
    <xf numFmtId="199" fontId="16" fillId="0" borderId="10" xfId="40" applyNumberFormat="1" applyFont="1" applyBorder="1" applyAlignment="1">
      <alignment/>
    </xf>
    <xf numFmtId="199" fontId="16" fillId="10" borderId="10" xfId="40" applyNumberFormat="1" applyFont="1" applyFill="1" applyBorder="1" applyAlignment="1">
      <alignment/>
    </xf>
    <xf numFmtId="199" fontId="2" fillId="10" borderId="10" xfId="40" applyNumberFormat="1" applyFont="1" applyFill="1" applyBorder="1" applyAlignment="1">
      <alignment/>
    </xf>
    <xf numFmtId="199" fontId="13" fillId="0" borderId="10" xfId="40" applyNumberFormat="1" applyFont="1" applyBorder="1" applyAlignment="1">
      <alignment/>
    </xf>
    <xf numFmtId="199" fontId="0" fillId="0" borderId="0" xfId="40" applyNumberFormat="1" applyFont="1" applyAlignment="1">
      <alignment/>
    </xf>
    <xf numFmtId="199" fontId="25" fillId="0" borderId="10" xfId="40" applyNumberFormat="1" applyFont="1" applyBorder="1" applyAlignment="1">
      <alignment/>
    </xf>
    <xf numFmtId="199" fontId="12" fillId="0" borderId="10" xfId="40" applyNumberFormat="1" applyFont="1" applyBorder="1" applyAlignment="1">
      <alignment horizontal="center" vertical="center" wrapText="1"/>
    </xf>
    <xf numFmtId="199" fontId="17" fillId="0" borderId="10" xfId="40" applyNumberFormat="1" applyFont="1" applyBorder="1" applyAlignment="1">
      <alignment horizontal="center" vertical="center" wrapText="1"/>
    </xf>
    <xf numFmtId="199" fontId="17" fillId="0" borderId="10" xfId="40" applyNumberFormat="1" applyFont="1" applyFill="1" applyBorder="1" applyAlignment="1">
      <alignment horizontal="center" vertical="center" wrapText="1"/>
    </xf>
    <xf numFmtId="199" fontId="2" fillId="0" borderId="0" xfId="40" applyNumberFormat="1" applyFont="1" applyAlignment="1">
      <alignment/>
    </xf>
    <xf numFmtId="0" fontId="16" fillId="0" borderId="0" xfId="0" applyFont="1" applyAlignment="1">
      <alignment/>
    </xf>
    <xf numFmtId="0" fontId="60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99" fontId="2" fillId="0" borderId="0" xfId="40" applyNumberFormat="1" applyFont="1" applyBorder="1" applyAlignment="1">
      <alignment/>
    </xf>
    <xf numFmtId="0" fontId="0" fillId="0" borderId="10" xfId="0" applyBorder="1" applyAlignment="1">
      <alignment/>
    </xf>
    <xf numFmtId="199" fontId="2" fillId="0" borderId="10" xfId="0" applyNumberFormat="1" applyFont="1" applyBorder="1" applyAlignment="1">
      <alignment/>
    </xf>
    <xf numFmtId="199" fontId="2" fillId="24" borderId="10" xfId="40" applyNumberFormat="1" applyFont="1" applyFill="1" applyBorder="1" applyAlignment="1">
      <alignment/>
    </xf>
    <xf numFmtId="199" fontId="56" fillId="0" borderId="10" xfId="40" applyNumberFormat="1" applyFont="1" applyFill="1" applyBorder="1" applyAlignment="1">
      <alignment horizontal="left" vertical="center"/>
    </xf>
    <xf numFmtId="199" fontId="61" fillId="0" borderId="10" xfId="40" applyNumberFormat="1" applyFont="1" applyBorder="1" applyAlignment="1">
      <alignment horizontal="center" vertical="center" wrapText="1"/>
    </xf>
    <xf numFmtId="0" fontId="56" fillId="0" borderId="0" xfId="75" applyFont="1" applyFill="1" applyBorder="1" applyAlignment="1">
      <alignment horizontal="center" vertical="center" wrapText="1"/>
      <protection/>
    </xf>
    <xf numFmtId="199" fontId="56" fillId="0" borderId="10" xfId="40" applyNumberFormat="1" applyFont="1" applyFill="1" applyBorder="1" applyAlignment="1">
      <alignment horizontal="center" vertical="center"/>
    </xf>
    <xf numFmtId="0" fontId="56" fillId="0" borderId="0" xfId="75" applyFont="1" applyFill="1" applyBorder="1">
      <alignment/>
      <protection/>
    </xf>
    <xf numFmtId="199" fontId="56" fillId="0" borderId="10" xfId="40" applyNumberFormat="1" applyFont="1" applyFill="1" applyBorder="1" applyAlignment="1">
      <alignment horizontal="left" vertical="center" wrapText="1"/>
    </xf>
    <xf numFmtId="199" fontId="56" fillId="4" borderId="10" xfId="40" applyNumberFormat="1" applyFont="1" applyFill="1" applyBorder="1" applyAlignment="1">
      <alignment horizontal="left" vertical="center" wrapText="1"/>
    </xf>
    <xf numFmtId="199" fontId="56" fillId="4" borderId="10" xfId="40" applyNumberFormat="1" applyFont="1" applyFill="1" applyBorder="1" applyAlignment="1">
      <alignment horizontal="center" vertical="center" wrapText="1"/>
    </xf>
    <xf numFmtId="199" fontId="56" fillId="4" borderId="10" xfId="40" applyNumberFormat="1" applyFont="1" applyFill="1" applyBorder="1" applyAlignment="1">
      <alignment horizontal="center" vertical="center"/>
    </xf>
    <xf numFmtId="0" fontId="56" fillId="4" borderId="0" xfId="75" applyFont="1" applyFill="1" applyBorder="1">
      <alignment/>
      <protection/>
    </xf>
    <xf numFmtId="199" fontId="53" fillId="0" borderId="10" xfId="40" applyNumberFormat="1" applyFont="1" applyFill="1" applyBorder="1" applyAlignment="1">
      <alignment horizontal="left" vertical="center"/>
    </xf>
    <xf numFmtId="199" fontId="53" fillId="0" borderId="10" xfId="40" applyNumberFormat="1" applyFont="1" applyFill="1" applyBorder="1" applyAlignment="1">
      <alignment horizontal="center" vertical="center"/>
    </xf>
    <xf numFmtId="0" fontId="53" fillId="0" borderId="0" xfId="75" applyFont="1" applyFill="1" applyBorder="1">
      <alignment/>
      <protection/>
    </xf>
    <xf numFmtId="0" fontId="56" fillId="0" borderId="0" xfId="75" applyFont="1" applyFill="1" applyBorder="1" applyAlignment="1">
      <alignment vertical="center"/>
      <protection/>
    </xf>
    <xf numFmtId="3" fontId="56" fillId="0" borderId="0" xfId="75" applyNumberFormat="1" applyFont="1" applyFill="1" applyBorder="1" applyAlignment="1">
      <alignment horizontal="center" vertical="center"/>
      <protection/>
    </xf>
    <xf numFmtId="0" fontId="61" fillId="0" borderId="10" xfId="75" applyFont="1" applyBorder="1" applyAlignment="1">
      <alignment horizontal="center" vertical="center" wrapText="1"/>
      <protection/>
    </xf>
    <xf numFmtId="0" fontId="62" fillId="0" borderId="17" xfId="73" applyFont="1" applyBorder="1" applyAlignment="1">
      <alignment horizontal="center" vertical="center" wrapText="1"/>
      <protection/>
    </xf>
    <xf numFmtId="0" fontId="43" fillId="0" borderId="0" xfId="73" applyFont="1" applyBorder="1" applyAlignment="1">
      <alignment vertical="center"/>
      <protection/>
    </xf>
    <xf numFmtId="0" fontId="56" fillId="0" borderId="10" xfId="73" applyFont="1" applyBorder="1" applyAlignment="1">
      <alignment horizontal="right"/>
      <protection/>
    </xf>
    <xf numFmtId="0" fontId="63" fillId="0" borderId="10" xfId="73" applyFont="1" applyBorder="1" applyAlignment="1">
      <alignment horizontal="left" vertical="center" wrapText="1"/>
      <protection/>
    </xf>
    <xf numFmtId="3" fontId="64" fillId="0" borderId="10" xfId="73" applyNumberFormat="1" applyFont="1" applyBorder="1" applyAlignment="1">
      <alignment horizontal="center" vertical="center" wrapText="1"/>
      <protection/>
    </xf>
    <xf numFmtId="3" fontId="65" fillId="0" borderId="10" xfId="73" applyNumberFormat="1" applyFont="1" applyBorder="1" applyAlignment="1">
      <alignment horizontal="center" vertical="center"/>
      <protection/>
    </xf>
    <xf numFmtId="0" fontId="65" fillId="0" borderId="10" xfId="73" applyFont="1" applyBorder="1" applyAlignment="1">
      <alignment vertical="center"/>
      <protection/>
    </xf>
    <xf numFmtId="3" fontId="65" fillId="0" borderId="10" xfId="73" applyNumberFormat="1" applyFont="1" applyBorder="1" applyAlignment="1">
      <alignment vertical="center"/>
      <protection/>
    </xf>
    <xf numFmtId="0" fontId="65" fillId="0" borderId="0" xfId="73" applyFont="1" applyBorder="1" applyAlignment="1">
      <alignment vertical="center"/>
      <protection/>
    </xf>
    <xf numFmtId="0" fontId="43" fillId="0" borderId="0" xfId="73" applyFont="1" applyBorder="1" applyAlignment="1">
      <alignment horizontal="center" vertical="center"/>
      <protection/>
    </xf>
    <xf numFmtId="199" fontId="2" fillId="0" borderId="10" xfId="40" applyNumberFormat="1" applyFont="1" applyFill="1" applyBorder="1" applyAlignment="1">
      <alignment/>
    </xf>
    <xf numFmtId="199" fontId="13" fillId="0" borderId="10" xfId="40" applyNumberFormat="1" applyFont="1" applyFill="1" applyBorder="1" applyAlignment="1">
      <alignment/>
    </xf>
    <xf numFmtId="199" fontId="25" fillId="0" borderId="10" xfId="40" applyNumberFormat="1" applyFont="1" applyFill="1" applyBorder="1" applyAlignment="1">
      <alignment/>
    </xf>
    <xf numFmtId="199" fontId="16" fillId="0" borderId="10" xfId="0" applyNumberFormat="1" applyFont="1" applyBorder="1" applyAlignment="1">
      <alignment/>
    </xf>
    <xf numFmtId="199" fontId="2" fillId="0" borderId="10" xfId="40" applyNumberFormat="1" applyFont="1" applyFill="1" applyBorder="1" applyAlignment="1">
      <alignment/>
    </xf>
    <xf numFmtId="199" fontId="2" fillId="0" borderId="10" xfId="40" applyNumberFormat="1" applyFont="1" applyFill="1" applyBorder="1" applyAlignment="1">
      <alignment vertical="center" wrapText="1"/>
    </xf>
    <xf numFmtId="199" fontId="14" fillId="0" borderId="10" xfId="40" applyNumberFormat="1" applyFont="1" applyBorder="1" applyAlignment="1">
      <alignment/>
    </xf>
    <xf numFmtId="199" fontId="4" fillId="0" borderId="10" xfId="4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199" fontId="66" fillId="0" borderId="10" xfId="40" applyNumberFormat="1" applyFont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19" fillId="0" borderId="10" xfId="73" applyFont="1" applyBorder="1" applyAlignment="1">
      <alignment horizontal="left" vertical="center" wrapText="1"/>
      <protection/>
    </xf>
    <xf numFmtId="199" fontId="19" fillId="0" borderId="10" xfId="40" applyNumberFormat="1" applyFont="1" applyBorder="1" applyAlignment="1">
      <alignment horizontal="center" vertical="center" wrapText="1"/>
    </xf>
    <xf numFmtId="199" fontId="57" fillId="0" borderId="17" xfId="40" applyNumberFormat="1" applyFont="1" applyFill="1" applyBorder="1" applyAlignment="1">
      <alignment vertical="center"/>
    </xf>
    <xf numFmtId="0" fontId="58" fillId="0" borderId="10" xfId="72" applyFont="1" applyFill="1" applyBorder="1" applyAlignment="1">
      <alignment horizontal="center" vertical="center" wrapText="1"/>
      <protection/>
    </xf>
    <xf numFmtId="199" fontId="57" fillId="0" borderId="10" xfId="40" applyNumberFormat="1" applyFont="1" applyFill="1" applyBorder="1" applyAlignment="1">
      <alignment/>
    </xf>
    <xf numFmtId="3" fontId="58" fillId="0" borderId="10" xfId="72" applyNumberFormat="1" applyFont="1" applyFill="1" applyBorder="1">
      <alignment/>
      <protection/>
    </xf>
    <xf numFmtId="0" fontId="0" fillId="0" borderId="0" xfId="0" applyFill="1" applyAlignment="1">
      <alignment/>
    </xf>
    <xf numFmtId="199" fontId="2" fillId="23" borderId="10" xfId="40" applyNumberFormat="1" applyFont="1" applyFill="1" applyBorder="1" applyAlignment="1">
      <alignment/>
    </xf>
    <xf numFmtId="199" fontId="0" fillId="0" borderId="10" xfId="40" applyNumberFormat="1" applyFont="1" applyBorder="1" applyAlignment="1">
      <alignment/>
    </xf>
    <xf numFmtId="0" fontId="67" fillId="0" borderId="0" xfId="0" applyFont="1" applyAlignment="1">
      <alignment/>
    </xf>
    <xf numFmtId="199" fontId="16" fillId="7" borderId="10" xfId="40" applyNumberFormat="1" applyFont="1" applyFill="1" applyBorder="1" applyAlignment="1">
      <alignment/>
    </xf>
    <xf numFmtId="199" fontId="2" fillId="7" borderId="10" xfId="4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5" fillId="0" borderId="10" xfId="72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208" fontId="5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9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6" fillId="0" borderId="10" xfId="72" applyFont="1" applyFill="1" applyBorder="1" applyAlignment="1">
      <alignment horizontal="left" wrapText="1"/>
      <protection/>
    </xf>
    <xf numFmtId="0" fontId="56" fillId="0" borderId="10" xfId="72" applyFont="1" applyFill="1" applyBorder="1" applyAlignment="1">
      <alignment wrapText="1"/>
      <protection/>
    </xf>
    <xf numFmtId="0" fontId="14" fillId="0" borderId="10" xfId="0" applyFont="1" applyBorder="1" applyAlignment="1">
      <alignment wrapText="1"/>
    </xf>
    <xf numFmtId="0" fontId="2" fillId="0" borderId="10" xfId="76" applyFont="1" applyFill="1" applyBorder="1" applyAlignment="1">
      <alignment wrapText="1"/>
      <protection/>
    </xf>
    <xf numFmtId="0" fontId="2" fillId="0" borderId="10" xfId="0" applyFont="1" applyBorder="1" applyAlignment="1">
      <alignment wrapText="1"/>
    </xf>
    <xf numFmtId="199" fontId="22" fillId="0" borderId="10" xfId="40" applyNumberFormat="1" applyFont="1" applyBorder="1" applyAlignment="1">
      <alignment/>
    </xf>
    <xf numFmtId="0" fontId="2" fillId="0" borderId="10" xfId="73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99" fontId="2" fillId="0" borderId="10" xfId="4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99" fontId="53" fillId="0" borderId="10" xfId="4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16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6" fillId="24" borderId="10" xfId="0" applyFont="1" applyFill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16" fillId="24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16" fillId="7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16" fillId="2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199" fontId="16" fillId="0" borderId="10" xfId="40" applyNumberFormat="1" applyFont="1" applyBorder="1" applyAlignment="1">
      <alignment horizontal="center" wrapText="1"/>
    </xf>
    <xf numFmtId="0" fontId="61" fillId="0" borderId="10" xfId="0" applyFont="1" applyFill="1" applyBorder="1" applyAlignment="1">
      <alignment/>
    </xf>
    <xf numFmtId="199" fontId="26" fillId="0" borderId="18" xfId="40" applyNumberFormat="1" applyFont="1" applyBorder="1" applyAlignment="1">
      <alignment horizontal="center" wrapText="1"/>
    </xf>
    <xf numFmtId="199" fontId="26" fillId="0" borderId="19" xfId="40" applyNumberFormat="1" applyFont="1" applyBorder="1" applyAlignment="1">
      <alignment horizontal="center" wrapText="1"/>
    </xf>
    <xf numFmtId="199" fontId="12" fillId="0" borderId="20" xfId="40" applyNumberFormat="1" applyFont="1" applyFill="1" applyBorder="1" applyAlignment="1">
      <alignment/>
    </xf>
    <xf numFmtId="199" fontId="30" fillId="0" borderId="21" xfId="40" applyNumberFormat="1" applyFont="1" applyFill="1" applyBorder="1" applyAlignment="1">
      <alignment/>
    </xf>
    <xf numFmtId="199" fontId="30" fillId="0" borderId="22" xfId="40" applyNumberFormat="1" applyFont="1" applyFill="1" applyBorder="1" applyAlignment="1">
      <alignment/>
    </xf>
    <xf numFmtId="199" fontId="26" fillId="0" borderId="23" xfId="40" applyNumberFormat="1" applyFont="1" applyFill="1" applyBorder="1" applyAlignment="1">
      <alignment horizontal="center" wrapText="1"/>
    </xf>
    <xf numFmtId="199" fontId="26" fillId="0" borderId="19" xfId="40" applyNumberFormat="1" applyFont="1" applyFill="1" applyBorder="1" applyAlignment="1">
      <alignment horizontal="center" wrapText="1"/>
    </xf>
    <xf numFmtId="199" fontId="26" fillId="0" borderId="10" xfId="40" applyNumberFormat="1" applyFont="1" applyFill="1" applyBorder="1" applyAlignment="1">
      <alignment horizontal="right" wrapText="1"/>
    </xf>
    <xf numFmtId="199" fontId="26" fillId="0" borderId="20" xfId="40" applyNumberFormat="1" applyFont="1" applyFill="1" applyBorder="1" applyAlignment="1">
      <alignment horizontal="right" wrapText="1"/>
    </xf>
    <xf numFmtId="199" fontId="31" fillId="0" borderId="21" xfId="40" applyNumberFormat="1" applyFont="1" applyFill="1" applyBorder="1" applyAlignment="1">
      <alignment/>
    </xf>
    <xf numFmtId="199" fontId="31" fillId="0" borderId="22" xfId="40" applyNumberFormat="1" applyFont="1" applyFill="1" applyBorder="1" applyAlignment="1">
      <alignment/>
    </xf>
    <xf numFmtId="199" fontId="32" fillId="0" borderId="22" xfId="40" applyNumberFormat="1" applyFont="1" applyFill="1" applyBorder="1" applyAlignment="1">
      <alignment/>
    </xf>
    <xf numFmtId="199" fontId="30" fillId="0" borderId="10" xfId="40" applyNumberFormat="1" applyFont="1" applyFill="1" applyBorder="1" applyAlignment="1">
      <alignment/>
    </xf>
    <xf numFmtId="199" fontId="32" fillId="0" borderId="20" xfId="40" applyNumberFormat="1" applyFont="1" applyFill="1" applyBorder="1" applyAlignment="1">
      <alignment/>
    </xf>
    <xf numFmtId="0" fontId="66" fillId="0" borderId="0" xfId="0" applyFont="1" applyAlignment="1">
      <alignment/>
    </xf>
    <xf numFmtId="199" fontId="14" fillId="0" borderId="17" xfId="4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99" fontId="2" fillId="0" borderId="0" xfId="0" applyNumberFormat="1" applyFont="1" applyBorder="1" applyAlignment="1">
      <alignment/>
    </xf>
    <xf numFmtId="199" fontId="57" fillId="0" borderId="10" xfId="40" applyNumberFormat="1" applyFont="1" applyFill="1" applyBorder="1" applyAlignment="1">
      <alignment horizontal="left"/>
    </xf>
    <xf numFmtId="0" fontId="72" fillId="0" borderId="0" xfId="0" applyFont="1" applyAlignment="1">
      <alignment/>
    </xf>
    <xf numFmtId="0" fontId="43" fillId="0" borderId="0" xfId="0" applyFont="1" applyAlignment="1">
      <alignment/>
    </xf>
    <xf numFmtId="0" fontId="66" fillId="0" borderId="0" xfId="0" applyFont="1" applyFill="1" applyAlignment="1">
      <alignment/>
    </xf>
    <xf numFmtId="3" fontId="56" fillId="0" borderId="0" xfId="72" applyNumberFormat="1" applyFont="1" applyFill="1" applyAlignment="1">
      <alignment horizontal="left"/>
      <protection/>
    </xf>
    <xf numFmtId="0" fontId="1" fillId="0" borderId="13" xfId="0" applyFont="1" applyFill="1" applyBorder="1" applyAlignment="1">
      <alignment/>
    </xf>
    <xf numFmtId="199" fontId="1" fillId="0" borderId="10" xfId="40" applyNumberFormat="1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4" fillId="0" borderId="10" xfId="0" applyFont="1" applyFill="1" applyBorder="1" applyAlignment="1">
      <alignment/>
    </xf>
    <xf numFmtId="199" fontId="12" fillId="0" borderId="10" xfId="40" applyNumberFormat="1" applyFont="1" applyFill="1" applyBorder="1" applyAlignment="1">
      <alignment horizontal="center" vertical="center" wrapText="1"/>
    </xf>
    <xf numFmtId="199" fontId="16" fillId="0" borderId="10" xfId="40" applyNumberFormat="1" applyFont="1" applyBorder="1" applyAlignment="1">
      <alignment horizontal="center"/>
    </xf>
    <xf numFmtId="199" fontId="55" fillId="25" borderId="10" xfId="4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9" fontId="0" fillId="0" borderId="0" xfId="40" applyNumberFormat="1" applyFont="1" applyFill="1" applyAlignment="1">
      <alignment/>
    </xf>
    <xf numFmtId="199" fontId="0" fillId="0" borderId="0" xfId="40" applyNumberFormat="1" applyFont="1" applyAlignment="1">
      <alignment/>
    </xf>
    <xf numFmtId="0" fontId="0" fillId="0" borderId="0" xfId="0" applyFont="1" applyFill="1" applyAlignment="1">
      <alignment/>
    </xf>
    <xf numFmtId="199" fontId="2" fillId="0" borderId="0" xfId="40" applyNumberFormat="1" applyFont="1" applyFill="1" applyAlignment="1">
      <alignment/>
    </xf>
    <xf numFmtId="199" fontId="0" fillId="0" borderId="0" xfId="40" applyNumberFormat="1" applyFont="1" applyFill="1" applyBorder="1" applyAlignment="1">
      <alignment/>
    </xf>
    <xf numFmtId="199" fontId="16" fillId="0" borderId="10" xfId="4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199" fontId="0" fillId="0" borderId="10" xfId="40" applyNumberFormat="1" applyFont="1" applyFill="1" applyBorder="1" applyAlignment="1">
      <alignment/>
    </xf>
    <xf numFmtId="199" fontId="0" fillId="0" borderId="10" xfId="40" applyNumberFormat="1" applyFont="1" applyBorder="1" applyAlignment="1">
      <alignment/>
    </xf>
    <xf numFmtId="0" fontId="74" fillId="0" borderId="0" xfId="0" applyFont="1" applyAlignment="1">
      <alignment/>
    </xf>
    <xf numFmtId="199" fontId="11" fillId="0" borderId="0" xfId="40" applyNumberFormat="1" applyFont="1" applyAlignment="1">
      <alignment horizontal="right" wrapText="1"/>
    </xf>
    <xf numFmtId="0" fontId="11" fillId="0" borderId="0" xfId="77" applyFont="1" applyAlignment="1">
      <alignment horizontal="right"/>
      <protection/>
    </xf>
    <xf numFmtId="0" fontId="35" fillId="0" borderId="0" xfId="77">
      <alignment/>
      <protection/>
    </xf>
    <xf numFmtId="199" fontId="11" fillId="0" borderId="0" xfId="40" applyNumberFormat="1" applyFont="1" applyAlignment="1">
      <alignment/>
    </xf>
    <xf numFmtId="0" fontId="11" fillId="0" borderId="0" xfId="77" applyFont="1">
      <alignment/>
      <protection/>
    </xf>
    <xf numFmtId="0" fontId="75" fillId="0" borderId="0" xfId="77" applyFont="1" applyAlignment="1">
      <alignment horizontal="center" wrapText="1"/>
      <protection/>
    </xf>
    <xf numFmtId="199" fontId="35" fillId="0" borderId="0" xfId="40" applyNumberFormat="1" applyFont="1" applyAlignment="1">
      <alignment horizontal="center" wrapText="1"/>
    </xf>
    <xf numFmtId="0" fontId="76" fillId="0" borderId="10" xfId="77" applyFont="1" applyBorder="1" applyAlignment="1">
      <alignment wrapText="1"/>
      <protection/>
    </xf>
    <xf numFmtId="0" fontId="12" fillId="0" borderId="10" xfId="63" applyFont="1" applyBorder="1" applyAlignment="1">
      <alignment horizontal="left" vertical="top" wrapText="1"/>
      <protection/>
    </xf>
    <xf numFmtId="199" fontId="12" fillId="0" borderId="10" xfId="40" applyNumberFormat="1" applyFont="1" applyBorder="1" applyAlignment="1">
      <alignment horizontal="right" vertical="top" wrapText="1"/>
    </xf>
    <xf numFmtId="0" fontId="17" fillId="17" borderId="10" xfId="63" applyFont="1" applyFill="1" applyBorder="1" applyAlignment="1">
      <alignment horizontal="left" vertical="top" wrapText="1"/>
      <protection/>
    </xf>
    <xf numFmtId="199" fontId="17" fillId="17" borderId="10" xfId="40" applyNumberFormat="1" applyFont="1" applyFill="1" applyBorder="1" applyAlignment="1">
      <alignment horizontal="right" vertical="top" wrapText="1"/>
    </xf>
    <xf numFmtId="0" fontId="12" fillId="0" borderId="10" xfId="63" applyFont="1" applyFill="1" applyBorder="1" applyAlignment="1">
      <alignment horizontal="left" vertical="top" wrapText="1"/>
      <protection/>
    </xf>
    <xf numFmtId="199" fontId="12" fillId="0" borderId="10" xfId="40" applyNumberFormat="1" applyFont="1" applyFill="1" applyBorder="1" applyAlignment="1">
      <alignment horizontal="right" vertical="top" wrapText="1"/>
    </xf>
    <xf numFmtId="0" fontId="35" fillId="0" borderId="0" xfId="77" applyFill="1">
      <alignment/>
      <protection/>
    </xf>
    <xf numFmtId="199" fontId="35" fillId="0" borderId="0" xfId="40" applyNumberFormat="1" applyFont="1" applyFill="1" applyAlignment="1">
      <alignment/>
    </xf>
    <xf numFmtId="199" fontId="35" fillId="0" borderId="0" xfId="40" applyNumberFormat="1" applyFont="1" applyAlignment="1">
      <alignment/>
    </xf>
    <xf numFmtId="0" fontId="2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justify"/>
    </xf>
    <xf numFmtId="0" fontId="0" fillId="0" borderId="0" xfId="0" applyAlignment="1">
      <alignment/>
    </xf>
    <xf numFmtId="0" fontId="55" fillId="0" borderId="10" xfId="72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53" fillId="0" borderId="10" xfId="72" applyFont="1" applyFill="1" applyBorder="1" applyAlignment="1">
      <alignment horizontal="center" vertical="center" wrapText="1"/>
      <protection/>
    </xf>
    <xf numFmtId="49" fontId="56" fillId="0" borderId="17" xfId="72" applyNumberFormat="1" applyFont="1" applyFill="1" applyBorder="1" applyAlignment="1">
      <alignment horizontal="center" vertical="center"/>
      <protection/>
    </xf>
    <xf numFmtId="0" fontId="43" fillId="0" borderId="17" xfId="72" applyFont="1" applyFill="1" applyBorder="1" applyAlignment="1">
      <alignment vertical="center"/>
      <protection/>
    </xf>
    <xf numFmtId="199" fontId="53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55" fillId="0" borderId="10" xfId="72" applyNumberFormat="1" applyFont="1" applyFill="1" applyBorder="1" applyAlignment="1">
      <alignment horizontal="center" vertical="center" wrapText="1"/>
      <protection/>
    </xf>
    <xf numFmtId="2" fontId="54" fillId="0" borderId="10" xfId="72" applyNumberFormat="1" applyFont="1" applyFill="1" applyBorder="1" applyAlignment="1">
      <alignment horizontal="center" vertical="center" wrapText="1"/>
      <protection/>
    </xf>
    <xf numFmtId="2" fontId="43" fillId="0" borderId="10" xfId="72" applyNumberFormat="1" applyFont="1" applyFill="1" applyBorder="1" applyAlignment="1">
      <alignment horizontal="center" vertical="center" wrapText="1"/>
      <protection/>
    </xf>
    <xf numFmtId="199" fontId="16" fillId="0" borderId="10" xfId="40" applyNumberFormat="1" applyFont="1" applyBorder="1" applyAlignment="1">
      <alignment horizontal="center"/>
    </xf>
    <xf numFmtId="199" fontId="16" fillId="0" borderId="24" xfId="4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99" fontId="16" fillId="0" borderId="26" xfId="40" applyNumberFormat="1" applyFont="1" applyBorder="1" applyAlignment="1">
      <alignment horizontal="center"/>
    </xf>
    <xf numFmtId="199" fontId="16" fillId="0" borderId="24" xfId="4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99" fontId="16" fillId="0" borderId="10" xfId="40" applyNumberFormat="1" applyFont="1" applyFill="1" applyBorder="1" applyAlignment="1">
      <alignment horizontal="center"/>
    </xf>
    <xf numFmtId="199" fontId="16" fillId="0" borderId="24" xfId="4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0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8" fillId="0" borderId="26" xfId="0" applyFont="1" applyBorder="1" applyAlignment="1">
      <alignment wrapText="1"/>
    </xf>
    <xf numFmtId="0" fontId="68" fillId="0" borderId="27" xfId="0" applyFont="1" applyBorder="1" applyAlignment="1">
      <alignment wrapText="1"/>
    </xf>
    <xf numFmtId="0" fontId="1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</cellXfs>
  <cellStyles count="7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3_ZÁRSZÁMADÁSI RENDELET MINTA 2013 (2)" xfId="63"/>
    <cellStyle name="Normál 4" xfId="64"/>
    <cellStyle name="Normál 5" xfId="65"/>
    <cellStyle name="Normál 6" xfId="66"/>
    <cellStyle name="Normál 7" xfId="67"/>
    <cellStyle name="Normál 8" xfId="68"/>
    <cellStyle name="Normál 9" xfId="69"/>
    <cellStyle name="Normál_70ûrlap" xfId="70"/>
    <cellStyle name="Normál_97ûrlap" xfId="71"/>
    <cellStyle name="Normál_ELŐZETES TERVEK 2013" xfId="72"/>
    <cellStyle name="Normál_ELŐZETES TERVEK 2013 javított" xfId="73"/>
    <cellStyle name="Normál_Munka1" xfId="74"/>
    <cellStyle name="Normál_terv2005" xfId="75"/>
    <cellStyle name="Normál_terv2006" xfId="76"/>
    <cellStyle name="Normál_ZÁRSZÁMADÁSI RENDELET MINTA 2013 (2)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suzsa\Dokumentumok\Kabai%20&#201;va\Besz&#225;mol&#243;\2013\2013.12.31\Z&#225;rsz&#225;mad&#225;s\z&#225;rsz&#225;mad&#225;si%20rendelet\2013%20z&#225;rsz&#225;mad&#225;si%20rendelet%20mell&#233;klet%20(2014.04.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 kiadások össz"/>
      <sheetName val="2. bevételek össz"/>
      <sheetName val="3. szakfeladatok"/>
      <sheetName val="4. feladattípus"/>
      <sheetName val="5. támog érték kiad"/>
      <sheetName val="6. átadott pénz"/>
      <sheetName val="7. szoc segély"/>
      <sheetName val="8.beruh felújít"/>
      <sheetName val="9.pénzforgalmi kimutatás"/>
      <sheetName val="10.stabilitási"/>
      <sheetName val="11.tartalékok"/>
      <sheetName val="12. EU PROJEKT"/>
      <sheetName val="13.intézmény finansz"/>
      <sheetName val="14. támogatás átvett"/>
      <sheetName val="15. átvett pénz"/>
      <sheetName val="16. helyi adók"/>
      <sheetName val="17.egyéb felhalm bevétel"/>
      <sheetName val="18. létszám"/>
      <sheetName val="19. állami támogatás"/>
      <sheetName val="20. KÖZVETETT"/>
      <sheetName val="21. adók felhasználása"/>
      <sheetName val="22. TÖBB ÉVES"/>
      <sheetName val="23. vagyonmérleg"/>
      <sheetName val="24. egyszerűsített beszám"/>
      <sheetName val="25. pénzmaradvány kimutatás"/>
      <sheetName val="26.pénzmaradvány felhasználás"/>
      <sheetName val="27. pénzmaradvány"/>
      <sheetName val="28.RÉSZESEDÉSEK"/>
      <sheetName val="29. támogatások"/>
      <sheetName val="30.segély"/>
    </sheetNames>
    <sheetDataSet>
      <sheetData sheetId="1">
        <row r="5">
          <cell r="D5">
            <v>34729.542</v>
          </cell>
          <cell r="H5">
            <v>5992.414</v>
          </cell>
          <cell r="L5">
            <v>35673.856</v>
          </cell>
        </row>
        <row r="6">
          <cell r="D6">
            <v>9015</v>
          </cell>
          <cell r="H6">
            <v>1555</v>
          </cell>
          <cell r="L6">
            <v>9234</v>
          </cell>
        </row>
        <row r="7">
          <cell r="D7">
            <v>8861</v>
          </cell>
          <cell r="H7">
            <v>18244</v>
          </cell>
          <cell r="L7">
            <v>18712</v>
          </cell>
        </row>
        <row r="8">
          <cell r="D8">
            <v>0</v>
          </cell>
          <cell r="H8">
            <v>0</v>
          </cell>
          <cell r="L8">
            <v>0</v>
          </cell>
        </row>
        <row r="9">
          <cell r="D9">
            <v>0</v>
          </cell>
          <cell r="H9">
            <v>0</v>
          </cell>
          <cell r="L9">
            <v>0</v>
          </cell>
        </row>
        <row r="10">
          <cell r="D10">
            <v>0</v>
          </cell>
          <cell r="H10">
            <v>0</v>
          </cell>
          <cell r="L10">
            <v>0</v>
          </cell>
        </row>
        <row r="11">
          <cell r="D11">
            <v>0</v>
          </cell>
          <cell r="H11">
            <v>0</v>
          </cell>
          <cell r="L11">
            <v>0</v>
          </cell>
        </row>
        <row r="12">
          <cell r="D12">
            <v>0</v>
          </cell>
          <cell r="H12">
            <v>0</v>
          </cell>
          <cell r="L12">
            <v>0</v>
          </cell>
        </row>
        <row r="13">
          <cell r="D13">
            <v>0</v>
          </cell>
          <cell r="H13">
            <v>0</v>
          </cell>
          <cell r="L13">
            <v>0</v>
          </cell>
        </row>
        <row r="14">
          <cell r="D14">
            <v>0</v>
          </cell>
          <cell r="H14">
            <v>0</v>
          </cell>
          <cell r="L14">
            <v>0</v>
          </cell>
        </row>
        <row r="15">
          <cell r="D15">
            <v>133</v>
          </cell>
          <cell r="H15">
            <v>130</v>
          </cell>
          <cell r="L15">
            <v>140</v>
          </cell>
        </row>
        <row r="16">
          <cell r="H16">
            <v>0</v>
          </cell>
        </row>
        <row r="17">
          <cell r="D17">
            <v>52738.542</v>
          </cell>
          <cell r="H17">
            <v>25921.414</v>
          </cell>
          <cell r="L17">
            <v>63759.856</v>
          </cell>
        </row>
        <row r="18">
          <cell r="D18">
            <v>924</v>
          </cell>
          <cell r="H18">
            <v>4826</v>
          </cell>
          <cell r="L18">
            <v>635</v>
          </cell>
        </row>
        <row r="19">
          <cell r="D19">
            <v>0</v>
          </cell>
          <cell r="H19">
            <v>0</v>
          </cell>
          <cell r="L19">
            <v>0</v>
          </cell>
        </row>
        <row r="20">
          <cell r="D20">
            <v>0</v>
          </cell>
          <cell r="H20">
            <v>0</v>
          </cell>
          <cell r="L20">
            <v>0</v>
          </cell>
        </row>
        <row r="21">
          <cell r="D21">
            <v>0</v>
          </cell>
          <cell r="H21">
            <v>0</v>
          </cell>
          <cell r="L21">
            <v>0</v>
          </cell>
        </row>
        <row r="22">
          <cell r="D22">
            <v>0</v>
          </cell>
          <cell r="H22">
            <v>0</v>
          </cell>
          <cell r="L22">
            <v>0</v>
          </cell>
        </row>
        <row r="23">
          <cell r="D23">
            <v>0</v>
          </cell>
          <cell r="H23">
            <v>0</v>
          </cell>
          <cell r="L23">
            <v>0</v>
          </cell>
        </row>
        <row r="24">
          <cell r="D24">
            <v>0</v>
          </cell>
          <cell r="H24">
            <v>0</v>
          </cell>
          <cell r="L24">
            <v>0</v>
          </cell>
        </row>
        <row r="25">
          <cell r="D25">
            <v>0</v>
          </cell>
          <cell r="H25">
            <v>0</v>
          </cell>
          <cell r="L25">
            <v>0</v>
          </cell>
        </row>
        <row r="26">
          <cell r="D26">
            <v>0</v>
          </cell>
          <cell r="H26">
            <v>0</v>
          </cell>
          <cell r="L26">
            <v>0</v>
          </cell>
        </row>
        <row r="27">
          <cell r="D27">
            <v>0</v>
          </cell>
          <cell r="H27">
            <v>0</v>
          </cell>
          <cell r="L27">
            <v>0</v>
          </cell>
        </row>
        <row r="28">
          <cell r="D28">
            <v>0</v>
          </cell>
          <cell r="H28">
            <v>0</v>
          </cell>
          <cell r="L28">
            <v>0</v>
          </cell>
        </row>
        <row r="29">
          <cell r="D29">
            <v>0</v>
          </cell>
          <cell r="H29">
            <v>0</v>
          </cell>
          <cell r="L29">
            <v>0</v>
          </cell>
        </row>
        <row r="30">
          <cell r="D30">
            <v>0</v>
          </cell>
          <cell r="H30">
            <v>0</v>
          </cell>
          <cell r="L30">
            <v>0</v>
          </cell>
        </row>
        <row r="31">
          <cell r="D31">
            <v>924</v>
          </cell>
          <cell r="H31">
            <v>4826</v>
          </cell>
          <cell r="L31">
            <v>635</v>
          </cell>
        </row>
        <row r="32">
          <cell r="D32">
            <v>53662.542</v>
          </cell>
          <cell r="H32">
            <v>30747.414</v>
          </cell>
          <cell r="L32">
            <v>64394.856</v>
          </cell>
        </row>
      </sheetData>
      <sheetData sheetId="2">
        <row r="6">
          <cell r="H6">
            <v>1223</v>
          </cell>
          <cell r="L6">
            <v>250</v>
          </cell>
        </row>
        <row r="11">
          <cell r="H11">
            <v>1223</v>
          </cell>
          <cell r="L11">
            <v>250</v>
          </cell>
        </row>
        <row r="12">
          <cell r="D12">
            <v>52663.542</v>
          </cell>
          <cell r="H12">
            <v>24578.414</v>
          </cell>
          <cell r="L12">
            <v>63399</v>
          </cell>
        </row>
        <row r="13">
          <cell r="D13">
            <v>75</v>
          </cell>
          <cell r="H13">
            <v>120</v>
          </cell>
          <cell r="L13">
            <v>111</v>
          </cell>
        </row>
        <row r="14">
          <cell r="D14">
            <v>52738.542</v>
          </cell>
          <cell r="H14">
            <v>25921.414</v>
          </cell>
          <cell r="L14">
            <v>63760</v>
          </cell>
        </row>
        <row r="15">
          <cell r="H15">
            <v>0</v>
          </cell>
          <cell r="L15">
            <v>0.14400000000023283</v>
          </cell>
        </row>
        <row r="24">
          <cell r="L24">
            <v>0</v>
          </cell>
        </row>
        <row r="25">
          <cell r="D25">
            <v>924</v>
          </cell>
          <cell r="H25">
            <v>4826</v>
          </cell>
          <cell r="L25">
            <v>635</v>
          </cell>
        </row>
        <row r="29">
          <cell r="D29">
            <v>924</v>
          </cell>
          <cell r="H29">
            <v>4826</v>
          </cell>
          <cell r="L29">
            <v>635</v>
          </cell>
        </row>
        <row r="30">
          <cell r="D30">
            <v>0</v>
          </cell>
          <cell r="L30">
            <v>0</v>
          </cell>
        </row>
        <row r="32">
          <cell r="D32">
            <v>53662.542</v>
          </cell>
          <cell r="H32">
            <v>30747.414</v>
          </cell>
          <cell r="L32">
            <v>64395</v>
          </cell>
        </row>
      </sheetData>
      <sheetData sheetId="3">
        <row r="8">
          <cell r="BC8">
            <v>314</v>
          </cell>
          <cell r="BI8">
            <v>2395</v>
          </cell>
        </row>
        <row r="9">
          <cell r="AT9">
            <v>7291</v>
          </cell>
          <cell r="AZ9">
            <v>1725</v>
          </cell>
          <cell r="BC9">
            <v>37409</v>
          </cell>
        </row>
        <row r="10">
          <cell r="BF10">
            <v>1609</v>
          </cell>
        </row>
        <row r="11">
          <cell r="BF11">
            <v>4058</v>
          </cell>
        </row>
        <row r="12">
          <cell r="BC12">
            <v>9460</v>
          </cell>
        </row>
        <row r="13">
          <cell r="AT13">
            <v>11467</v>
          </cell>
          <cell r="AZ13">
            <v>2823</v>
          </cell>
          <cell r="BC13">
            <v>39086</v>
          </cell>
        </row>
        <row r="14">
          <cell r="AT14">
            <v>2950</v>
          </cell>
          <cell r="AZ14">
            <v>745</v>
          </cell>
          <cell r="BC14">
            <v>5975</v>
          </cell>
        </row>
        <row r="15">
          <cell r="BF15">
            <v>4600</v>
          </cell>
        </row>
        <row r="16">
          <cell r="BF16">
            <v>655</v>
          </cell>
        </row>
        <row r="17">
          <cell r="BF17">
            <v>700</v>
          </cell>
        </row>
        <row r="18">
          <cell r="BF18">
            <v>230</v>
          </cell>
        </row>
        <row r="19">
          <cell r="BF19">
            <v>1000</v>
          </cell>
        </row>
        <row r="20">
          <cell r="BF20">
            <v>500</v>
          </cell>
        </row>
        <row r="21">
          <cell r="BF21">
            <v>700</v>
          </cell>
        </row>
        <row r="22">
          <cell r="BF22">
            <v>5300</v>
          </cell>
        </row>
        <row r="23">
          <cell r="BF23">
            <v>70</v>
          </cell>
        </row>
        <row r="24">
          <cell r="BF24">
            <v>8000</v>
          </cell>
        </row>
        <row r="25">
          <cell r="BF25">
            <v>1000</v>
          </cell>
        </row>
        <row r="26">
          <cell r="AT26">
            <v>1936</v>
          </cell>
          <cell r="AZ26">
            <v>267</v>
          </cell>
          <cell r="BC26">
            <v>80</v>
          </cell>
        </row>
        <row r="27">
          <cell r="AT27">
            <v>5000</v>
          </cell>
          <cell r="AZ27">
            <v>1290</v>
          </cell>
          <cell r="BC27">
            <v>60</v>
          </cell>
        </row>
        <row r="28">
          <cell r="BC28">
            <v>635</v>
          </cell>
          <cell r="BI28">
            <v>5000</v>
          </cell>
        </row>
        <row r="29">
          <cell r="AT29">
            <v>10999</v>
          </cell>
          <cell r="AZ29">
            <v>2511</v>
          </cell>
          <cell r="BC29">
            <v>39383</v>
          </cell>
        </row>
        <row r="30">
          <cell r="AT30">
            <v>0</v>
          </cell>
          <cell r="AZ30">
            <v>0</v>
          </cell>
          <cell r="BC30">
            <v>76052.531</v>
          </cell>
          <cell r="BI30">
            <v>20431</v>
          </cell>
        </row>
        <row r="34">
          <cell r="AT34">
            <v>2788</v>
          </cell>
          <cell r="AZ34">
            <v>753</v>
          </cell>
          <cell r="BC34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421875" style="245" bestFit="1" customWidth="1"/>
    <col min="2" max="2" width="153.57421875" style="239" bestFit="1" customWidth="1"/>
    <col min="3" max="16384" width="9.140625" style="239" customWidth="1"/>
  </cols>
  <sheetData>
    <row r="1" ht="15">
      <c r="A1" s="238"/>
    </row>
    <row r="2" spans="1:2" ht="15">
      <c r="A2" s="238"/>
      <c r="B2" s="240" t="s">
        <v>385</v>
      </c>
    </row>
    <row r="3" ht="15">
      <c r="A3" s="238"/>
    </row>
    <row r="4" ht="15">
      <c r="A4" s="238"/>
    </row>
    <row r="5" spans="1:2" ht="15">
      <c r="A5" s="241" t="s">
        <v>388</v>
      </c>
      <c r="B5" s="242" t="s">
        <v>386</v>
      </c>
    </row>
    <row r="6" spans="1:2" ht="15">
      <c r="A6" s="241" t="s">
        <v>389</v>
      </c>
      <c r="B6" s="242" t="s">
        <v>387</v>
      </c>
    </row>
    <row r="7" spans="1:2" ht="15">
      <c r="A7" s="241" t="s">
        <v>390</v>
      </c>
      <c r="B7" s="242" t="s">
        <v>410</v>
      </c>
    </row>
    <row r="8" spans="1:2" ht="15">
      <c r="A8" s="241" t="s">
        <v>391</v>
      </c>
      <c r="B8" s="242" t="s">
        <v>413</v>
      </c>
    </row>
    <row r="9" spans="1:2" ht="15">
      <c r="A9" s="241" t="s">
        <v>392</v>
      </c>
      <c r="B9" s="242" t="s">
        <v>458</v>
      </c>
    </row>
    <row r="10" spans="1:2" ht="15">
      <c r="A10" s="241" t="s">
        <v>393</v>
      </c>
      <c r="B10" s="242" t="s">
        <v>417</v>
      </c>
    </row>
    <row r="11" spans="1:2" ht="15">
      <c r="A11" s="241" t="s">
        <v>394</v>
      </c>
      <c r="B11" s="242" t="s">
        <v>418</v>
      </c>
    </row>
    <row r="12" spans="1:2" ht="15">
      <c r="A12" s="241" t="s">
        <v>395</v>
      </c>
      <c r="B12" s="242" t="s">
        <v>421</v>
      </c>
    </row>
    <row r="13" spans="1:2" ht="15">
      <c r="A13" s="241" t="s">
        <v>396</v>
      </c>
      <c r="B13" s="242" t="s">
        <v>423</v>
      </c>
    </row>
    <row r="14" spans="1:2" ht="15">
      <c r="A14" s="241" t="s">
        <v>397</v>
      </c>
      <c r="B14" s="242" t="s">
        <v>425</v>
      </c>
    </row>
    <row r="15" spans="1:2" ht="15">
      <c r="A15" s="241" t="s">
        <v>398</v>
      </c>
      <c r="B15" s="242" t="s">
        <v>426</v>
      </c>
    </row>
    <row r="16" spans="1:2" ht="15">
      <c r="A16" s="241" t="s">
        <v>399</v>
      </c>
      <c r="B16" s="242" t="s">
        <v>429</v>
      </c>
    </row>
    <row r="17" spans="1:2" ht="15">
      <c r="A17" s="241" t="s">
        <v>400</v>
      </c>
      <c r="B17" s="242" t="s">
        <v>430</v>
      </c>
    </row>
    <row r="18" spans="1:2" ht="15">
      <c r="A18" s="241" t="s">
        <v>401</v>
      </c>
      <c r="B18" s="242" t="s">
        <v>432</v>
      </c>
    </row>
    <row r="19" spans="1:2" ht="15">
      <c r="A19" s="241" t="s">
        <v>402</v>
      </c>
      <c r="B19" s="242" t="s">
        <v>435</v>
      </c>
    </row>
    <row r="20" spans="1:2" ht="15">
      <c r="A20" s="241" t="s">
        <v>403</v>
      </c>
      <c r="B20" s="242" t="s">
        <v>437</v>
      </c>
    </row>
    <row r="21" spans="1:2" ht="15">
      <c r="A21" s="243" t="s">
        <v>404</v>
      </c>
      <c r="B21" s="242" t="s">
        <v>438</v>
      </c>
    </row>
    <row r="22" spans="1:2" ht="15">
      <c r="A22" s="241" t="s">
        <v>405</v>
      </c>
      <c r="B22" s="242" t="s">
        <v>440</v>
      </c>
    </row>
    <row r="23" spans="1:2" ht="15">
      <c r="A23" s="241" t="s">
        <v>406</v>
      </c>
      <c r="B23" s="242" t="s">
        <v>443</v>
      </c>
    </row>
    <row r="24" spans="1:2" ht="15">
      <c r="A24" s="241" t="s">
        <v>407</v>
      </c>
      <c r="B24" s="242" t="s">
        <v>445</v>
      </c>
    </row>
    <row r="25" spans="1:2" ht="15">
      <c r="A25" s="244">
        <v>21</v>
      </c>
      <c r="B25" s="242" t="s">
        <v>447</v>
      </c>
    </row>
    <row r="26" spans="1:2" ht="15">
      <c r="A26" s="244">
        <v>22</v>
      </c>
      <c r="B26" s="242" t="s">
        <v>459</v>
      </c>
    </row>
    <row r="27" spans="1:2" ht="15">
      <c r="A27" s="244">
        <v>23</v>
      </c>
      <c r="B27" s="242" t="s">
        <v>457</v>
      </c>
    </row>
  </sheetData>
  <sheetProtection/>
  <printOptions/>
  <pageMargins left="0.1968503937007874" right="0.15" top="0.984251968503937" bottom="0.984251968503937" header="0.5118110236220472" footer="0.511811023622047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F4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5.00390625" style="0" customWidth="1"/>
    <col min="4" max="4" width="18.140625" style="0" customWidth="1"/>
    <col min="5" max="5" width="19.00390625" style="0" customWidth="1"/>
    <col min="6" max="6" width="23.140625" style="0" customWidth="1"/>
  </cols>
  <sheetData>
    <row r="1" ht="15">
      <c r="A1" s="2" t="s">
        <v>422</v>
      </c>
    </row>
    <row r="2" ht="15">
      <c r="A2" s="2" t="s">
        <v>423</v>
      </c>
    </row>
    <row r="3" spans="1:6" ht="45">
      <c r="A3" s="184" t="s">
        <v>48</v>
      </c>
      <c r="B3" s="110" t="s">
        <v>244</v>
      </c>
      <c r="C3" s="110" t="s">
        <v>245</v>
      </c>
      <c r="D3" s="110" t="s">
        <v>246</v>
      </c>
      <c r="E3" s="110" t="s">
        <v>247</v>
      </c>
      <c r="F3" s="111" t="s">
        <v>49</v>
      </c>
    </row>
    <row r="4" spans="1:6" ht="60">
      <c r="A4" s="188" t="s">
        <v>375</v>
      </c>
      <c r="B4" s="151"/>
      <c r="C4" s="103"/>
      <c r="D4" s="103"/>
      <c r="E4" s="151">
        <f>10000000/1000</f>
        <v>10000</v>
      </c>
      <c r="F4" s="119">
        <f aca="true" t="shared" si="0" ref="F4:F31">E4+D4+C4+B4</f>
        <v>10000</v>
      </c>
    </row>
    <row r="5" spans="1:6" ht="60">
      <c r="A5" s="188" t="s">
        <v>376</v>
      </c>
      <c r="B5" s="151"/>
      <c r="C5" s="103"/>
      <c r="D5" s="103"/>
      <c r="E5" s="151">
        <f>900*1.27</f>
        <v>1143</v>
      </c>
      <c r="F5" s="119">
        <f t="shared" si="0"/>
        <v>1143</v>
      </c>
    </row>
    <row r="6" spans="1:6" ht="45">
      <c r="A6" s="188" t="s">
        <v>377</v>
      </c>
      <c r="B6" s="151"/>
      <c r="C6" s="103"/>
      <c r="D6" s="103"/>
      <c r="E6" s="151">
        <f>1600*1.27</f>
        <v>2032</v>
      </c>
      <c r="F6" s="119">
        <f t="shared" si="0"/>
        <v>2032</v>
      </c>
    </row>
    <row r="7" spans="1:6" ht="45">
      <c r="A7" s="188" t="s">
        <v>378</v>
      </c>
      <c r="B7" s="151"/>
      <c r="C7" s="103"/>
      <c r="D7" s="103"/>
      <c r="E7" s="151">
        <v>5600</v>
      </c>
      <c r="F7" s="119">
        <f t="shared" si="0"/>
        <v>5600</v>
      </c>
    </row>
    <row r="8" spans="1:6" ht="75">
      <c r="A8" s="188" t="s">
        <v>379</v>
      </c>
      <c r="B8" s="151"/>
      <c r="C8" s="103"/>
      <c r="D8" s="103"/>
      <c r="E8" s="151">
        <f>2000000/1000</f>
        <v>2000</v>
      </c>
      <c r="F8" s="119">
        <f t="shared" si="0"/>
        <v>2000</v>
      </c>
    </row>
    <row r="9" spans="1:6" ht="30">
      <c r="A9" s="185" t="s">
        <v>350</v>
      </c>
      <c r="B9" s="151"/>
      <c r="C9" s="103"/>
      <c r="D9" s="103"/>
      <c r="E9" s="151">
        <v>127</v>
      </c>
      <c r="F9" s="119">
        <f t="shared" si="0"/>
        <v>127</v>
      </c>
    </row>
    <row r="10" spans="1:6" ht="15">
      <c r="A10" s="185" t="s">
        <v>472</v>
      </c>
      <c r="B10" s="151"/>
      <c r="C10" s="103"/>
      <c r="D10" s="103"/>
      <c r="E10" s="151">
        <v>127</v>
      </c>
      <c r="F10" s="119">
        <f t="shared" si="0"/>
        <v>127</v>
      </c>
    </row>
    <row r="11" spans="1:6" ht="30">
      <c r="A11" s="188" t="s">
        <v>352</v>
      </c>
      <c r="B11" s="187"/>
      <c r="C11" s="103"/>
      <c r="D11" s="103"/>
      <c r="E11" s="187">
        <v>6000</v>
      </c>
      <c r="F11" s="119">
        <f t="shared" si="0"/>
        <v>6000</v>
      </c>
    </row>
    <row r="12" spans="1:6" ht="30">
      <c r="A12" s="188" t="s">
        <v>353</v>
      </c>
      <c r="B12" s="187"/>
      <c r="C12" s="103"/>
      <c r="D12" s="103"/>
      <c r="E12" s="187">
        <v>10815</v>
      </c>
      <c r="F12" s="119">
        <f t="shared" si="0"/>
        <v>10815</v>
      </c>
    </row>
    <row r="13" spans="1:6" ht="30">
      <c r="A13" s="188" t="s">
        <v>354</v>
      </c>
      <c r="B13" s="187"/>
      <c r="C13" s="103"/>
      <c r="D13" s="103"/>
      <c r="E13" s="187">
        <v>348</v>
      </c>
      <c r="F13" s="119">
        <f t="shared" si="0"/>
        <v>348</v>
      </c>
    </row>
    <row r="14" spans="1:6" ht="30">
      <c r="A14" s="188" t="s">
        <v>355</v>
      </c>
      <c r="B14" s="187"/>
      <c r="C14" s="103"/>
      <c r="D14" s="103"/>
      <c r="E14" s="187">
        <v>17970</v>
      </c>
      <c r="F14" s="119">
        <f t="shared" si="0"/>
        <v>17970</v>
      </c>
    </row>
    <row r="15" spans="1:6" ht="30">
      <c r="A15" s="185" t="s">
        <v>349</v>
      </c>
      <c r="B15" s="151"/>
      <c r="C15" s="103"/>
      <c r="D15" s="103"/>
      <c r="E15" s="151">
        <f>400000/1000</f>
        <v>400</v>
      </c>
      <c r="F15" s="119">
        <f t="shared" si="0"/>
        <v>400</v>
      </c>
    </row>
    <row r="16" spans="1:6" ht="30">
      <c r="A16" s="185" t="s">
        <v>356</v>
      </c>
      <c r="B16" s="103"/>
      <c r="C16" s="103">
        <v>208</v>
      </c>
      <c r="D16" s="103"/>
      <c r="E16" s="103"/>
      <c r="F16" s="119">
        <f t="shared" si="0"/>
        <v>208</v>
      </c>
    </row>
    <row r="17" spans="1:6" ht="30">
      <c r="A17" s="185" t="s">
        <v>357</v>
      </c>
      <c r="B17" s="103"/>
      <c r="C17" s="103">
        <v>446</v>
      </c>
      <c r="D17" s="103"/>
      <c r="E17" s="103"/>
      <c r="F17" s="119">
        <f t="shared" si="0"/>
        <v>446</v>
      </c>
    </row>
    <row r="18" spans="1:6" ht="30">
      <c r="A18" s="185" t="s">
        <v>358</v>
      </c>
      <c r="B18" s="103"/>
      <c r="C18" s="103">
        <v>0</v>
      </c>
      <c r="D18" s="103"/>
      <c r="E18" s="103"/>
      <c r="F18" s="119">
        <f t="shared" si="0"/>
        <v>0</v>
      </c>
    </row>
    <row r="19" spans="1:6" ht="30">
      <c r="A19" s="185" t="s">
        <v>359</v>
      </c>
      <c r="B19" s="103"/>
      <c r="C19" s="103">
        <v>249</v>
      </c>
      <c r="D19" s="103"/>
      <c r="E19" s="103"/>
      <c r="F19" s="119">
        <f t="shared" si="0"/>
        <v>249</v>
      </c>
    </row>
    <row r="20" spans="1:6" ht="15">
      <c r="A20" s="189" t="s">
        <v>347</v>
      </c>
      <c r="B20" s="103"/>
      <c r="C20" s="103">
        <f>3000*1.27</f>
        <v>3810</v>
      </c>
      <c r="D20" s="103"/>
      <c r="E20" s="103"/>
      <c r="F20" s="119">
        <f t="shared" si="0"/>
        <v>3810</v>
      </c>
    </row>
    <row r="21" spans="1:6" ht="15">
      <c r="A21" s="185" t="s">
        <v>351</v>
      </c>
      <c r="B21" s="147">
        <v>565</v>
      </c>
      <c r="C21" s="103"/>
      <c r="D21" s="103"/>
      <c r="E21" s="103"/>
      <c r="F21" s="119">
        <f t="shared" si="0"/>
        <v>565</v>
      </c>
    </row>
    <row r="22" spans="1:6" ht="30">
      <c r="A22" s="189" t="s">
        <v>346</v>
      </c>
      <c r="B22" s="103"/>
      <c r="C22" s="103"/>
      <c r="D22" s="103"/>
      <c r="E22" s="103">
        <f>180011000/1000</f>
        <v>180011</v>
      </c>
      <c r="F22" s="119">
        <f t="shared" si="0"/>
        <v>180011</v>
      </c>
    </row>
    <row r="23" spans="1:6" ht="15">
      <c r="A23" s="189" t="s">
        <v>473</v>
      </c>
      <c r="B23" s="103"/>
      <c r="C23" s="103"/>
      <c r="D23" s="103"/>
      <c r="E23" s="103">
        <v>152</v>
      </c>
      <c r="F23" s="119">
        <f t="shared" si="0"/>
        <v>152</v>
      </c>
    </row>
    <row r="24" spans="1:6" ht="15">
      <c r="A24" s="189" t="s">
        <v>475</v>
      </c>
      <c r="B24" s="103"/>
      <c r="C24" s="103"/>
      <c r="D24" s="103"/>
      <c r="E24" s="103">
        <v>2000</v>
      </c>
      <c r="F24" s="119">
        <f t="shared" si="0"/>
        <v>2000</v>
      </c>
    </row>
    <row r="25" spans="1:6" ht="15">
      <c r="A25" s="189" t="s">
        <v>474</v>
      </c>
      <c r="B25" s="103"/>
      <c r="C25" s="103"/>
      <c r="D25" s="103"/>
      <c r="E25" s="103">
        <v>6000</v>
      </c>
      <c r="F25" s="119">
        <f t="shared" si="0"/>
        <v>6000</v>
      </c>
    </row>
    <row r="26" spans="1:6" ht="15">
      <c r="A26" s="189" t="s">
        <v>469</v>
      </c>
      <c r="B26" s="103">
        <v>155</v>
      </c>
      <c r="C26" s="103"/>
      <c r="D26" s="103"/>
      <c r="E26" s="103"/>
      <c r="F26" s="119">
        <f t="shared" si="0"/>
        <v>155</v>
      </c>
    </row>
    <row r="27" spans="1:6" ht="15">
      <c r="A27" s="189" t="s">
        <v>470</v>
      </c>
      <c r="B27" s="103"/>
      <c r="C27" s="103">
        <v>113</v>
      </c>
      <c r="D27" s="103"/>
      <c r="E27" s="103"/>
      <c r="F27" s="119">
        <f t="shared" si="0"/>
        <v>113</v>
      </c>
    </row>
    <row r="28" spans="1:6" ht="15">
      <c r="A28" s="189" t="s">
        <v>471</v>
      </c>
      <c r="B28" s="103"/>
      <c r="C28" s="103"/>
      <c r="D28" s="103">
        <v>120</v>
      </c>
      <c r="E28" s="103"/>
      <c r="F28" s="119">
        <f t="shared" si="0"/>
        <v>120</v>
      </c>
    </row>
    <row r="29" spans="1:6" ht="15">
      <c r="A29" s="189" t="s">
        <v>476</v>
      </c>
      <c r="B29" s="103"/>
      <c r="C29" s="103"/>
      <c r="D29" s="103"/>
      <c r="E29" s="103">
        <v>362</v>
      </c>
      <c r="F29" s="119">
        <f t="shared" si="0"/>
        <v>362</v>
      </c>
    </row>
    <row r="30" spans="1:6" ht="15">
      <c r="A30" s="189" t="s">
        <v>477</v>
      </c>
      <c r="B30" s="103"/>
      <c r="C30" s="103"/>
      <c r="D30" s="103"/>
      <c r="E30" s="103">
        <v>300</v>
      </c>
      <c r="F30" s="119">
        <f t="shared" si="0"/>
        <v>300</v>
      </c>
    </row>
    <row r="31" spans="1:6" ht="15">
      <c r="A31" s="189"/>
      <c r="B31" s="103"/>
      <c r="C31" s="103"/>
      <c r="D31" s="103"/>
      <c r="E31" s="103"/>
      <c r="F31" s="119">
        <f t="shared" si="0"/>
        <v>0</v>
      </c>
    </row>
    <row r="32" spans="1:6" ht="15.75">
      <c r="A32" s="190" t="s">
        <v>460</v>
      </c>
      <c r="B32" s="150">
        <f>SUM(B4:B31)</f>
        <v>720</v>
      </c>
      <c r="C32" s="150">
        <f>SUM(C4:C31)</f>
        <v>4826</v>
      </c>
      <c r="D32" s="150">
        <f>SUM(D4:D31)</f>
        <v>120</v>
      </c>
      <c r="E32" s="150">
        <f>SUM(E4:E31)</f>
        <v>245387</v>
      </c>
      <c r="F32" s="150">
        <f>SUM(F4:F31)</f>
        <v>251053</v>
      </c>
    </row>
    <row r="33" ht="12.75">
      <c r="A33" s="191"/>
    </row>
    <row r="34" spans="1:6" ht="45">
      <c r="A34" s="24" t="s">
        <v>48</v>
      </c>
      <c r="B34" s="110" t="s">
        <v>244</v>
      </c>
      <c r="C34" s="110" t="s">
        <v>245</v>
      </c>
      <c r="D34" s="110" t="s">
        <v>246</v>
      </c>
      <c r="E34" s="110" t="s">
        <v>247</v>
      </c>
      <c r="F34" s="111" t="s">
        <v>49</v>
      </c>
    </row>
    <row r="35" spans="1:6" ht="45">
      <c r="A35" s="188" t="s">
        <v>380</v>
      </c>
      <c r="B35" s="151"/>
      <c r="C35" s="21"/>
      <c r="D35" s="21"/>
      <c r="E35" s="151">
        <v>0</v>
      </c>
      <c r="F35" s="192">
        <f aca="true" t="shared" si="1" ref="F35:F42">E35+D35+C35+B35</f>
        <v>0</v>
      </c>
    </row>
    <row r="36" spans="1:6" ht="30">
      <c r="A36" s="185" t="s">
        <v>381</v>
      </c>
      <c r="B36" s="151"/>
      <c r="C36" s="103"/>
      <c r="D36" s="103"/>
      <c r="E36" s="151">
        <f>10000000/1000-8000</f>
        <v>2000</v>
      </c>
      <c r="F36" s="192">
        <f t="shared" si="1"/>
        <v>2000</v>
      </c>
    </row>
    <row r="37" spans="1:6" ht="30">
      <c r="A37" s="188" t="s">
        <v>348</v>
      </c>
      <c r="B37" s="152"/>
      <c r="C37" s="103"/>
      <c r="D37" s="103"/>
      <c r="E37" s="152">
        <v>15270</v>
      </c>
      <c r="F37" s="192">
        <f t="shared" si="1"/>
        <v>15270</v>
      </c>
    </row>
    <row r="38" spans="1:6" ht="30">
      <c r="A38" s="189" t="s">
        <v>360</v>
      </c>
      <c r="B38" s="21"/>
      <c r="C38" s="21"/>
      <c r="D38" s="21">
        <v>515</v>
      </c>
      <c r="E38" s="192"/>
      <c r="F38" s="192">
        <f t="shared" si="1"/>
        <v>515</v>
      </c>
    </row>
    <row r="39" spans="1:6" ht="15">
      <c r="A39" s="186" t="s">
        <v>478</v>
      </c>
      <c r="B39" s="21"/>
      <c r="C39" s="21"/>
      <c r="D39" s="21"/>
      <c r="E39" s="178">
        <v>381</v>
      </c>
      <c r="F39" s="192">
        <f t="shared" si="1"/>
        <v>381</v>
      </c>
    </row>
    <row r="40" spans="1:6" ht="15">
      <c r="A40" s="186" t="s">
        <v>479</v>
      </c>
      <c r="B40" s="21"/>
      <c r="C40" s="21"/>
      <c r="D40" s="21"/>
      <c r="E40" s="178">
        <v>9503</v>
      </c>
      <c r="F40" s="192">
        <f t="shared" si="1"/>
        <v>9503</v>
      </c>
    </row>
    <row r="41" spans="1:6" ht="15">
      <c r="A41" s="186"/>
      <c r="B41" s="21"/>
      <c r="C41" s="21"/>
      <c r="D41" s="21"/>
      <c r="E41" s="178"/>
      <c r="F41" s="192">
        <f t="shared" si="1"/>
        <v>0</v>
      </c>
    </row>
    <row r="42" spans="1:6" ht="15">
      <c r="A42" s="186"/>
      <c r="B42" s="21"/>
      <c r="C42" s="21"/>
      <c r="D42" s="21"/>
      <c r="E42" s="178"/>
      <c r="F42" s="192">
        <f t="shared" si="1"/>
        <v>0</v>
      </c>
    </row>
    <row r="43" spans="1:6" ht="15.75">
      <c r="A43" s="16" t="s">
        <v>101</v>
      </c>
      <c r="B43" s="150">
        <f>SUM(B35:B42)</f>
        <v>0</v>
      </c>
      <c r="C43" s="150">
        <f>SUM(C35:C42)</f>
        <v>0</v>
      </c>
      <c r="D43" s="150">
        <f>SUM(D35:D42)</f>
        <v>515</v>
      </c>
      <c r="E43" s="150">
        <f>SUM(E35:E42)</f>
        <v>27154</v>
      </c>
      <c r="F43" s="150">
        <f>SUM(F35:F42)</f>
        <v>27669</v>
      </c>
    </row>
    <row r="45" spans="1:6" ht="48" customHeight="1">
      <c r="A45" s="300" t="s">
        <v>108</v>
      </c>
      <c r="B45" s="301"/>
      <c r="C45" s="301"/>
      <c r="D45" s="301"/>
      <c r="E45" s="301"/>
      <c r="F45" s="301"/>
    </row>
    <row r="47" spans="1:6" ht="85.5" customHeight="1">
      <c r="A47" s="20" t="s">
        <v>48</v>
      </c>
      <c r="B47" s="29" t="s">
        <v>102</v>
      </c>
      <c r="C47" s="29" t="s">
        <v>103</v>
      </c>
      <c r="D47" s="29" t="s">
        <v>104</v>
      </c>
      <c r="E47" s="29" t="s">
        <v>105</v>
      </c>
      <c r="F47" s="29" t="s">
        <v>106</v>
      </c>
    </row>
    <row r="48" spans="1:6" ht="30">
      <c r="A48" s="189" t="s">
        <v>346</v>
      </c>
      <c r="B48" s="21">
        <v>50000</v>
      </c>
      <c r="C48" s="21"/>
      <c r="D48" s="21"/>
      <c r="E48" s="21"/>
      <c r="F48" s="21"/>
    </row>
    <row r="49" spans="1:6" ht="16.5">
      <c r="A49" s="30" t="s">
        <v>107</v>
      </c>
      <c r="B49" s="21">
        <v>50000</v>
      </c>
      <c r="C49" s="21"/>
      <c r="D49" s="21"/>
      <c r="E49" s="21"/>
      <c r="F49" s="21"/>
    </row>
  </sheetData>
  <sheetProtection/>
  <mergeCells count="1">
    <mergeCell ref="A45:F45"/>
  </mergeCells>
  <printOptions horizontalCentered="1"/>
  <pageMargins left="0.1968503937007874" right="0.1968503937007874" top="0.15748031496062992" bottom="0.15748031496062992" header="0.07874015748031496" footer="0.0787401574803149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ht="12.75">
      <c r="A1" t="s">
        <v>424</v>
      </c>
    </row>
    <row r="2" spans="1:7" ht="13.5">
      <c r="A2" s="279" t="s">
        <v>425</v>
      </c>
      <c r="B2" s="280"/>
      <c r="C2" s="280"/>
      <c r="D2" s="280"/>
      <c r="E2" s="280"/>
      <c r="F2" s="280"/>
      <c r="G2" s="280"/>
    </row>
    <row r="3" spans="1:6" ht="12.75">
      <c r="A3" s="193"/>
      <c r="B3" s="193"/>
      <c r="C3" s="193"/>
      <c r="D3" s="193"/>
      <c r="E3" s="193"/>
      <c r="F3" s="193"/>
    </row>
    <row r="4" spans="1:7" ht="15.75">
      <c r="A4" s="194" t="s">
        <v>361</v>
      </c>
      <c r="B4" s="195"/>
      <c r="C4" s="177"/>
      <c r="D4" s="177"/>
      <c r="E4" s="177"/>
      <c r="F4" s="177"/>
      <c r="G4" s="2"/>
    </row>
    <row r="5" spans="1:7" ht="16.5">
      <c r="A5" s="31"/>
      <c r="B5" s="31"/>
      <c r="C5" s="32"/>
      <c r="D5" s="32"/>
      <c r="E5" s="32"/>
      <c r="F5" s="33"/>
      <c r="G5" s="2"/>
    </row>
    <row r="6" spans="1:7" ht="18.75">
      <c r="A6" s="34" t="s">
        <v>109</v>
      </c>
      <c r="B6" s="35" t="s">
        <v>118</v>
      </c>
      <c r="C6" s="35" t="s">
        <v>119</v>
      </c>
      <c r="D6" s="35" t="s">
        <v>120</v>
      </c>
      <c r="E6" s="35" t="s">
        <v>110</v>
      </c>
      <c r="F6" s="42" t="s">
        <v>107</v>
      </c>
      <c r="G6" s="2"/>
    </row>
    <row r="7" spans="1:7" ht="15.75">
      <c r="A7" s="36" t="s">
        <v>111</v>
      </c>
      <c r="B7" s="88">
        <f>'3. szakfeladatok'!L34</f>
        <v>148860</v>
      </c>
      <c r="C7" s="88"/>
      <c r="D7" s="147"/>
      <c r="E7" s="147"/>
      <c r="F7" s="147">
        <f>SUM(B7:E7)</f>
        <v>148860</v>
      </c>
      <c r="G7" s="2"/>
    </row>
    <row r="8" spans="1:7" ht="15.75">
      <c r="A8" s="36" t="s">
        <v>112</v>
      </c>
      <c r="B8" s="88"/>
      <c r="C8" s="88"/>
      <c r="D8" s="147"/>
      <c r="E8" s="147"/>
      <c r="F8" s="147">
        <f>SUM(B8:E8)</f>
        <v>0</v>
      </c>
      <c r="G8" s="2"/>
    </row>
    <row r="9" spans="1:7" ht="15.75">
      <c r="A9" s="36" t="s">
        <v>113</v>
      </c>
      <c r="B9" s="88">
        <f>180011-B7</f>
        <v>31151</v>
      </c>
      <c r="C9" s="88"/>
      <c r="D9" s="147"/>
      <c r="E9" s="147"/>
      <c r="F9" s="147">
        <f>SUM(B9:E9)</f>
        <v>31151</v>
      </c>
      <c r="G9" s="2"/>
    </row>
    <row r="10" spans="1:7" ht="16.5">
      <c r="A10" s="38" t="s">
        <v>107</v>
      </c>
      <c r="B10" s="148">
        <f>SUM(B7:B9)</f>
        <v>180011</v>
      </c>
      <c r="C10" s="148"/>
      <c r="D10" s="149"/>
      <c r="E10" s="149"/>
      <c r="F10" s="147">
        <f>SUM(B10:E10)</f>
        <v>180011</v>
      </c>
      <c r="G10" s="2"/>
    </row>
    <row r="11" spans="1:7" ht="15">
      <c r="A11" s="278"/>
      <c r="B11" s="278"/>
      <c r="C11" s="278"/>
      <c r="D11" s="278"/>
      <c r="E11" s="278"/>
      <c r="F11" s="278"/>
      <c r="G11" s="2"/>
    </row>
    <row r="12" spans="1:7" ht="18.75">
      <c r="A12" s="34" t="s">
        <v>114</v>
      </c>
      <c r="B12" s="35" t="s">
        <v>118</v>
      </c>
      <c r="C12" s="35" t="s">
        <v>119</v>
      </c>
      <c r="D12" s="35" t="s">
        <v>120</v>
      </c>
      <c r="E12" s="35" t="s">
        <v>110</v>
      </c>
      <c r="F12" s="42" t="s">
        <v>107</v>
      </c>
      <c r="G12" s="2"/>
    </row>
    <row r="13" spans="1:7" ht="15">
      <c r="A13" s="40" t="s">
        <v>31</v>
      </c>
      <c r="B13" s="147"/>
      <c r="C13" s="37"/>
      <c r="D13" s="37"/>
      <c r="E13" s="37"/>
      <c r="F13" s="147">
        <f>SUM(B13:E13)</f>
        <v>0</v>
      </c>
      <c r="G13" s="2"/>
    </row>
    <row r="14" spans="1:7" ht="15">
      <c r="A14" s="40" t="s">
        <v>115</v>
      </c>
      <c r="B14" s="147"/>
      <c r="C14" s="37"/>
      <c r="D14" s="37"/>
      <c r="E14" s="37"/>
      <c r="F14" s="147">
        <f aca="true" t="shared" si="0" ref="F14:F19">SUM(B14:E14)</f>
        <v>0</v>
      </c>
      <c r="G14" s="2"/>
    </row>
    <row r="15" spans="1:7" ht="15">
      <c r="A15" s="40" t="s">
        <v>28</v>
      </c>
      <c r="B15" s="147"/>
      <c r="C15" s="37"/>
      <c r="D15" s="37"/>
      <c r="E15" s="37"/>
      <c r="F15" s="147">
        <f t="shared" si="0"/>
        <v>0</v>
      </c>
      <c r="G15" s="2"/>
    </row>
    <row r="16" spans="1:7" ht="15">
      <c r="A16" s="40" t="s">
        <v>19</v>
      </c>
      <c r="B16" s="147"/>
      <c r="C16" s="37"/>
      <c r="D16" s="37"/>
      <c r="E16" s="37"/>
      <c r="F16" s="147">
        <f t="shared" si="0"/>
        <v>0</v>
      </c>
      <c r="G16" s="2"/>
    </row>
    <row r="17" spans="1:7" ht="15">
      <c r="A17" s="40" t="s">
        <v>116</v>
      </c>
      <c r="B17" s="147">
        <v>180011</v>
      </c>
      <c r="C17" s="37"/>
      <c r="D17" s="37"/>
      <c r="E17" s="37"/>
      <c r="F17" s="147">
        <f t="shared" si="0"/>
        <v>180011</v>
      </c>
      <c r="G17" s="2"/>
    </row>
    <row r="18" spans="1:7" ht="15">
      <c r="A18" s="40" t="s">
        <v>117</v>
      </c>
      <c r="B18" s="147"/>
      <c r="C18" s="37"/>
      <c r="D18" s="37"/>
      <c r="E18" s="37"/>
      <c r="F18" s="147">
        <f t="shared" si="0"/>
        <v>0</v>
      </c>
      <c r="G18" s="2"/>
    </row>
    <row r="19" spans="1:7" ht="16.5">
      <c r="A19" s="38" t="s">
        <v>107</v>
      </c>
      <c r="B19" s="148">
        <f>SUM(B13:B18)</f>
        <v>180011</v>
      </c>
      <c r="C19" s="39"/>
      <c r="D19" s="39"/>
      <c r="E19" s="39"/>
      <c r="F19" s="147">
        <f t="shared" si="0"/>
        <v>180011</v>
      </c>
      <c r="G19" s="2"/>
    </row>
  </sheetData>
  <sheetProtection/>
  <mergeCells count="2">
    <mergeCell ref="A11:F1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26"/>
  <sheetViews>
    <sheetView zoomScalePageLayoutView="0" workbookViewId="0" topLeftCell="C7">
      <selection activeCell="H15" sqref="H15"/>
    </sheetView>
  </sheetViews>
  <sheetFormatPr defaultColWidth="9.140625" defaultRowHeight="12.75"/>
  <cols>
    <col min="1" max="1" width="48.003906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</cols>
  <sheetData>
    <row r="1" ht="12.75">
      <c r="A1" t="s">
        <v>427</v>
      </c>
    </row>
    <row r="2" ht="12.75">
      <c r="A2" s="226" t="s">
        <v>426</v>
      </c>
    </row>
    <row r="3" spans="1:10" ht="60">
      <c r="A3" s="17" t="s">
        <v>48</v>
      </c>
      <c r="B3" s="110" t="s">
        <v>244</v>
      </c>
      <c r="C3" s="110" t="s">
        <v>245</v>
      </c>
      <c r="D3" s="110" t="s">
        <v>246</v>
      </c>
      <c r="E3" s="110" t="s">
        <v>247</v>
      </c>
      <c r="F3" s="111" t="s">
        <v>49</v>
      </c>
      <c r="G3" s="110" t="s">
        <v>294</v>
      </c>
      <c r="H3" s="112" t="s">
        <v>50</v>
      </c>
      <c r="I3" s="2"/>
      <c r="J3" s="2"/>
    </row>
    <row r="4" spans="1:10" ht="18.75">
      <c r="A4" s="43" t="s">
        <v>121</v>
      </c>
      <c r="B4" s="40"/>
      <c r="C4" s="40"/>
      <c r="D4" s="40"/>
      <c r="E4" s="40"/>
      <c r="F4" s="40"/>
      <c r="G4" s="21"/>
      <c r="H4" s="21"/>
      <c r="I4" s="2"/>
      <c r="J4" s="2"/>
    </row>
    <row r="5" spans="1:10" ht="16.5">
      <c r="A5" s="30" t="s">
        <v>122</v>
      </c>
      <c r="B5" s="21"/>
      <c r="C5" s="21"/>
      <c r="D5" s="21"/>
      <c r="E5" s="21"/>
      <c r="F5" s="21"/>
      <c r="G5" s="21"/>
      <c r="H5" s="21"/>
      <c r="I5" s="2"/>
      <c r="J5" s="2"/>
    </row>
    <row r="6" spans="1:10" ht="16.5">
      <c r="A6" s="4"/>
      <c r="B6" s="21"/>
      <c r="C6" s="21"/>
      <c r="D6" s="21"/>
      <c r="E6" s="21"/>
      <c r="F6" s="21"/>
      <c r="G6" s="21"/>
      <c r="H6" s="21"/>
      <c r="I6" s="2"/>
      <c r="J6" s="2"/>
    </row>
    <row r="7" spans="1:10" ht="16.5">
      <c r="A7" s="30" t="s">
        <v>123</v>
      </c>
      <c r="B7" s="21"/>
      <c r="C7" s="21"/>
      <c r="D7" s="21"/>
      <c r="E7" s="21"/>
      <c r="F7" s="21"/>
      <c r="G7" s="21"/>
      <c r="H7" s="21"/>
      <c r="I7" s="2"/>
      <c r="J7" s="2"/>
    </row>
    <row r="8" spans="1:10" ht="16.5">
      <c r="A8" s="4"/>
      <c r="B8" s="21"/>
      <c r="C8" s="21"/>
      <c r="D8" s="21"/>
      <c r="E8" s="21"/>
      <c r="F8" s="21"/>
      <c r="G8" s="21"/>
      <c r="H8" s="21"/>
      <c r="I8" s="2"/>
      <c r="J8" s="2"/>
    </row>
    <row r="9" spans="1:10" ht="16.5">
      <c r="A9" s="30" t="s">
        <v>124</v>
      </c>
      <c r="B9" s="21"/>
      <c r="C9" s="21"/>
      <c r="D9" s="21"/>
      <c r="E9" s="21"/>
      <c r="F9" s="21"/>
      <c r="G9" s="21"/>
      <c r="H9" s="21"/>
      <c r="I9" s="2"/>
      <c r="J9" s="2"/>
    </row>
    <row r="10" spans="1:10" ht="16.5">
      <c r="A10" s="44"/>
      <c r="B10" s="2"/>
      <c r="C10" s="2"/>
      <c r="D10" s="2"/>
      <c r="E10" s="2"/>
      <c r="F10" s="2"/>
      <c r="G10" s="2"/>
      <c r="H10" s="2"/>
      <c r="I10" s="2"/>
      <c r="J10" s="2"/>
    </row>
    <row r="11" spans="1:10" ht="16.5">
      <c r="A11" s="44"/>
      <c r="B11" s="2"/>
      <c r="C11" s="2"/>
      <c r="D11" s="2"/>
      <c r="E11" s="2"/>
      <c r="F11" s="2"/>
      <c r="G11" s="2"/>
      <c r="H11" s="2"/>
      <c r="I11" s="2"/>
      <c r="J11" s="2"/>
    </row>
    <row r="12" spans="1:10" ht="60">
      <c r="A12" s="17" t="s">
        <v>48</v>
      </c>
      <c r="B12" s="110" t="s">
        <v>244</v>
      </c>
      <c r="C12" s="110" t="s">
        <v>245</v>
      </c>
      <c r="D12" s="110" t="s">
        <v>246</v>
      </c>
      <c r="E12" s="110" t="s">
        <v>247</v>
      </c>
      <c r="F12" s="111" t="s">
        <v>49</v>
      </c>
      <c r="G12" s="110" t="s">
        <v>294</v>
      </c>
      <c r="H12" s="112" t="s">
        <v>50</v>
      </c>
      <c r="I12" s="2"/>
      <c r="J12" s="2"/>
    </row>
    <row r="13" spans="1:10" ht="18.75">
      <c r="A13" s="43" t="s">
        <v>382</v>
      </c>
      <c r="B13" s="103">
        <v>133</v>
      </c>
      <c r="C13" s="103">
        <v>130</v>
      </c>
      <c r="D13" s="103">
        <v>140</v>
      </c>
      <c r="E13" s="103">
        <v>68297</v>
      </c>
      <c r="F13" s="103">
        <f>SUM(B13:E13)</f>
        <v>68700</v>
      </c>
      <c r="G13" s="21">
        <v>0</v>
      </c>
      <c r="H13" s="119">
        <f>F13-G13</f>
        <v>68700</v>
      </c>
      <c r="I13" s="2"/>
      <c r="J13" s="2"/>
    </row>
    <row r="14" spans="1:10" ht="16.5">
      <c r="A14" s="4" t="s">
        <v>122</v>
      </c>
      <c r="B14" s="21"/>
      <c r="C14" s="21"/>
      <c r="D14" s="21"/>
      <c r="E14" s="21"/>
      <c r="F14" s="119">
        <f>E14+D14+C14+B14</f>
        <v>0</v>
      </c>
      <c r="G14" s="21">
        <v>0</v>
      </c>
      <c r="H14" s="119">
        <f>F14-G14</f>
        <v>0</v>
      </c>
      <c r="I14" s="2"/>
      <c r="J14" s="2"/>
    </row>
    <row r="15" spans="1:10" ht="16.5">
      <c r="A15" s="4" t="s">
        <v>123</v>
      </c>
      <c r="B15" s="103">
        <f>SUM(B13:B14)</f>
        <v>133</v>
      </c>
      <c r="C15" s="103">
        <f>SUM(C13:C14)</f>
        <v>130</v>
      </c>
      <c r="D15" s="103">
        <f>SUM(D13:D14)</f>
        <v>140</v>
      </c>
      <c r="E15" s="103">
        <f>SUM(E13:E14)</f>
        <v>68297</v>
      </c>
      <c r="F15" s="103">
        <f>SUM(F13:F14)</f>
        <v>68700</v>
      </c>
      <c r="G15" s="21">
        <v>0</v>
      </c>
      <c r="H15" s="119">
        <f>F15-G15</f>
        <v>68700</v>
      </c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 t="s">
        <v>344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8" ht="60">
      <c r="A19" s="17" t="s">
        <v>48</v>
      </c>
      <c r="B19" s="110" t="s">
        <v>244</v>
      </c>
      <c r="C19" s="110" t="s">
        <v>245</v>
      </c>
      <c r="D19" s="110" t="s">
        <v>246</v>
      </c>
      <c r="E19" s="110" t="s">
        <v>247</v>
      </c>
      <c r="F19" s="111" t="s">
        <v>49</v>
      </c>
      <c r="G19" s="110" t="s">
        <v>294</v>
      </c>
      <c r="H19" s="112" t="s">
        <v>50</v>
      </c>
    </row>
    <row r="20" spans="1:8" ht="18">
      <c r="A20" s="17" t="s">
        <v>345</v>
      </c>
      <c r="B20" s="110">
        <v>75</v>
      </c>
      <c r="C20" s="110">
        <v>120</v>
      </c>
      <c r="D20" s="110">
        <v>111</v>
      </c>
      <c r="E20" s="110">
        <f>SUM(E21:E23)</f>
        <v>60387</v>
      </c>
      <c r="F20" s="111">
        <f>E20+D20+C20+B20</f>
        <v>60693</v>
      </c>
      <c r="G20" s="110"/>
      <c r="H20" s="112">
        <f>F20</f>
        <v>60693</v>
      </c>
    </row>
    <row r="21" spans="1:8" ht="34.5" customHeight="1">
      <c r="A21" s="180" t="s">
        <v>37</v>
      </c>
      <c r="B21" s="103">
        <v>75</v>
      </c>
      <c r="C21" s="103">
        <v>120</v>
      </c>
      <c r="D21" s="103">
        <v>111</v>
      </c>
      <c r="E21" s="103">
        <f>'1. bevételek össz'!E13</f>
        <v>23897</v>
      </c>
      <c r="F21" s="103">
        <f>SUM(B21:E21)</f>
        <v>24203</v>
      </c>
      <c r="G21" s="103"/>
      <c r="H21" s="103">
        <f>F21</f>
        <v>24203</v>
      </c>
    </row>
    <row r="22" spans="1:8" ht="34.5" customHeight="1">
      <c r="A22" s="181" t="s">
        <v>41</v>
      </c>
      <c r="B22" s="103"/>
      <c r="C22" s="103"/>
      <c r="D22" s="103"/>
      <c r="E22" s="103">
        <f>'1. bevételek össz'!E26</f>
        <v>36490</v>
      </c>
      <c r="F22" s="103">
        <f>SUM(B22:E22)</f>
        <v>36490</v>
      </c>
      <c r="G22" s="103"/>
      <c r="H22" s="103">
        <f>F22</f>
        <v>36490</v>
      </c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</sheetData>
  <sheetProtection/>
  <printOptions/>
  <pageMargins left="0.28" right="0.24" top="1" bottom="1" header="0.5" footer="0.5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1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3.57421875" style="0" customWidth="1"/>
    <col min="2" max="3" width="17.28125" style="0" customWidth="1"/>
    <col min="4" max="4" width="18.140625" style="0" customWidth="1"/>
    <col min="5" max="5" width="20.140625" style="0" customWidth="1"/>
    <col min="6" max="6" width="22.28125" style="0" customWidth="1"/>
  </cols>
  <sheetData>
    <row r="1" ht="12.75">
      <c r="A1" t="s">
        <v>428</v>
      </c>
    </row>
    <row r="2" ht="12.75">
      <c r="A2" t="s">
        <v>429</v>
      </c>
    </row>
    <row r="4" spans="1:7" ht="45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2"/>
    </row>
    <row r="5" spans="1:7" ht="32.25">
      <c r="A5" s="45" t="s">
        <v>125</v>
      </c>
      <c r="B5" s="103">
        <v>0</v>
      </c>
      <c r="C5" s="103">
        <v>0</v>
      </c>
      <c r="D5" s="103">
        <v>0</v>
      </c>
      <c r="E5" s="103">
        <f>'2. kiadások össz'!E14</f>
        <v>140041</v>
      </c>
      <c r="F5" s="103">
        <f>E5+D5+C5+B5</f>
        <v>140041</v>
      </c>
      <c r="G5" s="2"/>
    </row>
    <row r="6" spans="1:7" ht="32.25">
      <c r="A6" s="15" t="s">
        <v>126</v>
      </c>
      <c r="B6" s="103">
        <v>0</v>
      </c>
      <c r="C6" s="103">
        <v>0</v>
      </c>
      <c r="D6" s="103">
        <v>0</v>
      </c>
      <c r="E6" s="103">
        <f>'2. kiadások össz'!E27</f>
        <v>6985</v>
      </c>
      <c r="F6" s="103">
        <f>E6+D6+C6+B6</f>
        <v>6985</v>
      </c>
      <c r="G6" s="2"/>
    </row>
    <row r="7" spans="1:7" ht="33" customHeight="1">
      <c r="A7" s="47" t="s">
        <v>127</v>
      </c>
      <c r="B7" s="153">
        <f>SUM(B5:B6)</f>
        <v>0</v>
      </c>
      <c r="C7" s="153">
        <f>SUM(C5:C6)</f>
        <v>0</v>
      </c>
      <c r="D7" s="153">
        <f>SUM(D5:D6)</f>
        <v>0</v>
      </c>
      <c r="E7" s="153">
        <f>SUM(E5:E6)</f>
        <v>147026</v>
      </c>
      <c r="F7" s="153">
        <f>SUM(F5:F6)</f>
        <v>147026</v>
      </c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45">
      <c r="A11" s="17" t="s">
        <v>48</v>
      </c>
      <c r="B11" s="110" t="s">
        <v>244</v>
      </c>
      <c r="C11" s="110" t="s">
        <v>245</v>
      </c>
      <c r="D11" s="110" t="s">
        <v>246</v>
      </c>
      <c r="E11" s="110" t="s">
        <v>247</v>
      </c>
      <c r="F11" s="111" t="s">
        <v>49</v>
      </c>
      <c r="G11" s="2"/>
    </row>
    <row r="12" spans="1:7" ht="32.25">
      <c r="A12" s="49" t="s">
        <v>125</v>
      </c>
      <c r="B12" s="154">
        <f>'1. bevételek össz'!B12</f>
        <v>52664</v>
      </c>
      <c r="C12" s="154">
        <f>SUM(C13:C15)</f>
        <v>24578</v>
      </c>
      <c r="D12" s="154">
        <f>'1. bevételek össz'!D12</f>
        <v>63399</v>
      </c>
      <c r="E12" s="154">
        <f>SUM(E13:E15)</f>
        <v>0</v>
      </c>
      <c r="F12" s="154">
        <f>E12+D12+C12+B12</f>
        <v>140641</v>
      </c>
      <c r="G12" s="2"/>
    </row>
    <row r="13" spans="1:7" ht="16.5">
      <c r="A13" s="45" t="s">
        <v>129</v>
      </c>
      <c r="B13" s="103">
        <v>34044</v>
      </c>
      <c r="C13" s="103">
        <v>0</v>
      </c>
      <c r="D13" s="103">
        <v>39989</v>
      </c>
      <c r="E13" s="103"/>
      <c r="F13" s="154">
        <f aca="true" t="shared" si="0" ref="F13:F20">E13+D13+C13+B13</f>
        <v>74033</v>
      </c>
      <c r="G13" s="2"/>
    </row>
    <row r="14" spans="1:7" ht="16.5">
      <c r="A14" s="45" t="s">
        <v>319</v>
      </c>
      <c r="B14" s="103">
        <f>'1. bevételek össz'!B12-B13</f>
        <v>18620</v>
      </c>
      <c r="C14" s="103">
        <f>'1. bevételek össz'!C12</f>
        <v>24578</v>
      </c>
      <c r="D14" s="103">
        <f>'1. bevételek össz'!D12-'12.intézmény finansz'!D13</f>
        <v>23410</v>
      </c>
      <c r="E14" s="103"/>
      <c r="F14" s="154">
        <f t="shared" si="0"/>
        <v>66608</v>
      </c>
      <c r="G14" s="2"/>
    </row>
    <row r="15" spans="1:7" ht="16.5">
      <c r="A15" s="45" t="s">
        <v>320</v>
      </c>
      <c r="B15" s="103">
        <v>0</v>
      </c>
      <c r="C15" s="103"/>
      <c r="D15" s="103"/>
      <c r="E15" s="103"/>
      <c r="F15" s="154">
        <f t="shared" si="0"/>
        <v>0</v>
      </c>
      <c r="G15" s="2"/>
    </row>
    <row r="16" spans="1:7" ht="32.25">
      <c r="A16" s="48" t="s">
        <v>126</v>
      </c>
      <c r="B16" s="154">
        <f>SUM(B17:B19)</f>
        <v>924</v>
      </c>
      <c r="C16" s="154">
        <f>SUM(C17:C19)</f>
        <v>4826</v>
      </c>
      <c r="D16" s="154">
        <f>SUM(D17:D19)</f>
        <v>635</v>
      </c>
      <c r="E16" s="154">
        <f>SUM(E17:E19)</f>
        <v>0</v>
      </c>
      <c r="F16" s="154">
        <f t="shared" si="0"/>
        <v>6385</v>
      </c>
      <c r="G16" s="2"/>
    </row>
    <row r="17" spans="1:7" ht="16.5">
      <c r="A17" s="45" t="s">
        <v>129</v>
      </c>
      <c r="B17" s="103"/>
      <c r="C17" s="103"/>
      <c r="D17" s="103"/>
      <c r="E17" s="103"/>
      <c r="F17" s="154">
        <f t="shared" si="0"/>
        <v>0</v>
      </c>
      <c r="G17" s="2"/>
    </row>
    <row r="18" spans="1:7" ht="16.5">
      <c r="A18" s="45" t="s">
        <v>319</v>
      </c>
      <c r="B18" s="103">
        <v>924</v>
      </c>
      <c r="C18" s="103">
        <f>'1. bevételek össz'!C25</f>
        <v>4826</v>
      </c>
      <c r="D18" s="103">
        <f>'1. bevételek össz'!D25</f>
        <v>635</v>
      </c>
      <c r="E18" s="103"/>
      <c r="F18" s="154">
        <f t="shared" si="0"/>
        <v>6385</v>
      </c>
      <c r="G18" s="2"/>
    </row>
    <row r="19" spans="1:7" ht="16.5">
      <c r="A19" s="45" t="s">
        <v>320</v>
      </c>
      <c r="B19" s="103">
        <v>0</v>
      </c>
      <c r="C19" s="103"/>
      <c r="D19" s="103"/>
      <c r="E19" s="103"/>
      <c r="F19" s="154">
        <f t="shared" si="0"/>
        <v>0</v>
      </c>
      <c r="G19" s="2"/>
    </row>
    <row r="20" spans="1:7" ht="31.5" customHeight="1">
      <c r="A20" s="47" t="s">
        <v>128</v>
      </c>
      <c r="B20" s="153">
        <f>SUM(B12,B16)</f>
        <v>53588</v>
      </c>
      <c r="C20" s="153">
        <f>SUM(C12,C16)</f>
        <v>29404</v>
      </c>
      <c r="D20" s="153">
        <f>SUM(D12,D16)</f>
        <v>64034</v>
      </c>
      <c r="E20" s="153">
        <f>SUM(E12,E16)</f>
        <v>0</v>
      </c>
      <c r="F20" s="154">
        <f t="shared" si="0"/>
        <v>147026</v>
      </c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E11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</cols>
  <sheetData>
    <row r="1" spans="1:5" ht="15">
      <c r="A1" s="226" t="s">
        <v>431</v>
      </c>
      <c r="B1" s="2"/>
      <c r="C1" s="2"/>
      <c r="D1" s="2"/>
      <c r="E1" s="2"/>
    </row>
    <row r="2" spans="1:5" ht="15">
      <c r="A2" s="226" t="s">
        <v>430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02" t="s">
        <v>130</v>
      </c>
      <c r="B4" s="303"/>
      <c r="C4" s="303"/>
      <c r="D4" s="303"/>
      <c r="E4" s="303"/>
    </row>
    <row r="5" spans="1:5" ht="16.5">
      <c r="A5" s="53"/>
      <c r="B5" s="54"/>
      <c r="C5" s="54"/>
      <c r="D5" s="54"/>
      <c r="E5" s="54"/>
    </row>
    <row r="6" spans="1:5" ht="15">
      <c r="A6" s="2"/>
      <c r="B6" s="2"/>
      <c r="C6" s="2"/>
      <c r="D6" s="2"/>
      <c r="E6" s="2"/>
    </row>
    <row r="7" spans="1:5" ht="18">
      <c r="A7" s="304" t="s">
        <v>48</v>
      </c>
      <c r="B7" s="305"/>
      <c r="C7" s="156">
        <v>2013</v>
      </c>
      <c r="D7" s="156">
        <v>2014</v>
      </c>
      <c r="E7" s="156">
        <v>2015</v>
      </c>
    </row>
    <row r="8" spans="1:5" ht="16.5">
      <c r="A8" s="306" t="s">
        <v>131</v>
      </c>
      <c r="B8" s="307"/>
      <c r="C8" s="103">
        <f>SUM(C9:C14)/2</f>
        <v>68375</v>
      </c>
      <c r="D8" s="103">
        <f>SUM(D9:D14)/2</f>
        <v>69058.75</v>
      </c>
      <c r="E8" s="103">
        <f>SUM(E9:E14)/2</f>
        <v>69749.33750000001</v>
      </c>
    </row>
    <row r="9" spans="1:5" ht="16.5">
      <c r="A9" s="308" t="s">
        <v>330</v>
      </c>
      <c r="B9" s="309"/>
      <c r="C9" s="103">
        <f>'18.helyi adók'!F5+'18.helyi adók'!F6+'18.helyi adók'!F8+'18.helyi adók'!F9+'18.helyi adók'!F11+'18.helyi adók'!F23</f>
        <v>127000</v>
      </c>
      <c r="D9" s="119">
        <f aca="true" t="shared" si="0" ref="D9:E14">C9*1.01</f>
        <v>128270</v>
      </c>
      <c r="E9" s="119">
        <f t="shared" si="0"/>
        <v>129552.7</v>
      </c>
    </row>
    <row r="10" spans="1:5" ht="31.5" customHeight="1">
      <c r="A10" s="308" t="s">
        <v>331</v>
      </c>
      <c r="B10" s="309"/>
      <c r="C10" s="103">
        <v>1100</v>
      </c>
      <c r="D10" s="119">
        <f t="shared" si="0"/>
        <v>1111</v>
      </c>
      <c r="E10" s="119">
        <f t="shared" si="0"/>
        <v>1122.11</v>
      </c>
    </row>
    <row r="11" spans="1:5" ht="16.5">
      <c r="A11" s="308" t="s">
        <v>332</v>
      </c>
      <c r="B11" s="309"/>
      <c r="C11" s="103">
        <v>1000</v>
      </c>
      <c r="D11" s="119">
        <f t="shared" si="0"/>
        <v>1010</v>
      </c>
      <c r="E11" s="119">
        <f t="shared" si="0"/>
        <v>1020.1</v>
      </c>
    </row>
    <row r="12" spans="1:5" ht="31.5" customHeight="1">
      <c r="A12" s="308" t="s">
        <v>333</v>
      </c>
      <c r="B12" s="309"/>
      <c r="C12" s="103">
        <v>0</v>
      </c>
      <c r="D12" s="119">
        <f t="shared" si="0"/>
        <v>0</v>
      </c>
      <c r="E12" s="119">
        <f t="shared" si="0"/>
        <v>0</v>
      </c>
    </row>
    <row r="13" spans="1:5" ht="16.5">
      <c r="A13" s="308" t="s">
        <v>334</v>
      </c>
      <c r="B13" s="309"/>
      <c r="C13" s="103">
        <f>'18.helyi adók'!E21+'18.helyi adók'!E22+'18.helyi adók'!E13+'3. szakfeladatok'!C10/1000+'3. szakfeladatok'!C11/1000+'3. szakfeladatok'!C25/1000</f>
        <v>7650</v>
      </c>
      <c r="D13" s="119">
        <f t="shared" si="0"/>
        <v>7726.5</v>
      </c>
      <c r="E13" s="119">
        <f t="shared" si="0"/>
        <v>7803.765</v>
      </c>
    </row>
    <row r="14" spans="1:5" ht="16.5">
      <c r="A14" s="308" t="s">
        <v>335</v>
      </c>
      <c r="B14" s="309"/>
      <c r="C14" s="21">
        <v>0</v>
      </c>
      <c r="D14" s="119">
        <f t="shared" si="0"/>
        <v>0</v>
      </c>
      <c r="E14" s="119">
        <f t="shared" si="0"/>
        <v>0</v>
      </c>
    </row>
    <row r="15" spans="1:5" ht="16.5">
      <c r="A15" s="169"/>
      <c r="B15" s="55"/>
      <c r="C15" s="41"/>
      <c r="D15" s="41"/>
      <c r="E15" s="41"/>
    </row>
    <row r="16" spans="1:5" ht="16.5">
      <c r="A16" s="1"/>
      <c r="B16" s="2"/>
      <c r="C16" s="2"/>
      <c r="D16" s="2"/>
      <c r="E16" s="2"/>
    </row>
    <row r="17" spans="1:5" ht="45">
      <c r="A17" s="22" t="s">
        <v>132</v>
      </c>
      <c r="B17" s="56" t="s">
        <v>133</v>
      </c>
      <c r="C17" s="156">
        <v>2013</v>
      </c>
      <c r="D17" s="156">
        <v>2014</v>
      </c>
      <c r="E17" s="156">
        <v>2015</v>
      </c>
    </row>
    <row r="18" spans="1:5" ht="15">
      <c r="A18" s="155" t="s">
        <v>321</v>
      </c>
      <c r="B18" s="21"/>
      <c r="C18" s="21"/>
      <c r="D18" s="21"/>
      <c r="E18" s="21"/>
    </row>
    <row r="19" spans="1:5" ht="15">
      <c r="A19" s="158" t="s">
        <v>322</v>
      </c>
      <c r="B19" s="21">
        <v>2011</v>
      </c>
      <c r="C19" s="157">
        <f>3000000/1000</f>
        <v>3000</v>
      </c>
      <c r="D19" s="157">
        <f>3000000/1000</f>
        <v>3000</v>
      </c>
      <c r="E19" s="157">
        <f>3000000/1000</f>
        <v>3000</v>
      </c>
    </row>
    <row r="20" spans="1:5" ht="15">
      <c r="A20" s="159" t="s">
        <v>323</v>
      </c>
      <c r="B20" s="21">
        <v>2011</v>
      </c>
      <c r="C20" s="157">
        <f>21250000/1000</f>
        <v>21250</v>
      </c>
      <c r="D20" s="157">
        <f>21250000/1000</f>
        <v>21250</v>
      </c>
      <c r="E20" s="157">
        <f>21250000/1000</f>
        <v>21250</v>
      </c>
    </row>
    <row r="21" spans="1:5" ht="15">
      <c r="A21" s="21"/>
      <c r="B21" s="21"/>
      <c r="C21" s="21"/>
      <c r="D21" s="21"/>
      <c r="E21" s="21"/>
    </row>
    <row r="22" spans="1:5" ht="15">
      <c r="A22" s="211" t="s">
        <v>202</v>
      </c>
      <c r="B22" s="21"/>
      <c r="C22" s="103"/>
      <c r="D22" s="21"/>
      <c r="E22" s="21"/>
    </row>
    <row r="23" spans="1:5" ht="30">
      <c r="A23" s="189" t="s">
        <v>346</v>
      </c>
      <c r="B23" s="21">
        <v>2013</v>
      </c>
      <c r="C23" s="103">
        <v>50000</v>
      </c>
      <c r="D23" s="21"/>
      <c r="E23" s="21"/>
    </row>
    <row r="24" spans="1:5" ht="15">
      <c r="A24" s="21"/>
      <c r="B24" s="21"/>
      <c r="C24" s="21"/>
      <c r="D24" s="21"/>
      <c r="E24" s="21"/>
    </row>
    <row r="25" spans="1:5" ht="15">
      <c r="A25" s="21"/>
      <c r="B25" s="21"/>
      <c r="C25" s="21"/>
      <c r="D25" s="21"/>
      <c r="E25" s="21"/>
    </row>
    <row r="26" spans="1:5" ht="15">
      <c r="A26" s="21"/>
      <c r="B26" s="21"/>
      <c r="C26" s="21"/>
      <c r="D26" s="21"/>
      <c r="E26" s="21"/>
    </row>
    <row r="27" spans="1:5" ht="15">
      <c r="A27" s="21"/>
      <c r="B27" s="21"/>
      <c r="C27" s="21"/>
      <c r="D27" s="21"/>
      <c r="E27" s="21"/>
    </row>
    <row r="28" spans="1:5" ht="15">
      <c r="A28" s="21"/>
      <c r="B28" s="21"/>
      <c r="C28" s="21"/>
      <c r="D28" s="21"/>
      <c r="E28" s="21"/>
    </row>
    <row r="29" spans="1:5" ht="15">
      <c r="A29" s="21"/>
      <c r="B29" s="21"/>
      <c r="C29" s="21"/>
      <c r="D29" s="21"/>
      <c r="E29" s="21"/>
    </row>
    <row r="30" spans="1:5" ht="16.5">
      <c r="A30" s="16" t="s">
        <v>100</v>
      </c>
      <c r="B30" s="21"/>
      <c r="C30" s="119">
        <f>SUM(C19:C29)</f>
        <v>74250</v>
      </c>
      <c r="D30" s="119">
        <f>SUM(D19:D29)</f>
        <v>24250</v>
      </c>
      <c r="E30" s="119">
        <f>SUM(E19:E29)</f>
        <v>24250</v>
      </c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</sheetData>
  <sheetProtection/>
  <mergeCells count="9">
    <mergeCell ref="A14:B14"/>
    <mergeCell ref="A11:B11"/>
    <mergeCell ref="A13:B13"/>
    <mergeCell ref="A10:B10"/>
    <mergeCell ref="A12:B12"/>
    <mergeCell ref="A4:E4"/>
    <mergeCell ref="A7:B7"/>
    <mergeCell ref="A8:B8"/>
    <mergeCell ref="A9:B9"/>
  </mergeCells>
  <printOptions horizontalCentered="1"/>
  <pageMargins left="0.07874015748031496" right="0.11811023622047245" top="0.984251968503937" bottom="0.984251968503937" header="0.5118110236220472" footer="0.5118110236220472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L1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  <col min="10" max="12" width="13.28125" style="0" bestFit="1" customWidth="1"/>
  </cols>
  <sheetData>
    <row r="1" spans="1:11" ht="15">
      <c r="A1" s="2" t="s">
        <v>433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26" t="s">
        <v>432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02" t="s">
        <v>130</v>
      </c>
      <c r="B4" s="303"/>
      <c r="C4" s="303"/>
      <c r="D4" s="303"/>
      <c r="E4" s="303"/>
      <c r="F4" s="303"/>
      <c r="G4" s="303"/>
      <c r="H4" s="303"/>
      <c r="I4" s="303"/>
      <c r="J4" s="2"/>
      <c r="K4" s="2"/>
    </row>
    <row r="5" spans="1:11" ht="16.5">
      <c r="A5" s="53"/>
      <c r="B5" s="54"/>
      <c r="C5" s="54"/>
      <c r="D5" s="54"/>
      <c r="E5" s="54"/>
      <c r="F5" s="54"/>
      <c r="G5" s="54"/>
      <c r="H5" s="54"/>
      <c r="I5" s="54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">
      <c r="A7" s="304" t="s">
        <v>48</v>
      </c>
      <c r="B7" s="305"/>
      <c r="C7" s="156">
        <v>2013</v>
      </c>
      <c r="D7" s="156">
        <v>2014</v>
      </c>
      <c r="E7" s="156">
        <v>2015</v>
      </c>
      <c r="F7" s="156">
        <v>2016</v>
      </c>
      <c r="G7" s="156">
        <v>2017</v>
      </c>
      <c r="H7" s="156">
        <v>2018</v>
      </c>
      <c r="I7" s="156">
        <v>2019</v>
      </c>
      <c r="J7" s="156">
        <v>2020</v>
      </c>
      <c r="K7" s="156">
        <v>2021</v>
      </c>
      <c r="L7" s="156">
        <v>2022</v>
      </c>
    </row>
    <row r="8" spans="1:12" ht="16.5">
      <c r="A8" s="306" t="s">
        <v>131</v>
      </c>
      <c r="B8" s="307"/>
      <c r="C8" s="103">
        <f>SUM(C9:C14)/2</f>
        <v>68375</v>
      </c>
      <c r="D8" s="103">
        <f aca="true" t="shared" si="0" ref="D8:L8">SUM(D9:D14)/2</f>
        <v>69058.75</v>
      </c>
      <c r="E8" s="103">
        <f t="shared" si="0"/>
        <v>69749.33750000001</v>
      </c>
      <c r="F8" s="103">
        <f t="shared" si="0"/>
        <v>70446.830875</v>
      </c>
      <c r="G8" s="103">
        <f t="shared" si="0"/>
        <v>71151.29918375</v>
      </c>
      <c r="H8" s="103">
        <f t="shared" si="0"/>
        <v>71862.81217558749</v>
      </c>
      <c r="I8" s="103">
        <f t="shared" si="0"/>
        <v>72581.44029734336</v>
      </c>
      <c r="J8" s="103">
        <f t="shared" si="0"/>
        <v>73307.25470031679</v>
      </c>
      <c r="K8" s="103">
        <f t="shared" si="0"/>
        <v>74040.32724731998</v>
      </c>
      <c r="L8" s="103">
        <f t="shared" si="0"/>
        <v>74780.73051979316</v>
      </c>
    </row>
    <row r="9" spans="1:12" ht="16.5">
      <c r="A9" s="308" t="s">
        <v>330</v>
      </c>
      <c r="B9" s="309"/>
      <c r="C9" s="103">
        <f>'18.helyi adók'!F5+'18.helyi adók'!F6+'18.helyi adók'!F8+'18.helyi adók'!F9+'18.helyi adók'!F11+'18.helyi adók'!F23</f>
        <v>127000</v>
      </c>
      <c r="D9" s="119">
        <f>C9*1.01</f>
        <v>128270</v>
      </c>
      <c r="E9" s="119">
        <f aca="true" t="shared" si="1" ref="E9:L9">D9*1.01</f>
        <v>129552.7</v>
      </c>
      <c r="F9" s="119">
        <f t="shared" si="1"/>
        <v>130848.227</v>
      </c>
      <c r="G9" s="119">
        <f t="shared" si="1"/>
        <v>132156.70927</v>
      </c>
      <c r="H9" s="119">
        <f t="shared" si="1"/>
        <v>133478.27636269998</v>
      </c>
      <c r="I9" s="119">
        <f t="shared" si="1"/>
        <v>134813.059126327</v>
      </c>
      <c r="J9" s="119">
        <f t="shared" si="1"/>
        <v>136161.18971759026</v>
      </c>
      <c r="K9" s="119">
        <f t="shared" si="1"/>
        <v>137522.80161476615</v>
      </c>
      <c r="L9" s="119">
        <f t="shared" si="1"/>
        <v>138898.0296309138</v>
      </c>
    </row>
    <row r="10" spans="1:12" ht="31.5" customHeight="1">
      <c r="A10" s="308" t="s">
        <v>331</v>
      </c>
      <c r="B10" s="309"/>
      <c r="C10" s="103">
        <v>1100</v>
      </c>
      <c r="D10" s="119">
        <f aca="true" t="shared" si="2" ref="D10:L14">C10*1.01</f>
        <v>1111</v>
      </c>
      <c r="E10" s="119">
        <f t="shared" si="2"/>
        <v>1122.11</v>
      </c>
      <c r="F10" s="119">
        <f t="shared" si="2"/>
        <v>1133.3310999999999</v>
      </c>
      <c r="G10" s="119">
        <f t="shared" si="2"/>
        <v>1144.664411</v>
      </c>
      <c r="H10" s="119">
        <f t="shared" si="2"/>
        <v>1156.11105511</v>
      </c>
      <c r="I10" s="119">
        <f t="shared" si="2"/>
        <v>1167.6721656611</v>
      </c>
      <c r="J10" s="119">
        <f t="shared" si="2"/>
        <v>1179.3488873177112</v>
      </c>
      <c r="K10" s="119">
        <f t="shared" si="2"/>
        <v>1191.1423761908882</v>
      </c>
      <c r="L10" s="119">
        <f t="shared" si="2"/>
        <v>1203.0537999527971</v>
      </c>
    </row>
    <row r="11" spans="1:12" ht="16.5">
      <c r="A11" s="308" t="s">
        <v>332</v>
      </c>
      <c r="B11" s="309"/>
      <c r="C11" s="103">
        <v>1000</v>
      </c>
      <c r="D11" s="119">
        <f t="shared" si="2"/>
        <v>1010</v>
      </c>
      <c r="E11" s="119">
        <f t="shared" si="2"/>
        <v>1020.1</v>
      </c>
      <c r="F11" s="119">
        <f t="shared" si="2"/>
        <v>1030.301</v>
      </c>
      <c r="G11" s="119">
        <f t="shared" si="2"/>
        <v>1040.60401</v>
      </c>
      <c r="H11" s="119">
        <f t="shared" si="2"/>
        <v>1051.0100501</v>
      </c>
      <c r="I11" s="119">
        <f t="shared" si="2"/>
        <v>1061.5201506009998</v>
      </c>
      <c r="J11" s="119">
        <f t="shared" si="2"/>
        <v>1072.1353521070098</v>
      </c>
      <c r="K11" s="119">
        <f t="shared" si="2"/>
        <v>1082.85670562808</v>
      </c>
      <c r="L11" s="119">
        <f t="shared" si="2"/>
        <v>1093.6852726843608</v>
      </c>
    </row>
    <row r="12" spans="1:12" ht="31.5" customHeight="1">
      <c r="A12" s="308" t="s">
        <v>333</v>
      </c>
      <c r="B12" s="309"/>
      <c r="C12" s="103">
        <v>0</v>
      </c>
      <c r="D12" s="119">
        <f t="shared" si="2"/>
        <v>0</v>
      </c>
      <c r="E12" s="119">
        <f t="shared" si="2"/>
        <v>0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19">
        <f t="shared" si="2"/>
        <v>0</v>
      </c>
      <c r="J12" s="119">
        <f t="shared" si="2"/>
        <v>0</v>
      </c>
      <c r="K12" s="119">
        <f t="shared" si="2"/>
        <v>0</v>
      </c>
      <c r="L12" s="119">
        <f t="shared" si="2"/>
        <v>0</v>
      </c>
    </row>
    <row r="13" spans="1:12" ht="16.5">
      <c r="A13" s="308" t="s">
        <v>334</v>
      </c>
      <c r="B13" s="309"/>
      <c r="C13" s="103">
        <f>'18.helyi adók'!E21+'18.helyi adók'!E22+'18.helyi adók'!E13+'3. szakfeladatok'!C10/1000+'3. szakfeladatok'!C11/1000+'3. szakfeladatok'!C25/1000</f>
        <v>7650</v>
      </c>
      <c r="D13" s="119">
        <f t="shared" si="2"/>
        <v>7726.5</v>
      </c>
      <c r="E13" s="119">
        <f t="shared" si="2"/>
        <v>7803.765</v>
      </c>
      <c r="F13" s="119">
        <f t="shared" si="2"/>
        <v>7881.8026500000005</v>
      </c>
      <c r="G13" s="119">
        <f t="shared" si="2"/>
        <v>7960.620676500001</v>
      </c>
      <c r="H13" s="119">
        <f t="shared" si="2"/>
        <v>8040.226883265001</v>
      </c>
      <c r="I13" s="119">
        <f t="shared" si="2"/>
        <v>8120.629152097651</v>
      </c>
      <c r="J13" s="119">
        <f t="shared" si="2"/>
        <v>8201.835443618627</v>
      </c>
      <c r="K13" s="119">
        <f t="shared" si="2"/>
        <v>8283.853798054814</v>
      </c>
      <c r="L13" s="119">
        <f t="shared" si="2"/>
        <v>8366.692336035361</v>
      </c>
    </row>
    <row r="14" spans="1:12" ht="16.5">
      <c r="A14" s="308" t="s">
        <v>335</v>
      </c>
      <c r="B14" s="309"/>
      <c r="C14" s="21">
        <v>0</v>
      </c>
      <c r="D14" s="119">
        <f t="shared" si="2"/>
        <v>0</v>
      </c>
      <c r="E14" s="119">
        <f t="shared" si="2"/>
        <v>0</v>
      </c>
      <c r="F14" s="119">
        <f t="shared" si="2"/>
        <v>0</v>
      </c>
      <c r="G14" s="119">
        <f t="shared" si="2"/>
        <v>0</v>
      </c>
      <c r="H14" s="119">
        <f t="shared" si="2"/>
        <v>0</v>
      </c>
      <c r="I14" s="119">
        <f t="shared" si="2"/>
        <v>0</v>
      </c>
      <c r="J14" s="119">
        <f t="shared" si="2"/>
        <v>0</v>
      </c>
      <c r="K14" s="119">
        <f t="shared" si="2"/>
        <v>0</v>
      </c>
      <c r="L14" s="119">
        <f t="shared" si="2"/>
        <v>0</v>
      </c>
    </row>
    <row r="15" spans="1:11" ht="16.5">
      <c r="A15" s="169"/>
      <c r="B15" s="55"/>
      <c r="C15" s="41"/>
      <c r="D15" s="41"/>
      <c r="E15" s="41"/>
      <c r="F15" s="41"/>
      <c r="G15" s="41"/>
      <c r="H15" s="41"/>
      <c r="I15" s="41"/>
      <c r="J15" s="2"/>
      <c r="K15" s="2"/>
    </row>
    <row r="16" spans="1:11" ht="16.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ht="45">
      <c r="A17" s="22" t="s">
        <v>132</v>
      </c>
      <c r="B17" s="56" t="s">
        <v>133</v>
      </c>
      <c r="C17" s="156">
        <v>2013</v>
      </c>
      <c r="D17" s="156">
        <v>2014</v>
      </c>
      <c r="E17" s="156">
        <v>2015</v>
      </c>
      <c r="F17" s="156">
        <v>2016</v>
      </c>
      <c r="G17" s="156">
        <v>2017</v>
      </c>
      <c r="H17" s="156">
        <v>2018</v>
      </c>
      <c r="I17" s="156">
        <v>2019</v>
      </c>
      <c r="J17" s="156">
        <v>2020</v>
      </c>
      <c r="K17" s="156">
        <v>2021</v>
      </c>
      <c r="L17" s="156">
        <v>2022</v>
      </c>
    </row>
    <row r="18" spans="1:12" ht="15">
      <c r="A18" s="155" t="s">
        <v>321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18"/>
    </row>
    <row r="19" spans="1:12" ht="15">
      <c r="A19" s="158" t="s">
        <v>322</v>
      </c>
      <c r="B19" s="21">
        <v>2011</v>
      </c>
      <c r="C19" s="157">
        <f>3000000/1000</f>
        <v>3000</v>
      </c>
      <c r="D19" s="157">
        <f aca="true" t="shared" si="3" ref="D19:L19">3000000/1000</f>
        <v>3000</v>
      </c>
      <c r="E19" s="157">
        <f t="shared" si="3"/>
        <v>3000</v>
      </c>
      <c r="F19" s="157">
        <f t="shared" si="3"/>
        <v>3000</v>
      </c>
      <c r="G19" s="157">
        <f>3000000/1000</f>
        <v>3000</v>
      </c>
      <c r="H19" s="157">
        <f t="shared" si="3"/>
        <v>3000</v>
      </c>
      <c r="I19" s="157">
        <f t="shared" si="3"/>
        <v>3000</v>
      </c>
      <c r="J19" s="157">
        <f t="shared" si="3"/>
        <v>3000</v>
      </c>
      <c r="K19" s="157">
        <f t="shared" si="3"/>
        <v>3000</v>
      </c>
      <c r="L19" s="157">
        <f t="shared" si="3"/>
        <v>3000</v>
      </c>
    </row>
    <row r="20" spans="1:12" ht="15">
      <c r="A20" s="159" t="s">
        <v>323</v>
      </c>
      <c r="B20" s="21">
        <v>2011</v>
      </c>
      <c r="C20" s="157">
        <f aca="true" t="shared" si="4" ref="C20:H20">21250000/1000</f>
        <v>21250</v>
      </c>
      <c r="D20" s="157">
        <f t="shared" si="4"/>
        <v>21250</v>
      </c>
      <c r="E20" s="157">
        <f t="shared" si="4"/>
        <v>21250</v>
      </c>
      <c r="F20" s="157">
        <f t="shared" si="4"/>
        <v>21250</v>
      </c>
      <c r="G20" s="157">
        <f t="shared" si="4"/>
        <v>21250</v>
      </c>
      <c r="H20" s="157">
        <f t="shared" si="4"/>
        <v>21250</v>
      </c>
      <c r="I20" s="157"/>
      <c r="J20" s="157"/>
      <c r="K20" s="157"/>
      <c r="L20" s="157"/>
    </row>
    <row r="21" spans="1:12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18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18"/>
    </row>
    <row r="23" spans="1:12" ht="15">
      <c r="A23" s="211" t="s">
        <v>202</v>
      </c>
      <c r="B23" s="21"/>
      <c r="C23" s="103"/>
      <c r="D23" s="21"/>
      <c r="E23" s="21"/>
      <c r="F23" s="21"/>
      <c r="G23" s="21"/>
      <c r="H23" s="21"/>
      <c r="I23" s="21"/>
      <c r="J23" s="21"/>
      <c r="K23" s="21"/>
      <c r="L23" s="118"/>
    </row>
    <row r="24" spans="1:12" ht="30">
      <c r="A24" s="189" t="s">
        <v>346</v>
      </c>
      <c r="B24" s="21">
        <v>2013</v>
      </c>
      <c r="C24" s="103">
        <v>50000</v>
      </c>
      <c r="D24" s="21"/>
      <c r="E24" s="21"/>
      <c r="F24" s="21"/>
      <c r="G24" s="21"/>
      <c r="H24" s="21"/>
      <c r="I24" s="21"/>
      <c r="J24" s="21"/>
      <c r="K24" s="21"/>
      <c r="L24" s="118"/>
    </row>
    <row r="25" spans="1:12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18"/>
    </row>
    <row r="26" spans="1:12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18"/>
    </row>
    <row r="27" spans="1:12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18"/>
    </row>
    <row r="28" spans="1:12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18"/>
    </row>
    <row r="29" spans="1:12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18"/>
    </row>
    <row r="30" spans="1:12" ht="16.5">
      <c r="A30" s="13" t="s">
        <v>100</v>
      </c>
      <c r="B30" s="21"/>
      <c r="C30" s="119">
        <f>SUM(C19:C29)</f>
        <v>74250</v>
      </c>
      <c r="D30" s="119">
        <f aca="true" t="shared" si="5" ref="D30:L30">SUM(D19:D29)</f>
        <v>24250</v>
      </c>
      <c r="E30" s="119">
        <f t="shared" si="5"/>
        <v>24250</v>
      </c>
      <c r="F30" s="119">
        <f t="shared" si="5"/>
        <v>24250</v>
      </c>
      <c r="G30" s="119">
        <f t="shared" si="5"/>
        <v>24250</v>
      </c>
      <c r="H30" s="119">
        <f t="shared" si="5"/>
        <v>24250</v>
      </c>
      <c r="I30" s="119">
        <f t="shared" si="5"/>
        <v>3000</v>
      </c>
      <c r="J30" s="119">
        <f t="shared" si="5"/>
        <v>3000</v>
      </c>
      <c r="K30" s="119">
        <f t="shared" si="5"/>
        <v>3000</v>
      </c>
      <c r="L30" s="119">
        <f t="shared" si="5"/>
        <v>3000</v>
      </c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</sheetData>
  <sheetProtection/>
  <mergeCells count="9">
    <mergeCell ref="A4:I4"/>
    <mergeCell ref="A7:B7"/>
    <mergeCell ref="A8:B8"/>
    <mergeCell ref="A9:B9"/>
    <mergeCell ref="A14:B14"/>
    <mergeCell ref="A11:B11"/>
    <mergeCell ref="A13:B13"/>
    <mergeCell ref="A10:B10"/>
    <mergeCell ref="A12:B12"/>
  </mergeCells>
  <printOptions horizontalCentered="1"/>
  <pageMargins left="0.07874015748031496" right="0.11811023622047245" top="0.984251968503937" bottom="0.984251968503937" header="0.5118110236220472" footer="0.5118110236220472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8.140625" style="0" customWidth="1"/>
    <col min="6" max="6" width="16.28125" style="0" customWidth="1"/>
    <col min="7" max="7" width="17.421875" style="0" customWidth="1"/>
    <col min="8" max="8" width="22.28125" style="0" customWidth="1"/>
    <col min="9" max="9" width="22.140625" style="0" customWidth="1"/>
    <col min="10" max="10" width="21.7109375" style="0" customWidth="1"/>
    <col min="11" max="13" width="10.140625" style="0" bestFit="1" customWidth="1"/>
    <col min="14" max="14" width="13.7109375" style="0" bestFit="1" customWidth="1"/>
  </cols>
  <sheetData>
    <row r="1" ht="12.75">
      <c r="A1" t="s">
        <v>434</v>
      </c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9" ht="16.5">
      <c r="A4" s="65" t="s">
        <v>198</v>
      </c>
      <c r="B4" s="66"/>
      <c r="C4" s="66"/>
      <c r="D4" s="66"/>
      <c r="E4" s="66"/>
      <c r="F4" s="66"/>
      <c r="G4" s="66"/>
      <c r="H4" s="66"/>
      <c r="I4" s="66"/>
      <c r="J4" s="3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5.5">
      <c r="A5" s="67" t="s">
        <v>199</v>
      </c>
      <c r="B5" s="68" t="s">
        <v>200</v>
      </c>
      <c r="C5" s="68" t="s">
        <v>363</v>
      </c>
      <c r="D5" s="156">
        <v>2013</v>
      </c>
      <c r="E5" s="156">
        <v>2014</v>
      </c>
      <c r="F5" s="156">
        <v>2015</v>
      </c>
      <c r="G5" s="156">
        <v>2016</v>
      </c>
      <c r="H5" s="156">
        <v>2017</v>
      </c>
      <c r="I5" s="156">
        <v>2018</v>
      </c>
      <c r="J5" s="156">
        <v>2019</v>
      </c>
      <c r="K5" s="156">
        <v>2020</v>
      </c>
      <c r="L5" s="156">
        <v>2021</v>
      </c>
      <c r="M5" s="156">
        <v>2022</v>
      </c>
      <c r="N5" s="21" t="s">
        <v>364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69" t="s">
        <v>201</v>
      </c>
      <c r="B6" s="69"/>
      <c r="C6" s="149"/>
      <c r="D6" s="149"/>
      <c r="E6" s="149"/>
      <c r="F6" s="149"/>
      <c r="G6" s="149"/>
      <c r="H6" s="149"/>
      <c r="I6" s="149"/>
      <c r="J6" s="149"/>
      <c r="K6" s="103"/>
      <c r="L6" s="103"/>
      <c r="M6" s="103"/>
      <c r="N6" s="168">
        <f aca="true" t="shared" si="0" ref="N6:N15">SUM(C6:M6)</f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40"/>
      <c r="B7" s="40"/>
      <c r="C7" s="147"/>
      <c r="D7" s="147"/>
      <c r="E7" s="147"/>
      <c r="F7" s="147"/>
      <c r="G7" s="147"/>
      <c r="H7" s="147"/>
      <c r="I7" s="147"/>
      <c r="J7" s="147"/>
      <c r="K7" s="103"/>
      <c r="L7" s="103"/>
      <c r="M7" s="103"/>
      <c r="N7" s="168">
        <f t="shared" si="0"/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69" t="s">
        <v>202</v>
      </c>
      <c r="B8" s="69"/>
      <c r="C8" s="149"/>
      <c r="D8" s="149"/>
      <c r="E8" s="149"/>
      <c r="F8" s="149"/>
      <c r="G8" s="149"/>
      <c r="H8" s="149"/>
      <c r="I8" s="149"/>
      <c r="J8" s="149"/>
      <c r="K8" s="103"/>
      <c r="L8" s="103"/>
      <c r="M8" s="103"/>
      <c r="N8" s="168">
        <f t="shared" si="0"/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>
      <c r="A9" s="189" t="s">
        <v>346</v>
      </c>
      <c r="B9" s="40">
        <v>2013</v>
      </c>
      <c r="C9" s="147">
        <v>0</v>
      </c>
      <c r="D9" s="147">
        <v>50000</v>
      </c>
      <c r="E9" s="147"/>
      <c r="F9" s="147"/>
      <c r="G9" s="147"/>
      <c r="H9" s="147"/>
      <c r="I9" s="147"/>
      <c r="J9" s="147"/>
      <c r="K9" s="103"/>
      <c r="L9" s="103"/>
      <c r="M9" s="103"/>
      <c r="N9" s="168">
        <f t="shared" si="0"/>
        <v>50000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69" t="s">
        <v>203</v>
      </c>
      <c r="B10" s="69"/>
      <c r="C10" s="149"/>
      <c r="D10" s="149"/>
      <c r="E10" s="149"/>
      <c r="F10" s="149"/>
      <c r="G10" s="149"/>
      <c r="H10" s="149"/>
      <c r="I10" s="149"/>
      <c r="J10" s="149"/>
      <c r="K10" s="103"/>
      <c r="L10" s="103"/>
      <c r="M10" s="103"/>
      <c r="N10" s="168">
        <f t="shared" si="0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40"/>
      <c r="B11" s="40"/>
      <c r="C11" s="147"/>
      <c r="D11" s="147"/>
      <c r="E11" s="147"/>
      <c r="F11" s="147"/>
      <c r="G11" s="147"/>
      <c r="H11" s="147"/>
      <c r="I11" s="147"/>
      <c r="J11" s="147"/>
      <c r="K11" s="103"/>
      <c r="L11" s="103"/>
      <c r="M11" s="103"/>
      <c r="N11" s="168">
        <f t="shared" si="0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69" t="s">
        <v>204</v>
      </c>
      <c r="B12" s="69"/>
      <c r="C12" s="149"/>
      <c r="D12" s="149"/>
      <c r="E12" s="149"/>
      <c r="F12" s="149"/>
      <c r="G12" s="149"/>
      <c r="H12" s="149"/>
      <c r="I12" s="149"/>
      <c r="J12" s="149"/>
      <c r="K12" s="103"/>
      <c r="L12" s="103"/>
      <c r="M12" s="103"/>
      <c r="N12" s="168">
        <f t="shared" si="0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69"/>
      <c r="B13" s="69"/>
      <c r="C13" s="149"/>
      <c r="D13" s="149"/>
      <c r="E13" s="149"/>
      <c r="F13" s="149"/>
      <c r="G13" s="149"/>
      <c r="H13" s="149"/>
      <c r="I13" s="149"/>
      <c r="J13" s="149"/>
      <c r="K13" s="103"/>
      <c r="L13" s="103"/>
      <c r="M13" s="103"/>
      <c r="N13" s="168">
        <f t="shared" si="0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14" ht="15">
      <c r="A14" s="155" t="s">
        <v>321</v>
      </c>
      <c r="B14" s="21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68"/>
      <c r="N14" s="168">
        <f t="shared" si="0"/>
        <v>0</v>
      </c>
    </row>
    <row r="15" spans="1:14" ht="15">
      <c r="A15" s="158" t="s">
        <v>322</v>
      </c>
      <c r="B15" s="21">
        <v>2011</v>
      </c>
      <c r="C15" s="103">
        <v>0</v>
      </c>
      <c r="D15" s="157">
        <f>3000000/1000</f>
        <v>3000</v>
      </c>
      <c r="E15" s="157">
        <f aca="true" t="shared" si="1" ref="E15:M15">3000000/1000</f>
        <v>3000</v>
      </c>
      <c r="F15" s="157">
        <f t="shared" si="1"/>
        <v>3000</v>
      </c>
      <c r="G15" s="157">
        <f t="shared" si="1"/>
        <v>3000</v>
      </c>
      <c r="H15" s="157">
        <f>3000000/1000</f>
        <v>3000</v>
      </c>
      <c r="I15" s="157">
        <f t="shared" si="1"/>
        <v>3000</v>
      </c>
      <c r="J15" s="157">
        <f t="shared" si="1"/>
        <v>3000</v>
      </c>
      <c r="K15" s="157">
        <f t="shared" si="1"/>
        <v>3000</v>
      </c>
      <c r="L15" s="157">
        <f t="shared" si="1"/>
        <v>3000</v>
      </c>
      <c r="M15" s="157">
        <f t="shared" si="1"/>
        <v>3000</v>
      </c>
      <c r="N15" s="168">
        <f t="shared" si="0"/>
        <v>30000</v>
      </c>
    </row>
    <row r="16" spans="1:14" ht="15">
      <c r="A16" s="159" t="s">
        <v>323</v>
      </c>
      <c r="B16" s="21">
        <v>2011</v>
      </c>
      <c r="C16" s="103">
        <v>0</v>
      </c>
      <c r="D16" s="157">
        <f aca="true" t="shared" si="2" ref="D16:I16">21250000/1000</f>
        <v>21250</v>
      </c>
      <c r="E16" s="157">
        <f t="shared" si="2"/>
        <v>21250</v>
      </c>
      <c r="F16" s="157">
        <f t="shared" si="2"/>
        <v>21250</v>
      </c>
      <c r="G16" s="157">
        <f t="shared" si="2"/>
        <v>21250</v>
      </c>
      <c r="H16" s="157">
        <f t="shared" si="2"/>
        <v>21250</v>
      </c>
      <c r="I16" s="157">
        <f t="shared" si="2"/>
        <v>21250</v>
      </c>
      <c r="J16" s="157"/>
      <c r="K16" s="157"/>
      <c r="L16" s="157"/>
      <c r="M16" s="157"/>
      <c r="N16" s="168">
        <f>SUM(C16:M16)</f>
        <v>127500</v>
      </c>
    </row>
    <row r="17" spans="1:29" ht="15">
      <c r="A17" s="69"/>
      <c r="B17" s="69"/>
      <c r="C17" s="149"/>
      <c r="D17" s="149"/>
      <c r="E17" s="149"/>
      <c r="F17" s="149"/>
      <c r="G17" s="149"/>
      <c r="H17" s="149"/>
      <c r="I17" s="149"/>
      <c r="J17" s="149"/>
      <c r="K17" s="103"/>
      <c r="L17" s="103"/>
      <c r="M17" s="103"/>
      <c r="N17" s="168">
        <f>SUM(C17:M17)</f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6.5">
      <c r="A18" s="38" t="s">
        <v>205</v>
      </c>
      <c r="B18" s="40"/>
      <c r="C18" s="147">
        <f>SUM(C6:C17)</f>
        <v>0</v>
      </c>
      <c r="D18" s="147">
        <f aca="true" t="shared" si="3" ref="D18:N18">SUM(D6:D17)</f>
        <v>74250</v>
      </c>
      <c r="E18" s="147">
        <f t="shared" si="3"/>
        <v>24250</v>
      </c>
      <c r="F18" s="147">
        <f t="shared" si="3"/>
        <v>24250</v>
      </c>
      <c r="G18" s="147">
        <f t="shared" si="3"/>
        <v>24250</v>
      </c>
      <c r="H18" s="147">
        <f t="shared" si="3"/>
        <v>24250</v>
      </c>
      <c r="I18" s="147">
        <f t="shared" si="3"/>
        <v>24250</v>
      </c>
      <c r="J18" s="147">
        <f t="shared" si="3"/>
        <v>3000</v>
      </c>
      <c r="K18" s="147">
        <f t="shared" si="3"/>
        <v>3000</v>
      </c>
      <c r="L18" s="147">
        <f t="shared" si="3"/>
        <v>3000</v>
      </c>
      <c r="M18" s="147">
        <f t="shared" si="3"/>
        <v>3000</v>
      </c>
      <c r="N18" s="147">
        <f t="shared" si="3"/>
        <v>207500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7.28125" style="0" customWidth="1"/>
    <col min="6" max="6" width="17.421875" style="0" customWidth="1"/>
    <col min="7" max="7" width="22.28125" style="0" customWidth="1"/>
    <col min="8" max="8" width="22.140625" style="0" customWidth="1"/>
  </cols>
  <sheetData>
    <row r="1" ht="12.75">
      <c r="A1" t="s">
        <v>436</v>
      </c>
    </row>
    <row r="2" spans="1:10" ht="15">
      <c r="A2" s="2" t="s">
        <v>437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  <c r="I4" s="2"/>
      <c r="J4" s="2"/>
      <c r="K4" s="2"/>
      <c r="L4" s="2"/>
      <c r="M4" s="2"/>
      <c r="N4" s="2"/>
    </row>
    <row r="5" spans="1:14" ht="30">
      <c r="A5" s="8" t="s">
        <v>134</v>
      </c>
      <c r="B5" s="21"/>
      <c r="C5" s="21"/>
      <c r="D5" s="21"/>
      <c r="E5" s="21"/>
      <c r="F5" s="21"/>
      <c r="G5" s="21"/>
      <c r="H5" s="21"/>
      <c r="I5" s="2"/>
      <c r="J5" s="2"/>
      <c r="K5" s="2"/>
      <c r="L5" s="2"/>
      <c r="M5" s="2"/>
      <c r="N5" s="2"/>
    </row>
    <row r="6" spans="1:14" ht="30">
      <c r="A6" s="8" t="s">
        <v>135</v>
      </c>
      <c r="B6" s="21"/>
      <c r="C6" s="21"/>
      <c r="D6" s="21"/>
      <c r="E6" s="21"/>
      <c r="F6" s="21"/>
      <c r="G6" s="21"/>
      <c r="H6" s="21"/>
      <c r="I6" s="2"/>
      <c r="J6" s="2"/>
      <c r="K6" s="2"/>
      <c r="L6" s="2"/>
      <c r="M6" s="2"/>
      <c r="N6" s="2"/>
    </row>
    <row r="7" spans="1:14" ht="45">
      <c r="A7" s="8" t="s">
        <v>136</v>
      </c>
      <c r="B7" s="21"/>
      <c r="C7" s="21"/>
      <c r="D7" s="21"/>
      <c r="E7" s="21"/>
      <c r="F7" s="21"/>
      <c r="G7" s="21"/>
      <c r="H7" s="21"/>
      <c r="I7" s="2"/>
      <c r="J7" s="2"/>
      <c r="K7" s="2"/>
      <c r="L7" s="2"/>
      <c r="M7" s="2"/>
      <c r="N7" s="2"/>
    </row>
    <row r="8" spans="1:14" ht="30">
      <c r="A8" s="8" t="s">
        <v>137</v>
      </c>
      <c r="B8" s="21"/>
      <c r="C8" s="21"/>
      <c r="D8" s="21"/>
      <c r="E8" s="21">
        <f>'3. szakfeladatok'!G14</f>
        <v>4922</v>
      </c>
      <c r="F8" s="103">
        <f>E8</f>
        <v>4922</v>
      </c>
      <c r="G8" s="21"/>
      <c r="H8" s="119">
        <f>F8</f>
        <v>4922</v>
      </c>
      <c r="I8" s="2"/>
      <c r="J8" s="2"/>
      <c r="K8" s="2"/>
      <c r="L8" s="2"/>
      <c r="M8" s="2"/>
      <c r="N8" s="2"/>
    </row>
    <row r="9" spans="1:14" ht="30">
      <c r="A9" s="8" t="s">
        <v>138</v>
      </c>
      <c r="B9" s="21"/>
      <c r="C9" s="21"/>
      <c r="D9" s="21"/>
      <c r="E9" s="21"/>
      <c r="F9" s="21"/>
      <c r="G9" s="21"/>
      <c r="H9" s="21"/>
      <c r="I9" s="2"/>
      <c r="J9" s="2"/>
      <c r="K9" s="2"/>
      <c r="L9" s="2"/>
      <c r="M9" s="2"/>
      <c r="N9" s="2"/>
    </row>
    <row r="10" spans="1:14" ht="30">
      <c r="A10" s="8" t="s">
        <v>139</v>
      </c>
      <c r="B10" s="21"/>
      <c r="C10" s="21"/>
      <c r="D10" s="21"/>
      <c r="E10" s="21"/>
      <c r="F10" s="21"/>
      <c r="G10" s="21"/>
      <c r="H10" s="21"/>
      <c r="I10" s="2"/>
      <c r="J10" s="2"/>
      <c r="K10" s="2"/>
      <c r="L10" s="2"/>
      <c r="M10" s="2"/>
      <c r="N10" s="2"/>
    </row>
    <row r="11" spans="1:14" ht="30">
      <c r="A11" s="8" t="s">
        <v>140</v>
      </c>
      <c r="B11" s="21"/>
      <c r="C11" s="21"/>
      <c r="D11" s="21"/>
      <c r="E11" s="21"/>
      <c r="F11" s="21"/>
      <c r="G11" s="21"/>
      <c r="H11" s="21"/>
      <c r="I11" s="2"/>
      <c r="J11" s="2"/>
      <c r="K11" s="2"/>
      <c r="L11" s="2"/>
      <c r="M11" s="2"/>
      <c r="N11" s="2"/>
    </row>
    <row r="12" spans="1:14" ht="30">
      <c r="A12" s="8" t="s">
        <v>141</v>
      </c>
      <c r="B12" s="21"/>
      <c r="C12" s="21"/>
      <c r="D12" s="21"/>
      <c r="E12" s="21"/>
      <c r="F12" s="21"/>
      <c r="G12" s="21"/>
      <c r="H12" s="21"/>
      <c r="I12" s="2"/>
      <c r="J12" s="2"/>
      <c r="K12" s="2"/>
      <c r="L12" s="2"/>
      <c r="M12" s="2"/>
      <c r="N12" s="2"/>
    </row>
    <row r="13" spans="1:14" ht="45">
      <c r="A13" s="8" t="s">
        <v>142</v>
      </c>
      <c r="B13" s="21"/>
      <c r="C13" s="21"/>
      <c r="D13" s="21"/>
      <c r="E13" s="21"/>
      <c r="F13" s="21"/>
      <c r="G13" s="21"/>
      <c r="H13" s="21"/>
      <c r="I13" s="2"/>
      <c r="J13" s="2"/>
      <c r="K13" s="2"/>
      <c r="L13" s="2"/>
      <c r="M13" s="2"/>
      <c r="N13" s="2"/>
    </row>
    <row r="14" spans="1:14" ht="30" customHeight="1">
      <c r="A14" s="8" t="s">
        <v>480</v>
      </c>
      <c r="B14" s="21"/>
      <c r="C14" s="21"/>
      <c r="D14" s="21"/>
      <c r="E14" s="21">
        <v>2503</v>
      </c>
      <c r="F14" s="21"/>
      <c r="G14" s="21"/>
      <c r="H14" s="21"/>
      <c r="I14" s="2"/>
      <c r="J14" s="2"/>
      <c r="K14" s="2"/>
      <c r="L14" s="2"/>
      <c r="M14" s="2"/>
      <c r="N14" s="2"/>
    </row>
    <row r="15" spans="1:14" ht="15.75">
      <c r="A15" s="28" t="s">
        <v>143</v>
      </c>
      <c r="B15" s="103">
        <f>SUM(B5:B14)</f>
        <v>0</v>
      </c>
      <c r="C15" s="103">
        <f aca="true" t="shared" si="0" ref="C15:H15">SUM(C5:C14)</f>
        <v>0</v>
      </c>
      <c r="D15" s="103">
        <f t="shared" si="0"/>
        <v>0</v>
      </c>
      <c r="E15" s="103">
        <f t="shared" si="0"/>
        <v>7425</v>
      </c>
      <c r="F15" s="103">
        <f t="shared" si="0"/>
        <v>4922</v>
      </c>
      <c r="G15" s="103">
        <f t="shared" si="0"/>
        <v>0</v>
      </c>
      <c r="H15" s="103">
        <f t="shared" si="0"/>
        <v>4922</v>
      </c>
      <c r="I15" s="2"/>
      <c r="J15" s="2"/>
      <c r="K15" s="2"/>
      <c r="L15" s="2"/>
      <c r="M15" s="2"/>
      <c r="N15" s="2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60">
      <c r="A19" s="17" t="s">
        <v>48</v>
      </c>
      <c r="B19" s="110" t="s">
        <v>244</v>
      </c>
      <c r="C19" s="110" t="s">
        <v>245</v>
      </c>
      <c r="D19" s="110" t="s">
        <v>246</v>
      </c>
      <c r="E19" s="110" t="s">
        <v>247</v>
      </c>
      <c r="F19" s="111" t="s">
        <v>49</v>
      </c>
      <c r="G19" s="110" t="s">
        <v>294</v>
      </c>
      <c r="H19" s="112" t="s">
        <v>50</v>
      </c>
      <c r="I19" s="2"/>
      <c r="J19" s="2"/>
      <c r="K19" s="2"/>
      <c r="L19" s="2"/>
      <c r="M19" s="2"/>
      <c r="N19" s="2"/>
    </row>
    <row r="20" spans="1:14" ht="30">
      <c r="A20" s="57" t="s">
        <v>144</v>
      </c>
      <c r="B20" s="21"/>
      <c r="C20" s="21"/>
      <c r="D20" s="21"/>
      <c r="E20" s="21"/>
      <c r="F20" s="21"/>
      <c r="G20" s="21"/>
      <c r="H20" s="21"/>
      <c r="I20" s="2"/>
      <c r="J20" s="2"/>
      <c r="K20" s="2"/>
      <c r="L20" s="2"/>
      <c r="M20" s="2"/>
      <c r="N20" s="2"/>
    </row>
    <row r="21" spans="1:14" ht="30">
      <c r="A21" s="8" t="s">
        <v>145</v>
      </c>
      <c r="B21" s="21"/>
      <c r="C21" s="21"/>
      <c r="D21" s="21"/>
      <c r="E21" s="21"/>
      <c r="F21" s="21"/>
      <c r="G21" s="21"/>
      <c r="H21" s="21"/>
      <c r="I21" s="2"/>
      <c r="J21" s="2"/>
      <c r="K21" s="2"/>
      <c r="L21" s="2"/>
      <c r="M21" s="2"/>
      <c r="N21" s="2"/>
    </row>
    <row r="22" spans="1:14" ht="45">
      <c r="A22" s="8" t="s">
        <v>146</v>
      </c>
      <c r="B22" s="21"/>
      <c r="C22" s="21"/>
      <c r="D22" s="21"/>
      <c r="E22" s="21"/>
      <c r="F22" s="21"/>
      <c r="G22" s="21"/>
      <c r="H22" s="21"/>
      <c r="I22" s="2"/>
      <c r="J22" s="2"/>
      <c r="K22" s="2"/>
      <c r="L22" s="2"/>
      <c r="M22" s="2"/>
      <c r="N22" s="2"/>
    </row>
    <row r="23" spans="1:14" ht="45">
      <c r="A23" s="8" t="s">
        <v>147</v>
      </c>
      <c r="B23" s="21"/>
      <c r="C23" s="21"/>
      <c r="D23" s="21"/>
      <c r="E23" s="21"/>
      <c r="F23" s="21"/>
      <c r="G23" s="21"/>
      <c r="H23" s="21"/>
      <c r="I23" s="2"/>
      <c r="J23" s="2"/>
      <c r="K23" s="2"/>
      <c r="L23" s="2"/>
      <c r="M23" s="2"/>
      <c r="N23" s="2"/>
    </row>
    <row r="24" spans="1:14" ht="30">
      <c r="A24" s="8" t="s">
        <v>148</v>
      </c>
      <c r="B24" s="21"/>
      <c r="C24" s="21"/>
      <c r="D24" s="21"/>
      <c r="E24" s="21"/>
      <c r="F24" s="21"/>
      <c r="G24" s="21"/>
      <c r="H24" s="21"/>
      <c r="I24" s="2"/>
      <c r="J24" s="2"/>
      <c r="K24" s="2"/>
      <c r="L24" s="2"/>
      <c r="M24" s="2"/>
      <c r="N24" s="2"/>
    </row>
    <row r="25" spans="1:14" ht="30">
      <c r="A25" s="8" t="s">
        <v>149</v>
      </c>
      <c r="B25" s="21"/>
      <c r="C25" s="21"/>
      <c r="D25" s="21"/>
      <c r="E25" s="21"/>
      <c r="F25" s="21"/>
      <c r="G25" s="21"/>
      <c r="H25" s="21"/>
      <c r="I25" s="2"/>
      <c r="J25" s="2"/>
      <c r="K25" s="2"/>
      <c r="L25" s="2"/>
      <c r="M25" s="2"/>
      <c r="N25" s="2"/>
    </row>
    <row r="26" spans="1:14" ht="30">
      <c r="A26" s="8" t="s">
        <v>150</v>
      </c>
      <c r="B26" s="21"/>
      <c r="C26" s="21"/>
      <c r="D26" s="21"/>
      <c r="E26" s="21"/>
      <c r="F26" s="21"/>
      <c r="G26" s="21"/>
      <c r="H26" s="21"/>
      <c r="I26" s="2"/>
      <c r="J26" s="2"/>
      <c r="K26" s="2"/>
      <c r="L26" s="2"/>
      <c r="M26" s="2"/>
      <c r="N26" s="2"/>
    </row>
    <row r="27" spans="1:14" ht="30">
      <c r="A27" s="8" t="s">
        <v>151</v>
      </c>
      <c r="B27" s="21"/>
      <c r="C27" s="21"/>
      <c r="D27" s="21"/>
      <c r="E27" s="21"/>
      <c r="F27" s="21"/>
      <c r="G27" s="21"/>
      <c r="H27" s="21"/>
      <c r="I27" s="2"/>
      <c r="J27" s="2"/>
      <c r="K27" s="2"/>
      <c r="L27" s="2"/>
      <c r="M27" s="2"/>
      <c r="N27" s="2"/>
    </row>
    <row r="28" spans="1:14" ht="30">
      <c r="A28" s="8" t="s">
        <v>152</v>
      </c>
      <c r="B28" s="21"/>
      <c r="C28" s="21"/>
      <c r="D28" s="21"/>
      <c r="E28" s="21"/>
      <c r="F28" s="21"/>
      <c r="G28" s="21"/>
      <c r="H28" s="21"/>
      <c r="I28" s="2"/>
      <c r="J28" s="2"/>
      <c r="K28" s="2"/>
      <c r="L28" s="2"/>
      <c r="M28" s="2"/>
      <c r="N28" s="2"/>
    </row>
    <row r="29" spans="1:14" ht="45">
      <c r="A29" s="8" t="s">
        <v>153</v>
      </c>
      <c r="B29" s="21"/>
      <c r="C29" s="21"/>
      <c r="D29" s="21"/>
      <c r="E29" s="21"/>
      <c r="F29" s="21"/>
      <c r="G29" s="21"/>
      <c r="H29" s="21"/>
      <c r="I29" s="2"/>
      <c r="J29" s="2"/>
      <c r="K29" s="2"/>
      <c r="L29" s="2"/>
      <c r="M29" s="2"/>
      <c r="N29" s="2"/>
    </row>
    <row r="30" spans="1:14" ht="24.75" customHeight="1">
      <c r="A30" s="8"/>
      <c r="B30" s="21"/>
      <c r="C30" s="21"/>
      <c r="D30" s="21"/>
      <c r="E30" s="21"/>
      <c r="F30" s="21"/>
      <c r="G30" s="21"/>
      <c r="H30" s="21"/>
      <c r="I30" s="2"/>
      <c r="J30" s="2"/>
      <c r="K30" s="2"/>
      <c r="L30" s="2"/>
      <c r="M30" s="2"/>
      <c r="N30" s="2"/>
    </row>
    <row r="31" spans="1:14" ht="15.75">
      <c r="A31" s="28" t="s">
        <v>154</v>
      </c>
      <c r="B31" s="21"/>
      <c r="C31" s="21"/>
      <c r="D31" s="21"/>
      <c r="E31" s="21"/>
      <c r="F31" s="21"/>
      <c r="G31" s="21"/>
      <c r="H31" s="21"/>
      <c r="I31" s="2"/>
      <c r="J31" s="2"/>
      <c r="K31" s="2"/>
      <c r="L31" s="2"/>
      <c r="M31" s="2"/>
      <c r="N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sheetProtection/>
  <printOptions/>
  <pageMargins left="0.75" right="0.75" top="0.28" bottom="0.35" header="0.17" footer="0.11"/>
  <pageSetup fitToHeight="1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</cols>
  <sheetData>
    <row r="1" ht="12.75">
      <c r="A1" t="s">
        <v>439</v>
      </c>
    </row>
    <row r="2" spans="1:10" ht="15">
      <c r="A2" s="2" t="s">
        <v>438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  <c r="I4" s="2"/>
      <c r="J4" s="2"/>
    </row>
    <row r="5" spans="1:10" ht="30">
      <c r="A5" s="8" t="s">
        <v>155</v>
      </c>
      <c r="B5" s="21"/>
      <c r="C5" s="21"/>
      <c r="D5" s="21"/>
      <c r="E5" s="21"/>
      <c r="F5" s="21"/>
      <c r="G5" s="21"/>
      <c r="H5" s="21"/>
      <c r="I5" s="2"/>
      <c r="J5" s="2"/>
    </row>
    <row r="6" spans="1:10" ht="30">
      <c r="A6" s="8" t="s">
        <v>156</v>
      </c>
      <c r="B6" s="21"/>
      <c r="C6" s="21"/>
      <c r="D6" s="21"/>
      <c r="E6" s="21"/>
      <c r="F6" s="21"/>
      <c r="G6" s="21"/>
      <c r="H6" s="21"/>
      <c r="I6" s="2"/>
      <c r="J6" s="2"/>
    </row>
    <row r="7" spans="1:10" ht="30">
      <c r="A7" s="8" t="s">
        <v>157</v>
      </c>
      <c r="B7" s="21"/>
      <c r="C7" s="21"/>
      <c r="D7" s="21"/>
      <c r="E7" s="21">
        <v>110</v>
      </c>
      <c r="F7" s="21"/>
      <c r="G7" s="21"/>
      <c r="H7" s="21"/>
      <c r="I7" s="2"/>
      <c r="J7" s="2"/>
    </row>
    <row r="8" spans="1:10" ht="30">
      <c r="A8" s="8" t="s">
        <v>158</v>
      </c>
      <c r="B8" s="21"/>
      <c r="C8" s="21"/>
      <c r="D8" s="21"/>
      <c r="E8" s="21">
        <v>1000</v>
      </c>
      <c r="F8" s="21"/>
      <c r="G8" s="21"/>
      <c r="H8" s="21"/>
      <c r="I8" s="2"/>
      <c r="J8" s="2"/>
    </row>
    <row r="9" spans="1:10" ht="45">
      <c r="A9" s="8" t="s">
        <v>159</v>
      </c>
      <c r="B9" s="21"/>
      <c r="C9" s="21"/>
      <c r="D9" s="21"/>
      <c r="E9" s="21"/>
      <c r="F9" s="21"/>
      <c r="G9" s="21"/>
      <c r="H9" s="21"/>
      <c r="I9" s="2"/>
      <c r="J9" s="2"/>
    </row>
    <row r="10" spans="1:10" ht="45">
      <c r="A10" s="8" t="s">
        <v>160</v>
      </c>
      <c r="B10" s="21"/>
      <c r="C10" s="21"/>
      <c r="D10" s="21"/>
      <c r="E10" s="21"/>
      <c r="F10" s="21"/>
      <c r="G10" s="21"/>
      <c r="H10" s="21"/>
      <c r="I10" s="2"/>
      <c r="J10" s="2"/>
    </row>
    <row r="11" spans="1:10" ht="30">
      <c r="A11" s="8" t="s">
        <v>161</v>
      </c>
      <c r="B11" s="21"/>
      <c r="C11" s="21"/>
      <c r="D11" s="21"/>
      <c r="E11" s="21"/>
      <c r="F11" s="21"/>
      <c r="G11" s="21"/>
      <c r="H11" s="21"/>
      <c r="I11" s="2"/>
      <c r="J11" s="2"/>
    </row>
    <row r="12" spans="1:10" ht="45">
      <c r="A12" s="8" t="s">
        <v>162</v>
      </c>
      <c r="B12" s="21"/>
      <c r="C12" s="21"/>
      <c r="D12" s="21"/>
      <c r="E12" s="21">
        <v>1393</v>
      </c>
      <c r="F12" s="21"/>
      <c r="G12" s="21"/>
      <c r="H12" s="21"/>
      <c r="I12" s="2"/>
      <c r="J12" s="2"/>
    </row>
    <row r="13" spans="1:10" ht="30">
      <c r="A13" s="8" t="s">
        <v>163</v>
      </c>
      <c r="B13" s="21"/>
      <c r="C13" s="21"/>
      <c r="D13" s="21"/>
      <c r="E13" s="21"/>
      <c r="F13" s="21"/>
      <c r="G13" s="21"/>
      <c r="H13" s="21"/>
      <c r="I13" s="2"/>
      <c r="J13" s="2"/>
    </row>
    <row r="14" spans="1:10" ht="45">
      <c r="A14" s="8" t="s">
        <v>164</v>
      </c>
      <c r="B14" s="21"/>
      <c r="C14" s="21"/>
      <c r="D14" s="21"/>
      <c r="E14" s="21"/>
      <c r="F14" s="21"/>
      <c r="G14" s="21"/>
      <c r="H14" s="21"/>
      <c r="I14" s="2"/>
      <c r="J14" s="2"/>
    </row>
    <row r="15" spans="1:10" ht="26.25" customHeight="1">
      <c r="A15" s="8"/>
      <c r="B15" s="21"/>
      <c r="C15" s="21"/>
      <c r="D15" s="21"/>
      <c r="E15" s="21"/>
      <c r="F15" s="21"/>
      <c r="G15" s="21"/>
      <c r="H15" s="21"/>
      <c r="I15" s="2"/>
      <c r="J15" s="2"/>
    </row>
    <row r="16" spans="1:10" ht="31.5">
      <c r="A16" s="28" t="s">
        <v>165</v>
      </c>
      <c r="B16" s="21"/>
      <c r="C16" s="21"/>
      <c r="D16" s="21"/>
      <c r="E16" s="21">
        <f>SUM(E5:E13)</f>
        <v>2503</v>
      </c>
      <c r="F16" s="21"/>
      <c r="G16" s="21"/>
      <c r="H16" s="21"/>
      <c r="I16" s="2"/>
      <c r="J16" s="2"/>
    </row>
    <row r="17" spans="1:10" ht="15">
      <c r="A17" s="5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52"/>
      <c r="B18" s="2"/>
      <c r="C18" s="2"/>
      <c r="D18" s="2"/>
      <c r="E18" s="2"/>
      <c r="F18" s="2"/>
      <c r="G18" s="2"/>
      <c r="H18" s="2"/>
      <c r="I18" s="2"/>
      <c r="J18" s="2"/>
    </row>
    <row r="19" spans="1:10" ht="60">
      <c r="A19" s="17" t="s">
        <v>48</v>
      </c>
      <c r="B19" s="110" t="s">
        <v>244</v>
      </c>
      <c r="C19" s="110" t="s">
        <v>245</v>
      </c>
      <c r="D19" s="110" t="s">
        <v>246</v>
      </c>
      <c r="E19" s="110" t="s">
        <v>247</v>
      </c>
      <c r="F19" s="111" t="s">
        <v>49</v>
      </c>
      <c r="G19" s="110" t="s">
        <v>294</v>
      </c>
      <c r="H19" s="112" t="s">
        <v>50</v>
      </c>
      <c r="I19" s="2"/>
      <c r="J19" s="2"/>
    </row>
    <row r="20" spans="1:10" ht="30">
      <c r="A20" s="8" t="s">
        <v>166</v>
      </c>
      <c r="B20" s="21"/>
      <c r="C20" s="21"/>
      <c r="D20" s="21"/>
      <c r="E20" s="21"/>
      <c r="F20" s="21"/>
      <c r="G20" s="21"/>
      <c r="H20" s="21"/>
      <c r="I20" s="2"/>
      <c r="J20" s="2"/>
    </row>
    <row r="21" spans="1:10" ht="30">
      <c r="A21" s="8" t="s">
        <v>167</v>
      </c>
      <c r="B21" s="21"/>
      <c r="C21" s="21"/>
      <c r="D21" s="21"/>
      <c r="E21" s="21"/>
      <c r="F21" s="21"/>
      <c r="G21" s="21"/>
      <c r="H21" s="21"/>
      <c r="I21" s="2"/>
      <c r="J21" s="2"/>
    </row>
    <row r="22" spans="1:10" ht="30">
      <c r="A22" s="8" t="s">
        <v>168</v>
      </c>
      <c r="B22" s="21"/>
      <c r="C22" s="21"/>
      <c r="D22" s="21"/>
      <c r="E22" s="21"/>
      <c r="F22" s="21"/>
      <c r="G22" s="21"/>
      <c r="H22" s="21"/>
      <c r="I22" s="2"/>
      <c r="J22" s="2"/>
    </row>
    <row r="23" spans="1:10" ht="30">
      <c r="A23" s="8" t="s">
        <v>169</v>
      </c>
      <c r="B23" s="21"/>
      <c r="C23" s="21"/>
      <c r="D23" s="21"/>
      <c r="E23" s="21"/>
      <c r="F23" s="21"/>
      <c r="G23" s="21"/>
      <c r="H23" s="21"/>
      <c r="I23" s="2"/>
      <c r="J23" s="2"/>
    </row>
    <row r="24" spans="1:10" ht="45">
      <c r="A24" s="8" t="s">
        <v>170</v>
      </c>
      <c r="B24" s="21"/>
      <c r="C24" s="21"/>
      <c r="D24" s="21"/>
      <c r="E24" s="21"/>
      <c r="F24" s="21"/>
      <c r="G24" s="21"/>
      <c r="H24" s="21"/>
      <c r="I24" s="2"/>
      <c r="J24" s="2"/>
    </row>
    <row r="25" spans="1:10" ht="45">
      <c r="A25" s="8" t="s">
        <v>171</v>
      </c>
      <c r="B25" s="21"/>
      <c r="C25" s="21"/>
      <c r="D25" s="21"/>
      <c r="E25" s="21"/>
      <c r="F25" s="21"/>
      <c r="G25" s="21"/>
      <c r="H25" s="21"/>
      <c r="I25" s="2"/>
      <c r="J25" s="2"/>
    </row>
    <row r="26" spans="1:10" ht="30">
      <c r="A26" s="8" t="s">
        <v>172</v>
      </c>
      <c r="B26" s="21"/>
      <c r="C26" s="21"/>
      <c r="D26" s="21"/>
      <c r="E26" s="21"/>
      <c r="F26" s="21"/>
      <c r="G26" s="21"/>
      <c r="H26" s="21"/>
      <c r="I26" s="2"/>
      <c r="J26" s="2"/>
    </row>
    <row r="27" spans="1:10" ht="45">
      <c r="A27" s="8" t="s">
        <v>173</v>
      </c>
      <c r="B27" s="21"/>
      <c r="C27" s="21"/>
      <c r="D27" s="21"/>
      <c r="E27" s="21"/>
      <c r="F27" s="21"/>
      <c r="G27" s="21"/>
      <c r="H27" s="21"/>
      <c r="I27" s="2"/>
      <c r="J27" s="2"/>
    </row>
    <row r="28" spans="1:10" ht="30">
      <c r="A28" s="8" t="s">
        <v>174</v>
      </c>
      <c r="B28" s="21"/>
      <c r="C28" s="21"/>
      <c r="D28" s="21"/>
      <c r="E28" s="21"/>
      <c r="F28" s="21"/>
      <c r="G28" s="21"/>
      <c r="H28" s="21"/>
      <c r="I28" s="2"/>
      <c r="J28" s="2"/>
    </row>
    <row r="29" spans="1:10" ht="45">
      <c r="A29" s="8" t="s">
        <v>175</v>
      </c>
      <c r="B29" s="21"/>
      <c r="C29" s="21"/>
      <c r="D29" s="21"/>
      <c r="E29" s="21"/>
      <c r="F29" s="21"/>
      <c r="G29" s="21"/>
      <c r="H29" s="21"/>
      <c r="I29" s="2"/>
      <c r="J29" s="2"/>
    </row>
    <row r="30" spans="1:10" ht="47.25">
      <c r="A30" s="28" t="s">
        <v>12</v>
      </c>
      <c r="B30" s="21"/>
      <c r="C30" s="21"/>
      <c r="D30" s="21"/>
      <c r="E30" s="21"/>
      <c r="F30" s="21"/>
      <c r="G30" s="21"/>
      <c r="H30" s="21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sheetProtection/>
  <printOptions/>
  <pageMargins left="0.75" right="0.75" top="0.21" bottom="0.24" header="0.09" footer="0.06"/>
  <pageSetup fitToHeight="1" fitToWidth="1"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6.28125" style="0" customWidth="1"/>
    <col min="2" max="2" width="16.57421875" style="108" customWidth="1"/>
    <col min="3" max="3" width="13.00390625" style="108" customWidth="1"/>
    <col min="4" max="4" width="18.140625" style="108" customWidth="1"/>
    <col min="5" max="5" width="16.28125" style="108" customWidth="1"/>
    <col min="6" max="6" width="17.421875" style="108" customWidth="1"/>
    <col min="7" max="7" width="22.28125" style="108" customWidth="1"/>
    <col min="8" max="8" width="22.140625" style="108" customWidth="1"/>
  </cols>
  <sheetData>
    <row r="1" ht="12.75">
      <c r="A1" s="166" t="s">
        <v>441</v>
      </c>
    </row>
    <row r="2" spans="1:10" ht="15">
      <c r="A2" s="233" t="s">
        <v>440</v>
      </c>
      <c r="B2" s="113"/>
      <c r="C2" s="113"/>
      <c r="D2" s="113"/>
      <c r="E2" s="113"/>
      <c r="F2" s="113"/>
      <c r="G2" s="113"/>
      <c r="H2" s="113"/>
      <c r="I2" s="2"/>
      <c r="J2" s="2"/>
    </row>
    <row r="3" spans="1:10" ht="15">
      <c r="A3" s="2"/>
      <c r="B3" s="113"/>
      <c r="C3" s="113"/>
      <c r="D3" s="113"/>
      <c r="E3" s="113"/>
      <c r="F3" s="113"/>
      <c r="G3" s="113"/>
      <c r="H3" s="113"/>
      <c r="I3" s="2"/>
      <c r="J3" s="2"/>
    </row>
    <row r="4" spans="1:12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  <c r="I4" s="2"/>
      <c r="J4" s="2"/>
      <c r="K4" s="2"/>
      <c r="L4" s="2"/>
    </row>
    <row r="5" spans="1:12" ht="15">
      <c r="A5" s="58" t="s">
        <v>176</v>
      </c>
      <c r="B5" s="103"/>
      <c r="C5" s="103"/>
      <c r="D5" s="103"/>
      <c r="E5" s="103">
        <v>53500</v>
      </c>
      <c r="F5" s="103">
        <f>B5+C5+D5+E5</f>
        <v>53500</v>
      </c>
      <c r="G5" s="103">
        <v>0</v>
      </c>
      <c r="H5" s="103">
        <f>F5-G5</f>
        <v>53500</v>
      </c>
      <c r="I5" s="2"/>
      <c r="J5" s="2"/>
      <c r="K5" s="2"/>
      <c r="L5" s="2"/>
    </row>
    <row r="6" spans="1:12" ht="15">
      <c r="A6" s="58" t="s">
        <v>177</v>
      </c>
      <c r="B6" s="103"/>
      <c r="C6" s="103"/>
      <c r="D6" s="103"/>
      <c r="E6" s="103">
        <v>24000</v>
      </c>
      <c r="F6" s="103">
        <f aca="true" t="shared" si="0" ref="F6:F17">B6+C6+D6+E6</f>
        <v>24000</v>
      </c>
      <c r="G6" s="103">
        <v>0</v>
      </c>
      <c r="H6" s="103">
        <f aca="true" t="shared" si="1" ref="H6:H17">F6-G6</f>
        <v>24000</v>
      </c>
      <c r="I6" s="2"/>
      <c r="J6" s="2"/>
      <c r="K6" s="2"/>
      <c r="L6" s="2"/>
    </row>
    <row r="7" spans="1:12" ht="15">
      <c r="A7" s="58" t="s">
        <v>178</v>
      </c>
      <c r="B7" s="103"/>
      <c r="C7" s="103"/>
      <c r="D7" s="103"/>
      <c r="E7" s="103"/>
      <c r="F7" s="103">
        <f t="shared" si="0"/>
        <v>0</v>
      </c>
      <c r="G7" s="103">
        <v>0</v>
      </c>
      <c r="H7" s="103">
        <f t="shared" si="1"/>
        <v>0</v>
      </c>
      <c r="I7" s="2"/>
      <c r="J7" s="2"/>
      <c r="K7" s="2"/>
      <c r="L7" s="2"/>
    </row>
    <row r="8" spans="1:12" ht="15">
      <c r="A8" s="58" t="s">
        <v>179</v>
      </c>
      <c r="B8" s="103"/>
      <c r="C8" s="103"/>
      <c r="D8" s="103"/>
      <c r="E8" s="103">
        <v>14000</v>
      </c>
      <c r="F8" s="103">
        <f t="shared" si="0"/>
        <v>14000</v>
      </c>
      <c r="G8" s="103">
        <v>0</v>
      </c>
      <c r="H8" s="103">
        <f t="shared" si="1"/>
        <v>14000</v>
      </c>
      <c r="I8" s="2"/>
      <c r="J8" s="2"/>
      <c r="K8" s="2"/>
      <c r="L8" s="2"/>
    </row>
    <row r="9" spans="1:12" ht="15">
      <c r="A9" s="58" t="s">
        <v>180</v>
      </c>
      <c r="B9" s="103"/>
      <c r="C9" s="103"/>
      <c r="D9" s="103"/>
      <c r="E9" s="103">
        <v>100</v>
      </c>
      <c r="F9" s="103">
        <f t="shared" si="0"/>
        <v>100</v>
      </c>
      <c r="G9" s="103">
        <v>0</v>
      </c>
      <c r="H9" s="103">
        <f t="shared" si="1"/>
        <v>100</v>
      </c>
      <c r="I9" s="2"/>
      <c r="J9" s="2"/>
      <c r="K9" s="2"/>
      <c r="L9" s="2"/>
    </row>
    <row r="10" spans="1:12" ht="15">
      <c r="A10" s="58" t="s">
        <v>181</v>
      </c>
      <c r="B10" s="103"/>
      <c r="C10" s="103"/>
      <c r="D10" s="103"/>
      <c r="E10" s="103"/>
      <c r="F10" s="103">
        <f t="shared" si="0"/>
        <v>0</v>
      </c>
      <c r="G10" s="103">
        <v>0</v>
      </c>
      <c r="H10" s="103">
        <f t="shared" si="1"/>
        <v>0</v>
      </c>
      <c r="I10" s="2"/>
      <c r="J10" s="2"/>
      <c r="K10" s="2"/>
      <c r="L10" s="2"/>
    </row>
    <row r="11" spans="1:12" ht="30">
      <c r="A11" s="58" t="s">
        <v>182</v>
      </c>
      <c r="B11" s="103"/>
      <c r="C11" s="103"/>
      <c r="D11" s="103"/>
      <c r="E11" s="103">
        <v>27300</v>
      </c>
      <c r="F11" s="103">
        <f t="shared" si="0"/>
        <v>27300</v>
      </c>
      <c r="G11" s="103">
        <v>0</v>
      </c>
      <c r="H11" s="103">
        <f t="shared" si="1"/>
        <v>27300</v>
      </c>
      <c r="I11" s="2"/>
      <c r="J11" s="2"/>
      <c r="K11" s="2"/>
      <c r="L11" s="2"/>
    </row>
    <row r="12" spans="1:12" ht="30">
      <c r="A12" s="58" t="s">
        <v>183</v>
      </c>
      <c r="B12" s="103"/>
      <c r="C12" s="103"/>
      <c r="D12" s="103"/>
      <c r="E12" s="103"/>
      <c r="F12" s="103">
        <f t="shared" si="0"/>
        <v>0</v>
      </c>
      <c r="G12" s="103">
        <v>0</v>
      </c>
      <c r="H12" s="103">
        <f t="shared" si="1"/>
        <v>0</v>
      </c>
      <c r="I12" s="2"/>
      <c r="J12" s="2"/>
      <c r="K12" s="2"/>
      <c r="L12" s="2"/>
    </row>
    <row r="13" spans="1:12" ht="15">
      <c r="A13" s="58" t="s">
        <v>297</v>
      </c>
      <c r="B13" s="103"/>
      <c r="C13" s="103"/>
      <c r="D13" s="103"/>
      <c r="E13" s="103">
        <v>1500</v>
      </c>
      <c r="F13" s="103">
        <f t="shared" si="0"/>
        <v>1500</v>
      </c>
      <c r="G13" s="103">
        <v>0</v>
      </c>
      <c r="H13" s="103">
        <f t="shared" si="1"/>
        <v>1500</v>
      </c>
      <c r="I13" s="2"/>
      <c r="J13" s="2"/>
      <c r="K13" s="2"/>
      <c r="L13" s="2"/>
    </row>
    <row r="14" spans="1:12" ht="15">
      <c r="A14" s="58"/>
      <c r="B14" s="103"/>
      <c r="C14" s="103"/>
      <c r="D14" s="103"/>
      <c r="E14" s="103"/>
      <c r="F14" s="103">
        <f t="shared" si="0"/>
        <v>0</v>
      </c>
      <c r="G14" s="103">
        <v>0</v>
      </c>
      <c r="H14" s="103">
        <f t="shared" si="1"/>
        <v>0</v>
      </c>
      <c r="I14" s="2"/>
      <c r="J14" s="2"/>
      <c r="K14" s="2"/>
      <c r="L14" s="2"/>
    </row>
    <row r="15" spans="1:12" ht="15">
      <c r="A15" s="58"/>
      <c r="B15" s="103"/>
      <c r="C15" s="103"/>
      <c r="D15" s="103"/>
      <c r="E15" s="103"/>
      <c r="F15" s="103">
        <f t="shared" si="0"/>
        <v>0</v>
      </c>
      <c r="G15" s="103">
        <v>0</v>
      </c>
      <c r="H15" s="103">
        <f t="shared" si="1"/>
        <v>0</v>
      </c>
      <c r="I15" s="2"/>
      <c r="J15" s="2"/>
      <c r="K15" s="2"/>
      <c r="L15" s="2"/>
    </row>
    <row r="16" spans="1:12" ht="15">
      <c r="A16" s="58"/>
      <c r="B16" s="103"/>
      <c r="C16" s="103"/>
      <c r="D16" s="103"/>
      <c r="E16" s="103"/>
      <c r="F16" s="103">
        <f t="shared" si="0"/>
        <v>0</v>
      </c>
      <c r="G16" s="103">
        <v>0</v>
      </c>
      <c r="H16" s="103">
        <f t="shared" si="1"/>
        <v>0</v>
      </c>
      <c r="I16" s="2"/>
      <c r="J16" s="2"/>
      <c r="K16" s="2"/>
      <c r="L16" s="2"/>
    </row>
    <row r="17" spans="1:12" s="115" customFormat="1" ht="15.75">
      <c r="A17" s="28" t="s">
        <v>184</v>
      </c>
      <c r="B17" s="104"/>
      <c r="C17" s="104"/>
      <c r="D17" s="104"/>
      <c r="E17" s="104">
        <f>SUM(E5:E16)</f>
        <v>120400</v>
      </c>
      <c r="F17" s="104">
        <f t="shared" si="0"/>
        <v>120400</v>
      </c>
      <c r="G17" s="104">
        <v>0</v>
      </c>
      <c r="H17" s="104">
        <f t="shared" si="1"/>
        <v>120400</v>
      </c>
      <c r="I17" s="114"/>
      <c r="J17" s="114"/>
      <c r="K17" s="114"/>
      <c r="L17" s="114"/>
    </row>
    <row r="18" spans="1:12" ht="15">
      <c r="A18" s="2"/>
      <c r="B18" s="113"/>
      <c r="C18" s="113"/>
      <c r="D18" s="113"/>
      <c r="E18" s="113"/>
      <c r="F18" s="113"/>
      <c r="G18" s="113"/>
      <c r="H18" s="113"/>
      <c r="I18" s="2"/>
      <c r="J18" s="2"/>
      <c r="K18" s="2"/>
      <c r="L18" s="2"/>
    </row>
    <row r="19" spans="1:12" ht="60">
      <c r="A19" s="17" t="s">
        <v>48</v>
      </c>
      <c r="B19" s="110" t="s">
        <v>244</v>
      </c>
      <c r="C19" s="110" t="s">
        <v>245</v>
      </c>
      <c r="D19" s="110" t="s">
        <v>246</v>
      </c>
      <c r="E19" s="110" t="s">
        <v>247</v>
      </c>
      <c r="F19" s="111" t="s">
        <v>49</v>
      </c>
      <c r="G19" s="110" t="s">
        <v>294</v>
      </c>
      <c r="H19" s="112" t="s">
        <v>50</v>
      </c>
      <c r="I19" s="2"/>
      <c r="J19" s="2"/>
      <c r="K19" s="2"/>
      <c r="L19" s="2"/>
    </row>
    <row r="20" spans="1:12" ht="15.75">
      <c r="A20" s="59" t="s">
        <v>9</v>
      </c>
      <c r="B20" s="103"/>
      <c r="C20" s="103"/>
      <c r="D20" s="103"/>
      <c r="E20" s="103">
        <v>150</v>
      </c>
      <c r="F20" s="103">
        <f aca="true" t="shared" si="2" ref="F20:F31">B20+C20+D20+E20</f>
        <v>150</v>
      </c>
      <c r="G20" s="103">
        <v>0</v>
      </c>
      <c r="H20" s="103">
        <f aca="true" t="shared" si="3" ref="H20:H31">F20-G20</f>
        <v>150</v>
      </c>
      <c r="I20" s="2"/>
      <c r="J20" s="2"/>
      <c r="K20" s="2"/>
      <c r="L20" s="2"/>
    </row>
    <row r="21" spans="1:12" ht="15.75">
      <c r="A21" s="59" t="s">
        <v>295</v>
      </c>
      <c r="B21" s="103"/>
      <c r="C21" s="103"/>
      <c r="D21" s="103"/>
      <c r="E21" s="103">
        <v>6000</v>
      </c>
      <c r="F21" s="103">
        <f t="shared" si="2"/>
        <v>6000</v>
      </c>
      <c r="G21" s="103">
        <v>0</v>
      </c>
      <c r="H21" s="103">
        <f t="shared" si="3"/>
        <v>6000</v>
      </c>
      <c r="I21" s="2"/>
      <c r="J21" s="2"/>
      <c r="K21" s="2"/>
      <c r="L21" s="2"/>
    </row>
    <row r="22" spans="1:12" ht="15.75">
      <c r="A22" s="59" t="s">
        <v>296</v>
      </c>
      <c r="B22" s="103"/>
      <c r="C22" s="103"/>
      <c r="D22" s="103"/>
      <c r="E22" s="103">
        <v>150</v>
      </c>
      <c r="F22" s="103">
        <f t="shared" si="2"/>
        <v>150</v>
      </c>
      <c r="G22" s="103">
        <v>0</v>
      </c>
      <c r="H22" s="103">
        <f t="shared" si="3"/>
        <v>150</v>
      </c>
      <c r="I22" s="2"/>
      <c r="J22" s="2"/>
      <c r="K22" s="2"/>
      <c r="L22" s="2"/>
    </row>
    <row r="23" spans="1:12" ht="15">
      <c r="A23" s="60" t="s">
        <v>185</v>
      </c>
      <c r="B23" s="103"/>
      <c r="C23" s="103"/>
      <c r="D23" s="103"/>
      <c r="E23" s="103">
        <v>8100</v>
      </c>
      <c r="F23" s="103">
        <f t="shared" si="2"/>
        <v>8100</v>
      </c>
      <c r="G23" s="103">
        <v>0</v>
      </c>
      <c r="H23" s="103">
        <f t="shared" si="3"/>
        <v>8100</v>
      </c>
      <c r="I23" s="2"/>
      <c r="J23" s="2"/>
      <c r="K23" s="2"/>
      <c r="L23" s="2"/>
    </row>
    <row r="24" spans="1:12" ht="30">
      <c r="A24" s="60" t="s">
        <v>186</v>
      </c>
      <c r="B24" s="103"/>
      <c r="C24" s="103"/>
      <c r="D24" s="103"/>
      <c r="E24" s="103">
        <v>50</v>
      </c>
      <c r="F24" s="103">
        <f t="shared" si="2"/>
        <v>50</v>
      </c>
      <c r="G24" s="103">
        <v>0</v>
      </c>
      <c r="H24" s="103">
        <f t="shared" si="3"/>
        <v>50</v>
      </c>
      <c r="I24" s="2"/>
      <c r="J24" s="2"/>
      <c r="K24" s="2"/>
      <c r="L24" s="2"/>
    </row>
    <row r="25" spans="1:12" ht="15">
      <c r="A25" s="60"/>
      <c r="B25" s="103"/>
      <c r="C25" s="103"/>
      <c r="D25" s="103"/>
      <c r="E25" s="103"/>
      <c r="F25" s="103">
        <f t="shared" si="2"/>
        <v>0</v>
      </c>
      <c r="G25" s="103">
        <v>0</v>
      </c>
      <c r="H25" s="103">
        <f t="shared" si="3"/>
        <v>0</v>
      </c>
      <c r="I25" s="2"/>
      <c r="J25" s="2"/>
      <c r="K25" s="2"/>
      <c r="L25" s="2"/>
    </row>
    <row r="26" spans="1:12" ht="15">
      <c r="A26" s="60"/>
      <c r="B26" s="103"/>
      <c r="C26" s="103"/>
      <c r="D26" s="103"/>
      <c r="E26" s="103"/>
      <c r="F26" s="103">
        <f t="shared" si="2"/>
        <v>0</v>
      </c>
      <c r="G26" s="103">
        <v>0</v>
      </c>
      <c r="H26" s="103">
        <f t="shared" si="3"/>
        <v>0</v>
      </c>
      <c r="I26" s="2"/>
      <c r="J26" s="2"/>
      <c r="K26" s="2"/>
      <c r="L26" s="2"/>
    </row>
    <row r="27" spans="1:12" ht="15">
      <c r="A27" s="60"/>
      <c r="B27" s="103"/>
      <c r="C27" s="103"/>
      <c r="D27" s="103"/>
      <c r="E27" s="103"/>
      <c r="F27" s="103">
        <f t="shared" si="2"/>
        <v>0</v>
      </c>
      <c r="G27" s="103">
        <v>0</v>
      </c>
      <c r="H27" s="103">
        <f t="shared" si="3"/>
        <v>0</v>
      </c>
      <c r="I27" s="2"/>
      <c r="J27" s="2"/>
      <c r="K27" s="2"/>
      <c r="L27" s="2"/>
    </row>
    <row r="28" spans="1:10" ht="15.75">
      <c r="A28" s="61" t="s">
        <v>187</v>
      </c>
      <c r="B28" s="103"/>
      <c r="C28" s="103"/>
      <c r="D28" s="103"/>
      <c r="E28" s="103">
        <f>SUM(E20:E27)</f>
        <v>14450</v>
      </c>
      <c r="F28" s="103">
        <f t="shared" si="2"/>
        <v>14450</v>
      </c>
      <c r="G28" s="103">
        <v>0</v>
      </c>
      <c r="H28" s="103">
        <f t="shared" si="3"/>
        <v>14450</v>
      </c>
      <c r="I28" s="2"/>
      <c r="J28" s="2"/>
    </row>
    <row r="29" spans="1:10" ht="15.75">
      <c r="A29" s="116"/>
      <c r="B29" s="117"/>
      <c r="C29" s="117"/>
      <c r="D29" s="117"/>
      <c r="E29" s="117"/>
      <c r="F29" s="117"/>
      <c r="G29" s="117"/>
      <c r="H29" s="117"/>
      <c r="I29" s="41"/>
      <c r="J29" s="41"/>
    </row>
    <row r="30" spans="1:10" ht="15.75">
      <c r="A30" s="116"/>
      <c r="B30" s="117"/>
      <c r="C30" s="117"/>
      <c r="D30" s="117"/>
      <c r="E30" s="117"/>
      <c r="F30" s="117"/>
      <c r="G30" s="117"/>
      <c r="H30" s="117"/>
      <c r="I30" s="41"/>
      <c r="J30" s="41"/>
    </row>
    <row r="31" spans="1:10" s="115" customFormat="1" ht="25.5" customHeight="1">
      <c r="A31" s="13" t="s">
        <v>298</v>
      </c>
      <c r="B31" s="104"/>
      <c r="C31" s="104"/>
      <c r="D31" s="104"/>
      <c r="E31" s="104">
        <f>E28+E17</f>
        <v>134850</v>
      </c>
      <c r="F31" s="104">
        <f t="shared" si="2"/>
        <v>134850</v>
      </c>
      <c r="G31" s="104">
        <v>0</v>
      </c>
      <c r="H31" s="104">
        <f t="shared" si="3"/>
        <v>134850</v>
      </c>
      <c r="I31" s="114"/>
      <c r="J31" s="114"/>
    </row>
    <row r="32" spans="1:10" ht="15">
      <c r="A32" s="2"/>
      <c r="B32" s="113"/>
      <c r="C32" s="113"/>
      <c r="D32" s="113"/>
      <c r="E32" s="113"/>
      <c r="F32" s="113"/>
      <c r="G32" s="113"/>
      <c r="H32" s="113"/>
      <c r="I32" s="2"/>
      <c r="J32" s="2"/>
    </row>
    <row r="33" spans="1:10" ht="15">
      <c r="A33" s="2"/>
      <c r="B33" s="113"/>
      <c r="C33" s="113"/>
      <c r="D33" s="113"/>
      <c r="E33" s="113"/>
      <c r="F33" s="113"/>
      <c r="G33" s="113"/>
      <c r="H33" s="113"/>
      <c r="I33" s="2"/>
      <c r="J33" s="2"/>
    </row>
    <row r="34" spans="1:10" ht="15">
      <c r="A34" s="2"/>
      <c r="B34" s="113"/>
      <c r="C34" s="113"/>
      <c r="D34" s="113"/>
      <c r="E34" s="113"/>
      <c r="F34" s="113"/>
      <c r="G34" s="113"/>
      <c r="H34" s="113"/>
      <c r="I34" s="2"/>
      <c r="J34" s="2"/>
    </row>
    <row r="35" spans="1:10" ht="15">
      <c r="A35" s="2"/>
      <c r="B35" s="113"/>
      <c r="C35" s="113"/>
      <c r="D35" s="113"/>
      <c r="E35" s="113"/>
      <c r="F35" s="113"/>
      <c r="G35" s="113"/>
      <c r="H35" s="113"/>
      <c r="I35" s="2"/>
      <c r="J35" s="2"/>
    </row>
    <row r="36" spans="1:10" ht="15">
      <c r="A36" s="2"/>
      <c r="B36" s="113"/>
      <c r="C36" s="113"/>
      <c r="D36" s="113"/>
      <c r="E36" s="113"/>
      <c r="F36" s="113"/>
      <c r="G36" s="113"/>
      <c r="H36" s="113"/>
      <c r="I36" s="2"/>
      <c r="J36" s="2"/>
    </row>
    <row r="37" spans="1:10" ht="15">
      <c r="A37" s="2"/>
      <c r="B37" s="113"/>
      <c r="C37" s="113"/>
      <c r="D37" s="113"/>
      <c r="E37" s="113"/>
      <c r="F37" s="113"/>
      <c r="G37" s="113"/>
      <c r="H37" s="113"/>
      <c r="I37" s="2"/>
      <c r="J37" s="2"/>
    </row>
    <row r="38" spans="1:10" ht="15">
      <c r="A38" s="2"/>
      <c r="B38" s="113"/>
      <c r="C38" s="113"/>
      <c r="D38" s="113"/>
      <c r="E38" s="113"/>
      <c r="F38" s="113"/>
      <c r="G38" s="113"/>
      <c r="H38" s="113"/>
      <c r="I38" s="2"/>
      <c r="J38" s="2"/>
    </row>
    <row r="39" spans="1:10" ht="15">
      <c r="A39" s="2"/>
      <c r="B39" s="113"/>
      <c r="C39" s="113"/>
      <c r="D39" s="113"/>
      <c r="E39" s="113"/>
      <c r="F39" s="113"/>
      <c r="G39" s="113"/>
      <c r="H39" s="113"/>
      <c r="I39" s="2"/>
      <c r="J39" s="2"/>
    </row>
    <row r="40" spans="1:10" ht="15">
      <c r="A40" s="2"/>
      <c r="B40" s="113"/>
      <c r="C40" s="113"/>
      <c r="D40" s="113"/>
      <c r="E40" s="113"/>
      <c r="F40" s="113"/>
      <c r="G40" s="113"/>
      <c r="H40" s="113"/>
      <c r="I40" s="2"/>
      <c r="J40" s="2"/>
    </row>
    <row r="41" spans="1:10" ht="15">
      <c r="A41" s="2"/>
      <c r="B41" s="113"/>
      <c r="C41" s="113"/>
      <c r="D41" s="113"/>
      <c r="E41" s="113"/>
      <c r="F41" s="113"/>
      <c r="G41" s="113"/>
      <c r="H41" s="113"/>
      <c r="I41" s="2"/>
      <c r="J41" s="2"/>
    </row>
    <row r="42" spans="1:10" ht="15">
      <c r="A42" s="2"/>
      <c r="B42" s="113"/>
      <c r="C42" s="113"/>
      <c r="D42" s="113"/>
      <c r="E42" s="113"/>
      <c r="F42" s="113"/>
      <c r="G42" s="113"/>
      <c r="H42" s="113"/>
      <c r="I42" s="2"/>
      <c r="J42" s="2"/>
    </row>
    <row r="43" spans="1:10" ht="15">
      <c r="A43" s="2"/>
      <c r="B43" s="113"/>
      <c r="C43" s="113"/>
      <c r="D43" s="113"/>
      <c r="E43" s="113"/>
      <c r="F43" s="113"/>
      <c r="G43" s="113"/>
      <c r="H43" s="113"/>
      <c r="I43" s="2"/>
      <c r="J43" s="2"/>
    </row>
    <row r="44" spans="1:10" ht="15">
      <c r="A44" s="2"/>
      <c r="B44" s="113"/>
      <c r="C44" s="113"/>
      <c r="D44" s="113"/>
      <c r="E44" s="113"/>
      <c r="F44" s="113"/>
      <c r="G44" s="113"/>
      <c r="H44" s="113"/>
      <c r="I44" s="2"/>
      <c r="J44" s="2"/>
    </row>
    <row r="45" spans="1:10" ht="15">
      <c r="A45" s="2"/>
      <c r="B45" s="113"/>
      <c r="C45" s="113"/>
      <c r="D45" s="113"/>
      <c r="E45" s="113"/>
      <c r="F45" s="113"/>
      <c r="G45" s="113"/>
      <c r="H45" s="113"/>
      <c r="I45" s="2"/>
      <c r="J45" s="2"/>
    </row>
    <row r="46" spans="1:10" ht="15">
      <c r="A46" s="2"/>
      <c r="B46" s="113"/>
      <c r="C46" s="113"/>
      <c r="D46" s="113"/>
      <c r="E46" s="113"/>
      <c r="F46" s="113"/>
      <c r="G46" s="113"/>
      <c r="H46" s="113"/>
      <c r="I46" s="2"/>
      <c r="J46" s="2"/>
    </row>
    <row r="47" spans="1:10" ht="15">
      <c r="A47" s="2"/>
      <c r="B47" s="113"/>
      <c r="C47" s="113"/>
      <c r="D47" s="113"/>
      <c r="E47" s="113"/>
      <c r="F47" s="113"/>
      <c r="G47" s="113"/>
      <c r="H47" s="113"/>
      <c r="I47" s="2"/>
      <c r="J47" s="2"/>
    </row>
    <row r="48" spans="1:10" ht="15">
      <c r="A48" s="2"/>
      <c r="B48" s="113"/>
      <c r="C48" s="113"/>
      <c r="D48" s="113"/>
      <c r="E48" s="113"/>
      <c r="F48" s="113"/>
      <c r="G48" s="113"/>
      <c r="H48" s="113"/>
      <c r="I48" s="2"/>
      <c r="J48" s="2"/>
    </row>
    <row r="49" spans="1:10" ht="15">
      <c r="A49" s="2"/>
      <c r="B49" s="113"/>
      <c r="C49" s="113"/>
      <c r="D49" s="113"/>
      <c r="E49" s="113"/>
      <c r="F49" s="113"/>
      <c r="G49" s="113"/>
      <c r="H49" s="113"/>
      <c r="I49" s="2"/>
      <c r="J49" s="2"/>
    </row>
    <row r="50" spans="1:10" ht="15">
      <c r="A50" s="2"/>
      <c r="B50" s="113"/>
      <c r="C50" s="113"/>
      <c r="D50" s="113"/>
      <c r="E50" s="113"/>
      <c r="F50" s="113"/>
      <c r="G50" s="113"/>
      <c r="H50" s="113"/>
      <c r="I50" s="2"/>
      <c r="J50" s="2"/>
    </row>
    <row r="51" spans="1:10" ht="15">
      <c r="A51" s="2"/>
      <c r="B51" s="113"/>
      <c r="C51" s="113"/>
      <c r="D51" s="113"/>
      <c r="E51" s="113"/>
      <c r="F51" s="113"/>
      <c r="G51" s="113"/>
      <c r="H51" s="113"/>
      <c r="I51" s="2"/>
      <c r="J51" s="2"/>
    </row>
    <row r="52" spans="1:10" ht="15">
      <c r="A52" s="2"/>
      <c r="B52" s="113"/>
      <c r="C52" s="113"/>
      <c r="D52" s="113"/>
      <c r="E52" s="113"/>
      <c r="F52" s="113"/>
      <c r="G52" s="113"/>
      <c r="H52" s="113"/>
      <c r="I52" s="2"/>
      <c r="J52" s="2"/>
    </row>
    <row r="53" spans="1:10" ht="15">
      <c r="A53" s="2"/>
      <c r="B53" s="113"/>
      <c r="C53" s="113"/>
      <c r="D53" s="113"/>
      <c r="E53" s="113"/>
      <c r="F53" s="113"/>
      <c r="G53" s="113"/>
      <c r="H53" s="113"/>
      <c r="I53" s="2"/>
      <c r="J53" s="2"/>
    </row>
    <row r="54" spans="1:10" ht="15">
      <c r="A54" s="2"/>
      <c r="B54" s="113"/>
      <c r="C54" s="113"/>
      <c r="D54" s="113"/>
      <c r="E54" s="113"/>
      <c r="F54" s="113"/>
      <c r="G54" s="113"/>
      <c r="H54" s="113"/>
      <c r="I54" s="2"/>
      <c r="J54" s="2"/>
    </row>
    <row r="55" spans="1:10" ht="15">
      <c r="A55" s="2"/>
      <c r="B55" s="113"/>
      <c r="C55" s="113"/>
      <c r="D55" s="113"/>
      <c r="E55" s="113"/>
      <c r="F55" s="113"/>
      <c r="G55" s="113"/>
      <c r="H55" s="113"/>
      <c r="I55" s="2"/>
      <c r="J55" s="2"/>
    </row>
    <row r="56" spans="1:10" ht="15">
      <c r="A56" s="2"/>
      <c r="B56" s="113"/>
      <c r="C56" s="113"/>
      <c r="D56" s="113"/>
      <c r="E56" s="113"/>
      <c r="F56" s="113"/>
      <c r="G56" s="113"/>
      <c r="H56" s="113"/>
      <c r="I56" s="2"/>
      <c r="J56" s="2"/>
    </row>
    <row r="57" spans="1:10" ht="15">
      <c r="A57" s="2"/>
      <c r="B57" s="113"/>
      <c r="C57" s="113"/>
      <c r="D57" s="113"/>
      <c r="E57" s="113"/>
      <c r="F57" s="113"/>
      <c r="G57" s="113"/>
      <c r="H57" s="113"/>
      <c r="I57" s="2"/>
      <c r="J57" s="2"/>
    </row>
    <row r="58" spans="1:10" ht="15">
      <c r="A58" s="2"/>
      <c r="B58" s="113"/>
      <c r="C58" s="113"/>
      <c r="D58" s="113"/>
      <c r="E58" s="113"/>
      <c r="F58" s="113"/>
      <c r="G58" s="113"/>
      <c r="H58" s="113"/>
      <c r="I58" s="2"/>
      <c r="J58" s="2"/>
    </row>
    <row r="59" spans="1:10" ht="15">
      <c r="A59" s="2"/>
      <c r="B59" s="113"/>
      <c r="C59" s="113"/>
      <c r="D59" s="113"/>
      <c r="E59" s="113"/>
      <c r="F59" s="113"/>
      <c r="G59" s="113"/>
      <c r="H59" s="113"/>
      <c r="I59" s="2"/>
      <c r="J59" s="2"/>
    </row>
    <row r="60" spans="1:10" ht="15">
      <c r="A60" s="2"/>
      <c r="B60" s="113"/>
      <c r="C60" s="113"/>
      <c r="D60" s="113"/>
      <c r="E60" s="113"/>
      <c r="F60" s="113"/>
      <c r="G60" s="113"/>
      <c r="H60" s="113"/>
      <c r="I60" s="2"/>
      <c r="J60" s="2"/>
    </row>
    <row r="61" spans="1:10" ht="15">
      <c r="A61" s="2"/>
      <c r="B61" s="113"/>
      <c r="C61" s="113"/>
      <c r="D61" s="113"/>
      <c r="E61" s="113"/>
      <c r="F61" s="113"/>
      <c r="G61" s="113"/>
      <c r="H61" s="113"/>
      <c r="I61" s="2"/>
      <c r="J61" s="2"/>
    </row>
    <row r="62" spans="1:10" ht="15">
      <c r="A62" s="2"/>
      <c r="B62" s="113"/>
      <c r="C62" s="113"/>
      <c r="D62" s="113"/>
      <c r="E62" s="113"/>
      <c r="F62" s="113"/>
      <c r="G62" s="113"/>
      <c r="H62" s="113"/>
      <c r="I62" s="2"/>
      <c r="J62" s="2"/>
    </row>
    <row r="63" spans="1:10" ht="15">
      <c r="A63" s="2"/>
      <c r="B63" s="113"/>
      <c r="C63" s="113"/>
      <c r="D63" s="113"/>
      <c r="E63" s="113"/>
      <c r="F63" s="113"/>
      <c r="G63" s="113"/>
      <c r="H63" s="113"/>
      <c r="I63" s="2"/>
      <c r="J63" s="2"/>
    </row>
    <row r="64" spans="1:10" ht="15">
      <c r="A64" s="2"/>
      <c r="B64" s="113"/>
      <c r="C64" s="113"/>
      <c r="D64" s="113"/>
      <c r="E64" s="113"/>
      <c r="F64" s="113"/>
      <c r="G64" s="113"/>
      <c r="H64" s="113"/>
      <c r="I64" s="2"/>
      <c r="J64" s="2"/>
    </row>
    <row r="65" spans="1:10" ht="15">
      <c r="A65" s="2"/>
      <c r="B65" s="113"/>
      <c r="C65" s="113"/>
      <c r="D65" s="113"/>
      <c r="E65" s="113"/>
      <c r="F65" s="113"/>
      <c r="G65" s="113"/>
      <c r="H65" s="113"/>
      <c r="I65" s="2"/>
      <c r="J65" s="2"/>
    </row>
    <row r="66" spans="1:10" ht="15">
      <c r="A66" s="2"/>
      <c r="B66" s="113"/>
      <c r="C66" s="113"/>
      <c r="D66" s="113"/>
      <c r="E66" s="113"/>
      <c r="F66" s="113"/>
      <c r="G66" s="113"/>
      <c r="H66" s="113"/>
      <c r="I66" s="2"/>
      <c r="J66" s="2"/>
    </row>
    <row r="67" spans="1:10" ht="15">
      <c r="A67" s="2"/>
      <c r="B67" s="113"/>
      <c r="C67" s="113"/>
      <c r="D67" s="113"/>
      <c r="E67" s="113"/>
      <c r="F67" s="113"/>
      <c r="G67" s="113"/>
      <c r="H67" s="113"/>
      <c r="I67" s="2"/>
      <c r="J67" s="2"/>
    </row>
    <row r="68" spans="1:10" ht="15">
      <c r="A68" s="2"/>
      <c r="B68" s="113"/>
      <c r="C68" s="113"/>
      <c r="D68" s="113"/>
      <c r="E68" s="113"/>
      <c r="F68" s="113"/>
      <c r="G68" s="113"/>
      <c r="H68" s="113"/>
      <c r="I68" s="2"/>
      <c r="J68" s="2"/>
    </row>
    <row r="69" spans="1:10" ht="15">
      <c r="A69" s="2"/>
      <c r="B69" s="113"/>
      <c r="C69" s="113"/>
      <c r="D69" s="113"/>
      <c r="E69" s="113"/>
      <c r="F69" s="113"/>
      <c r="G69" s="113"/>
      <c r="H69" s="113"/>
      <c r="I69" s="2"/>
      <c r="J69" s="2"/>
    </row>
    <row r="70" spans="1:10" ht="15">
      <c r="A70" s="2"/>
      <c r="B70" s="113"/>
      <c r="C70" s="113"/>
      <c r="D70" s="113"/>
      <c r="E70" s="113"/>
      <c r="F70" s="113"/>
      <c r="G70" s="113"/>
      <c r="H70" s="113"/>
      <c r="I70" s="2"/>
      <c r="J70" s="2"/>
    </row>
    <row r="71" spans="1:10" ht="15">
      <c r="A71" s="2"/>
      <c r="B71" s="113"/>
      <c r="C71" s="113"/>
      <c r="D71" s="113"/>
      <c r="E71" s="113"/>
      <c r="F71" s="113"/>
      <c r="G71" s="113"/>
      <c r="H71" s="113"/>
      <c r="I71" s="2"/>
      <c r="J71" s="2"/>
    </row>
    <row r="72" spans="1:10" ht="15">
      <c r="A72" s="2"/>
      <c r="B72" s="113"/>
      <c r="C72" s="113"/>
      <c r="D72" s="113"/>
      <c r="E72" s="113"/>
      <c r="F72" s="113"/>
      <c r="G72" s="113"/>
      <c r="H72" s="113"/>
      <c r="I72" s="2"/>
      <c r="J72" s="2"/>
    </row>
    <row r="73" spans="1:10" ht="15">
      <c r="A73" s="2"/>
      <c r="B73" s="113"/>
      <c r="C73" s="113"/>
      <c r="D73" s="113"/>
      <c r="E73" s="113"/>
      <c r="F73" s="113"/>
      <c r="G73" s="113"/>
      <c r="H73" s="113"/>
      <c r="I73" s="2"/>
      <c r="J73" s="2"/>
    </row>
  </sheetData>
  <sheetProtection/>
  <printOptions/>
  <pageMargins left="0.75" right="0.75" top="0.39" bottom="1" header="0.14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84"/>
  <sheetViews>
    <sheetView tabSelected="1" zoomScale="85" zoomScaleNormal="85" zoomScalePageLayoutView="0" workbookViewId="0" topLeftCell="B1">
      <selection activeCell="E34" sqref="E34"/>
    </sheetView>
  </sheetViews>
  <sheetFormatPr defaultColWidth="9.140625" defaultRowHeight="12.75"/>
  <cols>
    <col min="1" max="1" width="91.140625" style="0" customWidth="1"/>
    <col min="2" max="2" width="15.57421875" style="108" customWidth="1"/>
    <col min="3" max="3" width="16.421875" style="108" customWidth="1"/>
    <col min="4" max="4" width="18.140625" style="108" customWidth="1"/>
    <col min="5" max="5" width="17.7109375" style="108" customWidth="1"/>
    <col min="6" max="6" width="19.7109375" style="108" customWidth="1"/>
    <col min="7" max="7" width="22.421875" style="108" customWidth="1"/>
    <col min="8" max="8" width="18.28125" style="108" customWidth="1"/>
  </cols>
  <sheetData>
    <row r="1" ht="15">
      <c r="A1" s="231" t="s">
        <v>408</v>
      </c>
    </row>
    <row r="2" ht="15.75">
      <c r="A2" s="232" t="s">
        <v>386</v>
      </c>
    </row>
    <row r="3" ht="15">
      <c r="A3" s="2"/>
    </row>
    <row r="4" spans="1:8" s="166" customFormat="1" ht="45">
      <c r="A4" s="246" t="s">
        <v>48</v>
      </c>
      <c r="B4" s="247" t="s">
        <v>244</v>
      </c>
      <c r="C4" s="247" t="s">
        <v>245</v>
      </c>
      <c r="D4" s="247" t="s">
        <v>246</v>
      </c>
      <c r="E4" s="247" t="s">
        <v>247</v>
      </c>
      <c r="F4" s="112" t="s">
        <v>49</v>
      </c>
      <c r="G4" s="247" t="s">
        <v>294</v>
      </c>
      <c r="H4" s="112" t="s">
        <v>50</v>
      </c>
    </row>
    <row r="5" spans="1:8" ht="16.5">
      <c r="A5" s="10" t="s">
        <v>34</v>
      </c>
      <c r="B5" s="103"/>
      <c r="C5" s="103"/>
      <c r="D5" s="103"/>
      <c r="E5" s="103">
        <f>'18.helyi adók'!E31</f>
        <v>134850</v>
      </c>
      <c r="F5" s="103">
        <f aca="true" t="shared" si="0" ref="F5:F14">E5+D5+C5+B5</f>
        <v>134850</v>
      </c>
      <c r="G5" s="103"/>
      <c r="H5" s="103">
        <f>F5-G5</f>
        <v>134850</v>
      </c>
    </row>
    <row r="6" spans="1:8" ht="16.5">
      <c r="A6" s="14" t="s">
        <v>13</v>
      </c>
      <c r="B6" s="103"/>
      <c r="C6" s="103">
        <f>'3. szakfeladatok'!E7</f>
        <v>1223</v>
      </c>
      <c r="D6" s="103">
        <f>'3. szakfeladatok'!E6</f>
        <v>250</v>
      </c>
      <c r="E6" s="103">
        <v>133307</v>
      </c>
      <c r="F6" s="103">
        <f t="shared" si="0"/>
        <v>134780</v>
      </c>
      <c r="G6" s="103"/>
      <c r="H6" s="103">
        <f aca="true" t="shared" si="1" ref="H6:H34">F6-G6</f>
        <v>134780</v>
      </c>
    </row>
    <row r="7" spans="1:8" ht="16.5">
      <c r="A7" s="14" t="s">
        <v>35</v>
      </c>
      <c r="B7" s="103"/>
      <c r="C7" s="103"/>
      <c r="D7" s="103"/>
      <c r="E7" s="103"/>
      <c r="F7" s="103">
        <f t="shared" si="0"/>
        <v>0</v>
      </c>
      <c r="G7" s="103"/>
      <c r="H7" s="103">
        <f t="shared" si="1"/>
        <v>0</v>
      </c>
    </row>
    <row r="8" spans="1:8" ht="16.5">
      <c r="A8" s="14" t="s">
        <v>2</v>
      </c>
      <c r="B8" s="103"/>
      <c r="C8" s="103"/>
      <c r="D8" s="103"/>
      <c r="E8" s="103">
        <v>44424</v>
      </c>
      <c r="F8" s="103">
        <f t="shared" si="0"/>
        <v>44424</v>
      </c>
      <c r="G8" s="103"/>
      <c r="H8" s="103">
        <f t="shared" si="1"/>
        <v>44424</v>
      </c>
    </row>
    <row r="9" spans="1:8" ht="48">
      <c r="A9" s="14" t="s">
        <v>0</v>
      </c>
      <c r="B9" s="103"/>
      <c r="C9" s="103"/>
      <c r="D9" s="103"/>
      <c r="E9" s="103">
        <v>203907</v>
      </c>
      <c r="F9" s="103">
        <f t="shared" si="0"/>
        <v>203907</v>
      </c>
      <c r="G9" s="103"/>
      <c r="H9" s="103">
        <f t="shared" si="1"/>
        <v>203907</v>
      </c>
    </row>
    <row r="10" spans="1:8" ht="16.5">
      <c r="A10" s="11" t="s">
        <v>4</v>
      </c>
      <c r="B10" s="103"/>
      <c r="C10" s="103"/>
      <c r="D10" s="103"/>
      <c r="E10" s="103"/>
      <c r="F10" s="103">
        <f t="shared" si="0"/>
        <v>0</v>
      </c>
      <c r="G10" s="103"/>
      <c r="H10" s="103">
        <f t="shared" si="1"/>
        <v>0</v>
      </c>
    </row>
    <row r="11" spans="1:8" ht="16.5">
      <c r="A11" s="6" t="s">
        <v>39</v>
      </c>
      <c r="B11" s="170">
        <f>SUM(B5:B10)</f>
        <v>0</v>
      </c>
      <c r="C11" s="170">
        <f>SUM(C5:C10)</f>
        <v>1223</v>
      </c>
      <c r="D11" s="170">
        <f>SUM(D5:D10)</f>
        <v>250</v>
      </c>
      <c r="E11" s="170">
        <f>SUM(E5:E10)</f>
        <v>516488</v>
      </c>
      <c r="F11" s="171">
        <f t="shared" si="0"/>
        <v>517961</v>
      </c>
      <c r="G11" s="171"/>
      <c r="H11" s="171">
        <f t="shared" si="1"/>
        <v>517961</v>
      </c>
    </row>
    <row r="12" spans="1:8" ht="16.5">
      <c r="A12" s="9" t="s">
        <v>10</v>
      </c>
      <c r="B12" s="120">
        <f>'2. kiadások össz'!B17-'1. bevételek össz'!B13</f>
        <v>52664</v>
      </c>
      <c r="C12" s="120">
        <f>'2. kiadások össz'!C17-'1. bevételek össz'!C13-C11</f>
        <v>24578</v>
      </c>
      <c r="D12" s="120">
        <f>'2. kiadások össz'!D17-'1. bevételek össz'!D13-D11</f>
        <v>63399</v>
      </c>
      <c r="E12" s="120"/>
      <c r="F12" s="120">
        <f t="shared" si="0"/>
        <v>140641</v>
      </c>
      <c r="G12" s="120">
        <f>D12+C12+B12</f>
        <v>140641</v>
      </c>
      <c r="H12" s="120">
        <f t="shared" si="1"/>
        <v>0</v>
      </c>
    </row>
    <row r="13" spans="1:8" ht="19.5" customHeight="1">
      <c r="A13" s="172" t="s">
        <v>37</v>
      </c>
      <c r="B13" s="103">
        <v>75</v>
      </c>
      <c r="C13" s="103">
        <v>120</v>
      </c>
      <c r="D13" s="103">
        <v>111</v>
      </c>
      <c r="E13" s="103">
        <v>23897</v>
      </c>
      <c r="F13" s="103">
        <f t="shared" si="0"/>
        <v>24203</v>
      </c>
      <c r="G13" s="103"/>
      <c r="H13" s="103">
        <f t="shared" si="1"/>
        <v>24203</v>
      </c>
    </row>
    <row r="14" spans="1:8" ht="27.75" customHeight="1">
      <c r="A14" s="50" t="s">
        <v>327</v>
      </c>
      <c r="B14" s="105">
        <f>SUM(B11,B13+B12)</f>
        <v>52739</v>
      </c>
      <c r="C14" s="105">
        <f>SUM(C11,C13+C12)</f>
        <v>25921</v>
      </c>
      <c r="D14" s="105">
        <f>SUM(D11,D13+D12)</f>
        <v>63760</v>
      </c>
      <c r="E14" s="105">
        <f>SUM(E11,E13+E12)</f>
        <v>540385</v>
      </c>
      <c r="F14" s="106">
        <f t="shared" si="0"/>
        <v>682805</v>
      </c>
      <c r="G14" s="105">
        <f>SUM(G11,G13+G12)</f>
        <v>140641</v>
      </c>
      <c r="H14" s="106">
        <f t="shared" si="1"/>
        <v>542164</v>
      </c>
    </row>
    <row r="15" spans="1:8" ht="27.75" customHeight="1">
      <c r="A15" s="12" t="s">
        <v>42</v>
      </c>
      <c r="B15" s="167">
        <f>B14-'2. kiadások össz'!B17</f>
        <v>0</v>
      </c>
      <c r="C15" s="167">
        <f>C14-'2. kiadások össz'!C17</f>
        <v>0</v>
      </c>
      <c r="D15" s="167">
        <f>D14-'2. kiadások össz'!D17</f>
        <v>0</v>
      </c>
      <c r="E15" s="167">
        <f>E14-'2. kiadások össz'!E17</f>
        <v>13800</v>
      </c>
      <c r="F15" s="167">
        <f>F14-'2. kiadások össz'!F17</f>
        <v>13800</v>
      </c>
      <c r="G15" s="167">
        <f>G14-'2. kiadások össz'!G17</f>
        <v>600</v>
      </c>
      <c r="H15" s="167">
        <f>H14-'2. kiadások össz'!H17</f>
        <v>13200</v>
      </c>
    </row>
    <row r="16" spans="1:8" ht="27.75" customHeight="1">
      <c r="A16" s="19" t="s">
        <v>43</v>
      </c>
      <c r="B16" s="120"/>
      <c r="C16" s="120"/>
      <c r="D16" s="120"/>
      <c r="E16" s="120"/>
      <c r="F16" s="120">
        <f aca="true" t="shared" si="2" ref="F16:F28">E16+D16+C16+B16</f>
        <v>0</v>
      </c>
      <c r="G16" s="120"/>
      <c r="H16" s="120">
        <f>F16-G16</f>
        <v>0</v>
      </c>
    </row>
    <row r="17" spans="1:8" s="166" customFormat="1" ht="16.5">
      <c r="A17" s="14" t="s">
        <v>36</v>
      </c>
      <c r="B17" s="147"/>
      <c r="C17" s="147"/>
      <c r="D17" s="147"/>
      <c r="E17" s="147">
        <v>73391</v>
      </c>
      <c r="F17" s="103">
        <f t="shared" si="2"/>
        <v>73391</v>
      </c>
      <c r="G17" s="147"/>
      <c r="H17" s="147">
        <f t="shared" si="1"/>
        <v>73391</v>
      </c>
    </row>
    <row r="18" spans="1:8" ht="16.5">
      <c r="A18" s="14" t="s">
        <v>15</v>
      </c>
      <c r="B18" s="103"/>
      <c r="C18" s="103"/>
      <c r="D18" s="103"/>
      <c r="E18" s="103"/>
      <c r="F18" s="103">
        <f t="shared" si="2"/>
        <v>0</v>
      </c>
      <c r="G18" s="103"/>
      <c r="H18" s="103">
        <f t="shared" si="1"/>
        <v>0</v>
      </c>
    </row>
    <row r="19" spans="1:8" ht="16.5">
      <c r="A19" s="14" t="s">
        <v>188</v>
      </c>
      <c r="B19" s="103"/>
      <c r="C19" s="103"/>
      <c r="D19" s="103"/>
      <c r="E19" s="103"/>
      <c r="F19" s="103">
        <f t="shared" si="2"/>
        <v>0</v>
      </c>
      <c r="G19" s="103"/>
      <c r="H19" s="103">
        <f t="shared" si="1"/>
        <v>0</v>
      </c>
    </row>
    <row r="20" spans="1:8" ht="32.25">
      <c r="A20" s="14" t="s">
        <v>3</v>
      </c>
      <c r="B20" s="103"/>
      <c r="C20" s="103"/>
      <c r="D20" s="103"/>
      <c r="E20" s="103">
        <v>148860</v>
      </c>
      <c r="F20" s="103">
        <f t="shared" si="2"/>
        <v>148860</v>
      </c>
      <c r="G20" s="103"/>
      <c r="H20" s="103">
        <f t="shared" si="1"/>
        <v>148860</v>
      </c>
    </row>
    <row r="21" spans="1:8" ht="32.25">
      <c r="A21" s="14" t="s">
        <v>8</v>
      </c>
      <c r="B21" s="103"/>
      <c r="C21" s="103"/>
      <c r="D21" s="103"/>
      <c r="E21" s="103"/>
      <c r="F21" s="103">
        <f t="shared" si="2"/>
        <v>0</v>
      </c>
      <c r="G21" s="103"/>
      <c r="H21" s="103">
        <f t="shared" si="1"/>
        <v>0</v>
      </c>
    </row>
    <row r="22" spans="1:8" ht="16.5">
      <c r="A22" s="10" t="s">
        <v>1</v>
      </c>
      <c r="B22" s="103"/>
      <c r="C22" s="103"/>
      <c r="D22" s="103"/>
      <c r="E22" s="103"/>
      <c r="F22" s="103">
        <f t="shared" si="2"/>
        <v>0</v>
      </c>
      <c r="G22" s="103"/>
      <c r="H22" s="103">
        <f t="shared" si="1"/>
        <v>0</v>
      </c>
    </row>
    <row r="23" spans="1:8" ht="16.5">
      <c r="A23" s="11" t="s">
        <v>5</v>
      </c>
      <c r="B23" s="103"/>
      <c r="C23" s="103"/>
      <c r="D23" s="103"/>
      <c r="E23" s="103"/>
      <c r="F23" s="103">
        <f t="shared" si="2"/>
        <v>0</v>
      </c>
      <c r="G23" s="103"/>
      <c r="H23" s="103">
        <f t="shared" si="1"/>
        <v>0</v>
      </c>
    </row>
    <row r="24" spans="1:8" ht="16.5">
      <c r="A24" s="6" t="s">
        <v>38</v>
      </c>
      <c r="B24" s="170">
        <f>SUM(B17:B23)</f>
        <v>0</v>
      </c>
      <c r="C24" s="170">
        <f>SUM(C17:C23)</f>
        <v>0</v>
      </c>
      <c r="D24" s="170">
        <f>SUM(D17:D23)</f>
        <v>0</v>
      </c>
      <c r="E24" s="170">
        <f>SUM(E17:E23)</f>
        <v>222251</v>
      </c>
      <c r="F24" s="171">
        <f t="shared" si="2"/>
        <v>222251</v>
      </c>
      <c r="G24" s="171"/>
      <c r="H24" s="171">
        <f t="shared" si="1"/>
        <v>222251</v>
      </c>
    </row>
    <row r="25" spans="1:8" ht="16.5">
      <c r="A25" s="9" t="s">
        <v>11</v>
      </c>
      <c r="B25" s="120">
        <f>'2. kiadások össz'!B32-'1. bevételek össz'!B12-'1. bevételek össz'!B13</f>
        <v>924</v>
      </c>
      <c r="C25" s="120">
        <v>4826</v>
      </c>
      <c r="D25" s="120">
        <f>'2. kiadások össz'!D18</f>
        <v>635</v>
      </c>
      <c r="E25" s="120"/>
      <c r="F25" s="120">
        <f t="shared" si="2"/>
        <v>6385</v>
      </c>
      <c r="G25" s="120">
        <f>'2. kiadások össz'!G32-'1. bevételek össz'!G12-'1. bevételek össz'!G13</f>
        <v>6385</v>
      </c>
      <c r="H25" s="120">
        <f t="shared" si="1"/>
        <v>0</v>
      </c>
    </row>
    <row r="26" spans="1:8" ht="20.25" customHeight="1">
      <c r="A26" s="173" t="s">
        <v>41</v>
      </c>
      <c r="B26" s="103"/>
      <c r="C26" s="103"/>
      <c r="D26" s="103"/>
      <c r="E26" s="103">
        <v>36490</v>
      </c>
      <c r="F26" s="103">
        <f t="shared" si="2"/>
        <v>36490</v>
      </c>
      <c r="G26" s="103"/>
      <c r="H26" s="103">
        <f t="shared" si="1"/>
        <v>36490</v>
      </c>
    </row>
    <row r="27" spans="1:8" ht="16.5">
      <c r="A27" s="15" t="s">
        <v>14</v>
      </c>
      <c r="B27" s="103"/>
      <c r="C27" s="103"/>
      <c r="D27" s="103"/>
      <c r="E27" s="103"/>
      <c r="F27" s="103">
        <f t="shared" si="2"/>
        <v>0</v>
      </c>
      <c r="G27" s="103"/>
      <c r="H27" s="103">
        <f t="shared" si="1"/>
        <v>0</v>
      </c>
    </row>
    <row r="28" spans="1:8" ht="16.5">
      <c r="A28" s="15" t="s">
        <v>40</v>
      </c>
      <c r="B28" s="103"/>
      <c r="C28" s="103"/>
      <c r="D28" s="103"/>
      <c r="E28" s="103">
        <v>50000</v>
      </c>
      <c r="F28" s="103">
        <f t="shared" si="2"/>
        <v>50000</v>
      </c>
      <c r="G28" s="103"/>
      <c r="H28" s="103">
        <f t="shared" si="1"/>
        <v>50000</v>
      </c>
    </row>
    <row r="29" spans="1:8" ht="30" customHeight="1">
      <c r="A29" s="50" t="s">
        <v>7</v>
      </c>
      <c r="B29" s="105">
        <f>SUM(B24,B26,B27,B28+B25)</f>
        <v>924</v>
      </c>
      <c r="C29" s="105">
        <f>SUM(C24,C26,C27,C28+C25)</f>
        <v>4826</v>
      </c>
      <c r="D29" s="105">
        <f>SUM(D24,D26,D27,D28+D25)</f>
        <v>635</v>
      </c>
      <c r="E29" s="105">
        <f>SUM(E24,E26,E27,E28+E25)</f>
        <v>308741</v>
      </c>
      <c r="F29" s="106">
        <f>E29+D29+C29+B29</f>
        <v>315126</v>
      </c>
      <c r="G29" s="105">
        <f>SUM(G24,G26,G27,G28+G25)</f>
        <v>6385</v>
      </c>
      <c r="H29" s="106">
        <f t="shared" si="1"/>
        <v>308741</v>
      </c>
    </row>
    <row r="30" spans="1:8" ht="16.5">
      <c r="A30" s="12" t="s">
        <v>44</v>
      </c>
      <c r="B30" s="167">
        <f>B29-'2. kiadások össz'!B31</f>
        <v>0</v>
      </c>
      <c r="C30" s="167">
        <f>C29-'2. kiadások össz'!C31</f>
        <v>0</v>
      </c>
      <c r="D30" s="167">
        <f>D29-'2. kiadások össz'!D31</f>
        <v>0</v>
      </c>
      <c r="E30" s="167">
        <f>E29-'2. kiadások össz'!E31</f>
        <v>-13800</v>
      </c>
      <c r="F30" s="167">
        <f>F29-'2. kiadások össz'!F31</f>
        <v>-13800</v>
      </c>
      <c r="G30" s="167">
        <f>G29-'2. kiadások össz'!G31</f>
        <v>-600</v>
      </c>
      <c r="H30" s="167">
        <f>H29-'2. kiadások össz'!H31</f>
        <v>-13200</v>
      </c>
    </row>
    <row r="31" spans="1:8" ht="16.5">
      <c r="A31" s="19" t="s">
        <v>45</v>
      </c>
      <c r="B31" s="120"/>
      <c r="C31" s="120"/>
      <c r="D31" s="120"/>
      <c r="E31" s="120"/>
      <c r="F31" s="120">
        <f>E31+D31+C31+B31</f>
        <v>0</v>
      </c>
      <c r="G31" s="120"/>
      <c r="H31" s="120">
        <f>F31-G31</f>
        <v>0</v>
      </c>
    </row>
    <row r="32" spans="1:8" ht="30.75" customHeight="1">
      <c r="A32" s="17" t="s">
        <v>46</v>
      </c>
      <c r="B32" s="107">
        <f>SUM(B14,B29)</f>
        <v>53663</v>
      </c>
      <c r="C32" s="107">
        <f>SUM(C14,C29)</f>
        <v>30747</v>
      </c>
      <c r="D32" s="107">
        <f>SUM(D14,D29)</f>
        <v>64395</v>
      </c>
      <c r="E32" s="107">
        <f>SUM(E14,E29)</f>
        <v>849126</v>
      </c>
      <c r="F32" s="103">
        <f>E32+D32+C32+B32</f>
        <v>997931</v>
      </c>
      <c r="G32" s="107">
        <f>SUM(G14,G29)</f>
        <v>147026</v>
      </c>
      <c r="H32" s="103">
        <f t="shared" si="1"/>
        <v>850905</v>
      </c>
    </row>
    <row r="33" spans="1:8" ht="16.5">
      <c r="A33" s="11" t="s">
        <v>328</v>
      </c>
      <c r="B33" s="168">
        <v>0</v>
      </c>
      <c r="C33" s="168">
        <v>0</v>
      </c>
      <c r="D33" s="168">
        <v>0</v>
      </c>
      <c r="E33" s="168">
        <v>9</v>
      </c>
      <c r="F33" s="103">
        <f>E33+D33+C33+B33</f>
        <v>9</v>
      </c>
      <c r="G33" s="107">
        <f>SUM(G15,G30)</f>
        <v>0</v>
      </c>
      <c r="H33" s="103">
        <f t="shared" si="1"/>
        <v>9</v>
      </c>
    </row>
    <row r="34" spans="1:8" ht="16.5">
      <c r="A34" s="11" t="s">
        <v>329</v>
      </c>
      <c r="B34" s="168">
        <v>16</v>
      </c>
      <c r="C34" s="168">
        <v>5</v>
      </c>
      <c r="D34" s="168">
        <v>9</v>
      </c>
      <c r="E34" s="168">
        <v>27</v>
      </c>
      <c r="F34" s="103">
        <f>E34+D34+C34+B34</f>
        <v>57</v>
      </c>
      <c r="G34" s="107">
        <f>SUM(G16,G31)</f>
        <v>0</v>
      </c>
      <c r="H34" s="103">
        <f t="shared" si="1"/>
        <v>57</v>
      </c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2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6.57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</cols>
  <sheetData>
    <row r="1" ht="12.75">
      <c r="A1" t="s">
        <v>442</v>
      </c>
    </row>
    <row r="2" ht="12.75">
      <c r="A2" t="s">
        <v>443</v>
      </c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  <c r="I4" s="2"/>
      <c r="J4" s="2"/>
    </row>
    <row r="5" spans="1:10" ht="16.5">
      <c r="A5" s="14" t="s">
        <v>383</v>
      </c>
      <c r="B5" s="103"/>
      <c r="C5" s="21"/>
      <c r="D5" s="21"/>
      <c r="E5" s="103">
        <v>73391</v>
      </c>
      <c r="F5" s="119">
        <f>SUM(B5:E5)</f>
        <v>73391</v>
      </c>
      <c r="G5" s="21"/>
      <c r="H5" s="119">
        <f>F5-G5</f>
        <v>73391</v>
      </c>
      <c r="I5" s="2"/>
      <c r="J5" s="2"/>
    </row>
    <row r="6" spans="1:10" ht="30">
      <c r="A6" s="189" t="s">
        <v>384</v>
      </c>
      <c r="B6" s="103"/>
      <c r="C6" s="21"/>
      <c r="D6" s="21"/>
      <c r="E6" s="103">
        <v>148860</v>
      </c>
      <c r="F6" s="119">
        <f>SUM(B6:E6)</f>
        <v>148860</v>
      </c>
      <c r="G6" s="21"/>
      <c r="H6" s="119">
        <f>F6-G6</f>
        <v>148860</v>
      </c>
      <c r="I6" s="2"/>
      <c r="J6" s="2"/>
    </row>
    <row r="7" spans="1:10" ht="32.25">
      <c r="A7" s="181" t="s">
        <v>41</v>
      </c>
      <c r="B7" s="103"/>
      <c r="C7" s="21"/>
      <c r="D7" s="21"/>
      <c r="E7" s="103">
        <v>36490</v>
      </c>
      <c r="F7" s="119">
        <f>SUM(B7:E7)</f>
        <v>36490</v>
      </c>
      <c r="G7" s="21"/>
      <c r="H7" s="119">
        <f>F7-G7</f>
        <v>36490</v>
      </c>
      <c r="I7" s="2"/>
      <c r="J7" s="2"/>
    </row>
    <row r="8" spans="1:10" ht="16.5">
      <c r="A8" s="15" t="s">
        <v>40</v>
      </c>
      <c r="B8" s="103"/>
      <c r="C8" s="21"/>
      <c r="D8" s="21"/>
      <c r="E8" s="103">
        <v>50000</v>
      </c>
      <c r="F8" s="119">
        <f>SUM(B8:E8)</f>
        <v>50000</v>
      </c>
      <c r="G8" s="21"/>
      <c r="H8" s="119">
        <f>F8-G8</f>
        <v>50000</v>
      </c>
      <c r="I8" s="2"/>
      <c r="J8" s="2"/>
    </row>
    <row r="9" spans="1:10" ht="16.5">
      <c r="A9" s="15" t="s">
        <v>11</v>
      </c>
      <c r="B9" s="147">
        <f>'1. bevételek össz'!B25</f>
        <v>924</v>
      </c>
      <c r="C9" s="147">
        <f>'1. bevételek össz'!C25</f>
        <v>4826</v>
      </c>
      <c r="D9" s="147">
        <f>'1. bevételek össz'!D25</f>
        <v>635</v>
      </c>
      <c r="E9" s="21"/>
      <c r="F9" s="119">
        <f>SUM(B9:E9)</f>
        <v>6385</v>
      </c>
      <c r="G9" s="119">
        <f>F9</f>
        <v>6385</v>
      </c>
      <c r="H9" s="119">
        <f>F9-G9</f>
        <v>0</v>
      </c>
      <c r="I9" s="2"/>
      <c r="J9" s="2"/>
    </row>
    <row r="10" spans="1:10" ht="16.5">
      <c r="A10" s="63" t="s">
        <v>190</v>
      </c>
      <c r="B10" s="119">
        <f>SUM(B5:B9)</f>
        <v>924</v>
      </c>
      <c r="C10" s="119">
        <f aca="true" t="shared" si="0" ref="C10:H10">SUM(C5:C9)</f>
        <v>4826</v>
      </c>
      <c r="D10" s="119">
        <f t="shared" si="0"/>
        <v>635</v>
      </c>
      <c r="E10" s="119">
        <f t="shared" si="0"/>
        <v>308741</v>
      </c>
      <c r="F10" s="119">
        <f t="shared" si="0"/>
        <v>315126</v>
      </c>
      <c r="G10" s="119">
        <f t="shared" si="0"/>
        <v>6385</v>
      </c>
      <c r="H10" s="119">
        <f t="shared" si="0"/>
        <v>308741</v>
      </c>
      <c r="I10" s="2"/>
      <c r="J10" s="2"/>
    </row>
    <row r="11" spans="1:10" ht="16.5">
      <c r="A11" s="62"/>
      <c r="B11" s="2"/>
      <c r="C11" s="2"/>
      <c r="D11" s="2"/>
      <c r="E11" s="2"/>
      <c r="F11" s="2"/>
      <c r="G11" s="2"/>
      <c r="H11" s="2"/>
      <c r="I11" s="2"/>
      <c r="J11" s="2"/>
    </row>
    <row r="12" spans="1:10" ht="16.5">
      <c r="A12" s="62"/>
      <c r="B12" s="2"/>
      <c r="C12" s="2"/>
      <c r="D12" s="2"/>
      <c r="E12" s="2"/>
      <c r="F12" s="2"/>
      <c r="G12" s="2"/>
      <c r="H12" s="2"/>
      <c r="I12" s="2"/>
      <c r="J12" s="2"/>
    </row>
    <row r="13" spans="1:10" ht="60">
      <c r="A13" s="17" t="s">
        <v>48</v>
      </c>
      <c r="B13" s="110" t="s">
        <v>244</v>
      </c>
      <c r="C13" s="110" t="s">
        <v>245</v>
      </c>
      <c r="D13" s="110" t="s">
        <v>246</v>
      </c>
      <c r="E13" s="110" t="s">
        <v>247</v>
      </c>
      <c r="F13" s="111" t="s">
        <v>49</v>
      </c>
      <c r="G13" s="110" t="s">
        <v>294</v>
      </c>
      <c r="H13" s="112" t="s">
        <v>50</v>
      </c>
      <c r="I13" s="2"/>
      <c r="J13" s="2"/>
    </row>
    <row r="14" spans="1:10" ht="16.5">
      <c r="A14" s="14"/>
      <c r="B14" s="21"/>
      <c r="C14" s="21"/>
      <c r="D14" s="21"/>
      <c r="E14" s="21"/>
      <c r="F14" s="21"/>
      <c r="G14" s="21"/>
      <c r="H14" s="21"/>
      <c r="I14" s="2"/>
      <c r="J14" s="2"/>
    </row>
    <row r="15" spans="1:10" ht="16.5">
      <c r="A15" s="14"/>
      <c r="B15" s="21"/>
      <c r="C15" s="21"/>
      <c r="D15" s="21"/>
      <c r="E15" s="21"/>
      <c r="F15" s="21"/>
      <c r="G15" s="21"/>
      <c r="H15" s="21"/>
      <c r="I15" s="2"/>
      <c r="J15" s="2"/>
    </row>
    <row r="16" spans="1:10" ht="16.5">
      <c r="A16" s="14"/>
      <c r="B16" s="21"/>
      <c r="C16" s="21"/>
      <c r="D16" s="21"/>
      <c r="E16" s="21"/>
      <c r="F16" s="21"/>
      <c r="G16" s="21"/>
      <c r="H16" s="21"/>
      <c r="I16" s="2"/>
      <c r="J16" s="2"/>
    </row>
    <row r="17" spans="1:10" ht="16.5">
      <c r="A17" s="14"/>
      <c r="B17" s="21"/>
      <c r="C17" s="21"/>
      <c r="D17" s="21"/>
      <c r="E17" s="21"/>
      <c r="F17" s="21"/>
      <c r="G17" s="21"/>
      <c r="H17" s="21"/>
      <c r="I17" s="2"/>
      <c r="J17" s="2"/>
    </row>
    <row r="18" spans="1:10" ht="16.5">
      <c r="A18" s="14"/>
      <c r="B18" s="21"/>
      <c r="C18" s="21"/>
      <c r="D18" s="21"/>
      <c r="E18" s="21"/>
      <c r="F18" s="21"/>
      <c r="G18" s="21"/>
      <c r="H18" s="21"/>
      <c r="I18" s="2"/>
      <c r="J18" s="2"/>
    </row>
    <row r="19" spans="1:10" ht="16.5">
      <c r="A19" s="14"/>
      <c r="B19" s="21"/>
      <c r="C19" s="21"/>
      <c r="D19" s="21"/>
      <c r="E19" s="21"/>
      <c r="F19" s="21"/>
      <c r="G19" s="21"/>
      <c r="H19" s="21"/>
      <c r="I19" s="2"/>
      <c r="J19" s="2"/>
    </row>
    <row r="20" spans="1:10" ht="16.5">
      <c r="A20" s="23" t="s">
        <v>189</v>
      </c>
      <c r="B20" s="21"/>
      <c r="C20" s="21"/>
      <c r="D20" s="21"/>
      <c r="E20" s="21"/>
      <c r="F20" s="21"/>
      <c r="G20" s="21"/>
      <c r="H20" s="21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</sheetData>
  <sheetProtection/>
  <printOptions/>
  <pageMargins left="0.75" right="0.75" top="0.77" bottom="0.79" header="0.5" footer="0.5"/>
  <pageSetup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1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7.8515625" style="0" bestFit="1" customWidth="1"/>
    <col min="2" max="2" width="16.57421875" style="0" customWidth="1"/>
    <col min="3" max="3" width="17.7109375" style="0" customWidth="1"/>
    <col min="4" max="4" width="19.140625" style="0" customWidth="1"/>
    <col min="5" max="5" width="17.140625" style="0" customWidth="1"/>
    <col min="6" max="6" width="19.8515625" style="0" customWidth="1"/>
    <col min="7" max="7" width="22.28125" style="0" customWidth="1"/>
    <col min="8" max="8" width="22.140625" style="0" customWidth="1"/>
  </cols>
  <sheetData>
    <row r="1" ht="12.75">
      <c r="A1" t="s">
        <v>444</v>
      </c>
    </row>
    <row r="2" ht="12.75">
      <c r="A2" t="s">
        <v>445</v>
      </c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45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  <c r="I4" s="2"/>
      <c r="J4" s="2"/>
    </row>
    <row r="5" spans="1:10" ht="15.75">
      <c r="A5" s="64" t="s">
        <v>191</v>
      </c>
      <c r="B5" s="21"/>
      <c r="C5" s="21">
        <v>1</v>
      </c>
      <c r="D5" s="21"/>
      <c r="E5" s="21">
        <v>6</v>
      </c>
      <c r="F5" s="46">
        <f>SUM(B5+C5+D5+E5)</f>
        <v>7</v>
      </c>
      <c r="G5" s="21">
        <v>0</v>
      </c>
      <c r="H5" s="46">
        <f>F5-G5</f>
        <v>7</v>
      </c>
      <c r="I5" s="2"/>
      <c r="J5" s="2"/>
    </row>
    <row r="6" spans="1:10" ht="15.75">
      <c r="A6" s="64" t="s">
        <v>192</v>
      </c>
      <c r="B6" s="21">
        <v>15</v>
      </c>
      <c r="C6" s="21">
        <v>4</v>
      </c>
      <c r="D6" s="21"/>
      <c r="E6" s="21">
        <v>8</v>
      </c>
      <c r="F6" s="46">
        <f aca="true" t="shared" si="0" ref="F6:F11">SUM(B6+C6+D6+E6)</f>
        <v>27</v>
      </c>
      <c r="G6" s="21">
        <v>0</v>
      </c>
      <c r="H6" s="46">
        <f aca="true" t="shared" si="1" ref="H6:H11">F6-G6</f>
        <v>27</v>
      </c>
      <c r="I6" s="2"/>
      <c r="J6" s="2"/>
    </row>
    <row r="7" spans="1:10" ht="15.75">
      <c r="A7" s="64" t="s">
        <v>193</v>
      </c>
      <c r="B7" s="21"/>
      <c r="C7" s="21"/>
      <c r="D7" s="21"/>
      <c r="E7" s="21"/>
      <c r="F7" s="46">
        <f t="shared" si="0"/>
        <v>0</v>
      </c>
      <c r="G7" s="21">
        <v>0</v>
      </c>
      <c r="H7" s="46">
        <f t="shared" si="1"/>
        <v>0</v>
      </c>
      <c r="I7" s="2"/>
      <c r="J7" s="2"/>
    </row>
    <row r="8" spans="1:10" ht="15.75">
      <c r="A8" s="64" t="s">
        <v>194</v>
      </c>
      <c r="B8" s="21"/>
      <c r="C8" s="21"/>
      <c r="D8" s="21">
        <v>8</v>
      </c>
      <c r="E8" s="21">
        <v>1</v>
      </c>
      <c r="F8" s="46">
        <f t="shared" si="0"/>
        <v>9</v>
      </c>
      <c r="G8" s="21">
        <v>0</v>
      </c>
      <c r="H8" s="46">
        <f t="shared" si="1"/>
        <v>9</v>
      </c>
      <c r="I8" s="2"/>
      <c r="J8" s="2"/>
    </row>
    <row r="9" spans="1:10" ht="15.75">
      <c r="A9" s="64" t="s">
        <v>195</v>
      </c>
      <c r="B9" s="21">
        <v>1</v>
      </c>
      <c r="C9" s="21"/>
      <c r="D9" s="21"/>
      <c r="E9" s="21">
        <v>12</v>
      </c>
      <c r="F9" s="46">
        <f t="shared" si="0"/>
        <v>13</v>
      </c>
      <c r="G9" s="21">
        <v>0</v>
      </c>
      <c r="H9" s="46">
        <f t="shared" si="1"/>
        <v>13</v>
      </c>
      <c r="I9" s="2"/>
      <c r="J9" s="2"/>
    </row>
    <row r="10" spans="1:10" ht="15.75">
      <c r="A10" s="64" t="s">
        <v>196</v>
      </c>
      <c r="B10" s="21"/>
      <c r="C10" s="21"/>
      <c r="D10" s="21">
        <v>1</v>
      </c>
      <c r="E10" s="21"/>
      <c r="F10" s="46">
        <f t="shared" si="0"/>
        <v>1</v>
      </c>
      <c r="G10" s="21">
        <v>0</v>
      </c>
      <c r="H10" s="46">
        <f t="shared" si="1"/>
        <v>1</v>
      </c>
      <c r="I10" s="2"/>
      <c r="J10" s="2"/>
    </row>
    <row r="11" spans="1:10" ht="15.75">
      <c r="A11" s="64" t="s">
        <v>197</v>
      </c>
      <c r="B11" s="21"/>
      <c r="C11" s="21"/>
      <c r="D11" s="21"/>
      <c r="E11" s="21">
        <v>9</v>
      </c>
      <c r="F11" s="46">
        <f t="shared" si="0"/>
        <v>9</v>
      </c>
      <c r="G11" s="21">
        <v>0</v>
      </c>
      <c r="H11" s="46">
        <f t="shared" si="1"/>
        <v>9</v>
      </c>
      <c r="I11" s="2"/>
      <c r="J11" s="2"/>
    </row>
    <row r="12" spans="1:10" ht="16.5">
      <c r="A12" s="16" t="s">
        <v>100</v>
      </c>
      <c r="B12" s="21">
        <f>SUM(B5:B11)</f>
        <v>16</v>
      </c>
      <c r="C12" s="21">
        <f aca="true" t="shared" si="2" ref="C12:H12">SUM(C5:C11)</f>
        <v>5</v>
      </c>
      <c r="D12" s="21">
        <f t="shared" si="2"/>
        <v>9</v>
      </c>
      <c r="E12" s="21">
        <f t="shared" si="2"/>
        <v>36</v>
      </c>
      <c r="F12" s="46">
        <f t="shared" si="2"/>
        <v>66</v>
      </c>
      <c r="G12" s="21">
        <f t="shared" si="2"/>
        <v>0</v>
      </c>
      <c r="H12" s="46">
        <f t="shared" si="2"/>
        <v>66</v>
      </c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3.28125" style="263" customWidth="1"/>
    <col min="2" max="2" width="17.140625" style="277" customWidth="1"/>
    <col min="3" max="16384" width="9.140625" style="263" customWidth="1"/>
  </cols>
  <sheetData>
    <row r="1" spans="1:5" ht="15">
      <c r="A1" s="260" t="s">
        <v>446</v>
      </c>
      <c r="B1" s="261"/>
      <c r="C1" s="262"/>
      <c r="D1" s="262"/>
      <c r="E1" s="262"/>
    </row>
    <row r="2" spans="1:5" ht="15">
      <c r="A2" s="260" t="s">
        <v>481</v>
      </c>
      <c r="B2" s="264"/>
      <c r="C2" s="265"/>
      <c r="D2" s="265"/>
      <c r="E2" s="265"/>
    </row>
    <row r="3" spans="1:5" ht="18">
      <c r="A3" s="266"/>
      <c r="B3" s="267"/>
      <c r="C3" s="265"/>
      <c r="D3" s="265"/>
      <c r="E3" s="265"/>
    </row>
    <row r="4" spans="1:5" ht="25.5" customHeight="1">
      <c r="A4" s="266"/>
      <c r="B4" s="267"/>
      <c r="C4" s="265"/>
      <c r="D4" s="265"/>
      <c r="E4" s="265"/>
    </row>
    <row r="5" spans="1:2" ht="59.25" customHeight="1">
      <c r="A5" s="268" t="s">
        <v>317</v>
      </c>
      <c r="B5" s="110" t="s">
        <v>482</v>
      </c>
    </row>
    <row r="6" spans="1:2" ht="15">
      <c r="A6" s="269" t="s">
        <v>483</v>
      </c>
      <c r="B6" s="270">
        <f>39989+6575</f>
        <v>46564</v>
      </c>
    </row>
    <row r="7" spans="1:2" ht="30">
      <c r="A7" s="269" t="s">
        <v>484</v>
      </c>
      <c r="B7" s="270">
        <f>38008-1728-3240</f>
        <v>33040</v>
      </c>
    </row>
    <row r="8" spans="1:2" ht="15">
      <c r="A8" s="269" t="s">
        <v>485</v>
      </c>
      <c r="B8" s="270">
        <f>3240+1728-18</f>
        <v>4950</v>
      </c>
    </row>
    <row r="9" spans="1:2" ht="15">
      <c r="A9" s="269" t="s">
        <v>486</v>
      </c>
      <c r="B9" s="270">
        <v>14178</v>
      </c>
    </row>
    <row r="10" spans="1:2" ht="30">
      <c r="A10" s="269" t="s">
        <v>487</v>
      </c>
      <c r="B10" s="270"/>
    </row>
    <row r="11" spans="1:2" ht="15">
      <c r="A11" s="269" t="s">
        <v>488</v>
      </c>
      <c r="B11" s="270">
        <v>3227</v>
      </c>
    </row>
    <row r="12" spans="1:2" ht="15">
      <c r="A12" s="269" t="s">
        <v>489</v>
      </c>
      <c r="B12" s="270">
        <v>2751</v>
      </c>
    </row>
    <row r="13" spans="1:2" ht="15">
      <c r="A13" s="269" t="s">
        <v>490</v>
      </c>
      <c r="B13" s="270">
        <v>2491</v>
      </c>
    </row>
    <row r="14" spans="1:2" ht="45">
      <c r="A14" s="269" t="s">
        <v>491</v>
      </c>
      <c r="B14" s="270"/>
    </row>
    <row r="15" spans="1:2" ht="15">
      <c r="A15" s="269" t="s">
        <v>492</v>
      </c>
      <c r="B15" s="270">
        <v>2776</v>
      </c>
    </row>
    <row r="16" spans="1:2" ht="30">
      <c r="A16" s="269" t="s">
        <v>493</v>
      </c>
      <c r="B16" s="270"/>
    </row>
    <row r="17" spans="1:2" ht="15">
      <c r="A17" s="269" t="s">
        <v>494</v>
      </c>
      <c r="B17" s="270"/>
    </row>
    <row r="18" spans="1:2" ht="15">
      <c r="A18" s="269" t="s">
        <v>495</v>
      </c>
      <c r="B18" s="270"/>
    </row>
    <row r="19" spans="1:2" ht="15">
      <c r="A19" s="269" t="s">
        <v>496</v>
      </c>
      <c r="B19" s="270">
        <v>12471</v>
      </c>
    </row>
    <row r="20" spans="1:2" ht="15">
      <c r="A20" s="269" t="s">
        <v>497</v>
      </c>
      <c r="B20" s="270"/>
    </row>
    <row r="21" spans="1:2" ht="45">
      <c r="A21" s="269" t="s">
        <v>498</v>
      </c>
      <c r="B21" s="270"/>
    </row>
    <row r="22" spans="1:2" ht="15">
      <c r="A22" s="269" t="s">
        <v>499</v>
      </c>
      <c r="B22" s="270">
        <f>9788</f>
        <v>9788</v>
      </c>
    </row>
    <row r="23" spans="1:2" ht="15">
      <c r="A23" s="271" t="s">
        <v>500</v>
      </c>
      <c r="B23" s="272">
        <f>SUM(B6:B22)</f>
        <v>132236</v>
      </c>
    </row>
    <row r="24" spans="1:2" ht="15">
      <c r="A24" s="271" t="s">
        <v>501</v>
      </c>
      <c r="B24" s="272"/>
    </row>
    <row r="25" spans="1:2" ht="15">
      <c r="A25" s="269" t="s">
        <v>502</v>
      </c>
      <c r="B25" s="270"/>
    </row>
    <row r="26" spans="1:2" ht="15">
      <c r="A26" s="269" t="s">
        <v>503</v>
      </c>
      <c r="B26" s="270"/>
    </row>
    <row r="27" spans="1:2" ht="15">
      <c r="A27" s="269" t="s">
        <v>504</v>
      </c>
      <c r="B27" s="270">
        <v>3595</v>
      </c>
    </row>
    <row r="28" spans="1:3" ht="15">
      <c r="A28" s="273" t="s">
        <v>505</v>
      </c>
      <c r="B28" s="274">
        <f>2608+13631+29407+2800</f>
        <v>48446</v>
      </c>
      <c r="C28" s="275"/>
    </row>
    <row r="29" spans="1:3" ht="15">
      <c r="A29" s="273" t="s">
        <v>506</v>
      </c>
      <c r="B29" s="274">
        <v>460</v>
      </c>
      <c r="C29" s="275"/>
    </row>
    <row r="30" spans="1:3" ht="15">
      <c r="A30" s="271" t="s">
        <v>507</v>
      </c>
      <c r="B30" s="272">
        <f>SUM(B24:B29)</f>
        <v>52501</v>
      </c>
      <c r="C30" s="275"/>
    </row>
    <row r="31" spans="1:3" ht="15">
      <c r="A31" s="275"/>
      <c r="B31" s="276"/>
      <c r="C31" s="275"/>
    </row>
    <row r="32" spans="1:3" ht="15">
      <c r="A32" s="275"/>
      <c r="B32" s="276"/>
      <c r="C32" s="275"/>
    </row>
    <row r="33" spans="1:3" ht="15">
      <c r="A33" s="275"/>
      <c r="B33" s="276"/>
      <c r="C33" s="2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1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8.421875" style="0" customWidth="1"/>
    <col min="2" max="4" width="22.28125" style="108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ht="12.75">
      <c r="A1" t="s">
        <v>452</v>
      </c>
    </row>
    <row r="2" spans="1:6" ht="15">
      <c r="A2" s="226" t="s">
        <v>453</v>
      </c>
      <c r="B2" s="113"/>
      <c r="C2" s="113"/>
      <c r="D2" s="113"/>
      <c r="E2" s="2"/>
      <c r="F2" s="2"/>
    </row>
    <row r="3" spans="1:11" ht="15.75" thickBot="1">
      <c r="A3" s="2"/>
      <c r="B3" s="113"/>
      <c r="C3" s="113"/>
      <c r="D3" s="113"/>
      <c r="E3" s="2"/>
      <c r="F3" s="2"/>
      <c r="G3" s="2"/>
      <c r="H3" s="2"/>
      <c r="I3" s="2"/>
      <c r="J3" s="2"/>
      <c r="K3" s="2"/>
    </row>
    <row r="4" spans="1:11" ht="27">
      <c r="A4" s="70" t="s">
        <v>206</v>
      </c>
      <c r="B4" s="212" t="s">
        <v>207</v>
      </c>
      <c r="C4" s="212" t="s">
        <v>208</v>
      </c>
      <c r="D4" s="213" t="s">
        <v>209</v>
      </c>
      <c r="E4" s="2"/>
      <c r="F4" s="2"/>
      <c r="G4" s="2"/>
      <c r="H4" s="2"/>
      <c r="I4" s="2"/>
      <c r="J4" s="2"/>
      <c r="K4" s="2"/>
    </row>
    <row r="5" spans="1:11" ht="15.75">
      <c r="A5" s="71" t="s">
        <v>448</v>
      </c>
      <c r="B5" s="88">
        <v>150000</v>
      </c>
      <c r="C5" s="88">
        <v>150000</v>
      </c>
      <c r="D5" s="214"/>
      <c r="E5" s="2"/>
      <c r="F5" s="2"/>
      <c r="G5" s="2"/>
      <c r="H5" s="2"/>
      <c r="I5" s="2"/>
      <c r="J5" s="2"/>
      <c r="K5" s="2"/>
    </row>
    <row r="6" spans="1:11" ht="15.75">
      <c r="A6" s="71" t="s">
        <v>449</v>
      </c>
      <c r="B6" s="88">
        <v>250000</v>
      </c>
      <c r="C6" s="88">
        <v>250000</v>
      </c>
      <c r="D6" s="214"/>
      <c r="E6" s="2"/>
      <c r="F6" s="2"/>
      <c r="G6" s="2"/>
      <c r="H6" s="2"/>
      <c r="I6" s="2"/>
      <c r="J6" s="2"/>
      <c r="K6" s="2"/>
    </row>
    <row r="7" spans="1:11" ht="15.75">
      <c r="A7" s="72" t="s">
        <v>450</v>
      </c>
      <c r="B7" s="88">
        <v>180000</v>
      </c>
      <c r="C7" s="88">
        <v>180000</v>
      </c>
      <c r="D7" s="214"/>
      <c r="E7" s="2"/>
      <c r="F7" s="2"/>
      <c r="G7" s="2"/>
      <c r="H7" s="2"/>
      <c r="I7" s="2"/>
      <c r="J7" s="2"/>
      <c r="K7" s="2"/>
    </row>
    <row r="8" spans="1:11" ht="15.75">
      <c r="A8" s="71" t="s">
        <v>451</v>
      </c>
      <c r="B8" s="88">
        <v>600000</v>
      </c>
      <c r="C8" s="88">
        <v>600000</v>
      </c>
      <c r="D8" s="214"/>
      <c r="E8" s="2"/>
      <c r="F8" s="2"/>
      <c r="G8" s="2"/>
      <c r="H8" s="2"/>
      <c r="I8" s="2"/>
      <c r="J8" s="2"/>
      <c r="K8" s="2"/>
    </row>
    <row r="9" spans="1:11" ht="15.75">
      <c r="A9" s="71"/>
      <c r="B9" s="88"/>
      <c r="C9" s="88"/>
      <c r="D9" s="214"/>
      <c r="E9" s="2"/>
      <c r="F9" s="2"/>
      <c r="G9" s="2"/>
      <c r="H9" s="2"/>
      <c r="I9" s="2"/>
      <c r="J9" s="2"/>
      <c r="K9" s="2"/>
    </row>
    <row r="10" spans="1:11" ht="15.75">
      <c r="A10" s="73"/>
      <c r="B10" s="88"/>
      <c r="C10" s="88"/>
      <c r="D10" s="214"/>
      <c r="E10" s="2"/>
      <c r="F10" s="2"/>
      <c r="G10" s="2"/>
      <c r="H10" s="2"/>
      <c r="I10" s="2"/>
      <c r="J10" s="2"/>
      <c r="K10" s="2"/>
    </row>
    <row r="11" spans="1:11" ht="17.25" thickBot="1">
      <c r="A11" s="74" t="s">
        <v>210</v>
      </c>
      <c r="B11" s="215">
        <f>SUM(B5:B10)</f>
        <v>1180000</v>
      </c>
      <c r="C11" s="215">
        <f>SUM(C5:C10)</f>
        <v>1180000</v>
      </c>
      <c r="D11" s="216"/>
      <c r="E11" s="2"/>
      <c r="F11" s="2"/>
      <c r="G11" s="2"/>
      <c r="H11" s="2"/>
      <c r="I11" s="2"/>
      <c r="J11" s="2"/>
      <c r="K11" s="2"/>
    </row>
    <row r="12" spans="1:11" ht="16.5" thickBot="1">
      <c r="A12" s="310"/>
      <c r="B12" s="311"/>
      <c r="C12" s="311"/>
      <c r="D12" s="312"/>
      <c r="E12" s="2"/>
      <c r="F12" s="2"/>
      <c r="G12" s="2"/>
      <c r="H12" s="2"/>
      <c r="I12" s="2"/>
      <c r="J12" s="2"/>
      <c r="K12" s="2"/>
    </row>
    <row r="13" spans="1:11" ht="27">
      <c r="A13" s="70" t="s">
        <v>211</v>
      </c>
      <c r="B13" s="217" t="s">
        <v>207</v>
      </c>
      <c r="C13" s="212" t="s">
        <v>208</v>
      </c>
      <c r="D13" s="218" t="s">
        <v>209</v>
      </c>
      <c r="E13" s="2"/>
      <c r="F13" s="2"/>
      <c r="G13" s="2"/>
      <c r="H13" s="2"/>
      <c r="I13" s="2"/>
      <c r="J13" s="2"/>
      <c r="K13" s="2"/>
    </row>
    <row r="14" spans="1:11" ht="15">
      <c r="A14" s="75"/>
      <c r="B14" s="219"/>
      <c r="C14" s="219"/>
      <c r="D14" s="220"/>
      <c r="E14" s="2"/>
      <c r="F14" s="2"/>
      <c r="G14" s="2"/>
      <c r="H14" s="2"/>
      <c r="I14" s="2"/>
      <c r="J14" s="2"/>
      <c r="K14" s="2"/>
    </row>
    <row r="15" spans="1:11" ht="15">
      <c r="A15" s="75"/>
      <c r="B15" s="219"/>
      <c r="C15" s="219"/>
      <c r="D15" s="220"/>
      <c r="E15" s="2"/>
      <c r="F15" s="2"/>
      <c r="G15" s="2"/>
      <c r="H15" s="2"/>
      <c r="I15" s="2"/>
      <c r="J15" s="2"/>
      <c r="K15" s="2"/>
    </row>
    <row r="16" spans="1:11" ht="15.75">
      <c r="A16" s="76"/>
      <c r="B16" s="88"/>
      <c r="C16" s="88"/>
      <c r="D16" s="214"/>
      <c r="E16" s="2"/>
      <c r="F16" s="2"/>
      <c r="G16" s="2"/>
      <c r="H16" s="2"/>
      <c r="I16" s="2"/>
      <c r="J16" s="2"/>
      <c r="K16" s="2"/>
    </row>
    <row r="17" spans="1:11" ht="15.75">
      <c r="A17" s="76"/>
      <c r="B17" s="88"/>
      <c r="C17" s="88"/>
      <c r="D17" s="214"/>
      <c r="E17" s="2"/>
      <c r="F17" s="2"/>
      <c r="G17" s="2"/>
      <c r="H17" s="2"/>
      <c r="I17" s="2"/>
      <c r="J17" s="2"/>
      <c r="K17" s="2"/>
    </row>
    <row r="18" spans="1:11" ht="16.5" thickBot="1">
      <c r="A18" s="77" t="s">
        <v>212</v>
      </c>
      <c r="B18" s="221">
        <f>SUM(B14:B17)</f>
        <v>0</v>
      </c>
      <c r="C18" s="221">
        <f>SUM(C14:C17)</f>
        <v>0</v>
      </c>
      <c r="D18" s="222"/>
      <c r="E18" s="2"/>
      <c r="F18" s="2"/>
      <c r="G18" s="2"/>
      <c r="H18" s="2"/>
      <c r="I18" s="2"/>
      <c r="J18" s="2"/>
      <c r="K18" s="2"/>
    </row>
    <row r="19" spans="1:11" ht="16.5" thickBot="1">
      <c r="A19" s="310"/>
      <c r="B19" s="311"/>
      <c r="C19" s="311"/>
      <c r="D19" s="312"/>
      <c r="E19" s="2"/>
      <c r="F19" s="2"/>
      <c r="G19" s="2"/>
      <c r="H19" s="2"/>
      <c r="I19" s="2"/>
      <c r="J19" s="2"/>
      <c r="K19" s="2"/>
    </row>
    <row r="20" spans="1:11" ht="27">
      <c r="A20" s="70" t="s">
        <v>213</v>
      </c>
      <c r="B20" s="217" t="s">
        <v>207</v>
      </c>
      <c r="C20" s="212" t="s">
        <v>208</v>
      </c>
      <c r="D20" s="218" t="s">
        <v>209</v>
      </c>
      <c r="E20" s="2"/>
      <c r="F20" s="2"/>
      <c r="G20" s="2"/>
      <c r="H20" s="2"/>
      <c r="I20" s="2"/>
      <c r="J20" s="2"/>
      <c r="K20" s="2"/>
    </row>
    <row r="21" spans="1:11" ht="15.75">
      <c r="A21" s="237" t="s">
        <v>325</v>
      </c>
      <c r="B21" s="88">
        <v>1120000</v>
      </c>
      <c r="C21" s="88">
        <v>1120000</v>
      </c>
      <c r="D21" s="214"/>
      <c r="E21" s="2"/>
      <c r="F21" s="2"/>
      <c r="G21" s="2"/>
      <c r="H21" s="2"/>
      <c r="I21" s="2"/>
      <c r="J21" s="2"/>
      <c r="K21" s="2"/>
    </row>
    <row r="22" spans="1:11" ht="15.75">
      <c r="A22" s="78"/>
      <c r="B22" s="88"/>
      <c r="C22" s="88"/>
      <c r="D22" s="214"/>
      <c r="E22" s="2"/>
      <c r="F22" s="2"/>
      <c r="G22" s="2"/>
      <c r="H22" s="2"/>
      <c r="I22" s="2"/>
      <c r="J22" s="2"/>
      <c r="K22" s="2"/>
    </row>
    <row r="23" spans="1:11" ht="15.75">
      <c r="A23" s="76"/>
      <c r="B23" s="88"/>
      <c r="C23" s="88"/>
      <c r="D23" s="214"/>
      <c r="E23" s="2"/>
      <c r="F23" s="2"/>
      <c r="G23" s="2"/>
      <c r="H23" s="2"/>
      <c r="I23" s="2"/>
      <c r="J23" s="2"/>
      <c r="K23" s="2"/>
    </row>
    <row r="24" spans="1:11" ht="15.75">
      <c r="A24" s="76"/>
      <c r="B24" s="88"/>
      <c r="C24" s="88"/>
      <c r="D24" s="214"/>
      <c r="E24" s="2"/>
      <c r="F24" s="2"/>
      <c r="G24" s="2"/>
      <c r="H24" s="2"/>
      <c r="I24" s="2"/>
      <c r="J24" s="2"/>
      <c r="K24" s="2"/>
    </row>
    <row r="25" spans="1:11" ht="17.25" thickBot="1">
      <c r="A25" s="74" t="s">
        <v>214</v>
      </c>
      <c r="B25" s="215">
        <f>SUM(B21:B24)</f>
        <v>1120000</v>
      </c>
      <c r="C25" s="215">
        <f>SUM(C21:C24)</f>
        <v>1120000</v>
      </c>
      <c r="D25" s="223"/>
      <c r="E25" s="2"/>
      <c r="F25" s="2"/>
      <c r="G25" s="2"/>
      <c r="H25" s="2"/>
      <c r="I25" s="2"/>
      <c r="J25" s="2"/>
      <c r="K25" s="2"/>
    </row>
    <row r="26" spans="1:11" ht="17.25" thickBot="1">
      <c r="A26" s="313"/>
      <c r="B26" s="314"/>
      <c r="C26" s="314"/>
      <c r="D26" s="315"/>
      <c r="E26" s="2"/>
      <c r="F26" s="2"/>
      <c r="G26" s="2"/>
      <c r="H26" s="2"/>
      <c r="I26" s="2"/>
      <c r="J26" s="2"/>
      <c r="K26" s="2"/>
    </row>
    <row r="27" spans="1:11" ht="27">
      <c r="A27" s="79" t="s">
        <v>215</v>
      </c>
      <c r="B27" s="217" t="s">
        <v>207</v>
      </c>
      <c r="C27" s="212" t="s">
        <v>208</v>
      </c>
      <c r="D27" s="218" t="s">
        <v>209</v>
      </c>
      <c r="E27" s="2"/>
      <c r="F27" s="2"/>
      <c r="G27" s="2"/>
      <c r="H27" s="2"/>
      <c r="I27" s="2"/>
      <c r="J27" s="2"/>
      <c r="K27" s="2"/>
    </row>
    <row r="28" spans="1:11" ht="16.5">
      <c r="A28" s="235" t="s">
        <v>454</v>
      </c>
      <c r="B28" s="236">
        <v>150000</v>
      </c>
      <c r="C28" s="236">
        <v>150000</v>
      </c>
      <c r="D28" s="225"/>
      <c r="E28" s="2"/>
      <c r="F28" s="2"/>
      <c r="G28" s="2"/>
      <c r="H28" s="2"/>
      <c r="I28" s="2"/>
      <c r="J28" s="2"/>
      <c r="K28" s="2"/>
    </row>
    <row r="29" spans="1:11" ht="16.5">
      <c r="A29" s="235" t="s">
        <v>455</v>
      </c>
      <c r="B29" s="236">
        <v>150000</v>
      </c>
      <c r="C29" s="236">
        <v>150000</v>
      </c>
      <c r="D29" s="225"/>
      <c r="E29" s="2"/>
      <c r="F29" s="2"/>
      <c r="G29" s="2"/>
      <c r="H29" s="2"/>
      <c r="I29" s="2"/>
      <c r="J29" s="2"/>
      <c r="K29" s="2"/>
    </row>
    <row r="30" spans="1:11" ht="16.5">
      <c r="A30" s="80"/>
      <c r="B30" s="224"/>
      <c r="C30" s="224"/>
      <c r="D30" s="225"/>
      <c r="E30" s="2"/>
      <c r="F30" s="2"/>
      <c r="G30" s="2"/>
      <c r="H30" s="2"/>
      <c r="I30" s="2"/>
      <c r="J30" s="2"/>
      <c r="K30" s="2"/>
    </row>
    <row r="31" spans="1:11" ht="16.5">
      <c r="A31" s="80"/>
      <c r="B31" s="224"/>
      <c r="C31" s="224"/>
      <c r="D31" s="225"/>
      <c r="E31" s="2"/>
      <c r="F31" s="2"/>
      <c r="G31" s="2"/>
      <c r="H31" s="2"/>
      <c r="I31" s="2"/>
      <c r="J31" s="2"/>
      <c r="K31" s="2"/>
    </row>
    <row r="32" spans="1:11" ht="17.25" thickBot="1">
      <c r="A32" s="74" t="s">
        <v>216</v>
      </c>
      <c r="B32" s="215">
        <f>SUM(B28:B31)</f>
        <v>300000</v>
      </c>
      <c r="C32" s="215">
        <f>SUM(C28:C31)</f>
        <v>300000</v>
      </c>
      <c r="D32" s="223"/>
      <c r="E32" s="2"/>
      <c r="F32" s="2"/>
      <c r="G32" s="2"/>
      <c r="H32" s="2"/>
      <c r="I32" s="2"/>
      <c r="J32" s="2"/>
      <c r="K32" s="2"/>
    </row>
    <row r="33" spans="1:11" ht="16.5" thickBot="1">
      <c r="A33" s="310"/>
      <c r="B33" s="311"/>
      <c r="C33" s="311"/>
      <c r="D33" s="312"/>
      <c r="E33" s="2"/>
      <c r="F33" s="2"/>
      <c r="G33" s="2"/>
      <c r="H33" s="2"/>
      <c r="I33" s="2"/>
      <c r="J33" s="2"/>
      <c r="K33" s="2"/>
    </row>
    <row r="34" spans="1:11" ht="27">
      <c r="A34" s="70" t="s">
        <v>217</v>
      </c>
      <c r="B34" s="217" t="s">
        <v>207</v>
      </c>
      <c r="C34" s="212" t="s">
        <v>208</v>
      </c>
      <c r="D34" s="218" t="s">
        <v>209</v>
      </c>
      <c r="E34" s="2"/>
      <c r="F34" s="2"/>
      <c r="G34" s="2"/>
      <c r="H34" s="2"/>
      <c r="I34" s="2"/>
      <c r="J34" s="2"/>
      <c r="K34" s="2"/>
    </row>
    <row r="35" spans="1:11" ht="15.75">
      <c r="A35" s="76" t="s">
        <v>218</v>
      </c>
      <c r="B35" s="88">
        <v>200000</v>
      </c>
      <c r="C35" s="88">
        <v>200000</v>
      </c>
      <c r="D35" s="214"/>
      <c r="E35" s="2"/>
      <c r="F35" s="2"/>
      <c r="G35" s="2"/>
      <c r="H35" s="2"/>
      <c r="I35" s="2"/>
      <c r="J35" s="2"/>
      <c r="K35" s="2"/>
    </row>
    <row r="36" spans="1:11" ht="15.75">
      <c r="A36" s="76" t="s">
        <v>219</v>
      </c>
      <c r="B36" s="88">
        <v>200000</v>
      </c>
      <c r="C36" s="88">
        <v>200000</v>
      </c>
      <c r="D36" s="214"/>
      <c r="E36" s="2"/>
      <c r="F36" s="2"/>
      <c r="G36" s="2"/>
      <c r="H36" s="2"/>
      <c r="I36" s="2"/>
      <c r="J36" s="2"/>
      <c r="K36" s="2"/>
    </row>
    <row r="37" spans="1:11" ht="15.75">
      <c r="A37" s="76"/>
      <c r="B37" s="88"/>
      <c r="C37" s="88"/>
      <c r="D37" s="214"/>
      <c r="E37" s="2"/>
      <c r="F37" s="2"/>
      <c r="G37" s="2"/>
      <c r="H37" s="2"/>
      <c r="I37" s="2"/>
      <c r="J37" s="2"/>
      <c r="K37" s="2"/>
    </row>
    <row r="38" spans="1:11" ht="15.75">
      <c r="A38" s="76"/>
      <c r="B38" s="88"/>
      <c r="C38" s="88"/>
      <c r="D38" s="214"/>
      <c r="E38" s="2"/>
      <c r="F38" s="2"/>
      <c r="G38" s="2"/>
      <c r="H38" s="2"/>
      <c r="I38" s="2"/>
      <c r="J38" s="2"/>
      <c r="K38" s="2"/>
    </row>
    <row r="39" spans="1:11" ht="16.5" thickBot="1">
      <c r="A39" s="77" t="s">
        <v>220</v>
      </c>
      <c r="B39" s="221">
        <f>SUM(B35:B38)</f>
        <v>400000</v>
      </c>
      <c r="C39" s="221">
        <f>SUM(C35:C38)</f>
        <v>400000</v>
      </c>
      <c r="D39" s="222"/>
      <c r="E39" s="2"/>
      <c r="F39" s="2"/>
      <c r="G39" s="2"/>
      <c r="H39" s="2"/>
      <c r="I39" s="2"/>
      <c r="J39" s="2"/>
      <c r="K39" s="2"/>
    </row>
    <row r="40" spans="1:11" ht="26.25" customHeight="1">
      <c r="A40" s="81" t="s">
        <v>205</v>
      </c>
      <c r="B40" s="227">
        <f>SUM(B11,B18,B25,B32,B39)</f>
        <v>3000000</v>
      </c>
      <c r="C40" s="227">
        <f>SUM(C11,C18,C25,C32,C39)</f>
        <v>3000000</v>
      </c>
      <c r="D40" s="227"/>
      <c r="E40" s="2"/>
      <c r="F40" s="2"/>
      <c r="G40" s="2"/>
      <c r="H40" s="2"/>
      <c r="I40" s="2"/>
      <c r="J40" s="2"/>
      <c r="K40" s="2"/>
    </row>
    <row r="41" spans="1:11" ht="15">
      <c r="A41" s="41"/>
      <c r="B41" s="117"/>
      <c r="C41" s="117"/>
      <c r="D41" s="117"/>
      <c r="E41" s="2"/>
      <c r="F41" s="2"/>
      <c r="G41" s="2"/>
      <c r="H41" s="2"/>
      <c r="I41" s="2"/>
      <c r="J41" s="2"/>
      <c r="K41" s="2"/>
    </row>
    <row r="42" spans="1:11" ht="29.25" customHeight="1">
      <c r="A42" s="3" t="s">
        <v>326</v>
      </c>
      <c r="B42" s="117"/>
      <c r="C42" s="117"/>
      <c r="D42" s="117"/>
      <c r="E42" s="2"/>
      <c r="F42" s="2"/>
      <c r="G42" s="2"/>
      <c r="H42" s="2"/>
      <c r="I42" s="2"/>
      <c r="J42" s="2"/>
      <c r="K42" s="2"/>
    </row>
    <row r="43" spans="1:11" ht="15">
      <c r="A43" s="2"/>
      <c r="B43" s="113"/>
      <c r="C43" s="113"/>
      <c r="D43" s="113"/>
      <c r="E43" s="2"/>
      <c r="F43" s="2"/>
      <c r="G43" s="2"/>
      <c r="H43" s="2"/>
      <c r="I43" s="2"/>
      <c r="J43" s="2"/>
      <c r="K43" s="2"/>
    </row>
    <row r="44" spans="1:11" ht="15">
      <c r="A44" s="2"/>
      <c r="B44" s="113"/>
      <c r="C44" s="113"/>
      <c r="D44" s="113"/>
      <c r="E44" s="2"/>
      <c r="F44" s="2"/>
      <c r="G44" s="2"/>
      <c r="H44" s="2"/>
      <c r="I44" s="2"/>
      <c r="J44" s="2"/>
      <c r="K44" s="2"/>
    </row>
    <row r="45" spans="1:11" ht="15">
      <c r="A45" s="2"/>
      <c r="B45" s="113"/>
      <c r="C45" s="113"/>
      <c r="D45" s="113"/>
      <c r="E45" s="2"/>
      <c r="F45" s="2"/>
      <c r="G45" s="2"/>
      <c r="H45" s="2"/>
      <c r="I45" s="2"/>
      <c r="J45" s="2"/>
      <c r="K45" s="2"/>
    </row>
    <row r="46" spans="1:11" ht="15.75">
      <c r="A46" s="82"/>
      <c r="B46" s="113"/>
      <c r="C46" s="113"/>
      <c r="D46" s="113"/>
      <c r="E46" s="2"/>
      <c r="F46" s="2"/>
      <c r="G46" s="2"/>
      <c r="H46" s="2"/>
      <c r="I46" s="2"/>
      <c r="J46" s="2"/>
      <c r="K46" s="2"/>
    </row>
    <row r="47" spans="1:11" ht="15.75">
      <c r="A47" s="82"/>
      <c r="B47" s="113"/>
      <c r="C47" s="113"/>
      <c r="D47" s="113"/>
      <c r="E47" s="2"/>
      <c r="F47" s="2"/>
      <c r="G47" s="2"/>
      <c r="H47" s="2"/>
      <c r="I47" s="2"/>
      <c r="J47" s="2"/>
      <c r="K47" s="2"/>
    </row>
    <row r="48" spans="1:11" ht="15.75">
      <c r="A48" s="82"/>
      <c r="B48" s="113"/>
      <c r="C48" s="113"/>
      <c r="D48" s="113"/>
      <c r="E48" s="2"/>
      <c r="F48" s="2"/>
      <c r="G48" s="2"/>
      <c r="H48" s="2"/>
      <c r="I48" s="2"/>
      <c r="J48" s="2"/>
      <c r="K48" s="2"/>
    </row>
    <row r="49" spans="1:11" ht="15.75">
      <c r="A49" s="82"/>
      <c r="B49" s="113"/>
      <c r="C49" s="113"/>
      <c r="D49" s="113"/>
      <c r="E49" s="2"/>
      <c r="F49" s="2"/>
      <c r="G49" s="2"/>
      <c r="H49" s="2"/>
      <c r="I49" s="2"/>
      <c r="J49" s="2"/>
      <c r="K49" s="2"/>
    </row>
    <row r="50" spans="1:11" ht="15.75">
      <c r="A50" s="82"/>
      <c r="B50" s="113"/>
      <c r="C50" s="113"/>
      <c r="D50" s="113"/>
      <c r="E50" s="2"/>
      <c r="F50" s="2"/>
      <c r="G50" s="2"/>
      <c r="H50" s="2"/>
      <c r="I50" s="2"/>
      <c r="J50" s="2"/>
      <c r="K50" s="2"/>
    </row>
    <row r="51" spans="1:11" ht="15">
      <c r="A51" s="2"/>
      <c r="B51" s="113"/>
      <c r="C51" s="113"/>
      <c r="D51" s="113"/>
      <c r="E51" s="2"/>
      <c r="F51" s="2"/>
      <c r="G51" s="2"/>
      <c r="H51" s="2"/>
      <c r="I51" s="2"/>
      <c r="J51" s="2"/>
      <c r="K51" s="2"/>
    </row>
    <row r="52" spans="1:11" ht="15">
      <c r="A52" s="2"/>
      <c r="B52" s="113"/>
      <c r="C52" s="113"/>
      <c r="D52" s="113"/>
      <c r="E52" s="2"/>
      <c r="F52" s="2"/>
      <c r="G52" s="2"/>
      <c r="H52" s="2"/>
      <c r="I52" s="2"/>
      <c r="J52" s="2"/>
      <c r="K52" s="2"/>
    </row>
    <row r="53" spans="1:11" ht="15">
      <c r="A53" s="2"/>
      <c r="B53" s="113"/>
      <c r="C53" s="113"/>
      <c r="D53" s="113"/>
      <c r="E53" s="2"/>
      <c r="F53" s="2"/>
      <c r="G53" s="2"/>
      <c r="H53" s="2"/>
      <c r="I53" s="2"/>
      <c r="J53" s="2"/>
      <c r="K53" s="2"/>
    </row>
    <row r="54" spans="1:11" ht="15">
      <c r="A54" s="2"/>
      <c r="B54" s="113"/>
      <c r="C54" s="113"/>
      <c r="D54" s="113"/>
      <c r="E54" s="2"/>
      <c r="F54" s="2"/>
      <c r="G54" s="2"/>
      <c r="H54" s="2"/>
      <c r="I54" s="2"/>
      <c r="J54" s="2"/>
      <c r="K54" s="2"/>
    </row>
    <row r="55" spans="1:11" ht="15">
      <c r="A55" s="2"/>
      <c r="B55" s="113"/>
      <c r="C55" s="113"/>
      <c r="D55" s="113"/>
      <c r="E55" s="2"/>
      <c r="F55" s="2"/>
      <c r="G55" s="2"/>
      <c r="H55" s="2"/>
      <c r="I55" s="2"/>
      <c r="J55" s="2"/>
      <c r="K55" s="2"/>
    </row>
    <row r="56" spans="1:11" ht="15">
      <c r="A56" s="2"/>
      <c r="B56" s="113"/>
      <c r="C56" s="113"/>
      <c r="D56" s="113"/>
      <c r="E56" s="2"/>
      <c r="F56" s="2"/>
      <c r="G56" s="2"/>
      <c r="H56" s="2"/>
      <c r="I56" s="2"/>
      <c r="J56" s="2"/>
      <c r="K56" s="2"/>
    </row>
    <row r="57" spans="1:11" ht="15">
      <c r="A57" s="2"/>
      <c r="B57" s="113"/>
      <c r="C57" s="113"/>
      <c r="D57" s="113"/>
      <c r="E57" s="2"/>
      <c r="F57" s="2"/>
      <c r="G57" s="2"/>
      <c r="H57" s="2"/>
      <c r="I57" s="2"/>
      <c r="J57" s="2"/>
      <c r="K57" s="2"/>
    </row>
    <row r="58" spans="1:11" ht="15">
      <c r="A58" s="2"/>
      <c r="B58" s="113"/>
      <c r="C58" s="113"/>
      <c r="D58" s="113"/>
      <c r="E58" s="2"/>
      <c r="F58" s="2"/>
      <c r="G58" s="2"/>
      <c r="H58" s="2"/>
      <c r="I58" s="2"/>
      <c r="J58" s="2"/>
      <c r="K58" s="2"/>
    </row>
    <row r="59" spans="1:11" ht="15">
      <c r="A59" s="2"/>
      <c r="B59" s="113"/>
      <c r="C59" s="113"/>
      <c r="D59" s="113"/>
      <c r="E59" s="2"/>
      <c r="F59" s="2"/>
      <c r="G59" s="2"/>
      <c r="H59" s="2"/>
      <c r="I59" s="2"/>
      <c r="J59" s="2"/>
      <c r="K59" s="2"/>
    </row>
    <row r="60" spans="1:11" ht="15">
      <c r="A60" s="2"/>
      <c r="B60" s="113"/>
      <c r="C60" s="113"/>
      <c r="D60" s="113"/>
      <c r="E60" s="2"/>
      <c r="F60" s="2"/>
      <c r="G60" s="2"/>
      <c r="H60" s="2"/>
      <c r="I60" s="2"/>
      <c r="J60" s="2"/>
      <c r="K60" s="2"/>
    </row>
    <row r="61" spans="1:11" ht="15">
      <c r="A61" s="2"/>
      <c r="B61" s="113"/>
      <c r="C61" s="113"/>
      <c r="D61" s="113"/>
      <c r="E61" s="2"/>
      <c r="F61" s="2"/>
      <c r="G61" s="2"/>
      <c r="H61" s="2"/>
      <c r="I61" s="2"/>
      <c r="J61" s="2"/>
      <c r="K61" s="2"/>
    </row>
    <row r="62" spans="1:11" ht="15">
      <c r="A62" s="2"/>
      <c r="B62" s="113"/>
      <c r="C62" s="113"/>
      <c r="D62" s="113"/>
      <c r="E62" s="2"/>
      <c r="F62" s="2"/>
      <c r="G62" s="2"/>
      <c r="H62" s="2"/>
      <c r="I62" s="2"/>
      <c r="J62" s="2"/>
      <c r="K62" s="2"/>
    </row>
    <row r="63" spans="1:11" ht="15">
      <c r="A63" s="2"/>
      <c r="B63" s="113"/>
      <c r="C63" s="113"/>
      <c r="D63" s="113"/>
      <c r="E63" s="2"/>
      <c r="F63" s="2"/>
      <c r="G63" s="2"/>
      <c r="H63" s="2"/>
      <c r="I63" s="2"/>
      <c r="J63" s="2"/>
      <c r="K63" s="2"/>
    </row>
    <row r="64" spans="1:11" ht="15">
      <c r="A64" s="2"/>
      <c r="B64" s="113"/>
      <c r="C64" s="113"/>
      <c r="D64" s="113"/>
      <c r="E64" s="2"/>
      <c r="F64" s="2"/>
      <c r="G64" s="2"/>
      <c r="H64" s="2"/>
      <c r="I64" s="2"/>
      <c r="J64" s="2"/>
      <c r="K64" s="2"/>
    </row>
    <row r="65" spans="1:11" ht="15">
      <c r="A65" s="2"/>
      <c r="B65" s="113"/>
      <c r="C65" s="113"/>
      <c r="D65" s="113"/>
      <c r="E65" s="2"/>
      <c r="F65" s="2"/>
      <c r="G65" s="2"/>
      <c r="H65" s="2"/>
      <c r="I65" s="2"/>
      <c r="J65" s="2"/>
      <c r="K65" s="2"/>
    </row>
    <row r="66" spans="1:11" ht="15">
      <c r="A66" s="2"/>
      <c r="B66" s="113"/>
      <c r="C66" s="113"/>
      <c r="D66" s="113"/>
      <c r="E66" s="2"/>
      <c r="F66" s="2"/>
      <c r="G66" s="2"/>
      <c r="H66" s="2"/>
      <c r="I66" s="2"/>
      <c r="J66" s="2"/>
      <c r="K66" s="2"/>
    </row>
    <row r="67" spans="1:11" ht="15">
      <c r="A67" s="2"/>
      <c r="B67" s="113"/>
      <c r="C67" s="113"/>
      <c r="D67" s="113"/>
      <c r="E67" s="2"/>
      <c r="F67" s="2"/>
      <c r="G67" s="2"/>
      <c r="H67" s="2"/>
      <c r="I67" s="2"/>
      <c r="J67" s="2"/>
      <c r="K67" s="2"/>
    </row>
    <row r="68" spans="1:11" ht="15">
      <c r="A68" s="2"/>
      <c r="B68" s="113"/>
      <c r="C68" s="113"/>
      <c r="D68" s="113"/>
      <c r="E68" s="2"/>
      <c r="F68" s="2"/>
      <c r="G68" s="2"/>
      <c r="H68" s="2"/>
      <c r="I68" s="2"/>
      <c r="J68" s="2"/>
      <c r="K68" s="2"/>
    </row>
    <row r="69" spans="1:11" ht="15">
      <c r="A69" s="2"/>
      <c r="B69" s="113"/>
      <c r="C69" s="113"/>
      <c r="D69" s="113"/>
      <c r="E69" s="2"/>
      <c r="F69" s="2"/>
      <c r="G69" s="2"/>
      <c r="H69" s="2"/>
      <c r="I69" s="2"/>
      <c r="J69" s="2"/>
      <c r="K69" s="2"/>
    </row>
    <row r="70" spans="1:11" ht="15">
      <c r="A70" s="2"/>
      <c r="B70" s="113"/>
      <c r="C70" s="113"/>
      <c r="D70" s="113"/>
      <c r="E70" s="2"/>
      <c r="F70" s="2"/>
      <c r="G70" s="2"/>
      <c r="H70" s="2"/>
      <c r="I70" s="2"/>
      <c r="J70" s="2"/>
      <c r="K70" s="2"/>
    </row>
    <row r="71" spans="1:11" ht="15">
      <c r="A71" s="2"/>
      <c r="B71" s="113"/>
      <c r="C71" s="113"/>
      <c r="D71" s="113"/>
      <c r="E71" s="2"/>
      <c r="F71" s="2"/>
      <c r="G71" s="2"/>
      <c r="H71" s="2"/>
      <c r="I71" s="2"/>
      <c r="J71" s="2"/>
      <c r="K71" s="2"/>
    </row>
    <row r="72" spans="1:11" ht="15">
      <c r="A72" s="2"/>
      <c r="B72" s="113"/>
      <c r="C72" s="113"/>
      <c r="D72" s="113"/>
      <c r="E72" s="2"/>
      <c r="F72" s="2"/>
      <c r="G72" s="2"/>
      <c r="H72" s="2"/>
      <c r="I72" s="2"/>
      <c r="J72" s="2"/>
      <c r="K72" s="2"/>
    </row>
    <row r="73" spans="1:11" ht="15">
      <c r="A73" s="2"/>
      <c r="B73" s="113"/>
      <c r="C73" s="113"/>
      <c r="D73" s="113"/>
      <c r="E73" s="2"/>
      <c r="F73" s="2"/>
      <c r="G73" s="2"/>
      <c r="H73" s="2"/>
      <c r="I73" s="2"/>
      <c r="J73" s="2"/>
      <c r="K73" s="2"/>
    </row>
    <row r="74" spans="1:11" ht="15">
      <c r="A74" s="2"/>
      <c r="B74" s="113"/>
      <c r="C74" s="113"/>
      <c r="D74" s="113"/>
      <c r="E74" s="2"/>
      <c r="F74" s="2"/>
      <c r="G74" s="2"/>
      <c r="H74" s="2"/>
      <c r="I74" s="2"/>
      <c r="J74" s="2"/>
      <c r="K74" s="2"/>
    </row>
    <row r="75" spans="1:11" ht="15">
      <c r="A75" s="2"/>
      <c r="B75" s="113"/>
      <c r="C75" s="113"/>
      <c r="D75" s="113"/>
      <c r="E75" s="2"/>
      <c r="F75" s="2"/>
      <c r="G75" s="2"/>
      <c r="H75" s="2"/>
      <c r="I75" s="2"/>
      <c r="J75" s="2"/>
      <c r="K75" s="2"/>
    </row>
    <row r="76" spans="1:11" ht="15">
      <c r="A76" s="2"/>
      <c r="B76" s="113"/>
      <c r="C76" s="113"/>
      <c r="D76" s="113"/>
      <c r="E76" s="2"/>
      <c r="F76" s="2"/>
      <c r="G76" s="2"/>
      <c r="H76" s="2"/>
      <c r="I76" s="2"/>
      <c r="J76" s="2"/>
      <c r="K76" s="2"/>
    </row>
    <row r="77" spans="1:11" ht="15">
      <c r="A77" s="2"/>
      <c r="B77" s="113"/>
      <c r="C77" s="113"/>
      <c r="D77" s="113"/>
      <c r="E77" s="2"/>
      <c r="F77" s="2"/>
      <c r="G77" s="2"/>
      <c r="H77" s="2"/>
      <c r="I77" s="2"/>
      <c r="J77" s="2"/>
      <c r="K77" s="2"/>
    </row>
    <row r="78" spans="1:11" ht="15">
      <c r="A78" s="2"/>
      <c r="B78" s="113"/>
      <c r="C78" s="113"/>
      <c r="D78" s="113"/>
      <c r="E78" s="2"/>
      <c r="F78" s="2"/>
      <c r="G78" s="2"/>
      <c r="H78" s="2"/>
      <c r="I78" s="2"/>
      <c r="J78" s="2"/>
      <c r="K78" s="2"/>
    </row>
    <row r="79" spans="1:11" ht="15">
      <c r="A79" s="2"/>
      <c r="B79" s="113"/>
      <c r="C79" s="113"/>
      <c r="D79" s="113"/>
      <c r="E79" s="2"/>
      <c r="F79" s="2"/>
      <c r="G79" s="2"/>
      <c r="H79" s="2"/>
      <c r="I79" s="2"/>
      <c r="J79" s="2"/>
      <c r="K79" s="2"/>
    </row>
    <row r="80" spans="1:11" ht="15">
      <c r="A80" s="2"/>
      <c r="B80" s="113"/>
      <c r="C80" s="113"/>
      <c r="D80" s="113"/>
      <c r="E80" s="2"/>
      <c r="F80" s="2"/>
      <c r="G80" s="2"/>
      <c r="H80" s="2"/>
      <c r="I80" s="2"/>
      <c r="J80" s="2"/>
      <c r="K80" s="2"/>
    </row>
    <row r="81" spans="1:11" ht="15">
      <c r="A81" s="2"/>
      <c r="B81" s="113"/>
      <c r="C81" s="113"/>
      <c r="D81" s="113"/>
      <c r="E81" s="2"/>
      <c r="F81" s="2"/>
      <c r="G81" s="2"/>
      <c r="H81" s="2"/>
      <c r="I81" s="2"/>
      <c r="J81" s="2"/>
      <c r="K81" s="2"/>
    </row>
    <row r="82" spans="1:11" ht="15">
      <c r="A82" s="2"/>
      <c r="B82" s="113"/>
      <c r="C82" s="113"/>
      <c r="D82" s="113"/>
      <c r="E82" s="2"/>
      <c r="F82" s="2"/>
      <c r="G82" s="2"/>
      <c r="H82" s="2"/>
      <c r="I82" s="2"/>
      <c r="J82" s="2"/>
      <c r="K82" s="2"/>
    </row>
    <row r="83" spans="1:11" ht="15">
      <c r="A83" s="2"/>
      <c r="B83" s="113"/>
      <c r="C83" s="113"/>
      <c r="D83" s="113"/>
      <c r="E83" s="2"/>
      <c r="F83" s="2"/>
      <c r="G83" s="2"/>
      <c r="H83" s="2"/>
      <c r="I83" s="2"/>
      <c r="J83" s="2"/>
      <c r="K83" s="2"/>
    </row>
    <row r="84" spans="1:11" ht="15">
      <c r="A84" s="2"/>
      <c r="B84" s="113"/>
      <c r="C84" s="113"/>
      <c r="D84" s="113"/>
      <c r="E84" s="2"/>
      <c r="F84" s="2"/>
      <c r="G84" s="2"/>
      <c r="H84" s="2"/>
      <c r="I84" s="2"/>
      <c r="J84" s="2"/>
      <c r="K84" s="2"/>
    </row>
    <row r="85" spans="1:11" ht="15">
      <c r="A85" s="2"/>
      <c r="B85" s="113"/>
      <c r="C85" s="113"/>
      <c r="D85" s="113"/>
      <c r="E85" s="2"/>
      <c r="F85" s="2"/>
      <c r="G85" s="2"/>
      <c r="H85" s="2"/>
      <c r="I85" s="2"/>
      <c r="J85" s="2"/>
      <c r="K85" s="2"/>
    </row>
    <row r="86" spans="1:11" ht="15">
      <c r="A86" s="2"/>
      <c r="B86" s="113"/>
      <c r="C86" s="113"/>
      <c r="D86" s="113"/>
      <c r="E86" s="2"/>
      <c r="F86" s="2"/>
      <c r="G86" s="2"/>
      <c r="H86" s="2"/>
      <c r="I86" s="2"/>
      <c r="J86" s="2"/>
      <c r="K86" s="2"/>
    </row>
    <row r="87" spans="1:11" ht="15">
      <c r="A87" s="2"/>
      <c r="B87" s="113"/>
      <c r="C87" s="113"/>
      <c r="D87" s="113"/>
      <c r="E87" s="2"/>
      <c r="F87" s="2"/>
      <c r="G87" s="2"/>
      <c r="H87" s="2"/>
      <c r="I87" s="2"/>
      <c r="J87" s="2"/>
      <c r="K87" s="2"/>
    </row>
    <row r="88" spans="1:11" ht="15">
      <c r="A88" s="2"/>
      <c r="B88" s="113"/>
      <c r="C88" s="113"/>
      <c r="D88" s="113"/>
      <c r="E88" s="2"/>
      <c r="F88" s="2"/>
      <c r="G88" s="2"/>
      <c r="H88" s="2"/>
      <c r="I88" s="2"/>
      <c r="J88" s="2"/>
      <c r="K88" s="2"/>
    </row>
    <row r="89" spans="1:11" ht="15">
      <c r="A89" s="2"/>
      <c r="B89" s="113"/>
      <c r="C89" s="113"/>
      <c r="D89" s="113"/>
      <c r="E89" s="2"/>
      <c r="F89" s="2"/>
      <c r="G89" s="2"/>
      <c r="H89" s="2"/>
      <c r="I89" s="2"/>
      <c r="J89" s="2"/>
      <c r="K89" s="2"/>
    </row>
    <row r="90" spans="1:11" ht="15">
      <c r="A90" s="2"/>
      <c r="B90" s="113"/>
      <c r="C90" s="113"/>
      <c r="D90" s="113"/>
      <c r="E90" s="2"/>
      <c r="F90" s="2"/>
      <c r="G90" s="2"/>
      <c r="H90" s="2"/>
      <c r="I90" s="2"/>
      <c r="J90" s="2"/>
      <c r="K90" s="2"/>
    </row>
    <row r="91" spans="1:11" ht="15">
      <c r="A91" s="2"/>
      <c r="B91" s="113"/>
      <c r="C91" s="113"/>
      <c r="D91" s="113"/>
      <c r="E91" s="2"/>
      <c r="F91" s="2"/>
      <c r="G91" s="2"/>
      <c r="H91" s="2"/>
      <c r="I91" s="2"/>
      <c r="J91" s="2"/>
      <c r="K91" s="2"/>
    </row>
    <row r="92" spans="1:11" ht="15">
      <c r="A92" s="2"/>
      <c r="B92" s="113"/>
      <c r="C92" s="113"/>
      <c r="D92" s="113"/>
      <c r="E92" s="2"/>
      <c r="F92" s="2"/>
      <c r="G92" s="2"/>
      <c r="H92" s="2"/>
      <c r="I92" s="2"/>
      <c r="J92" s="2"/>
      <c r="K92" s="2"/>
    </row>
    <row r="93" spans="1:11" ht="15">
      <c r="A93" s="2"/>
      <c r="B93" s="113"/>
      <c r="C93" s="113"/>
      <c r="D93" s="113"/>
      <c r="E93" s="2"/>
      <c r="F93" s="2"/>
      <c r="G93" s="2"/>
      <c r="H93" s="2"/>
      <c r="I93" s="2"/>
      <c r="J93" s="2"/>
      <c r="K93" s="2"/>
    </row>
    <row r="94" spans="1:11" ht="15">
      <c r="A94" s="2"/>
      <c r="B94" s="113"/>
      <c r="C94" s="113"/>
      <c r="D94" s="113"/>
      <c r="E94" s="2"/>
      <c r="F94" s="2"/>
      <c r="G94" s="2"/>
      <c r="H94" s="2"/>
      <c r="I94" s="2"/>
      <c r="J94" s="2"/>
      <c r="K94" s="2"/>
    </row>
    <row r="95" spans="1:11" ht="15">
      <c r="A95" s="2"/>
      <c r="B95" s="113"/>
      <c r="C95" s="113"/>
      <c r="D95" s="113"/>
      <c r="E95" s="2"/>
      <c r="F95" s="2"/>
      <c r="G95" s="2"/>
      <c r="H95" s="2"/>
      <c r="I95" s="2"/>
      <c r="J95" s="2"/>
      <c r="K95" s="2"/>
    </row>
    <row r="96" spans="1:11" ht="15">
      <c r="A96" s="2"/>
      <c r="B96" s="113"/>
      <c r="C96" s="113"/>
      <c r="D96" s="113"/>
      <c r="E96" s="2"/>
      <c r="F96" s="2"/>
      <c r="G96" s="2"/>
      <c r="H96" s="2"/>
      <c r="I96" s="2"/>
      <c r="J96" s="2"/>
      <c r="K96" s="2"/>
    </row>
    <row r="97" spans="1:11" ht="15">
      <c r="A97" s="2"/>
      <c r="B97" s="113"/>
      <c r="C97" s="113"/>
      <c r="D97" s="113"/>
      <c r="E97" s="2"/>
      <c r="F97" s="2"/>
      <c r="G97" s="2"/>
      <c r="H97" s="2"/>
      <c r="I97" s="2"/>
      <c r="J97" s="2"/>
      <c r="K97" s="2"/>
    </row>
    <row r="98" spans="1:11" ht="15">
      <c r="A98" s="2"/>
      <c r="B98" s="113"/>
      <c r="C98" s="113"/>
      <c r="D98" s="113"/>
      <c r="E98" s="2"/>
      <c r="F98" s="2"/>
      <c r="G98" s="2"/>
      <c r="H98" s="2"/>
      <c r="I98" s="2"/>
      <c r="J98" s="2"/>
      <c r="K98" s="2"/>
    </row>
    <row r="99" spans="1:11" ht="15">
      <c r="A99" s="2"/>
      <c r="B99" s="113"/>
      <c r="C99" s="113"/>
      <c r="D99" s="113"/>
      <c r="E99" s="2"/>
      <c r="F99" s="2"/>
      <c r="G99" s="2"/>
      <c r="H99" s="2"/>
      <c r="I99" s="2"/>
      <c r="J99" s="2"/>
      <c r="K99" s="2"/>
    </row>
    <row r="100" spans="1:11" ht="15">
      <c r="A100" s="2"/>
      <c r="B100" s="113"/>
      <c r="C100" s="113"/>
      <c r="D100" s="113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113"/>
      <c r="C101" s="113"/>
      <c r="D101" s="113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113"/>
      <c r="C102" s="113"/>
      <c r="D102" s="113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113"/>
      <c r="C103" s="113"/>
      <c r="D103" s="113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113"/>
      <c r="C104" s="113"/>
      <c r="D104" s="113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113"/>
      <c r="C105" s="113"/>
      <c r="D105" s="113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113"/>
      <c r="C106" s="113"/>
      <c r="D106" s="113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113"/>
      <c r="C107" s="113"/>
      <c r="D107" s="113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113"/>
      <c r="C108" s="113"/>
      <c r="D108" s="113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113"/>
      <c r="C109" s="113"/>
      <c r="D109" s="113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113"/>
      <c r="C110" s="113"/>
      <c r="D110" s="113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113"/>
      <c r="C111" s="113"/>
      <c r="D111" s="113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113"/>
      <c r="C112" s="113"/>
      <c r="D112" s="113"/>
      <c r="E112" s="2"/>
      <c r="F112" s="2"/>
      <c r="G112" s="2"/>
      <c r="H112" s="2"/>
      <c r="I112" s="2"/>
      <c r="J112" s="2"/>
      <c r="K112" s="2"/>
    </row>
  </sheetData>
  <sheetProtection/>
  <mergeCells count="4">
    <mergeCell ref="A12:D12"/>
    <mergeCell ref="A19:D19"/>
    <mergeCell ref="A26:D26"/>
    <mergeCell ref="A33:D33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11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1.421875" style="0" customWidth="1"/>
    <col min="2" max="13" width="12.140625" style="0" customWidth="1"/>
    <col min="14" max="14" width="15.57421875" style="0" customWidth="1"/>
  </cols>
  <sheetData>
    <row r="1" ht="12.75">
      <c r="A1" t="s">
        <v>456</v>
      </c>
    </row>
    <row r="2" ht="12.75">
      <c r="A2" t="s">
        <v>457</v>
      </c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7" t="s">
        <v>48</v>
      </c>
      <c r="B4" s="46" t="s">
        <v>221</v>
      </c>
      <c r="C4" s="46" t="s">
        <v>222</v>
      </c>
      <c r="D4" s="46" t="s">
        <v>223</v>
      </c>
      <c r="E4" s="46" t="s">
        <v>224</v>
      </c>
      <c r="F4" s="46" t="s">
        <v>225</v>
      </c>
      <c r="G4" s="46" t="s">
        <v>226</v>
      </c>
      <c r="H4" s="46" t="s">
        <v>227</v>
      </c>
      <c r="I4" s="46" t="s">
        <v>228</v>
      </c>
      <c r="J4" s="46" t="s">
        <v>229</v>
      </c>
      <c r="K4" s="46" t="s">
        <v>230</v>
      </c>
      <c r="L4" s="46" t="s">
        <v>231</v>
      </c>
      <c r="M4" s="46" t="s">
        <v>232</v>
      </c>
      <c r="N4" s="83" t="s">
        <v>107</v>
      </c>
    </row>
    <row r="5" spans="1:14" ht="16.5">
      <c r="A5" s="23" t="s">
        <v>31</v>
      </c>
      <c r="B5" s="103">
        <f>'2. kiadások össz'!$F$5/12</f>
        <v>9902.25</v>
      </c>
      <c r="C5" s="103">
        <f>'2. kiadások össz'!$F$5/12</f>
        <v>9902.25</v>
      </c>
      <c r="D5" s="103">
        <f>'2. kiadások össz'!$F$5/12</f>
        <v>9902.25</v>
      </c>
      <c r="E5" s="103">
        <f>'2. kiadások össz'!$F$5/12</f>
        <v>9902.25</v>
      </c>
      <c r="F5" s="103">
        <f>'2. kiadások össz'!$F$5/12</f>
        <v>9902.25</v>
      </c>
      <c r="G5" s="103">
        <f>'2. kiadások össz'!$F$5/12</f>
        <v>9902.25</v>
      </c>
      <c r="H5" s="103">
        <f>'2. kiadások össz'!$F$5/12</f>
        <v>9902.25</v>
      </c>
      <c r="I5" s="103">
        <f>'2. kiadások össz'!$F$5/12</f>
        <v>9902.25</v>
      </c>
      <c r="J5" s="103">
        <f>'2. kiadások össz'!$F$5/12</f>
        <v>9902.25</v>
      </c>
      <c r="K5" s="103">
        <f>'2. kiadások össz'!$F$5/12</f>
        <v>9902.25</v>
      </c>
      <c r="L5" s="103">
        <f>'2. kiadások össz'!$F$5/12</f>
        <v>9902.25</v>
      </c>
      <c r="M5" s="103">
        <f>'2. kiadások össz'!$F$5/12</f>
        <v>9902.25</v>
      </c>
      <c r="N5" s="119">
        <f>SUM(B5:M5)</f>
        <v>118827</v>
      </c>
    </row>
    <row r="6" spans="1:14" ht="32.25">
      <c r="A6" s="23" t="s">
        <v>27</v>
      </c>
      <c r="B6" s="103">
        <f>'2. kiadások össz'!$F$6/12</f>
        <v>2493.1666666666665</v>
      </c>
      <c r="C6" s="103">
        <f>'2. kiadások össz'!$F$6/12</f>
        <v>2493.1666666666665</v>
      </c>
      <c r="D6" s="103">
        <f>'2. kiadások össz'!$F$6/12</f>
        <v>2493.1666666666665</v>
      </c>
      <c r="E6" s="103">
        <f>'2. kiadások össz'!$F$6/12</f>
        <v>2493.1666666666665</v>
      </c>
      <c r="F6" s="103">
        <f>'2. kiadások össz'!$F$6/12</f>
        <v>2493.1666666666665</v>
      </c>
      <c r="G6" s="103">
        <f>'2. kiadások össz'!$F$6/12</f>
        <v>2493.1666666666665</v>
      </c>
      <c r="H6" s="103">
        <f>'2. kiadások össz'!$F$6/12</f>
        <v>2493.1666666666665</v>
      </c>
      <c r="I6" s="103">
        <f>'2. kiadások össz'!$F$6/12</f>
        <v>2493.1666666666665</v>
      </c>
      <c r="J6" s="103">
        <f>'2. kiadások össz'!$F$6/12</f>
        <v>2493.1666666666665</v>
      </c>
      <c r="K6" s="103">
        <f>'2. kiadások össz'!$F$6/12</f>
        <v>2493.1666666666665</v>
      </c>
      <c r="L6" s="103">
        <f>'2. kiadások össz'!$F$6/12</f>
        <v>2493.1666666666665</v>
      </c>
      <c r="M6" s="103">
        <f>'2. kiadások össz'!$F$6/12</f>
        <v>2493.1666666666665</v>
      </c>
      <c r="N6" s="119">
        <f aca="true" t="shared" si="0" ref="N6:N63">SUM(B6:M6)</f>
        <v>29918.000000000004</v>
      </c>
    </row>
    <row r="7" spans="1:14" ht="16.5">
      <c r="A7" s="23" t="s">
        <v>28</v>
      </c>
      <c r="B7" s="103">
        <f>'2. kiadások össz'!$F$7/12</f>
        <v>21272.583333333332</v>
      </c>
      <c r="C7" s="103">
        <f>'2. kiadások össz'!$F$7/12</f>
        <v>21272.583333333332</v>
      </c>
      <c r="D7" s="103">
        <f>'2. kiadások össz'!$F$7/12</f>
        <v>21272.583333333332</v>
      </c>
      <c r="E7" s="103">
        <f>'2. kiadások össz'!$F$7/12</f>
        <v>21272.583333333332</v>
      </c>
      <c r="F7" s="103">
        <f>'2. kiadások össz'!$F$7/12</f>
        <v>21272.583333333332</v>
      </c>
      <c r="G7" s="103">
        <f>'2. kiadások össz'!$F$7/12</f>
        <v>21272.583333333332</v>
      </c>
      <c r="H7" s="103">
        <f>'2. kiadások össz'!$F$7/12</f>
        <v>21272.583333333332</v>
      </c>
      <c r="I7" s="103">
        <f>'2. kiadások össz'!$F$7/12</f>
        <v>21272.583333333332</v>
      </c>
      <c r="J7" s="103">
        <f>'2. kiadások össz'!$F$7/12</f>
        <v>21272.583333333332</v>
      </c>
      <c r="K7" s="103">
        <f>'2. kiadások össz'!$F$7/12</f>
        <v>21272.583333333332</v>
      </c>
      <c r="L7" s="103">
        <f>'2. kiadások össz'!$F$7/12</f>
        <v>21272.583333333332</v>
      </c>
      <c r="M7" s="103">
        <f>'2. kiadások össz'!$F$7/12</f>
        <v>21272.583333333332</v>
      </c>
      <c r="N7" s="119">
        <f t="shared" si="0"/>
        <v>255271.00000000003</v>
      </c>
    </row>
    <row r="8" spans="1:14" ht="16.5">
      <c r="A8" s="23" t="s">
        <v>29</v>
      </c>
      <c r="B8" s="103">
        <f>'2. kiadások össz'!$F$8/12</f>
        <v>2368.5</v>
      </c>
      <c r="C8" s="103">
        <f>'2. kiadások össz'!$F$8/12</f>
        <v>2368.5</v>
      </c>
      <c r="D8" s="103">
        <f>'2. kiadások össz'!$F$8/12</f>
        <v>2368.5</v>
      </c>
      <c r="E8" s="103">
        <f>'2. kiadások össz'!$F$8/12</f>
        <v>2368.5</v>
      </c>
      <c r="F8" s="103">
        <f>'2. kiadások össz'!$F$8/12</f>
        <v>2368.5</v>
      </c>
      <c r="G8" s="103">
        <f>'2. kiadások össz'!$F$8/12</f>
        <v>2368.5</v>
      </c>
      <c r="H8" s="103">
        <f>'2. kiadások össz'!$F$8/12</f>
        <v>2368.5</v>
      </c>
      <c r="I8" s="103">
        <f>'2. kiadások össz'!$F$8/12</f>
        <v>2368.5</v>
      </c>
      <c r="J8" s="103">
        <f>'2. kiadások össz'!$F$8/12</f>
        <v>2368.5</v>
      </c>
      <c r="K8" s="103">
        <f>'2. kiadások össz'!$F$8/12</f>
        <v>2368.5</v>
      </c>
      <c r="L8" s="103">
        <f>'2. kiadások össz'!$F$8/12</f>
        <v>2368.5</v>
      </c>
      <c r="M8" s="103">
        <f>'2. kiadások össz'!$F$8/12</f>
        <v>2368.5</v>
      </c>
      <c r="N8" s="119">
        <f t="shared" si="0"/>
        <v>28422</v>
      </c>
    </row>
    <row r="9" spans="1:14" ht="16.5">
      <c r="A9" s="23" t="s">
        <v>30</v>
      </c>
      <c r="B9" s="103">
        <f>'2. kiadások össz'!$F$9/12</f>
        <v>2318.8333333333335</v>
      </c>
      <c r="C9" s="103">
        <f>'2. kiadások össz'!$F$9/12</f>
        <v>2318.8333333333335</v>
      </c>
      <c r="D9" s="103">
        <f>'2. kiadások össz'!$F$9/12</f>
        <v>2318.8333333333335</v>
      </c>
      <c r="E9" s="103">
        <f>'2. kiadások össz'!$F$9/12</f>
        <v>2318.8333333333335</v>
      </c>
      <c r="F9" s="103">
        <f>'2. kiadások össz'!$F$9/12</f>
        <v>2318.8333333333335</v>
      </c>
      <c r="G9" s="103">
        <f>'2. kiadások össz'!$F$9/12</f>
        <v>2318.8333333333335</v>
      </c>
      <c r="H9" s="103">
        <f>'2. kiadások össz'!$F$9/12</f>
        <v>2318.8333333333335</v>
      </c>
      <c r="I9" s="103">
        <f>'2. kiadások össz'!$F$9/12</f>
        <v>2318.8333333333335</v>
      </c>
      <c r="J9" s="103">
        <f>'2. kiadások össz'!$F$9/12</f>
        <v>2318.8333333333335</v>
      </c>
      <c r="K9" s="103">
        <f>'2. kiadások össz'!$F$9/12</f>
        <v>2318.8333333333335</v>
      </c>
      <c r="L9" s="103">
        <f>'2. kiadások össz'!$F$9/12</f>
        <v>2318.8333333333335</v>
      </c>
      <c r="M9" s="103">
        <f>'2. kiadások össz'!$F$9/12</f>
        <v>2318.8333333333335</v>
      </c>
      <c r="N9" s="119">
        <f t="shared" si="0"/>
        <v>27825.999999999996</v>
      </c>
    </row>
    <row r="10" spans="1:14" ht="48">
      <c r="A10" s="10" t="s">
        <v>51</v>
      </c>
      <c r="B10" s="103">
        <f>'2. kiadások össz'!$F$10/12</f>
        <v>0</v>
      </c>
      <c r="C10" s="103">
        <f>'2. kiadások össz'!$F$10/12</f>
        <v>0</v>
      </c>
      <c r="D10" s="103">
        <f>'2. kiadások össz'!$F$10/12</f>
        <v>0</v>
      </c>
      <c r="E10" s="103">
        <f>'2. kiadások össz'!$F$10/12</f>
        <v>0</v>
      </c>
      <c r="F10" s="103">
        <f>'2. kiadások össz'!$F$10/12</f>
        <v>0</v>
      </c>
      <c r="G10" s="103">
        <f>'2. kiadások össz'!$F$10/12</f>
        <v>0</v>
      </c>
      <c r="H10" s="103">
        <f>'2. kiadások össz'!$F$10/12</f>
        <v>0</v>
      </c>
      <c r="I10" s="103">
        <f>'2. kiadások össz'!$F$10/12</f>
        <v>0</v>
      </c>
      <c r="J10" s="103">
        <f>'2. kiadások össz'!$F$10/12</f>
        <v>0</v>
      </c>
      <c r="K10" s="103">
        <f>'2. kiadások össz'!$F$10/12</f>
        <v>0</v>
      </c>
      <c r="L10" s="103">
        <f>'2. kiadások össz'!$F$10/12</f>
        <v>0</v>
      </c>
      <c r="M10" s="103">
        <f>'2. kiadások össz'!$F$10/12</f>
        <v>0</v>
      </c>
      <c r="N10" s="119">
        <f t="shared" si="0"/>
        <v>0</v>
      </c>
    </row>
    <row r="11" spans="1:14" ht="16.5">
      <c r="A11" s="10" t="s">
        <v>52</v>
      </c>
      <c r="B11" s="103">
        <f>'2. kiadások össz'!$F$11/12</f>
        <v>0</v>
      </c>
      <c r="C11" s="103">
        <f>'2. kiadások össz'!$F$11/12</f>
        <v>0</v>
      </c>
      <c r="D11" s="103">
        <f>'2. kiadások össz'!$F$11/12</f>
        <v>0</v>
      </c>
      <c r="E11" s="103">
        <f>'2. kiadások össz'!$F$11/12</f>
        <v>0</v>
      </c>
      <c r="F11" s="103">
        <f>'2. kiadások össz'!$F$11/12</f>
        <v>0</v>
      </c>
      <c r="G11" s="103">
        <f>'2. kiadások össz'!$F$11/12</f>
        <v>0</v>
      </c>
      <c r="H11" s="103">
        <f>'2. kiadások össz'!$F$11/12</f>
        <v>0</v>
      </c>
      <c r="I11" s="103">
        <f>'2. kiadások össz'!$F$11/12</f>
        <v>0</v>
      </c>
      <c r="J11" s="103">
        <f>'2. kiadások össz'!$F$11/12</f>
        <v>0</v>
      </c>
      <c r="K11" s="103">
        <f>'2. kiadások össz'!$F$11/12</f>
        <v>0</v>
      </c>
      <c r="L11" s="103">
        <f>'2. kiadások össz'!$F$11/12</f>
        <v>0</v>
      </c>
      <c r="M11" s="103">
        <f>'2. kiadások össz'!$F$11/12</f>
        <v>0</v>
      </c>
      <c r="N11" s="119">
        <f t="shared" si="0"/>
        <v>0</v>
      </c>
    </row>
    <row r="12" spans="1:14" ht="32.25">
      <c r="A12" s="10" t="s">
        <v>53</v>
      </c>
      <c r="B12" s="103">
        <f>'2. kiadások össz'!$F$12/12</f>
        <v>0</v>
      </c>
      <c r="C12" s="103">
        <f>'2. kiadások össz'!$F$12/12</f>
        <v>0</v>
      </c>
      <c r="D12" s="103">
        <f>'2. kiadások össz'!$F$12/12</f>
        <v>0</v>
      </c>
      <c r="E12" s="103">
        <f>'2. kiadások össz'!$F$12/12</f>
        <v>0</v>
      </c>
      <c r="F12" s="103">
        <f>'2. kiadások össz'!$F$12/12</f>
        <v>0</v>
      </c>
      <c r="G12" s="103">
        <f>'2. kiadások össz'!$F$12/12</f>
        <v>0</v>
      </c>
      <c r="H12" s="103">
        <f>'2. kiadások össz'!$F$12/12</f>
        <v>0</v>
      </c>
      <c r="I12" s="103">
        <f>'2. kiadások össz'!$F$12/12</f>
        <v>0</v>
      </c>
      <c r="J12" s="103">
        <f>'2. kiadások össz'!$F$12/12</f>
        <v>0</v>
      </c>
      <c r="K12" s="103">
        <f>'2. kiadások össz'!$F$12/12</f>
        <v>0</v>
      </c>
      <c r="L12" s="103">
        <f>'2. kiadások össz'!$F$12/12</f>
        <v>0</v>
      </c>
      <c r="M12" s="103">
        <f>'2. kiadások össz'!$F$12/12</f>
        <v>0</v>
      </c>
      <c r="N12" s="119">
        <f t="shared" si="0"/>
        <v>0</v>
      </c>
    </row>
    <row r="13" spans="1:14" ht="32.25">
      <c r="A13" s="10" t="s">
        <v>54</v>
      </c>
      <c r="B13" s="103">
        <f>'2. kiadások össz'!$F$13/12</f>
        <v>0</v>
      </c>
      <c r="C13" s="103">
        <f>'2. kiadások össz'!$F$13/12</f>
        <v>0</v>
      </c>
      <c r="D13" s="103">
        <f>'2. kiadások össz'!$F$13/12</f>
        <v>0</v>
      </c>
      <c r="E13" s="103">
        <f>'2. kiadások össz'!$F$13/12</f>
        <v>0</v>
      </c>
      <c r="F13" s="103">
        <f>'2. kiadások össz'!$F$13/12</f>
        <v>0</v>
      </c>
      <c r="G13" s="103">
        <f>'2. kiadások össz'!$F$13/12</f>
        <v>0</v>
      </c>
      <c r="H13" s="103">
        <f>'2. kiadások össz'!$F$13/12</f>
        <v>0</v>
      </c>
      <c r="I13" s="103">
        <f>'2. kiadások össz'!$F$13/12</f>
        <v>0</v>
      </c>
      <c r="J13" s="103">
        <f>'2. kiadások össz'!$F$13/12</f>
        <v>0</v>
      </c>
      <c r="K13" s="103">
        <f>'2. kiadások össz'!$F$13/12</f>
        <v>0</v>
      </c>
      <c r="L13" s="103">
        <f>'2. kiadások össz'!$F$13/12</f>
        <v>0</v>
      </c>
      <c r="M13" s="103">
        <f>'2. kiadások össz'!$F$13/12</f>
        <v>0</v>
      </c>
      <c r="N13" s="119">
        <f t="shared" si="0"/>
        <v>0</v>
      </c>
    </row>
    <row r="14" spans="1:14" ht="32.25">
      <c r="A14" s="18" t="s">
        <v>26</v>
      </c>
      <c r="B14" s="103">
        <f>'2. kiadások össz'!$F$14/12</f>
        <v>11670.083333333334</v>
      </c>
      <c r="C14" s="103">
        <f>'2. kiadások össz'!$F$14/12</f>
        <v>11670.083333333334</v>
      </c>
      <c r="D14" s="103">
        <f>'2. kiadások össz'!$F$14/12</f>
        <v>11670.083333333334</v>
      </c>
      <c r="E14" s="103">
        <f>'2. kiadások össz'!$F$14/12</f>
        <v>11670.083333333334</v>
      </c>
      <c r="F14" s="103">
        <f>'2. kiadások össz'!$F$14/12</f>
        <v>11670.083333333334</v>
      </c>
      <c r="G14" s="103">
        <f>'2. kiadások össz'!$F$14/12</f>
        <v>11670.083333333334</v>
      </c>
      <c r="H14" s="103">
        <f>'2. kiadások össz'!$F$14/12</f>
        <v>11670.083333333334</v>
      </c>
      <c r="I14" s="103">
        <f>'2. kiadások össz'!$F$14/12</f>
        <v>11670.083333333334</v>
      </c>
      <c r="J14" s="103">
        <f>'2. kiadások össz'!$F$14/12</f>
        <v>11670.083333333334</v>
      </c>
      <c r="K14" s="103">
        <f>'2. kiadások össz'!$F$14/12</f>
        <v>11670.083333333334</v>
      </c>
      <c r="L14" s="103">
        <f>'2. kiadások össz'!$F$14/12</f>
        <v>11670.083333333334</v>
      </c>
      <c r="M14" s="103">
        <f>'2. kiadások össz'!$F$14/12</f>
        <v>11670.083333333334</v>
      </c>
      <c r="N14" s="119">
        <f t="shared" si="0"/>
        <v>140040.99999999997</v>
      </c>
    </row>
    <row r="15" spans="1:14" ht="16.5">
      <c r="A15" s="5" t="s">
        <v>16</v>
      </c>
      <c r="B15" s="103">
        <f>'2. kiadások össz'!$F$15/12</f>
        <v>5725</v>
      </c>
      <c r="C15" s="103">
        <f>'2. kiadások össz'!$F$15/12</f>
        <v>5725</v>
      </c>
      <c r="D15" s="103">
        <f>'2. kiadások össz'!$F$15/12</f>
        <v>5725</v>
      </c>
      <c r="E15" s="103">
        <f>'2. kiadások össz'!$F$15/12</f>
        <v>5725</v>
      </c>
      <c r="F15" s="103">
        <f>'2. kiadások össz'!$F$15/12</f>
        <v>5725</v>
      </c>
      <c r="G15" s="103">
        <f>'2. kiadások össz'!$F$15/12</f>
        <v>5725</v>
      </c>
      <c r="H15" s="103">
        <f>'2. kiadások össz'!$F$15/12</f>
        <v>5725</v>
      </c>
      <c r="I15" s="103">
        <f>'2. kiadások össz'!$F$15/12</f>
        <v>5725</v>
      </c>
      <c r="J15" s="103">
        <f>'2. kiadások össz'!$F$15/12</f>
        <v>5725</v>
      </c>
      <c r="K15" s="103">
        <f>'2. kiadások össz'!$F$15/12</f>
        <v>5725</v>
      </c>
      <c r="L15" s="103">
        <f>'2. kiadások össz'!$F$15/12</f>
        <v>5725</v>
      </c>
      <c r="M15" s="103">
        <f>'2. kiadások össz'!$F$15/12</f>
        <v>5725</v>
      </c>
      <c r="N15" s="119">
        <f t="shared" si="0"/>
        <v>68700</v>
      </c>
    </row>
    <row r="16" spans="1:14" ht="16.5">
      <c r="A16" s="5" t="s">
        <v>17</v>
      </c>
      <c r="B16" s="103">
        <f>'2. kiadások össz'!$F$16/12</f>
        <v>0</v>
      </c>
      <c r="C16" s="103">
        <f>'2. kiadások össz'!$F$16/12</f>
        <v>0</v>
      </c>
      <c r="D16" s="103">
        <f>'2. kiadások össz'!$F$16/12</f>
        <v>0</v>
      </c>
      <c r="E16" s="103">
        <f>'2. kiadások össz'!$F$16/12</f>
        <v>0</v>
      </c>
      <c r="F16" s="103">
        <f>'2. kiadások össz'!$F$16/12</f>
        <v>0</v>
      </c>
      <c r="G16" s="103">
        <f>'2. kiadások össz'!$F$16/12</f>
        <v>0</v>
      </c>
      <c r="H16" s="103">
        <f>'2. kiadások össz'!$F$16/12</f>
        <v>0</v>
      </c>
      <c r="I16" s="103">
        <f>'2. kiadások össz'!$F$16/12</f>
        <v>0</v>
      </c>
      <c r="J16" s="103">
        <f>'2. kiadások össz'!$F$16/12</f>
        <v>0</v>
      </c>
      <c r="K16" s="103">
        <f>'2. kiadások össz'!$F$16/12</f>
        <v>0</v>
      </c>
      <c r="L16" s="103">
        <f>'2. kiadások össz'!$F$16/12</f>
        <v>0</v>
      </c>
      <c r="M16" s="103">
        <f>'2. kiadások össz'!$F$16/12</f>
        <v>0</v>
      </c>
      <c r="N16" s="119">
        <f t="shared" si="0"/>
        <v>0</v>
      </c>
    </row>
    <row r="17" spans="1:14" ht="16.5">
      <c r="A17" s="50" t="s">
        <v>6</v>
      </c>
      <c r="B17" s="103">
        <f>'2. kiadások össz'!$F$17/12</f>
        <v>55750.416666666664</v>
      </c>
      <c r="C17" s="103">
        <f>'2. kiadások össz'!$F$17/12</f>
        <v>55750.416666666664</v>
      </c>
      <c r="D17" s="103">
        <f>'2. kiadások össz'!$F$17/12</f>
        <v>55750.416666666664</v>
      </c>
      <c r="E17" s="103">
        <f>'2. kiadások össz'!$F$17/12</f>
        <v>55750.416666666664</v>
      </c>
      <c r="F17" s="103">
        <f>'2. kiadások össz'!$F$17/12</f>
        <v>55750.416666666664</v>
      </c>
      <c r="G17" s="103">
        <f>'2. kiadások össz'!$F$17/12</f>
        <v>55750.416666666664</v>
      </c>
      <c r="H17" s="103">
        <f>'2. kiadások össz'!$F$17/12</f>
        <v>55750.416666666664</v>
      </c>
      <c r="I17" s="103">
        <f>'2. kiadások össz'!$F$17/12</f>
        <v>55750.416666666664</v>
      </c>
      <c r="J17" s="103">
        <f>'2. kiadások össz'!$F$17/12</f>
        <v>55750.416666666664</v>
      </c>
      <c r="K17" s="103">
        <f>'2. kiadások össz'!$F$17/12</f>
        <v>55750.416666666664</v>
      </c>
      <c r="L17" s="103">
        <f>'2. kiadások össz'!$F$17/12</f>
        <v>55750.416666666664</v>
      </c>
      <c r="M17" s="103">
        <f>'2. kiadások össz'!$F$17/12</f>
        <v>55750.416666666664</v>
      </c>
      <c r="N17" s="119">
        <f t="shared" si="0"/>
        <v>669005</v>
      </c>
    </row>
    <row r="18" spans="1:14" ht="16.5">
      <c r="A18" s="23" t="s">
        <v>20</v>
      </c>
      <c r="B18" s="103">
        <f>'2. kiadások össz'!$F$18/12</f>
        <v>23243.833333333332</v>
      </c>
      <c r="C18" s="103">
        <f>'2. kiadások össz'!$F$18/12</f>
        <v>23243.833333333332</v>
      </c>
      <c r="D18" s="103">
        <f>'2. kiadások össz'!$F$18/12</f>
        <v>23243.833333333332</v>
      </c>
      <c r="E18" s="103">
        <f>'2. kiadások össz'!$F$18/12</f>
        <v>23243.833333333332</v>
      </c>
      <c r="F18" s="103">
        <f>'2. kiadások össz'!$F$18/12</f>
        <v>23243.833333333332</v>
      </c>
      <c r="G18" s="103">
        <f>'2. kiadások össz'!$F$18/12</f>
        <v>23243.833333333332</v>
      </c>
      <c r="H18" s="103">
        <f>'2. kiadások össz'!$F$18/12</f>
        <v>23243.833333333332</v>
      </c>
      <c r="I18" s="103">
        <f>'2. kiadások össz'!$F$18/12</f>
        <v>23243.833333333332</v>
      </c>
      <c r="J18" s="103">
        <f>'2. kiadások össz'!$F$18/12</f>
        <v>23243.833333333332</v>
      </c>
      <c r="K18" s="103">
        <f>'2. kiadások össz'!$F$18/12</f>
        <v>23243.833333333332</v>
      </c>
      <c r="L18" s="103">
        <f>'2. kiadások össz'!$F$18/12</f>
        <v>23243.833333333332</v>
      </c>
      <c r="M18" s="103">
        <f>'2. kiadások össz'!$F$18/12</f>
        <v>23243.833333333332</v>
      </c>
      <c r="N18" s="119">
        <f t="shared" si="0"/>
        <v>278926.00000000006</v>
      </c>
    </row>
    <row r="19" spans="1:14" ht="16.5">
      <c r="A19" s="23" t="s">
        <v>19</v>
      </c>
      <c r="B19" s="103">
        <f>'2. kiadások össz'!$F$19/12</f>
        <v>0</v>
      </c>
      <c r="C19" s="103">
        <f>'2. kiadások össz'!$F$19/12</f>
        <v>0</v>
      </c>
      <c r="D19" s="103">
        <f>'2. kiadások össz'!$F$19/12</f>
        <v>0</v>
      </c>
      <c r="E19" s="103">
        <f>'2. kiadások össz'!$F$19/12</f>
        <v>0</v>
      </c>
      <c r="F19" s="103">
        <f>'2. kiadások össz'!$F$19/12</f>
        <v>0</v>
      </c>
      <c r="G19" s="103">
        <f>'2. kiadások össz'!$F$19/12</f>
        <v>0</v>
      </c>
      <c r="H19" s="103">
        <f>'2. kiadások össz'!$F$19/12</f>
        <v>0</v>
      </c>
      <c r="I19" s="103">
        <f>'2. kiadások össz'!$F$19/12</f>
        <v>0</v>
      </c>
      <c r="J19" s="103">
        <f>'2. kiadások össz'!$F$19/12</f>
        <v>0</v>
      </c>
      <c r="K19" s="103">
        <f>'2. kiadások össz'!$F$19/12</f>
        <v>0</v>
      </c>
      <c r="L19" s="103">
        <f>'2. kiadások össz'!$F$19/12</f>
        <v>0</v>
      </c>
      <c r="M19" s="103">
        <f>'2. kiadások össz'!$F$19/12</f>
        <v>0</v>
      </c>
      <c r="N19" s="119">
        <f t="shared" si="0"/>
        <v>0</v>
      </c>
    </row>
    <row r="20" spans="1:14" ht="16.5">
      <c r="A20" s="23" t="s">
        <v>21</v>
      </c>
      <c r="B20" s="103">
        <f>'2. kiadások össz'!$F$20/12</f>
        <v>0</v>
      </c>
      <c r="C20" s="103">
        <f>'2. kiadások össz'!$F$20/12</f>
        <v>0</v>
      </c>
      <c r="D20" s="103">
        <f>'2. kiadások össz'!$F$20/12</f>
        <v>0</v>
      </c>
      <c r="E20" s="103">
        <f>'2. kiadások össz'!$F$20/12</f>
        <v>0</v>
      </c>
      <c r="F20" s="103">
        <f>'2. kiadások össz'!$F$20/12</f>
        <v>0</v>
      </c>
      <c r="G20" s="103">
        <f>'2. kiadások össz'!$F$20/12</f>
        <v>0</v>
      </c>
      <c r="H20" s="103">
        <f>'2. kiadások össz'!$F$20/12</f>
        <v>0</v>
      </c>
      <c r="I20" s="103">
        <f>'2. kiadások össz'!$F$20/12</f>
        <v>0</v>
      </c>
      <c r="J20" s="103">
        <f>'2. kiadások össz'!$F$20/12</f>
        <v>0</v>
      </c>
      <c r="K20" s="103">
        <f>'2. kiadások össz'!$F$20/12</f>
        <v>0</v>
      </c>
      <c r="L20" s="103">
        <f>'2. kiadások össz'!$F$20/12</f>
        <v>0</v>
      </c>
      <c r="M20" s="103">
        <f>'2. kiadások össz'!$F$20/12</f>
        <v>0</v>
      </c>
      <c r="N20" s="119">
        <f t="shared" si="0"/>
        <v>0</v>
      </c>
    </row>
    <row r="21" spans="1:14" ht="63.75">
      <c r="A21" s="10" t="s">
        <v>55</v>
      </c>
      <c r="B21" s="103">
        <f>'2. kiadások össz'!$F$21/12</f>
        <v>15000.916666666666</v>
      </c>
      <c r="C21" s="103">
        <f>'2. kiadások össz'!$F$21/12</f>
        <v>15000.916666666666</v>
      </c>
      <c r="D21" s="103">
        <f>'2. kiadások össz'!$F$21/12</f>
        <v>15000.916666666666</v>
      </c>
      <c r="E21" s="103">
        <f>'2. kiadások össz'!$F$21/12</f>
        <v>15000.916666666666</v>
      </c>
      <c r="F21" s="103">
        <f>'2. kiadások össz'!$F$21/12</f>
        <v>15000.916666666666</v>
      </c>
      <c r="G21" s="103">
        <f>'2. kiadások össz'!$F$21/12</f>
        <v>15000.916666666666</v>
      </c>
      <c r="H21" s="103">
        <f>'2. kiadások össz'!$F$21/12</f>
        <v>15000.916666666666</v>
      </c>
      <c r="I21" s="103">
        <f>'2. kiadások össz'!$F$21/12</f>
        <v>15000.916666666666</v>
      </c>
      <c r="J21" s="103">
        <f>'2. kiadások össz'!$F$21/12</f>
        <v>15000.916666666666</v>
      </c>
      <c r="K21" s="103">
        <f>'2. kiadások össz'!$F$21/12</f>
        <v>15000.916666666666</v>
      </c>
      <c r="L21" s="103">
        <f>'2. kiadások össz'!$F$21/12</f>
        <v>15000.916666666666</v>
      </c>
      <c r="M21" s="103">
        <f>'2. kiadások össz'!$F$21/12</f>
        <v>15000.916666666666</v>
      </c>
      <c r="N21" s="119">
        <f t="shared" si="0"/>
        <v>180010.99999999997</v>
      </c>
    </row>
    <row r="22" spans="1:14" ht="16.5">
      <c r="A22" s="10" t="s">
        <v>56</v>
      </c>
      <c r="B22" s="103">
        <f>'2. kiadások össz'!$F$22/12</f>
        <v>0</v>
      </c>
      <c r="C22" s="103">
        <f>'2. kiadások össz'!$F$22/12</f>
        <v>0</v>
      </c>
      <c r="D22" s="103">
        <f>'2. kiadások össz'!$F$22/12</f>
        <v>0</v>
      </c>
      <c r="E22" s="103">
        <f>'2. kiadások össz'!$F$22/12</f>
        <v>0</v>
      </c>
      <c r="F22" s="103">
        <f>'2. kiadások össz'!$F$22/12</f>
        <v>0</v>
      </c>
      <c r="G22" s="103">
        <f>'2. kiadások össz'!$F$22/12</f>
        <v>0</v>
      </c>
      <c r="H22" s="103">
        <f>'2. kiadások össz'!$F$22/12</f>
        <v>0</v>
      </c>
      <c r="I22" s="103">
        <f>'2. kiadások össz'!$F$22/12</f>
        <v>0</v>
      </c>
      <c r="J22" s="103">
        <f>'2. kiadások össz'!$F$22/12</f>
        <v>0</v>
      </c>
      <c r="K22" s="103">
        <f>'2. kiadások össz'!$F$22/12</f>
        <v>0</v>
      </c>
      <c r="L22" s="103">
        <f>'2. kiadások össz'!$F$22/12</f>
        <v>0</v>
      </c>
      <c r="M22" s="103">
        <f>'2. kiadások össz'!$F$22/12</f>
        <v>0</v>
      </c>
      <c r="N22" s="119">
        <f t="shared" si="0"/>
        <v>0</v>
      </c>
    </row>
    <row r="23" spans="1:14" ht="32.25">
      <c r="A23" s="10" t="s">
        <v>57</v>
      </c>
      <c r="B23" s="103">
        <f>'2. kiadások össz'!$F$23/12</f>
        <v>0</v>
      </c>
      <c r="C23" s="103">
        <f>'2. kiadások össz'!$F$23/12</f>
        <v>0</v>
      </c>
      <c r="D23" s="103">
        <f>'2. kiadások össz'!$F$23/12</f>
        <v>0</v>
      </c>
      <c r="E23" s="103">
        <f>'2. kiadások össz'!$F$23/12</f>
        <v>0</v>
      </c>
      <c r="F23" s="103">
        <f>'2. kiadások össz'!$F$23/12</f>
        <v>0</v>
      </c>
      <c r="G23" s="103">
        <f>'2. kiadások össz'!$F$23/12</f>
        <v>0</v>
      </c>
      <c r="H23" s="103">
        <f>'2. kiadások össz'!$F$23/12</f>
        <v>0</v>
      </c>
      <c r="I23" s="103">
        <f>'2. kiadások össz'!$F$23/12</f>
        <v>0</v>
      </c>
      <c r="J23" s="103">
        <f>'2. kiadások össz'!$F$23/12</f>
        <v>0</v>
      </c>
      <c r="K23" s="103">
        <f>'2. kiadások össz'!$F$23/12</f>
        <v>0</v>
      </c>
      <c r="L23" s="103">
        <f>'2. kiadások össz'!$F$23/12</f>
        <v>0</v>
      </c>
      <c r="M23" s="103">
        <f>'2. kiadások össz'!$F$23/12</f>
        <v>0</v>
      </c>
      <c r="N23" s="119">
        <f t="shared" si="0"/>
        <v>0</v>
      </c>
    </row>
    <row r="24" spans="1:14" ht="32.25">
      <c r="A24" s="10" t="s">
        <v>58</v>
      </c>
      <c r="B24" s="103">
        <f>'2. kiadások össz'!$F$24/12</f>
        <v>0</v>
      </c>
      <c r="C24" s="103">
        <f>'2. kiadások össz'!$F$24/12</f>
        <v>0</v>
      </c>
      <c r="D24" s="103">
        <f>'2. kiadások össz'!$F$24/12</f>
        <v>0</v>
      </c>
      <c r="E24" s="103">
        <f>'2. kiadások össz'!$F$24/12</f>
        <v>0</v>
      </c>
      <c r="F24" s="103">
        <f>'2. kiadások össz'!$F$24/12</f>
        <v>0</v>
      </c>
      <c r="G24" s="103">
        <f>'2. kiadások össz'!$F$24/12</f>
        <v>0</v>
      </c>
      <c r="H24" s="103">
        <f>'2. kiadások össz'!$F$24/12</f>
        <v>0</v>
      </c>
      <c r="I24" s="103">
        <f>'2. kiadások össz'!$F$24/12</f>
        <v>0</v>
      </c>
      <c r="J24" s="103">
        <f>'2. kiadások össz'!$F$24/12</f>
        <v>0</v>
      </c>
      <c r="K24" s="103">
        <f>'2. kiadások össz'!$F$24/12</f>
        <v>0</v>
      </c>
      <c r="L24" s="103">
        <f>'2. kiadások össz'!$F$24/12</f>
        <v>0</v>
      </c>
      <c r="M24" s="103">
        <f>'2. kiadások össz'!$F$24/12</f>
        <v>0</v>
      </c>
      <c r="N24" s="119">
        <f t="shared" si="0"/>
        <v>0</v>
      </c>
    </row>
    <row r="25" spans="1:14" ht="16.5">
      <c r="A25" s="5" t="s">
        <v>33</v>
      </c>
      <c r="B25" s="103">
        <f>'2. kiadások össz'!$F$25/12</f>
        <v>0</v>
      </c>
      <c r="C25" s="103">
        <f>'2. kiadások össz'!$F$25/12</f>
        <v>0</v>
      </c>
      <c r="D25" s="103">
        <f>'2. kiadások össz'!$F$25/12</f>
        <v>0</v>
      </c>
      <c r="E25" s="103">
        <f>'2. kiadások össz'!$F$25/12</f>
        <v>0</v>
      </c>
      <c r="F25" s="103">
        <f>'2. kiadások össz'!$F$25/12</f>
        <v>0</v>
      </c>
      <c r="G25" s="103">
        <f>'2. kiadások össz'!$F$25/12</f>
        <v>0</v>
      </c>
      <c r="H25" s="103">
        <f>'2. kiadások össz'!$F$25/12</f>
        <v>0</v>
      </c>
      <c r="I25" s="103">
        <f>'2. kiadások össz'!$F$25/12</f>
        <v>0</v>
      </c>
      <c r="J25" s="103">
        <f>'2. kiadások össz'!$F$25/12</f>
        <v>0</v>
      </c>
      <c r="K25" s="103">
        <f>'2. kiadások össz'!$F$25/12</f>
        <v>0</v>
      </c>
      <c r="L25" s="103">
        <f>'2. kiadások össz'!$F$25/12</f>
        <v>0</v>
      </c>
      <c r="M25" s="103">
        <f>'2. kiadások össz'!$F$25/12</f>
        <v>0</v>
      </c>
      <c r="N25" s="119">
        <f t="shared" si="0"/>
        <v>0</v>
      </c>
    </row>
    <row r="26" spans="1:14" ht="16.5">
      <c r="A26" s="5" t="s">
        <v>32</v>
      </c>
      <c r="B26" s="103">
        <f>'2. kiadások össz'!$F$26/12</f>
        <v>0</v>
      </c>
      <c r="C26" s="103">
        <f>'2. kiadások össz'!$F$26/12</f>
        <v>0</v>
      </c>
      <c r="D26" s="103">
        <f>'2. kiadások össz'!$F$26/12</f>
        <v>0</v>
      </c>
      <c r="E26" s="103">
        <f>'2. kiadások össz'!$F$26/12</f>
        <v>0</v>
      </c>
      <c r="F26" s="103">
        <f>'2. kiadások össz'!$F$26/12</f>
        <v>0</v>
      </c>
      <c r="G26" s="103">
        <f>'2. kiadások össz'!$F$26/12</f>
        <v>0</v>
      </c>
      <c r="H26" s="103">
        <f>'2. kiadások össz'!$F$26/12</f>
        <v>0</v>
      </c>
      <c r="I26" s="103">
        <f>'2. kiadások össz'!$F$26/12</f>
        <v>0</v>
      </c>
      <c r="J26" s="103">
        <f>'2. kiadások össz'!$F$26/12</f>
        <v>0</v>
      </c>
      <c r="K26" s="103">
        <f>'2. kiadások össz'!$F$26/12</f>
        <v>0</v>
      </c>
      <c r="L26" s="103">
        <f>'2. kiadások össz'!$F$26/12</f>
        <v>0</v>
      </c>
      <c r="M26" s="103">
        <f>'2. kiadások össz'!$F$26/12</f>
        <v>0</v>
      </c>
      <c r="N26" s="119">
        <f t="shared" si="0"/>
        <v>0</v>
      </c>
    </row>
    <row r="27" spans="1:14" ht="32.25">
      <c r="A27" s="19" t="s">
        <v>25</v>
      </c>
      <c r="B27" s="103">
        <f>'2. kiadások össz'!$F$27/12</f>
        <v>582.0833333333334</v>
      </c>
      <c r="C27" s="103">
        <f>'2. kiadások össz'!$F$27/12</f>
        <v>582.0833333333334</v>
      </c>
      <c r="D27" s="103">
        <f>'2. kiadások össz'!$F$27/12</f>
        <v>582.0833333333334</v>
      </c>
      <c r="E27" s="103">
        <f>'2. kiadások össz'!$F$27/12</f>
        <v>582.0833333333334</v>
      </c>
      <c r="F27" s="103">
        <f>'2. kiadások össz'!$F$27/12</f>
        <v>582.0833333333334</v>
      </c>
      <c r="G27" s="103">
        <f>'2. kiadások össz'!$F$27/12</f>
        <v>582.0833333333334</v>
      </c>
      <c r="H27" s="103">
        <f>'2. kiadások össz'!$F$27/12</f>
        <v>582.0833333333334</v>
      </c>
      <c r="I27" s="103">
        <f>'2. kiadások össz'!$F$27/12</f>
        <v>582.0833333333334</v>
      </c>
      <c r="J27" s="103">
        <f>'2. kiadások össz'!$F$27/12</f>
        <v>582.0833333333334</v>
      </c>
      <c r="K27" s="103">
        <f>'2. kiadások össz'!$F$27/12</f>
        <v>582.0833333333334</v>
      </c>
      <c r="L27" s="103">
        <f>'2. kiadások össz'!$F$27/12</f>
        <v>582.0833333333334</v>
      </c>
      <c r="M27" s="103">
        <f>'2. kiadások össz'!$F$27/12</f>
        <v>582.0833333333334</v>
      </c>
      <c r="N27" s="119">
        <f t="shared" si="0"/>
        <v>6984.999999999999</v>
      </c>
    </row>
    <row r="28" spans="1:14" ht="16.5">
      <c r="A28" s="7" t="s">
        <v>22</v>
      </c>
      <c r="B28" s="103">
        <f>'2. kiadások össz'!$F$28/12</f>
        <v>0</v>
      </c>
      <c r="C28" s="103">
        <f>'2. kiadások össz'!$F$28/12</f>
        <v>0</v>
      </c>
      <c r="D28" s="103">
        <f>'2. kiadások össz'!$F$28/12</f>
        <v>0</v>
      </c>
      <c r="E28" s="103">
        <f>'2. kiadások össz'!$F$28/12</f>
        <v>0</v>
      </c>
      <c r="F28" s="103">
        <f>'2. kiadások össz'!$F$28/12</f>
        <v>0</v>
      </c>
      <c r="G28" s="103">
        <f>'2. kiadások össz'!$F$28/12</f>
        <v>0</v>
      </c>
      <c r="H28" s="103">
        <f>'2. kiadások össz'!$F$28/12</f>
        <v>0</v>
      </c>
      <c r="I28" s="103">
        <f>'2. kiadások össz'!$F$28/12</f>
        <v>0</v>
      </c>
      <c r="J28" s="103">
        <f>'2. kiadások össz'!$F$28/12</f>
        <v>0</v>
      </c>
      <c r="K28" s="103">
        <f>'2. kiadások össz'!$F$28/12</f>
        <v>0</v>
      </c>
      <c r="L28" s="103">
        <f>'2. kiadások össz'!$F$28/12</f>
        <v>0</v>
      </c>
      <c r="M28" s="103">
        <f>'2. kiadások össz'!$F$28/12</f>
        <v>0</v>
      </c>
      <c r="N28" s="119">
        <f t="shared" si="0"/>
        <v>0</v>
      </c>
    </row>
    <row r="29" spans="1:14" ht="16.5">
      <c r="A29" s="7" t="s">
        <v>24</v>
      </c>
      <c r="B29" s="103">
        <f>'2. kiadások össz'!$F$29/12</f>
        <v>0</v>
      </c>
      <c r="C29" s="103">
        <f>'2. kiadások össz'!$F$29/12</f>
        <v>0</v>
      </c>
      <c r="D29" s="103">
        <f>'2. kiadások össz'!$F$29/12</f>
        <v>0</v>
      </c>
      <c r="E29" s="103">
        <f>'2. kiadások össz'!$F$29/12</f>
        <v>0</v>
      </c>
      <c r="F29" s="103">
        <f>'2. kiadások össz'!$F$29/12</f>
        <v>0</v>
      </c>
      <c r="G29" s="103">
        <f>'2. kiadások össz'!$F$29/12</f>
        <v>0</v>
      </c>
      <c r="H29" s="103">
        <f>'2. kiadások össz'!$F$29/12</f>
        <v>0</v>
      </c>
      <c r="I29" s="103">
        <f>'2. kiadások össz'!$F$29/12</f>
        <v>0</v>
      </c>
      <c r="J29" s="103">
        <f>'2. kiadások össz'!$F$29/12</f>
        <v>0</v>
      </c>
      <c r="K29" s="103">
        <f>'2. kiadások össz'!$F$29/12</f>
        <v>0</v>
      </c>
      <c r="L29" s="103">
        <f>'2. kiadások össz'!$F$29/12</f>
        <v>0</v>
      </c>
      <c r="M29" s="103">
        <f>'2. kiadások össz'!$F$29/12</f>
        <v>0</v>
      </c>
      <c r="N29" s="119">
        <f t="shared" si="0"/>
        <v>0</v>
      </c>
    </row>
    <row r="30" spans="1:14" ht="16.5">
      <c r="A30" s="7" t="s">
        <v>23</v>
      </c>
      <c r="B30" s="103">
        <f>'2. kiadások össz'!$F$30/12</f>
        <v>4166.666666666667</v>
      </c>
      <c r="C30" s="103">
        <f>'2. kiadások össz'!$F$30/12</f>
        <v>4166.666666666667</v>
      </c>
      <c r="D30" s="103">
        <f>'2. kiadások össz'!$F$30/12</f>
        <v>4166.666666666667</v>
      </c>
      <c r="E30" s="103">
        <f>'2. kiadások össz'!$F$30/12</f>
        <v>4166.666666666667</v>
      </c>
      <c r="F30" s="103">
        <f>'2. kiadások össz'!$F$30/12</f>
        <v>4166.666666666667</v>
      </c>
      <c r="G30" s="103">
        <f>'2. kiadások össz'!$F$30/12</f>
        <v>4166.666666666667</v>
      </c>
      <c r="H30" s="103">
        <f>'2. kiadások össz'!$F$30/12</f>
        <v>4166.666666666667</v>
      </c>
      <c r="I30" s="103">
        <f>'2. kiadások össz'!$F$30/12</f>
        <v>4166.666666666667</v>
      </c>
      <c r="J30" s="103">
        <f>'2. kiadások össz'!$F$30/12</f>
        <v>4166.666666666667</v>
      </c>
      <c r="K30" s="103">
        <f>'2. kiadások össz'!$F$30/12</f>
        <v>4166.666666666667</v>
      </c>
      <c r="L30" s="103">
        <f>'2. kiadások össz'!$F$30/12</f>
        <v>4166.666666666667</v>
      </c>
      <c r="M30" s="103">
        <f>'2. kiadások össz'!$F$30/12</f>
        <v>4166.666666666667</v>
      </c>
      <c r="N30" s="119">
        <f t="shared" si="0"/>
        <v>49999.99999999999</v>
      </c>
    </row>
    <row r="31" spans="1:14" ht="16.5">
      <c r="A31" s="50" t="s">
        <v>7</v>
      </c>
      <c r="B31" s="103">
        <f>'2. kiadások össz'!$F31/12</f>
        <v>27410.5</v>
      </c>
      <c r="C31" s="103">
        <f>'2. kiadások össz'!$F31/12</f>
        <v>27410.5</v>
      </c>
      <c r="D31" s="103">
        <f>'2. kiadások össz'!$F31/12</f>
        <v>27410.5</v>
      </c>
      <c r="E31" s="103">
        <f>'2. kiadások össz'!$F31/12</f>
        <v>27410.5</v>
      </c>
      <c r="F31" s="103">
        <f>'2. kiadások össz'!$F31/12</f>
        <v>27410.5</v>
      </c>
      <c r="G31" s="103">
        <f>'2. kiadások össz'!$F31/12</f>
        <v>27410.5</v>
      </c>
      <c r="H31" s="103">
        <f>'2. kiadások össz'!$F31/12</f>
        <v>27410.5</v>
      </c>
      <c r="I31" s="103">
        <f>'2. kiadások össz'!$F31/12</f>
        <v>27410.5</v>
      </c>
      <c r="J31" s="103">
        <f>'2. kiadások össz'!$F31/12</f>
        <v>27410.5</v>
      </c>
      <c r="K31" s="103">
        <f>'2. kiadások össz'!$F31/12</f>
        <v>27410.5</v>
      </c>
      <c r="L31" s="103">
        <f>'2. kiadások össz'!$F31/12</f>
        <v>27410.5</v>
      </c>
      <c r="M31" s="103">
        <f>'2. kiadások össz'!$F31/12</f>
        <v>27410.5</v>
      </c>
      <c r="N31" s="119">
        <f t="shared" si="0"/>
        <v>328926</v>
      </c>
    </row>
    <row r="32" spans="1:14" ht="18.75">
      <c r="A32" s="24" t="s">
        <v>18</v>
      </c>
      <c r="B32" s="103">
        <f>'2. kiadások össz'!$F32/12</f>
        <v>83160.91666666667</v>
      </c>
      <c r="C32" s="103">
        <f>'2. kiadások össz'!$F32/12</f>
        <v>83160.91666666667</v>
      </c>
      <c r="D32" s="103">
        <f>'2. kiadások össz'!$F32/12</f>
        <v>83160.91666666667</v>
      </c>
      <c r="E32" s="103">
        <f>'2. kiadások össz'!$F32/12</f>
        <v>83160.91666666667</v>
      </c>
      <c r="F32" s="103">
        <f>'2. kiadások össz'!$F32/12</f>
        <v>83160.91666666667</v>
      </c>
      <c r="G32" s="103">
        <f>'2. kiadások össz'!$F32/12</f>
        <v>83160.91666666667</v>
      </c>
      <c r="H32" s="103">
        <f>'2. kiadások össz'!$F32/12</f>
        <v>83160.91666666667</v>
      </c>
      <c r="I32" s="103">
        <f>'2. kiadások össz'!$F32/12</f>
        <v>83160.91666666667</v>
      </c>
      <c r="J32" s="103">
        <f>'2. kiadások össz'!$F32/12</f>
        <v>83160.91666666667</v>
      </c>
      <c r="K32" s="103">
        <f>'2. kiadások össz'!$F32/12</f>
        <v>83160.91666666667</v>
      </c>
      <c r="L32" s="103">
        <f>'2. kiadások össz'!$F32/12</f>
        <v>83160.91666666667</v>
      </c>
      <c r="M32" s="103">
        <f>'2. kiadások össz'!$F32/12</f>
        <v>83160.91666666667</v>
      </c>
      <c r="N32" s="119">
        <f t="shared" si="0"/>
        <v>997930.9999999999</v>
      </c>
    </row>
    <row r="33" spans="1:14" s="193" customFormat="1" ht="18.75">
      <c r="A33" s="22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229"/>
    </row>
    <row r="34" spans="1:14" s="193" customFormat="1" ht="18.75">
      <c r="A34" s="22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229"/>
    </row>
    <row r="35" spans="1:14" ht="18">
      <c r="A35" s="17" t="s">
        <v>48</v>
      </c>
      <c r="B35" s="46" t="s">
        <v>221</v>
      </c>
      <c r="C35" s="46" t="s">
        <v>222</v>
      </c>
      <c r="D35" s="46" t="s">
        <v>223</v>
      </c>
      <c r="E35" s="46" t="s">
        <v>224</v>
      </c>
      <c r="F35" s="46" t="s">
        <v>225</v>
      </c>
      <c r="G35" s="46" t="s">
        <v>226</v>
      </c>
      <c r="H35" s="46" t="s">
        <v>227</v>
      </c>
      <c r="I35" s="46" t="s">
        <v>228</v>
      </c>
      <c r="J35" s="46" t="s">
        <v>229</v>
      </c>
      <c r="K35" s="46" t="s">
        <v>230</v>
      </c>
      <c r="L35" s="46" t="s">
        <v>231</v>
      </c>
      <c r="M35" s="46" t="s">
        <v>232</v>
      </c>
      <c r="N35" s="83" t="s">
        <v>107</v>
      </c>
    </row>
    <row r="36" spans="1:14" ht="16.5">
      <c r="A36" s="10" t="s">
        <v>34</v>
      </c>
      <c r="B36" s="103">
        <f>'1. bevételek össz'!$F$5/12</f>
        <v>11237.5</v>
      </c>
      <c r="C36" s="103">
        <f>'1. bevételek össz'!$F$5/12</f>
        <v>11237.5</v>
      </c>
      <c r="D36" s="103">
        <f>'1. bevételek össz'!$F$5/12</f>
        <v>11237.5</v>
      </c>
      <c r="E36" s="103">
        <f>'1. bevételek össz'!$F$5/12</f>
        <v>11237.5</v>
      </c>
      <c r="F36" s="103">
        <f>'1. bevételek össz'!$F$5/12</f>
        <v>11237.5</v>
      </c>
      <c r="G36" s="103">
        <f>'1. bevételek össz'!$F$5/12</f>
        <v>11237.5</v>
      </c>
      <c r="H36" s="103">
        <f>'1. bevételek össz'!$F$5/12</f>
        <v>11237.5</v>
      </c>
      <c r="I36" s="103">
        <f>'1. bevételek össz'!$F$5/12</f>
        <v>11237.5</v>
      </c>
      <c r="J36" s="103">
        <f>'1. bevételek össz'!$F$5/12</f>
        <v>11237.5</v>
      </c>
      <c r="K36" s="103">
        <f>'1. bevételek össz'!$F$5/12</f>
        <v>11237.5</v>
      </c>
      <c r="L36" s="103">
        <f>'1. bevételek össz'!$F$5/12</f>
        <v>11237.5</v>
      </c>
      <c r="M36" s="103">
        <f>'1. bevételek össz'!$F$5/12</f>
        <v>11237.5</v>
      </c>
      <c r="N36" s="119">
        <f t="shared" si="0"/>
        <v>134850</v>
      </c>
    </row>
    <row r="37" spans="1:14" ht="16.5">
      <c r="A37" s="14" t="s">
        <v>13</v>
      </c>
      <c r="B37" s="103">
        <f>'1. bevételek össz'!$F$6/12</f>
        <v>11231.666666666666</v>
      </c>
      <c r="C37" s="103">
        <f>'1. bevételek össz'!$F$6/12</f>
        <v>11231.666666666666</v>
      </c>
      <c r="D37" s="103">
        <f>'1. bevételek össz'!$F$6/12</f>
        <v>11231.666666666666</v>
      </c>
      <c r="E37" s="103">
        <f>'1. bevételek össz'!$F$6/12</f>
        <v>11231.666666666666</v>
      </c>
      <c r="F37" s="103">
        <f>'1. bevételek össz'!$F$6/12</f>
        <v>11231.666666666666</v>
      </c>
      <c r="G37" s="103">
        <f>'1. bevételek össz'!$F$6/12</f>
        <v>11231.666666666666</v>
      </c>
      <c r="H37" s="103">
        <f>'1. bevételek össz'!$F$6/12</f>
        <v>11231.666666666666</v>
      </c>
      <c r="I37" s="103">
        <f>'1. bevételek össz'!$F$6/12</f>
        <v>11231.666666666666</v>
      </c>
      <c r="J37" s="103">
        <f>'1. bevételek össz'!$F$6/12</f>
        <v>11231.666666666666</v>
      </c>
      <c r="K37" s="103">
        <f>'1. bevételek össz'!$F$6/12</f>
        <v>11231.666666666666</v>
      </c>
      <c r="L37" s="103">
        <f>'1. bevételek össz'!$F$6/12</f>
        <v>11231.666666666666</v>
      </c>
      <c r="M37" s="103">
        <f>'1. bevételek össz'!$F$6/12</f>
        <v>11231.666666666666</v>
      </c>
      <c r="N37" s="119">
        <f t="shared" si="0"/>
        <v>134780.00000000003</v>
      </c>
    </row>
    <row r="38" spans="1:14" ht="16.5">
      <c r="A38" s="14" t="s">
        <v>35</v>
      </c>
      <c r="B38" s="103">
        <f>'1. bevételek össz'!$F$7/12</f>
        <v>0</v>
      </c>
      <c r="C38" s="103">
        <f>'1. bevételek össz'!$F$7/12</f>
        <v>0</v>
      </c>
      <c r="D38" s="103">
        <f>'1. bevételek össz'!$F$7/12</f>
        <v>0</v>
      </c>
      <c r="E38" s="103">
        <f>'1. bevételek össz'!$F$7/12</f>
        <v>0</v>
      </c>
      <c r="F38" s="103">
        <f>'1. bevételek össz'!$F$7/12</f>
        <v>0</v>
      </c>
      <c r="G38" s="103">
        <f>'1. bevételek össz'!$F$7/12</f>
        <v>0</v>
      </c>
      <c r="H38" s="103">
        <f>'1. bevételek össz'!$F$7/12</f>
        <v>0</v>
      </c>
      <c r="I38" s="103">
        <f>'1. bevételek össz'!$F$7/12</f>
        <v>0</v>
      </c>
      <c r="J38" s="103">
        <f>'1. bevételek össz'!$F$7/12</f>
        <v>0</v>
      </c>
      <c r="K38" s="103">
        <f>'1. bevételek össz'!$F$7/12</f>
        <v>0</v>
      </c>
      <c r="L38" s="103">
        <f>'1. bevételek össz'!$F$7/12</f>
        <v>0</v>
      </c>
      <c r="M38" s="103">
        <f>'1. bevételek össz'!$F$7/12</f>
        <v>0</v>
      </c>
      <c r="N38" s="119">
        <f t="shared" si="0"/>
        <v>0</v>
      </c>
    </row>
    <row r="39" spans="1:14" ht="16.5">
      <c r="A39" s="14" t="s">
        <v>2</v>
      </c>
      <c r="B39" s="103">
        <f>'1. bevételek össz'!$F$8/12</f>
        <v>3702</v>
      </c>
      <c r="C39" s="103">
        <f>'1. bevételek össz'!$F$8/12</f>
        <v>3702</v>
      </c>
      <c r="D39" s="103">
        <f>'1. bevételek össz'!$F$8/12</f>
        <v>3702</v>
      </c>
      <c r="E39" s="103">
        <f>'1. bevételek össz'!$F$8/12</f>
        <v>3702</v>
      </c>
      <c r="F39" s="103">
        <f>'1. bevételek össz'!$F$8/12</f>
        <v>3702</v>
      </c>
      <c r="G39" s="103">
        <f>'1. bevételek össz'!$F$8/12</f>
        <v>3702</v>
      </c>
      <c r="H39" s="103">
        <f>'1. bevételek össz'!$F$8/12</f>
        <v>3702</v>
      </c>
      <c r="I39" s="103">
        <f>'1. bevételek össz'!$F$8/12</f>
        <v>3702</v>
      </c>
      <c r="J39" s="103">
        <f>'1. bevételek össz'!$F$8/12</f>
        <v>3702</v>
      </c>
      <c r="K39" s="103">
        <f>'1. bevételek össz'!$F$8/12</f>
        <v>3702</v>
      </c>
      <c r="L39" s="103">
        <f>'1. bevételek össz'!$F$8/12</f>
        <v>3702</v>
      </c>
      <c r="M39" s="103">
        <f>'1. bevételek össz'!$F$8/12</f>
        <v>3702</v>
      </c>
      <c r="N39" s="119">
        <f t="shared" si="0"/>
        <v>44424</v>
      </c>
    </row>
    <row r="40" spans="1:14" ht="63.75">
      <c r="A40" s="14" t="s">
        <v>0</v>
      </c>
      <c r="B40" s="103">
        <f>'1. bevételek össz'!$F$9/12</f>
        <v>16992.25</v>
      </c>
      <c r="C40" s="103">
        <f>'1. bevételek össz'!$F$9/12</f>
        <v>16992.25</v>
      </c>
      <c r="D40" s="103">
        <f>'1. bevételek össz'!$F$9/12</f>
        <v>16992.25</v>
      </c>
      <c r="E40" s="103">
        <f>'1. bevételek össz'!$F$9/12</f>
        <v>16992.25</v>
      </c>
      <c r="F40" s="103">
        <f>'1. bevételek össz'!$F$9/12</f>
        <v>16992.25</v>
      </c>
      <c r="G40" s="103">
        <f>'1. bevételek össz'!$F$9/12</f>
        <v>16992.25</v>
      </c>
      <c r="H40" s="103">
        <f>'1. bevételek össz'!$F$9/12</f>
        <v>16992.25</v>
      </c>
      <c r="I40" s="103">
        <f>'1. bevételek össz'!$F$9/12</f>
        <v>16992.25</v>
      </c>
      <c r="J40" s="103">
        <f>'1. bevételek össz'!$F$9/12</f>
        <v>16992.25</v>
      </c>
      <c r="K40" s="103">
        <f>'1. bevételek össz'!$F$9/12</f>
        <v>16992.25</v>
      </c>
      <c r="L40" s="103">
        <f>'1. bevételek össz'!$F$9/12</f>
        <v>16992.25</v>
      </c>
      <c r="M40" s="103">
        <f>'1. bevételek össz'!$F$9/12</f>
        <v>16992.25</v>
      </c>
      <c r="N40" s="119">
        <f t="shared" si="0"/>
        <v>203907</v>
      </c>
    </row>
    <row r="41" spans="1:14" ht="16.5">
      <c r="A41" s="11" t="s">
        <v>4</v>
      </c>
      <c r="B41" s="103">
        <f>'1. bevételek össz'!$F$10/12</f>
        <v>0</v>
      </c>
      <c r="C41" s="103">
        <f>'1. bevételek össz'!$F$10/12</f>
        <v>0</v>
      </c>
      <c r="D41" s="103">
        <f>'1. bevételek össz'!$F$10/12</f>
        <v>0</v>
      </c>
      <c r="E41" s="103">
        <f>'1. bevételek össz'!$F$10/12</f>
        <v>0</v>
      </c>
      <c r="F41" s="103">
        <f>'1. bevételek össz'!$F$10/12</f>
        <v>0</v>
      </c>
      <c r="G41" s="103">
        <f>'1. bevételek össz'!$F$10/12</f>
        <v>0</v>
      </c>
      <c r="H41" s="103">
        <f>'1. bevételek össz'!$F$10/12</f>
        <v>0</v>
      </c>
      <c r="I41" s="103">
        <f>'1. bevételek össz'!$F$10/12</f>
        <v>0</v>
      </c>
      <c r="J41" s="103">
        <f>'1. bevételek össz'!$F$10/12</f>
        <v>0</v>
      </c>
      <c r="K41" s="103">
        <f>'1. bevételek össz'!$F$10/12</f>
        <v>0</v>
      </c>
      <c r="L41" s="103">
        <f>'1. bevételek össz'!$F$10/12</f>
        <v>0</v>
      </c>
      <c r="M41" s="103">
        <f>'1. bevételek össz'!$F$10/12</f>
        <v>0</v>
      </c>
      <c r="N41" s="119">
        <f t="shared" si="0"/>
        <v>0</v>
      </c>
    </row>
    <row r="42" spans="1:14" ht="16.5">
      <c r="A42" s="6" t="s">
        <v>39</v>
      </c>
      <c r="B42" s="103">
        <f>'1. bevételek össz'!$F$11/12</f>
        <v>43163.416666666664</v>
      </c>
      <c r="C42" s="103">
        <f>'1. bevételek össz'!$F$11/12</f>
        <v>43163.416666666664</v>
      </c>
      <c r="D42" s="103">
        <f>'1. bevételek össz'!$F$11/12</f>
        <v>43163.416666666664</v>
      </c>
      <c r="E42" s="103">
        <f>'1. bevételek össz'!$F$11/12</f>
        <v>43163.416666666664</v>
      </c>
      <c r="F42" s="103">
        <f>'1. bevételek össz'!$F$11/12</f>
        <v>43163.416666666664</v>
      </c>
      <c r="G42" s="103">
        <f>'1. bevételek össz'!$F$11/12</f>
        <v>43163.416666666664</v>
      </c>
      <c r="H42" s="103">
        <f>'1. bevételek össz'!$F$11/12</f>
        <v>43163.416666666664</v>
      </c>
      <c r="I42" s="103">
        <f>'1. bevételek össz'!$F$11/12</f>
        <v>43163.416666666664</v>
      </c>
      <c r="J42" s="103">
        <f>'1. bevételek össz'!$F$11/12</f>
        <v>43163.416666666664</v>
      </c>
      <c r="K42" s="103">
        <f>'1. bevételek össz'!$F$11/12</f>
        <v>43163.416666666664</v>
      </c>
      <c r="L42" s="103">
        <f>'1. bevételek össz'!$F$11/12</f>
        <v>43163.416666666664</v>
      </c>
      <c r="M42" s="103">
        <f>'1. bevételek össz'!$F$11/12</f>
        <v>43163.416666666664</v>
      </c>
      <c r="N42" s="119">
        <f t="shared" si="0"/>
        <v>517961.00000000006</v>
      </c>
    </row>
    <row r="43" spans="1:14" ht="16.5">
      <c r="A43" s="9" t="s">
        <v>10</v>
      </c>
      <c r="B43" s="103">
        <f>'1. bevételek össz'!$F$12/12</f>
        <v>11720.083333333334</v>
      </c>
      <c r="C43" s="103">
        <f>'1. bevételek össz'!$F$12/12</f>
        <v>11720.083333333334</v>
      </c>
      <c r="D43" s="103">
        <f>'1. bevételek össz'!$F$12/12</f>
        <v>11720.083333333334</v>
      </c>
      <c r="E43" s="103">
        <f>'1. bevételek össz'!$F$12/12</f>
        <v>11720.083333333334</v>
      </c>
      <c r="F43" s="103">
        <f>'1. bevételek össz'!$F$12/12</f>
        <v>11720.083333333334</v>
      </c>
      <c r="G43" s="103">
        <f>'1. bevételek össz'!$F$12/12</f>
        <v>11720.083333333334</v>
      </c>
      <c r="H43" s="103">
        <f>'1. bevételek össz'!$F$12/12</f>
        <v>11720.083333333334</v>
      </c>
      <c r="I43" s="103">
        <f>'1. bevételek össz'!$F$12/12</f>
        <v>11720.083333333334</v>
      </c>
      <c r="J43" s="103">
        <f>'1. bevételek össz'!$F$12/12</f>
        <v>11720.083333333334</v>
      </c>
      <c r="K43" s="103">
        <f>'1. bevételek össz'!$F$12/12</f>
        <v>11720.083333333334</v>
      </c>
      <c r="L43" s="103">
        <f>'1. bevételek össz'!$F$12/12</f>
        <v>11720.083333333334</v>
      </c>
      <c r="M43" s="103">
        <f>'1. bevételek össz'!$F$12/12</f>
        <v>11720.083333333334</v>
      </c>
      <c r="N43" s="119">
        <f t="shared" si="0"/>
        <v>140640.99999999997</v>
      </c>
    </row>
    <row r="44" spans="1:14" ht="16.5">
      <c r="A44" s="172" t="s">
        <v>37</v>
      </c>
      <c r="B44" s="103">
        <f>'1. bevételek össz'!$F$13/12</f>
        <v>2016.9166666666667</v>
      </c>
      <c r="C44" s="103">
        <f>'1. bevételek össz'!$F$13/12</f>
        <v>2016.9166666666667</v>
      </c>
      <c r="D44" s="103">
        <f>'1. bevételek össz'!$F$13/12</f>
        <v>2016.9166666666667</v>
      </c>
      <c r="E44" s="103">
        <f>'1. bevételek össz'!$F$13/12</f>
        <v>2016.9166666666667</v>
      </c>
      <c r="F44" s="103">
        <f>'1. bevételek össz'!$F$13/12</f>
        <v>2016.9166666666667</v>
      </c>
      <c r="G44" s="103">
        <f>'1. bevételek össz'!$F$13/12</f>
        <v>2016.9166666666667</v>
      </c>
      <c r="H44" s="103">
        <f>'1. bevételek össz'!$F$13/12</f>
        <v>2016.9166666666667</v>
      </c>
      <c r="I44" s="103">
        <f>'1. bevételek össz'!$F$13/12</f>
        <v>2016.9166666666667</v>
      </c>
      <c r="J44" s="103">
        <f>'1. bevételek össz'!$F$13/12</f>
        <v>2016.9166666666667</v>
      </c>
      <c r="K44" s="103">
        <f>'1. bevételek össz'!$F$13/12</f>
        <v>2016.9166666666667</v>
      </c>
      <c r="L44" s="103">
        <f>'1. bevételek össz'!$F$13/12</f>
        <v>2016.9166666666667</v>
      </c>
      <c r="M44" s="103">
        <f>'1. bevételek össz'!$F$13/12</f>
        <v>2016.9166666666667</v>
      </c>
      <c r="N44" s="119">
        <f t="shared" si="0"/>
        <v>24203.000000000004</v>
      </c>
    </row>
    <row r="45" spans="1:14" ht="16.5">
      <c r="A45" s="50" t="s">
        <v>327</v>
      </c>
      <c r="B45" s="103">
        <f>'1. bevételek össz'!$F$14/12</f>
        <v>56900.416666666664</v>
      </c>
      <c r="C45" s="103">
        <f>'1. bevételek össz'!$F$14/12</f>
        <v>56900.416666666664</v>
      </c>
      <c r="D45" s="103">
        <f>'1. bevételek össz'!$F$14/12</f>
        <v>56900.416666666664</v>
      </c>
      <c r="E45" s="103">
        <f>'1. bevételek össz'!$F$14/12</f>
        <v>56900.416666666664</v>
      </c>
      <c r="F45" s="103">
        <f>'1. bevételek össz'!$F$14/12</f>
        <v>56900.416666666664</v>
      </c>
      <c r="G45" s="103">
        <f>'1. bevételek össz'!$F$14/12</f>
        <v>56900.416666666664</v>
      </c>
      <c r="H45" s="103">
        <f>'1. bevételek össz'!$F$14/12</f>
        <v>56900.416666666664</v>
      </c>
      <c r="I45" s="103">
        <f>'1. bevételek össz'!$F$14/12</f>
        <v>56900.416666666664</v>
      </c>
      <c r="J45" s="103">
        <f>'1. bevételek össz'!$F$14/12</f>
        <v>56900.416666666664</v>
      </c>
      <c r="K45" s="103">
        <f>'1. bevételek össz'!$F$14/12</f>
        <v>56900.416666666664</v>
      </c>
      <c r="L45" s="103">
        <f>'1. bevételek össz'!$F$14/12</f>
        <v>56900.416666666664</v>
      </c>
      <c r="M45" s="103">
        <f>'1. bevételek össz'!$F$14/12</f>
        <v>56900.416666666664</v>
      </c>
      <c r="N45" s="119">
        <f t="shared" si="0"/>
        <v>682805</v>
      </c>
    </row>
    <row r="46" spans="1:14" ht="16.5">
      <c r="A46" s="12" t="s">
        <v>42</v>
      </c>
      <c r="B46" s="103">
        <f>'1. bevételek össz'!$F$15/12</f>
        <v>1150</v>
      </c>
      <c r="C46" s="103">
        <f>'1. bevételek össz'!$F$15/12</f>
        <v>1150</v>
      </c>
      <c r="D46" s="103">
        <f>'1. bevételek össz'!$F$15/12</f>
        <v>1150</v>
      </c>
      <c r="E46" s="103">
        <f>'1. bevételek össz'!$F$15/12</f>
        <v>1150</v>
      </c>
      <c r="F46" s="103">
        <f>'1. bevételek össz'!$F$15/12</f>
        <v>1150</v>
      </c>
      <c r="G46" s="103">
        <f>'1. bevételek össz'!$F$15/12</f>
        <v>1150</v>
      </c>
      <c r="H46" s="103">
        <f>'1. bevételek össz'!$F$15/12</f>
        <v>1150</v>
      </c>
      <c r="I46" s="103">
        <f>'1. bevételek össz'!$F$15/12</f>
        <v>1150</v>
      </c>
      <c r="J46" s="103">
        <f>'1. bevételek össz'!$F$15/12</f>
        <v>1150</v>
      </c>
      <c r="K46" s="103">
        <f>'1. bevételek össz'!$F$15/12</f>
        <v>1150</v>
      </c>
      <c r="L46" s="103">
        <f>'1. bevételek össz'!$F$15/12</f>
        <v>1150</v>
      </c>
      <c r="M46" s="103">
        <f>'1. bevételek össz'!$F$15/12</f>
        <v>1150</v>
      </c>
      <c r="N46" s="119">
        <f t="shared" si="0"/>
        <v>13800</v>
      </c>
    </row>
    <row r="47" spans="1:14" ht="16.5">
      <c r="A47" s="19" t="s">
        <v>43</v>
      </c>
      <c r="B47" s="103">
        <f>'1. bevételek össz'!$F$16/12</f>
        <v>0</v>
      </c>
      <c r="C47" s="103">
        <f>'1. bevételek össz'!$F$16/12</f>
        <v>0</v>
      </c>
      <c r="D47" s="103">
        <f>'1. bevételek össz'!$F$16/12</f>
        <v>0</v>
      </c>
      <c r="E47" s="103">
        <f>'1. bevételek össz'!$F$16/12</f>
        <v>0</v>
      </c>
      <c r="F47" s="103">
        <f>'1. bevételek össz'!$F$16/12</f>
        <v>0</v>
      </c>
      <c r="G47" s="103">
        <f>'1. bevételek össz'!$F$16/12</f>
        <v>0</v>
      </c>
      <c r="H47" s="103">
        <f>'1. bevételek össz'!$F$16/12</f>
        <v>0</v>
      </c>
      <c r="I47" s="103">
        <f>'1. bevételek össz'!$F$16/12</f>
        <v>0</v>
      </c>
      <c r="J47" s="103">
        <f>'1. bevételek össz'!$F$16/12</f>
        <v>0</v>
      </c>
      <c r="K47" s="103">
        <f>'1. bevételek össz'!$F$16/12</f>
        <v>0</v>
      </c>
      <c r="L47" s="103">
        <f>'1. bevételek össz'!$F$16/12</f>
        <v>0</v>
      </c>
      <c r="M47" s="103">
        <f>'1. bevételek össz'!$F$16/12</f>
        <v>0</v>
      </c>
      <c r="N47" s="119">
        <f t="shared" si="0"/>
        <v>0</v>
      </c>
    </row>
    <row r="48" spans="1:14" ht="32.25">
      <c r="A48" s="14" t="s">
        <v>36</v>
      </c>
      <c r="B48" s="103">
        <f>'1. bevételek össz'!$F$17/12</f>
        <v>6115.916666666667</v>
      </c>
      <c r="C48" s="103">
        <f>'1. bevételek össz'!$F$17/12</f>
        <v>6115.916666666667</v>
      </c>
      <c r="D48" s="103">
        <f>'1. bevételek össz'!$F$17/12</f>
        <v>6115.916666666667</v>
      </c>
      <c r="E48" s="103">
        <f>'1. bevételek össz'!$F$17/12</f>
        <v>6115.916666666667</v>
      </c>
      <c r="F48" s="103">
        <f>'1. bevételek össz'!$F$17/12</f>
        <v>6115.916666666667</v>
      </c>
      <c r="G48" s="103">
        <f>'1. bevételek össz'!$F$17/12</f>
        <v>6115.916666666667</v>
      </c>
      <c r="H48" s="103">
        <f>'1. bevételek össz'!$F$17/12</f>
        <v>6115.916666666667</v>
      </c>
      <c r="I48" s="103">
        <f>'1. bevételek össz'!$F$17/12</f>
        <v>6115.916666666667</v>
      </c>
      <c r="J48" s="103">
        <f>'1. bevételek össz'!$F$17/12</f>
        <v>6115.916666666667</v>
      </c>
      <c r="K48" s="103">
        <f>'1. bevételek össz'!$F$17/12</f>
        <v>6115.916666666667</v>
      </c>
      <c r="L48" s="103">
        <f>'1. bevételek össz'!$F$17/12</f>
        <v>6115.916666666667</v>
      </c>
      <c r="M48" s="103">
        <f>'1. bevételek össz'!$F$17/12</f>
        <v>6115.916666666667</v>
      </c>
      <c r="N48" s="119">
        <f t="shared" si="0"/>
        <v>73391</v>
      </c>
    </row>
    <row r="49" spans="1:14" ht="16.5">
      <c r="A49" s="14" t="s">
        <v>15</v>
      </c>
      <c r="B49" s="103">
        <f>'1. bevételek össz'!$F$18/12</f>
        <v>0</v>
      </c>
      <c r="C49" s="103">
        <f>'1. bevételek össz'!$F$18/12</f>
        <v>0</v>
      </c>
      <c r="D49" s="103">
        <f>'1. bevételek össz'!$F$18/12</f>
        <v>0</v>
      </c>
      <c r="E49" s="103">
        <f>'1. bevételek össz'!$F$18/12</f>
        <v>0</v>
      </c>
      <c r="F49" s="103">
        <f>'1. bevételek össz'!$F$18/12</f>
        <v>0</v>
      </c>
      <c r="G49" s="103">
        <f>'1. bevételek össz'!$F$18/12</f>
        <v>0</v>
      </c>
      <c r="H49" s="103">
        <f>'1. bevételek össz'!$F$18/12</f>
        <v>0</v>
      </c>
      <c r="I49" s="103">
        <f>'1. bevételek össz'!$F$18/12</f>
        <v>0</v>
      </c>
      <c r="J49" s="103">
        <f>'1. bevételek össz'!$F$18/12</f>
        <v>0</v>
      </c>
      <c r="K49" s="103">
        <f>'1. bevételek össz'!$F$18/12</f>
        <v>0</v>
      </c>
      <c r="L49" s="103">
        <f>'1. bevételek össz'!$F$18/12</f>
        <v>0</v>
      </c>
      <c r="M49" s="103">
        <f>'1. bevételek össz'!$F$18/12</f>
        <v>0</v>
      </c>
      <c r="N49" s="119">
        <f t="shared" si="0"/>
        <v>0</v>
      </c>
    </row>
    <row r="50" spans="1:14" ht="16.5">
      <c r="A50" s="14" t="s">
        <v>188</v>
      </c>
      <c r="B50" s="103">
        <f>'1. bevételek össz'!$F$19/12</f>
        <v>0</v>
      </c>
      <c r="C50" s="103">
        <f>'1. bevételek össz'!$F$19/12</f>
        <v>0</v>
      </c>
      <c r="D50" s="103">
        <f>'1. bevételek össz'!$F$19/12</f>
        <v>0</v>
      </c>
      <c r="E50" s="103">
        <f>'1. bevételek össz'!$F$19/12</f>
        <v>0</v>
      </c>
      <c r="F50" s="103">
        <f>'1. bevételek össz'!$F$19/12</f>
        <v>0</v>
      </c>
      <c r="G50" s="103">
        <f>'1. bevételek össz'!$F$19/12</f>
        <v>0</v>
      </c>
      <c r="H50" s="103">
        <f>'1. bevételek össz'!$F$19/12</f>
        <v>0</v>
      </c>
      <c r="I50" s="103">
        <f>'1. bevételek össz'!$F$19/12</f>
        <v>0</v>
      </c>
      <c r="J50" s="103">
        <f>'1. bevételek össz'!$F$19/12</f>
        <v>0</v>
      </c>
      <c r="K50" s="103">
        <f>'1. bevételek össz'!$F$19/12</f>
        <v>0</v>
      </c>
      <c r="L50" s="103">
        <f>'1. bevételek össz'!$F$19/12</f>
        <v>0</v>
      </c>
      <c r="M50" s="103">
        <f>'1. bevételek össz'!$F$19/12</f>
        <v>0</v>
      </c>
      <c r="N50" s="119">
        <f t="shared" si="0"/>
        <v>0</v>
      </c>
    </row>
    <row r="51" spans="1:14" ht="48">
      <c r="A51" s="14" t="s">
        <v>3</v>
      </c>
      <c r="B51" s="103">
        <f>'1. bevételek össz'!$F$20/12</f>
        <v>12405</v>
      </c>
      <c r="C51" s="103">
        <f>'1. bevételek össz'!$F$20/12</f>
        <v>12405</v>
      </c>
      <c r="D51" s="103">
        <f>'1. bevételek össz'!$F$20/12</f>
        <v>12405</v>
      </c>
      <c r="E51" s="103">
        <f>'1. bevételek össz'!$F$20/12</f>
        <v>12405</v>
      </c>
      <c r="F51" s="103">
        <f>'1. bevételek össz'!$F$20/12</f>
        <v>12405</v>
      </c>
      <c r="G51" s="103">
        <f>'1. bevételek össz'!$F$20/12</f>
        <v>12405</v>
      </c>
      <c r="H51" s="103">
        <f>'1. bevételek össz'!$F$20/12</f>
        <v>12405</v>
      </c>
      <c r="I51" s="103">
        <f>'1. bevételek össz'!$F$20/12</f>
        <v>12405</v>
      </c>
      <c r="J51" s="103">
        <f>'1. bevételek össz'!$F$20/12</f>
        <v>12405</v>
      </c>
      <c r="K51" s="103">
        <f>'1. bevételek össz'!$F$20/12</f>
        <v>12405</v>
      </c>
      <c r="L51" s="103">
        <f>'1. bevételek össz'!$F$20/12</f>
        <v>12405</v>
      </c>
      <c r="M51" s="103">
        <f>'1. bevételek össz'!$F$20/12</f>
        <v>12405</v>
      </c>
      <c r="N51" s="119">
        <f t="shared" si="0"/>
        <v>148860</v>
      </c>
    </row>
    <row r="52" spans="1:14" ht="32.25">
      <c r="A52" s="14" t="s">
        <v>8</v>
      </c>
      <c r="B52" s="103">
        <f>'1. bevételek össz'!$F$21/12</f>
        <v>0</v>
      </c>
      <c r="C52" s="103">
        <f>'1. bevételek össz'!$F$21/12</f>
        <v>0</v>
      </c>
      <c r="D52" s="103">
        <f>'1. bevételek össz'!$F$21/12</f>
        <v>0</v>
      </c>
      <c r="E52" s="103">
        <f>'1. bevételek össz'!$F$21/12</f>
        <v>0</v>
      </c>
      <c r="F52" s="103">
        <f>'1. bevételek össz'!$F$21/12</f>
        <v>0</v>
      </c>
      <c r="G52" s="103">
        <f>'1. bevételek össz'!$F$21/12</f>
        <v>0</v>
      </c>
      <c r="H52" s="103">
        <f>'1. bevételek össz'!$F$21/12</f>
        <v>0</v>
      </c>
      <c r="I52" s="103">
        <f>'1. bevételek össz'!$F$21/12</f>
        <v>0</v>
      </c>
      <c r="J52" s="103">
        <f>'1. bevételek össz'!$F$21/12</f>
        <v>0</v>
      </c>
      <c r="K52" s="103">
        <f>'1. bevételek össz'!$F$21/12</f>
        <v>0</v>
      </c>
      <c r="L52" s="103">
        <f>'1. bevételek össz'!$F$21/12</f>
        <v>0</v>
      </c>
      <c r="M52" s="103">
        <f>'1. bevételek össz'!$F$21/12</f>
        <v>0</v>
      </c>
      <c r="N52" s="119">
        <f t="shared" si="0"/>
        <v>0</v>
      </c>
    </row>
    <row r="53" spans="1:14" ht="16.5">
      <c r="A53" s="10" t="s">
        <v>1</v>
      </c>
      <c r="B53" s="103">
        <f>'1. bevételek össz'!$F$22/12</f>
        <v>0</v>
      </c>
      <c r="C53" s="103">
        <f>'1. bevételek össz'!$F$22/12</f>
        <v>0</v>
      </c>
      <c r="D53" s="103">
        <f>'1. bevételek össz'!$F$22/12</f>
        <v>0</v>
      </c>
      <c r="E53" s="103">
        <f>'1. bevételek össz'!$F$22/12</f>
        <v>0</v>
      </c>
      <c r="F53" s="103">
        <f>'1. bevételek össz'!$F$22/12</f>
        <v>0</v>
      </c>
      <c r="G53" s="103">
        <f>'1. bevételek össz'!$F$22/12</f>
        <v>0</v>
      </c>
      <c r="H53" s="103">
        <f>'1. bevételek össz'!$F$22/12</f>
        <v>0</v>
      </c>
      <c r="I53" s="103">
        <f>'1. bevételek össz'!$F$22/12</f>
        <v>0</v>
      </c>
      <c r="J53" s="103">
        <f>'1. bevételek össz'!$F$22/12</f>
        <v>0</v>
      </c>
      <c r="K53" s="103">
        <f>'1. bevételek össz'!$F$22/12</f>
        <v>0</v>
      </c>
      <c r="L53" s="103">
        <f>'1. bevételek össz'!$F$22/12</f>
        <v>0</v>
      </c>
      <c r="M53" s="103">
        <f>'1. bevételek össz'!$F$22/12</f>
        <v>0</v>
      </c>
      <c r="N53" s="119">
        <f t="shared" si="0"/>
        <v>0</v>
      </c>
    </row>
    <row r="54" spans="1:14" ht="16.5">
      <c r="A54" s="11" t="s">
        <v>5</v>
      </c>
      <c r="B54" s="103">
        <f>'1. bevételek össz'!$F$23/12</f>
        <v>0</v>
      </c>
      <c r="C54" s="103">
        <f>'1. bevételek össz'!$F$23/12</f>
        <v>0</v>
      </c>
      <c r="D54" s="103">
        <f>'1. bevételek össz'!$F$23/12</f>
        <v>0</v>
      </c>
      <c r="E54" s="103">
        <f>'1. bevételek össz'!$F$23/12</f>
        <v>0</v>
      </c>
      <c r="F54" s="103">
        <f>'1. bevételek össz'!$F$23/12</f>
        <v>0</v>
      </c>
      <c r="G54" s="103">
        <f>'1. bevételek össz'!$F$23/12</f>
        <v>0</v>
      </c>
      <c r="H54" s="103">
        <f>'1. bevételek össz'!$F$23/12</f>
        <v>0</v>
      </c>
      <c r="I54" s="103">
        <f>'1. bevételek össz'!$F$23/12</f>
        <v>0</v>
      </c>
      <c r="J54" s="103">
        <f>'1. bevételek össz'!$F$23/12</f>
        <v>0</v>
      </c>
      <c r="K54" s="103">
        <f>'1. bevételek össz'!$F$23/12</f>
        <v>0</v>
      </c>
      <c r="L54" s="103">
        <f>'1. bevételek össz'!$F$23/12</f>
        <v>0</v>
      </c>
      <c r="M54" s="103">
        <f>'1. bevételek össz'!$F$23/12</f>
        <v>0</v>
      </c>
      <c r="N54" s="119">
        <f t="shared" si="0"/>
        <v>0</v>
      </c>
    </row>
    <row r="55" spans="1:14" ht="32.25">
      <c r="A55" s="6" t="s">
        <v>38</v>
      </c>
      <c r="B55" s="103">
        <f>'1. bevételek össz'!$F$24/12</f>
        <v>18520.916666666668</v>
      </c>
      <c r="C55" s="103">
        <f>'1. bevételek össz'!$F$24/12</f>
        <v>18520.916666666668</v>
      </c>
      <c r="D55" s="103">
        <f>'1. bevételek össz'!$F$24/12</f>
        <v>18520.916666666668</v>
      </c>
      <c r="E55" s="103">
        <f>'1. bevételek össz'!$F$24/12</f>
        <v>18520.916666666668</v>
      </c>
      <c r="F55" s="103">
        <f>'1. bevételek össz'!$F$24/12</f>
        <v>18520.916666666668</v>
      </c>
      <c r="G55" s="103">
        <f>'1. bevételek össz'!$F$24/12</f>
        <v>18520.916666666668</v>
      </c>
      <c r="H55" s="103">
        <f>'1. bevételek össz'!$F$24/12</f>
        <v>18520.916666666668</v>
      </c>
      <c r="I55" s="103">
        <f>'1. bevételek össz'!$F$24/12</f>
        <v>18520.916666666668</v>
      </c>
      <c r="J55" s="103">
        <f>'1. bevételek össz'!$F$24/12</f>
        <v>18520.916666666668</v>
      </c>
      <c r="K55" s="103">
        <f>'1. bevételek össz'!$F$24/12</f>
        <v>18520.916666666668</v>
      </c>
      <c r="L55" s="103">
        <f>'1. bevételek össz'!$F$24/12</f>
        <v>18520.916666666668</v>
      </c>
      <c r="M55" s="103">
        <f>'1. bevételek össz'!$F$24/12</f>
        <v>18520.916666666668</v>
      </c>
      <c r="N55" s="119">
        <f t="shared" si="0"/>
        <v>222250.99999999997</v>
      </c>
    </row>
    <row r="56" spans="1:14" ht="16.5">
      <c r="A56" s="9" t="s">
        <v>11</v>
      </c>
      <c r="B56" s="103">
        <f>'1. bevételek össz'!$F$25/12</f>
        <v>532.0833333333334</v>
      </c>
      <c r="C56" s="103">
        <f>'1. bevételek össz'!$F$25/12</f>
        <v>532.0833333333334</v>
      </c>
      <c r="D56" s="103">
        <f>'1. bevételek össz'!$F$25/12</f>
        <v>532.0833333333334</v>
      </c>
      <c r="E56" s="103">
        <f>'1. bevételek össz'!$F$25/12</f>
        <v>532.0833333333334</v>
      </c>
      <c r="F56" s="103">
        <f>'1. bevételek össz'!$F$25/12</f>
        <v>532.0833333333334</v>
      </c>
      <c r="G56" s="103">
        <f>'1. bevételek össz'!$F$25/12</f>
        <v>532.0833333333334</v>
      </c>
      <c r="H56" s="103">
        <f>'1. bevételek össz'!$F$25/12</f>
        <v>532.0833333333334</v>
      </c>
      <c r="I56" s="103">
        <f>'1. bevételek össz'!$F$25/12</f>
        <v>532.0833333333334</v>
      </c>
      <c r="J56" s="103">
        <f>'1. bevételek össz'!$F$25/12</f>
        <v>532.0833333333334</v>
      </c>
      <c r="K56" s="103">
        <f>'1. bevételek össz'!$F$25/12</f>
        <v>532.0833333333334</v>
      </c>
      <c r="L56" s="103">
        <f>'1. bevételek össz'!$F$25/12</f>
        <v>532.0833333333334</v>
      </c>
      <c r="M56" s="103">
        <f>'1. bevételek össz'!$F$25/12</f>
        <v>532.0833333333334</v>
      </c>
      <c r="N56" s="119">
        <f t="shared" si="0"/>
        <v>6384.999999999999</v>
      </c>
    </row>
    <row r="57" spans="1:14" ht="16.5">
      <c r="A57" s="173" t="s">
        <v>41</v>
      </c>
      <c r="B57" s="103">
        <f>'1. bevételek össz'!$F$26/12</f>
        <v>3040.8333333333335</v>
      </c>
      <c r="C57" s="103">
        <f>'1. bevételek össz'!$F$26/12</f>
        <v>3040.8333333333335</v>
      </c>
      <c r="D57" s="103">
        <f>'1. bevételek össz'!$F$26/12</f>
        <v>3040.8333333333335</v>
      </c>
      <c r="E57" s="103">
        <f>'1. bevételek össz'!$F$26/12</f>
        <v>3040.8333333333335</v>
      </c>
      <c r="F57" s="103">
        <f>'1. bevételek össz'!$F$26/12</f>
        <v>3040.8333333333335</v>
      </c>
      <c r="G57" s="103">
        <f>'1. bevételek össz'!$F$26/12</f>
        <v>3040.8333333333335</v>
      </c>
      <c r="H57" s="103">
        <f>'1. bevételek össz'!$F$26/12</f>
        <v>3040.8333333333335</v>
      </c>
      <c r="I57" s="103">
        <f>'1. bevételek össz'!$F$26/12</f>
        <v>3040.8333333333335</v>
      </c>
      <c r="J57" s="103">
        <f>'1. bevételek össz'!$F$26/12</f>
        <v>3040.8333333333335</v>
      </c>
      <c r="K57" s="103">
        <f>'1. bevételek össz'!$F$26/12</f>
        <v>3040.8333333333335</v>
      </c>
      <c r="L57" s="103">
        <f>'1. bevételek össz'!$F$26/12</f>
        <v>3040.8333333333335</v>
      </c>
      <c r="M57" s="103">
        <f>'1. bevételek össz'!$F$26/12</f>
        <v>3040.8333333333335</v>
      </c>
      <c r="N57" s="119">
        <f t="shared" si="0"/>
        <v>36490</v>
      </c>
    </row>
    <row r="58" spans="1:14" ht="16.5">
      <c r="A58" s="15" t="s">
        <v>14</v>
      </c>
      <c r="B58" s="103">
        <f>'1. bevételek össz'!$F$27/12</f>
        <v>0</v>
      </c>
      <c r="C58" s="103">
        <f>'1. bevételek össz'!$F$27/12</f>
        <v>0</v>
      </c>
      <c r="D58" s="103">
        <f>'1. bevételek össz'!$F$27/12</f>
        <v>0</v>
      </c>
      <c r="E58" s="103">
        <f>'1. bevételek össz'!$F$27/12</f>
        <v>0</v>
      </c>
      <c r="F58" s="103">
        <f>'1. bevételek össz'!$F$27/12</f>
        <v>0</v>
      </c>
      <c r="G58" s="103">
        <f>'1. bevételek össz'!$F$27/12</f>
        <v>0</v>
      </c>
      <c r="H58" s="103">
        <f>'1. bevételek össz'!$F$27/12</f>
        <v>0</v>
      </c>
      <c r="I58" s="103">
        <f>'1. bevételek össz'!$F$27/12</f>
        <v>0</v>
      </c>
      <c r="J58" s="103">
        <f>'1. bevételek össz'!$F$27/12</f>
        <v>0</v>
      </c>
      <c r="K58" s="103">
        <f>'1. bevételek össz'!$F$27/12</f>
        <v>0</v>
      </c>
      <c r="L58" s="103">
        <f>'1. bevételek össz'!$F$27/12</f>
        <v>0</v>
      </c>
      <c r="M58" s="103">
        <f>'1. bevételek össz'!$F$27/12</f>
        <v>0</v>
      </c>
      <c r="N58" s="119">
        <f t="shared" si="0"/>
        <v>0</v>
      </c>
    </row>
    <row r="59" spans="1:14" ht="32.25">
      <c r="A59" s="15" t="s">
        <v>40</v>
      </c>
      <c r="B59" s="103">
        <f>'1. bevételek össz'!$F28/12</f>
        <v>4166.666666666667</v>
      </c>
      <c r="C59" s="103">
        <f>'1. bevételek össz'!$F28/12</f>
        <v>4166.666666666667</v>
      </c>
      <c r="D59" s="103">
        <f>'1. bevételek össz'!$F28/12</f>
        <v>4166.666666666667</v>
      </c>
      <c r="E59" s="103">
        <f>'1. bevételek össz'!$F28/12</f>
        <v>4166.666666666667</v>
      </c>
      <c r="F59" s="103">
        <f>'1. bevételek össz'!$F28/12</f>
        <v>4166.666666666667</v>
      </c>
      <c r="G59" s="103">
        <f>'1. bevételek össz'!$F28/12</f>
        <v>4166.666666666667</v>
      </c>
      <c r="H59" s="103">
        <f>'1. bevételek össz'!$F28/12</f>
        <v>4166.666666666667</v>
      </c>
      <c r="I59" s="103">
        <f>'1. bevételek össz'!$F28/12</f>
        <v>4166.666666666667</v>
      </c>
      <c r="J59" s="103">
        <f>'1. bevételek össz'!$F28/12</f>
        <v>4166.666666666667</v>
      </c>
      <c r="K59" s="103">
        <f>'1. bevételek össz'!$F28/12</f>
        <v>4166.666666666667</v>
      </c>
      <c r="L59" s="103">
        <f>'1. bevételek össz'!$F28/12</f>
        <v>4166.666666666667</v>
      </c>
      <c r="M59" s="103">
        <f>'1. bevételek össz'!$F28/12</f>
        <v>4166.666666666667</v>
      </c>
      <c r="N59" s="119">
        <f t="shared" si="0"/>
        <v>49999.99999999999</v>
      </c>
    </row>
    <row r="60" spans="1:14" ht="16.5">
      <c r="A60" s="50" t="s">
        <v>7</v>
      </c>
      <c r="B60" s="103">
        <f>'1. bevételek össz'!$F$29/12</f>
        <v>26260.5</v>
      </c>
      <c r="C60" s="103">
        <f>'1. bevételek össz'!$F$29/12</f>
        <v>26260.5</v>
      </c>
      <c r="D60" s="103">
        <f>'1. bevételek össz'!$F$29/12</f>
        <v>26260.5</v>
      </c>
      <c r="E60" s="103">
        <f>'1. bevételek össz'!$F$29/12</f>
        <v>26260.5</v>
      </c>
      <c r="F60" s="103">
        <f>'1. bevételek össz'!$F$29/12</f>
        <v>26260.5</v>
      </c>
      <c r="G60" s="103">
        <f>'1. bevételek össz'!$F$29/12</f>
        <v>26260.5</v>
      </c>
      <c r="H60" s="103">
        <f>'1. bevételek össz'!$F$29/12</f>
        <v>26260.5</v>
      </c>
      <c r="I60" s="103">
        <f>'1. bevételek össz'!$F$29/12</f>
        <v>26260.5</v>
      </c>
      <c r="J60" s="103">
        <f>'1. bevételek össz'!$F$29/12</f>
        <v>26260.5</v>
      </c>
      <c r="K60" s="103">
        <f>'1. bevételek össz'!$F$29/12</f>
        <v>26260.5</v>
      </c>
      <c r="L60" s="103">
        <f>'1. bevételek össz'!$F$29/12</f>
        <v>26260.5</v>
      </c>
      <c r="M60" s="103">
        <f>'1. bevételek össz'!$F$29/12</f>
        <v>26260.5</v>
      </c>
      <c r="N60" s="119">
        <f t="shared" si="0"/>
        <v>315126</v>
      </c>
    </row>
    <row r="61" spans="1:14" ht="16.5">
      <c r="A61" s="12" t="s">
        <v>44</v>
      </c>
      <c r="B61" s="103">
        <f>'1. bevételek össz'!$F$30/12</f>
        <v>-1150</v>
      </c>
      <c r="C61" s="103">
        <f>'1. bevételek össz'!$F$30/12</f>
        <v>-1150</v>
      </c>
      <c r="D61" s="103">
        <f>'1. bevételek össz'!$F$30/12</f>
        <v>-1150</v>
      </c>
      <c r="E61" s="103">
        <f>'1. bevételek össz'!$F$30/12</f>
        <v>-1150</v>
      </c>
      <c r="F61" s="103">
        <f>'1. bevételek össz'!$F$30/12</f>
        <v>-1150</v>
      </c>
      <c r="G61" s="103">
        <f>'1. bevételek össz'!$F$30/12</f>
        <v>-1150</v>
      </c>
      <c r="H61" s="103">
        <f>'1. bevételek össz'!$F$30/12</f>
        <v>-1150</v>
      </c>
      <c r="I61" s="103">
        <f>'1. bevételek össz'!$F$30/12</f>
        <v>-1150</v>
      </c>
      <c r="J61" s="103">
        <f>'1. bevételek össz'!$F$30/12</f>
        <v>-1150</v>
      </c>
      <c r="K61" s="103">
        <f>'1. bevételek össz'!$F$30/12</f>
        <v>-1150</v>
      </c>
      <c r="L61" s="103">
        <f>'1. bevételek össz'!$F$30/12</f>
        <v>-1150</v>
      </c>
      <c r="M61" s="103">
        <f>'1. bevételek össz'!$F$30/12</f>
        <v>-1150</v>
      </c>
      <c r="N61" s="119">
        <f t="shared" si="0"/>
        <v>-13800</v>
      </c>
    </row>
    <row r="62" spans="1:14" ht="16.5">
      <c r="A62" s="19" t="s">
        <v>45</v>
      </c>
      <c r="B62" s="103">
        <f>'1. bevételek össz'!$F$31/12</f>
        <v>0</v>
      </c>
      <c r="C62" s="103">
        <f>'1. bevételek össz'!$F$31/12</f>
        <v>0</v>
      </c>
      <c r="D62" s="103">
        <f>'1. bevételek össz'!$F$31/12</f>
        <v>0</v>
      </c>
      <c r="E62" s="103">
        <f>'1. bevételek össz'!$F$31/12</f>
        <v>0</v>
      </c>
      <c r="F62" s="103">
        <f>'1. bevételek össz'!$F$31/12</f>
        <v>0</v>
      </c>
      <c r="G62" s="103">
        <f>'1. bevételek össz'!$F$31/12</f>
        <v>0</v>
      </c>
      <c r="H62" s="103">
        <f>'1. bevételek össz'!$F$31/12</f>
        <v>0</v>
      </c>
      <c r="I62" s="103">
        <f>'1. bevételek össz'!$F$31/12</f>
        <v>0</v>
      </c>
      <c r="J62" s="103">
        <f>'1. bevételek össz'!$F$31/12</f>
        <v>0</v>
      </c>
      <c r="K62" s="103">
        <f>'1. bevételek össz'!$F$31/12</f>
        <v>0</v>
      </c>
      <c r="L62" s="103">
        <f>'1. bevételek össz'!$F$31/12</f>
        <v>0</v>
      </c>
      <c r="M62" s="103">
        <f>'1. bevételek össz'!$F$31/12</f>
        <v>0</v>
      </c>
      <c r="N62" s="119">
        <f t="shared" si="0"/>
        <v>0</v>
      </c>
    </row>
    <row r="63" spans="1:14" ht="18.75">
      <c r="A63" s="17" t="s">
        <v>46</v>
      </c>
      <c r="B63" s="103">
        <f>'1. bevételek össz'!$F$32/12</f>
        <v>83160.91666666667</v>
      </c>
      <c r="C63" s="103">
        <f>'1. bevételek össz'!$F$32/12</f>
        <v>83160.91666666667</v>
      </c>
      <c r="D63" s="103">
        <f>'1. bevételek össz'!$F$32/12</f>
        <v>83160.91666666667</v>
      </c>
      <c r="E63" s="103">
        <f>'1. bevételek össz'!$F$32/12</f>
        <v>83160.91666666667</v>
      </c>
      <c r="F63" s="103">
        <f>'1. bevételek össz'!$F$32/12</f>
        <v>83160.91666666667</v>
      </c>
      <c r="G63" s="103">
        <f>'1. bevételek össz'!$F$32/12</f>
        <v>83160.91666666667</v>
      </c>
      <c r="H63" s="103">
        <f>'1. bevételek össz'!$F$32/12</f>
        <v>83160.91666666667</v>
      </c>
      <c r="I63" s="103">
        <f>'1. bevételek össz'!$F$32/12</f>
        <v>83160.91666666667</v>
      </c>
      <c r="J63" s="103">
        <f>'1. bevételek össz'!$F$32/12</f>
        <v>83160.91666666667</v>
      </c>
      <c r="K63" s="103">
        <f>'1. bevételek össz'!$F$32/12</f>
        <v>83160.91666666667</v>
      </c>
      <c r="L63" s="103">
        <f>'1. bevételek össz'!$F$32/12</f>
        <v>83160.91666666667</v>
      </c>
      <c r="M63" s="103">
        <f>'1. bevételek össz'!$F$32/12</f>
        <v>83160.91666666667</v>
      </c>
      <c r="N63" s="119">
        <f t="shared" si="0"/>
        <v>997930.9999999999</v>
      </c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sheetProtection/>
  <printOptions/>
  <pageMargins left="0.15" right="0.11" top="0.63" bottom="0.28" header="0.11" footer="0.11"/>
  <pageSetup fitToHeight="1" fitToWidth="1" horizontalDpi="600" verticalDpi="600" orientation="portrait" paperSize="9" scale="4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I20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16" sqref="G16"/>
    </sheetView>
  </sheetViews>
  <sheetFormatPr defaultColWidth="9.140625" defaultRowHeight="12.75"/>
  <cols>
    <col min="1" max="1" width="41.140625" style="134" customWidth="1"/>
    <col min="2" max="2" width="13.140625" style="135" customWidth="1"/>
    <col min="3" max="8" width="13.7109375" style="125" customWidth="1"/>
    <col min="9" max="16384" width="9.140625" style="125" customWidth="1"/>
  </cols>
  <sheetData>
    <row r="1" spans="1:8" s="123" customFormat="1" ht="38.25">
      <c r="A1" s="121"/>
      <c r="B1" s="122" t="s">
        <v>245</v>
      </c>
      <c r="C1" s="122" t="s">
        <v>244</v>
      </c>
      <c r="D1" s="122" t="s">
        <v>265</v>
      </c>
      <c r="E1" s="122" t="s">
        <v>47</v>
      </c>
      <c r="F1" s="122" t="s">
        <v>107</v>
      </c>
      <c r="G1" s="122" t="s">
        <v>299</v>
      </c>
      <c r="H1" s="122" t="s">
        <v>298</v>
      </c>
    </row>
    <row r="2" spans="1:8" ht="11.25">
      <c r="A2" s="121" t="s">
        <v>300</v>
      </c>
      <c r="B2" s="124"/>
      <c r="C2" s="124"/>
      <c r="D2" s="124">
        <v>1900000</v>
      </c>
      <c r="E2" s="124"/>
      <c r="F2" s="124">
        <f aca="true" t="shared" si="0" ref="F2:F20">SUM(B2:E2)</f>
        <v>1900000</v>
      </c>
      <c r="G2" s="124">
        <v>0</v>
      </c>
      <c r="H2" s="124">
        <f aca="true" t="shared" si="1" ref="H2:H20">F2-G2</f>
        <v>1900000</v>
      </c>
    </row>
    <row r="3" spans="1:8" ht="11.25">
      <c r="A3" s="126" t="s">
        <v>301</v>
      </c>
      <c r="B3" s="92"/>
      <c r="C3" s="92"/>
      <c r="D3" s="124">
        <f>250000+150000</f>
        <v>400000</v>
      </c>
      <c r="E3" s="124"/>
      <c r="F3" s="124">
        <f t="shared" si="0"/>
        <v>400000</v>
      </c>
      <c r="G3" s="124">
        <v>0</v>
      </c>
      <c r="H3" s="124">
        <f t="shared" si="1"/>
        <v>400000</v>
      </c>
    </row>
    <row r="4" spans="1:8" ht="11.25">
      <c r="A4" s="121" t="s">
        <v>302</v>
      </c>
      <c r="B4" s="124"/>
      <c r="C4" s="124"/>
      <c r="D4" s="124">
        <v>150000</v>
      </c>
      <c r="E4" s="124"/>
      <c r="F4" s="124">
        <f t="shared" si="0"/>
        <v>150000</v>
      </c>
      <c r="G4" s="124">
        <v>0</v>
      </c>
      <c r="H4" s="124">
        <f t="shared" si="1"/>
        <v>150000</v>
      </c>
    </row>
    <row r="5" spans="1:8" ht="11.25">
      <c r="A5" s="121" t="s">
        <v>303</v>
      </c>
      <c r="B5" s="124"/>
      <c r="C5" s="124"/>
      <c r="D5" s="124">
        <v>683000</v>
      </c>
      <c r="E5" s="124"/>
      <c r="F5" s="124">
        <f t="shared" si="0"/>
        <v>683000</v>
      </c>
      <c r="G5" s="124">
        <v>0</v>
      </c>
      <c r="H5" s="124">
        <f t="shared" si="1"/>
        <v>683000</v>
      </c>
    </row>
    <row r="6" spans="1:8" ht="11.25">
      <c r="A6" s="126" t="s">
        <v>304</v>
      </c>
      <c r="B6" s="92"/>
      <c r="C6" s="92"/>
      <c r="D6" s="124">
        <v>614000</v>
      </c>
      <c r="E6" s="124"/>
      <c r="F6" s="124">
        <f t="shared" si="0"/>
        <v>614000</v>
      </c>
      <c r="G6" s="124">
        <v>0</v>
      </c>
      <c r="H6" s="124">
        <f t="shared" si="1"/>
        <v>614000</v>
      </c>
    </row>
    <row r="7" spans="1:8" ht="11.25">
      <c r="A7" s="126" t="s">
        <v>305</v>
      </c>
      <c r="B7" s="92"/>
      <c r="C7" s="92"/>
      <c r="D7" s="124">
        <v>1500000</v>
      </c>
      <c r="E7" s="124"/>
      <c r="F7" s="124">
        <f t="shared" si="0"/>
        <v>1500000</v>
      </c>
      <c r="G7" s="124">
        <v>0</v>
      </c>
      <c r="H7" s="124">
        <f t="shared" si="1"/>
        <v>1500000</v>
      </c>
    </row>
    <row r="8" spans="1:8" ht="11.25">
      <c r="A8" s="121" t="s">
        <v>306</v>
      </c>
      <c r="B8" s="124"/>
      <c r="C8" s="124"/>
      <c r="D8" s="124">
        <v>300000</v>
      </c>
      <c r="E8" s="124"/>
      <c r="F8" s="124">
        <f t="shared" si="0"/>
        <v>300000</v>
      </c>
      <c r="G8" s="124">
        <v>0</v>
      </c>
      <c r="H8" s="124">
        <f t="shared" si="1"/>
        <v>300000</v>
      </c>
    </row>
    <row r="9" spans="1:8" ht="11.25">
      <c r="A9" s="121" t="s">
        <v>307</v>
      </c>
      <c r="B9" s="124"/>
      <c r="C9" s="124"/>
      <c r="D9" s="124">
        <v>1200000</v>
      </c>
      <c r="E9" s="124"/>
      <c r="F9" s="124">
        <f t="shared" si="0"/>
        <v>1200000</v>
      </c>
      <c r="G9" s="124">
        <v>0</v>
      </c>
      <c r="H9" s="124">
        <f t="shared" si="1"/>
        <v>1200000</v>
      </c>
    </row>
    <row r="10" spans="1:8" ht="11.25">
      <c r="A10" s="121" t="s">
        <v>308</v>
      </c>
      <c r="B10" s="124"/>
      <c r="C10" s="124"/>
      <c r="D10" s="124">
        <v>1551000</v>
      </c>
      <c r="E10" s="124"/>
      <c r="F10" s="124">
        <f t="shared" si="0"/>
        <v>1551000</v>
      </c>
      <c r="G10" s="124">
        <v>0</v>
      </c>
      <c r="H10" s="124">
        <f t="shared" si="1"/>
        <v>1551000</v>
      </c>
    </row>
    <row r="11" spans="1:9" ht="11.25">
      <c r="A11" s="127" t="s">
        <v>309</v>
      </c>
      <c r="B11" s="128"/>
      <c r="C11" s="128"/>
      <c r="D11" s="129">
        <v>5000000</v>
      </c>
      <c r="E11" s="129"/>
      <c r="F11" s="129">
        <f t="shared" si="0"/>
        <v>5000000</v>
      </c>
      <c r="G11" s="129">
        <v>0</v>
      </c>
      <c r="H11" s="129">
        <f t="shared" si="1"/>
        <v>5000000</v>
      </c>
      <c r="I11" s="130"/>
    </row>
    <row r="12" spans="1:8" ht="11.25">
      <c r="A12" s="126" t="s">
        <v>310</v>
      </c>
      <c r="B12" s="92"/>
      <c r="C12" s="92"/>
      <c r="D12" s="124">
        <f>180000-150000</f>
        <v>30000</v>
      </c>
      <c r="E12" s="124"/>
      <c r="F12" s="124">
        <f t="shared" si="0"/>
        <v>30000</v>
      </c>
      <c r="G12" s="124">
        <v>0</v>
      </c>
      <c r="H12" s="124">
        <f t="shared" si="1"/>
        <v>30000</v>
      </c>
    </row>
    <row r="13" spans="1:8" ht="11.25">
      <c r="A13" s="121" t="s">
        <v>311</v>
      </c>
      <c r="B13" s="124"/>
      <c r="C13" s="124"/>
      <c r="D13" s="124">
        <v>600000</v>
      </c>
      <c r="E13" s="124"/>
      <c r="F13" s="124">
        <f t="shared" si="0"/>
        <v>600000</v>
      </c>
      <c r="G13" s="124">
        <v>0</v>
      </c>
      <c r="H13" s="124">
        <f t="shared" si="1"/>
        <v>600000</v>
      </c>
    </row>
    <row r="14" spans="1:8" ht="11.25">
      <c r="A14" s="121" t="s">
        <v>312</v>
      </c>
      <c r="B14" s="124"/>
      <c r="C14" s="124"/>
      <c r="D14" s="124">
        <v>3000000</v>
      </c>
      <c r="E14" s="124"/>
      <c r="F14" s="124">
        <f t="shared" si="0"/>
        <v>3000000</v>
      </c>
      <c r="G14" s="124">
        <v>0</v>
      </c>
      <c r="H14" s="124">
        <f t="shared" si="1"/>
        <v>3000000</v>
      </c>
    </row>
    <row r="15" spans="1:8" ht="11.25">
      <c r="A15" s="121" t="s">
        <v>324</v>
      </c>
      <c r="B15" s="124"/>
      <c r="C15" s="124"/>
      <c r="D15" s="124">
        <v>1000000</v>
      </c>
      <c r="E15" s="124"/>
      <c r="F15" s="124">
        <f t="shared" si="0"/>
        <v>1000000</v>
      </c>
      <c r="G15" s="124"/>
      <c r="H15" s="124">
        <f t="shared" si="1"/>
        <v>1000000</v>
      </c>
    </row>
    <row r="16" spans="1:8" ht="11.25">
      <c r="A16" s="121" t="s">
        <v>461</v>
      </c>
      <c r="B16" s="124"/>
      <c r="C16" s="124"/>
      <c r="D16" s="124">
        <v>2503150</v>
      </c>
      <c r="E16" s="124"/>
      <c r="F16" s="124">
        <f t="shared" si="0"/>
        <v>2503150</v>
      </c>
      <c r="G16" s="124"/>
      <c r="H16" s="124">
        <f t="shared" si="1"/>
        <v>2503150</v>
      </c>
    </row>
    <row r="17" spans="1:8" s="133" customFormat="1" ht="10.5">
      <c r="A17" s="131" t="s">
        <v>313</v>
      </c>
      <c r="B17" s="132"/>
      <c r="C17" s="132"/>
      <c r="D17" s="132">
        <f>SUM(D2:D16)</f>
        <v>20431150</v>
      </c>
      <c r="E17" s="132"/>
      <c r="F17" s="132">
        <f t="shared" si="0"/>
        <v>20431150</v>
      </c>
      <c r="G17" s="132">
        <v>0</v>
      </c>
      <c r="H17" s="132">
        <f t="shared" si="1"/>
        <v>20431150</v>
      </c>
    </row>
    <row r="18" spans="1:8" ht="11.25">
      <c r="A18" s="121"/>
      <c r="B18" s="124"/>
      <c r="C18" s="124"/>
      <c r="D18" s="124"/>
      <c r="E18" s="124"/>
      <c r="F18" s="124">
        <f t="shared" si="0"/>
        <v>0</v>
      </c>
      <c r="G18" s="124">
        <v>0</v>
      </c>
      <c r="H18" s="124">
        <f t="shared" si="1"/>
        <v>0</v>
      </c>
    </row>
    <row r="19" spans="1:8" s="133" customFormat="1" ht="35.25" customHeight="1">
      <c r="A19" s="131" t="s">
        <v>314</v>
      </c>
      <c r="B19" s="132"/>
      <c r="C19" s="132"/>
      <c r="D19" s="132">
        <v>0</v>
      </c>
      <c r="E19" s="132"/>
      <c r="F19" s="132">
        <f t="shared" si="0"/>
        <v>0</v>
      </c>
      <c r="G19" s="132">
        <v>0</v>
      </c>
      <c r="H19" s="132">
        <f t="shared" si="1"/>
        <v>0</v>
      </c>
    </row>
    <row r="20" spans="1:8" s="133" customFormat="1" ht="40.5" customHeight="1">
      <c r="A20" s="131" t="s">
        <v>315</v>
      </c>
      <c r="B20" s="132"/>
      <c r="C20" s="132"/>
      <c r="D20" s="132">
        <f>D19+D17</f>
        <v>20431150</v>
      </c>
      <c r="E20" s="132"/>
      <c r="F20" s="132">
        <f t="shared" si="0"/>
        <v>20431150</v>
      </c>
      <c r="G20" s="132">
        <v>0</v>
      </c>
      <c r="H20" s="132">
        <f t="shared" si="1"/>
        <v>20431150</v>
      </c>
    </row>
  </sheetData>
  <sheetProtection/>
  <printOptions gridLines="1" horizontalCentered="1"/>
  <pageMargins left="0.28" right="0.29" top="0.73" bottom="0.45" header="0.33" footer="0.21"/>
  <pageSetup horizontalDpi="600" verticalDpi="600" orientation="landscape" paperSize="9" scale="94" r:id="rId1"/>
  <headerFooter alignWithMargins="0">
    <oddHeader>&amp;L&amp;P/&amp;N&amp;C&amp;"Times New Roman,Félkövér"&amp;11Céljellegű támogatások bemutatása
2013&amp;R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C16"/>
  <sheetViews>
    <sheetView zoomScaleSheetLayoutView="100" zoomScalePageLayoutView="0" workbookViewId="0" topLeftCell="B1">
      <selection activeCell="B23" sqref="B23"/>
    </sheetView>
  </sheetViews>
  <sheetFormatPr defaultColWidth="10.28125" defaultRowHeight="12.75" customHeight="1"/>
  <cols>
    <col min="1" max="1" width="13.8515625" style="146" hidden="1" customWidth="1"/>
    <col min="2" max="2" width="32.00390625" style="138" bestFit="1" customWidth="1"/>
    <col min="3" max="3" width="12.140625" style="138" customWidth="1"/>
    <col min="4" max="16384" width="10.28125" style="138" customWidth="1"/>
  </cols>
  <sheetData>
    <row r="1" spans="1:3" ht="28.5" customHeight="1">
      <c r="A1" s="136" t="s">
        <v>316</v>
      </c>
      <c r="B1" s="136" t="s">
        <v>317</v>
      </c>
      <c r="C1" s="137" t="s">
        <v>318</v>
      </c>
    </row>
    <row r="2" spans="1:3" ht="15" customHeight="1">
      <c r="A2" s="139">
        <v>562912</v>
      </c>
      <c r="B2" s="140" t="s">
        <v>267</v>
      </c>
      <c r="C2" s="141">
        <v>1500000</v>
      </c>
    </row>
    <row r="3" spans="1:3" ht="15" customHeight="1">
      <c r="A3" s="139">
        <v>562913</v>
      </c>
      <c r="B3" s="140" t="s">
        <v>268</v>
      </c>
      <c r="C3" s="141">
        <v>2500000</v>
      </c>
    </row>
    <row r="4" spans="1:3" ht="15" customHeight="1">
      <c r="A4" s="139">
        <v>882111</v>
      </c>
      <c r="B4" s="140" t="s">
        <v>272</v>
      </c>
      <c r="C4" s="141">
        <v>3900000</v>
      </c>
    </row>
    <row r="5" spans="1:3" ht="15" customHeight="1">
      <c r="A5" s="139">
        <v>882115</v>
      </c>
      <c r="B5" s="140" t="s">
        <v>273</v>
      </c>
      <c r="C5" s="141">
        <v>566000</v>
      </c>
    </row>
    <row r="6" spans="1:3" ht="15" customHeight="1">
      <c r="A6" s="139">
        <v>882118</v>
      </c>
      <c r="B6" s="140" t="s">
        <v>274</v>
      </c>
      <c r="C6" s="141">
        <v>700000</v>
      </c>
    </row>
    <row r="7" spans="1:3" ht="15" customHeight="1">
      <c r="A7" s="139">
        <v>882121</v>
      </c>
      <c r="B7" s="140" t="s">
        <v>275</v>
      </c>
      <c r="C7" s="141">
        <v>150000</v>
      </c>
    </row>
    <row r="8" spans="1:3" ht="15" customHeight="1">
      <c r="A8" s="139">
        <v>882122</v>
      </c>
      <c r="B8" s="140" t="s">
        <v>276</v>
      </c>
      <c r="C8" s="141">
        <v>1000000</v>
      </c>
    </row>
    <row r="9" spans="1:3" ht="15" customHeight="1">
      <c r="A9" s="139">
        <v>882123</v>
      </c>
      <c r="B9" s="140" t="s">
        <v>277</v>
      </c>
      <c r="C9" s="141">
        <v>500000</v>
      </c>
    </row>
    <row r="10" spans="1:3" ht="15" customHeight="1">
      <c r="A10" s="139">
        <v>882124</v>
      </c>
      <c r="B10" s="140" t="s">
        <v>278</v>
      </c>
      <c r="C10" s="141">
        <v>700000</v>
      </c>
    </row>
    <row r="11" spans="1:3" ht="15" customHeight="1">
      <c r="A11" s="139">
        <v>882125</v>
      </c>
      <c r="B11" s="140" t="s">
        <v>279</v>
      </c>
      <c r="C11" s="141">
        <v>30000</v>
      </c>
    </row>
    <row r="12" spans="1:3" ht="15" customHeight="1">
      <c r="A12" s="139">
        <v>882129</v>
      </c>
      <c r="B12" s="140" t="s">
        <v>280</v>
      </c>
      <c r="C12" s="141">
        <v>2800000</v>
      </c>
    </row>
    <row r="13" spans="1:3" ht="15" customHeight="1">
      <c r="A13" s="139">
        <v>882203</v>
      </c>
      <c r="B13" s="140" t="s">
        <v>281</v>
      </c>
      <c r="C13" s="141">
        <v>150000</v>
      </c>
    </row>
    <row r="14" spans="1:3" ht="15" customHeight="1">
      <c r="A14" s="139">
        <v>889201</v>
      </c>
      <c r="B14" s="140" t="s">
        <v>282</v>
      </c>
      <c r="C14" s="141">
        <f>5500000+2500000</f>
        <v>8000000</v>
      </c>
    </row>
    <row r="15" spans="1:3" ht="15" customHeight="1">
      <c r="A15" s="139">
        <v>889921</v>
      </c>
      <c r="B15" s="140" t="s">
        <v>283</v>
      </c>
      <c r="C15" s="141">
        <v>1000000</v>
      </c>
    </row>
    <row r="16" spans="1:3" s="145" customFormat="1" ht="30" customHeight="1">
      <c r="A16" s="142"/>
      <c r="B16" s="143" t="s">
        <v>107</v>
      </c>
      <c r="C16" s="144">
        <f>SUM(C2:C15)</f>
        <v>23496000</v>
      </c>
    </row>
  </sheetData>
  <sheetProtection/>
  <printOptions gridLines="1" horizontalCentered="1"/>
  <pageMargins left="0.5118110236220472" right="0.1968503937007874" top="1.1811023622047245" bottom="0.984251968503937" header="0.5118110236220472" footer="0.35433070866141736"/>
  <pageSetup horizontalDpi="600" verticalDpi="600" orientation="portrait" paperSize="9" scale="85" r:id="rId1"/>
  <headerFooter alignWithMargins="0">
    <oddHeader>&amp;C&amp;"Times New Roman,Félkövér"Ellátottak  pénzbeli juttatásai
2013. év&amp;R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2"/>
  <sheetViews>
    <sheetView zoomScalePageLayoutView="0" workbookViewId="0" topLeftCell="B10">
      <selection activeCell="D12" sqref="D12"/>
    </sheetView>
  </sheetViews>
  <sheetFormatPr defaultColWidth="9.140625" defaultRowHeight="12.75"/>
  <cols>
    <col min="1" max="1" width="92.28125" style="0" customWidth="1"/>
    <col min="2" max="2" width="13.28125" style="108" customWidth="1"/>
    <col min="3" max="3" width="12.140625" style="108" customWidth="1"/>
    <col min="4" max="4" width="17.421875" style="108" customWidth="1"/>
    <col min="5" max="5" width="17.7109375" style="108" customWidth="1"/>
    <col min="6" max="6" width="22.57421875" style="108" customWidth="1"/>
    <col min="7" max="7" width="19.57421875" style="108" customWidth="1"/>
    <col min="8" max="8" width="20.8515625" style="108" customWidth="1"/>
  </cols>
  <sheetData>
    <row r="1" ht="12.75">
      <c r="A1" s="226" t="s">
        <v>409</v>
      </c>
    </row>
    <row r="2" ht="12.75">
      <c r="A2" s="226" t="s">
        <v>387</v>
      </c>
    </row>
    <row r="3" ht="12.75">
      <c r="H3" s="108" t="s">
        <v>293</v>
      </c>
    </row>
    <row r="4" spans="1:8" s="166" customFormat="1" ht="60">
      <c r="A4" s="246" t="s">
        <v>48</v>
      </c>
      <c r="B4" s="247" t="s">
        <v>244</v>
      </c>
      <c r="C4" s="247" t="s">
        <v>245</v>
      </c>
      <c r="D4" s="247" t="s">
        <v>246</v>
      </c>
      <c r="E4" s="247" t="s">
        <v>247</v>
      </c>
      <c r="F4" s="112" t="s">
        <v>49</v>
      </c>
      <c r="G4" s="247" t="s">
        <v>294</v>
      </c>
      <c r="H4" s="112" t="s">
        <v>50</v>
      </c>
    </row>
    <row r="5" spans="1:8" ht="16.5">
      <c r="A5" s="23" t="s">
        <v>31</v>
      </c>
      <c r="B5" s="103">
        <v>34730</v>
      </c>
      <c r="C5" s="103">
        <v>5992</v>
      </c>
      <c r="D5" s="103">
        <v>35674</v>
      </c>
      <c r="E5" s="103">
        <v>42431</v>
      </c>
      <c r="F5" s="103">
        <f>E5+D5+C5+B5</f>
        <v>118827</v>
      </c>
      <c r="G5" s="103">
        <v>0</v>
      </c>
      <c r="H5" s="103">
        <f>F5-G5</f>
        <v>118827</v>
      </c>
    </row>
    <row r="6" spans="1:8" ht="16.5">
      <c r="A6" s="23" t="s">
        <v>27</v>
      </c>
      <c r="B6" s="103">
        <v>9015</v>
      </c>
      <c r="C6" s="103">
        <v>1555</v>
      </c>
      <c r="D6" s="103">
        <v>9234</v>
      </c>
      <c r="E6" s="103">
        <v>10114</v>
      </c>
      <c r="F6" s="103">
        <f aca="true" t="shared" si="0" ref="F6:F32">E6+D6+C6+B6</f>
        <v>29918</v>
      </c>
      <c r="G6" s="103">
        <v>0</v>
      </c>
      <c r="H6" s="103">
        <f aca="true" t="shared" si="1" ref="H6:H32">F6-G6</f>
        <v>29918</v>
      </c>
    </row>
    <row r="7" spans="1:8" ht="16.5">
      <c r="A7" s="23" t="s">
        <v>28</v>
      </c>
      <c r="B7" s="103">
        <v>8861</v>
      </c>
      <c r="C7" s="103">
        <v>18244</v>
      </c>
      <c r="D7" s="103">
        <v>18712</v>
      </c>
      <c r="E7" s="103">
        <v>209454</v>
      </c>
      <c r="F7" s="103">
        <f t="shared" si="0"/>
        <v>255271</v>
      </c>
      <c r="G7" s="103">
        <v>0</v>
      </c>
      <c r="H7" s="103">
        <f t="shared" si="1"/>
        <v>255271</v>
      </c>
    </row>
    <row r="8" spans="1:8" ht="16.5">
      <c r="A8" s="23" t="s">
        <v>29</v>
      </c>
      <c r="B8" s="103">
        <f>'3. szakfeladatok'!U5/1000</f>
        <v>0</v>
      </c>
      <c r="C8" s="103">
        <f>'3. szakfeladatok'!U7/1000</f>
        <v>0</v>
      </c>
      <c r="D8" s="103">
        <v>0</v>
      </c>
      <c r="E8" s="103">
        <v>28422</v>
      </c>
      <c r="F8" s="103">
        <f t="shared" si="0"/>
        <v>28422</v>
      </c>
      <c r="G8" s="103">
        <v>0</v>
      </c>
      <c r="H8" s="103">
        <f t="shared" si="1"/>
        <v>28422</v>
      </c>
    </row>
    <row r="9" spans="1:8" ht="16.5">
      <c r="A9" s="23" t="s">
        <v>30</v>
      </c>
      <c r="B9" s="104">
        <f>'3. szakfeladatok'!W5/1000</f>
        <v>0</v>
      </c>
      <c r="C9" s="103">
        <v>0</v>
      </c>
      <c r="D9" s="103">
        <v>0</v>
      </c>
      <c r="E9" s="103">
        <v>27826</v>
      </c>
      <c r="F9" s="103">
        <f t="shared" si="0"/>
        <v>27826</v>
      </c>
      <c r="G9" s="103">
        <v>0</v>
      </c>
      <c r="H9" s="103">
        <f t="shared" si="1"/>
        <v>27826</v>
      </c>
    </row>
    <row r="10" spans="1:8" ht="32.25">
      <c r="A10" s="10" t="s">
        <v>51</v>
      </c>
      <c r="B10" s="103">
        <v>0</v>
      </c>
      <c r="C10" s="103">
        <v>0</v>
      </c>
      <c r="D10" s="103">
        <v>0</v>
      </c>
      <c r="E10" s="103"/>
      <c r="F10" s="103">
        <f t="shared" si="0"/>
        <v>0</v>
      </c>
      <c r="G10" s="103">
        <v>0</v>
      </c>
      <c r="H10" s="103">
        <f t="shared" si="1"/>
        <v>0</v>
      </c>
    </row>
    <row r="11" spans="1:8" ht="16.5">
      <c r="A11" s="10" t="s">
        <v>52</v>
      </c>
      <c r="B11" s="103">
        <v>0</v>
      </c>
      <c r="C11" s="103">
        <v>0</v>
      </c>
      <c r="D11" s="103">
        <v>0</v>
      </c>
      <c r="E11" s="103"/>
      <c r="F11" s="103">
        <f t="shared" si="0"/>
        <v>0</v>
      </c>
      <c r="G11" s="103">
        <v>0</v>
      </c>
      <c r="H11" s="103">
        <f t="shared" si="1"/>
        <v>0</v>
      </c>
    </row>
    <row r="12" spans="1:8" ht="16.5">
      <c r="A12" s="10" t="s">
        <v>53</v>
      </c>
      <c r="B12" s="103">
        <v>0</v>
      </c>
      <c r="C12" s="103">
        <v>0</v>
      </c>
      <c r="D12" s="103">
        <v>0</v>
      </c>
      <c r="E12" s="103"/>
      <c r="F12" s="103">
        <f t="shared" si="0"/>
        <v>0</v>
      </c>
      <c r="G12" s="103">
        <v>0</v>
      </c>
      <c r="H12" s="103">
        <f t="shared" si="1"/>
        <v>0</v>
      </c>
    </row>
    <row r="13" spans="1:8" ht="32.25">
      <c r="A13" s="10" t="s">
        <v>54</v>
      </c>
      <c r="B13" s="103">
        <v>0</v>
      </c>
      <c r="C13" s="103">
        <v>0</v>
      </c>
      <c r="D13" s="103">
        <v>0</v>
      </c>
      <c r="E13" s="103"/>
      <c r="F13" s="103">
        <f t="shared" si="0"/>
        <v>0</v>
      </c>
      <c r="G13" s="103">
        <v>0</v>
      </c>
      <c r="H13" s="103">
        <f t="shared" si="1"/>
        <v>0</v>
      </c>
    </row>
    <row r="14" spans="1:8" ht="32.25">
      <c r="A14" s="18" t="s">
        <v>26</v>
      </c>
      <c r="B14" s="103">
        <v>0</v>
      </c>
      <c r="C14" s="103">
        <v>0</v>
      </c>
      <c r="D14" s="103">
        <v>0</v>
      </c>
      <c r="E14" s="103">
        <v>140041</v>
      </c>
      <c r="F14" s="103">
        <f t="shared" si="0"/>
        <v>140041</v>
      </c>
      <c r="G14" s="103">
        <f>F14</f>
        <v>140041</v>
      </c>
      <c r="H14" s="103">
        <f t="shared" si="1"/>
        <v>0</v>
      </c>
    </row>
    <row r="15" spans="1:8" ht="16.5">
      <c r="A15" s="5" t="s">
        <v>16</v>
      </c>
      <c r="B15" s="103">
        <v>133</v>
      </c>
      <c r="C15" s="103">
        <v>130</v>
      </c>
      <c r="D15" s="103">
        <v>140</v>
      </c>
      <c r="E15" s="103">
        <v>68297</v>
      </c>
      <c r="F15" s="103">
        <f t="shared" si="0"/>
        <v>68700</v>
      </c>
      <c r="G15" s="103">
        <v>0</v>
      </c>
      <c r="H15" s="103">
        <f t="shared" si="1"/>
        <v>68700</v>
      </c>
    </row>
    <row r="16" spans="1:8" ht="16.5">
      <c r="A16" s="5" t="s">
        <v>17</v>
      </c>
      <c r="B16" s="103">
        <v>0</v>
      </c>
      <c r="C16" s="103">
        <v>0</v>
      </c>
      <c r="D16" s="103"/>
      <c r="E16" s="103"/>
      <c r="F16" s="103">
        <f t="shared" si="0"/>
        <v>0</v>
      </c>
      <c r="G16" s="103">
        <f>F16</f>
        <v>0</v>
      </c>
      <c r="H16" s="103">
        <f t="shared" si="1"/>
        <v>0</v>
      </c>
    </row>
    <row r="17" spans="1:8" ht="24.75" customHeight="1">
      <c r="A17" s="50" t="s">
        <v>6</v>
      </c>
      <c r="B17" s="105">
        <f>SUM(B5,B6,B7,B8,B9,B14,B15,B16)</f>
        <v>52739</v>
      </c>
      <c r="C17" s="105">
        <f>SUM(C5,C6,C7,C8,C9,C14,C15,C16)</f>
        <v>25921</v>
      </c>
      <c r="D17" s="105">
        <f>SUM(D5,D6,D7,D8,D9,D14,D15,D16)</f>
        <v>63760</v>
      </c>
      <c r="E17" s="105">
        <f>SUM(E5,E6,E7,E8,E9,E14,E15,E16)</f>
        <v>526585</v>
      </c>
      <c r="F17" s="106">
        <f t="shared" si="0"/>
        <v>669005</v>
      </c>
      <c r="G17" s="105">
        <f>SUM(G5,G6,G7,G8,G9,G14,G15,G16)</f>
        <v>140041</v>
      </c>
      <c r="H17" s="106">
        <f t="shared" si="1"/>
        <v>528964</v>
      </c>
    </row>
    <row r="18" spans="1:8" ht="20.25" customHeight="1">
      <c r="A18" s="23" t="s">
        <v>20</v>
      </c>
      <c r="B18" s="103">
        <v>924</v>
      </c>
      <c r="C18" s="103">
        <f>'3. szakfeladatok'!P7</f>
        <v>4826</v>
      </c>
      <c r="D18" s="103">
        <f>'3. szakfeladatok'!P6</f>
        <v>635</v>
      </c>
      <c r="E18" s="103">
        <v>272541</v>
      </c>
      <c r="F18" s="103">
        <f t="shared" si="0"/>
        <v>278926</v>
      </c>
      <c r="G18" s="103">
        <v>0</v>
      </c>
      <c r="H18" s="103">
        <f t="shared" si="1"/>
        <v>278926</v>
      </c>
    </row>
    <row r="19" spans="1:8" ht="16.5">
      <c r="A19" s="23" t="s">
        <v>19</v>
      </c>
      <c r="B19" s="103">
        <v>0</v>
      </c>
      <c r="C19" s="103">
        <v>0</v>
      </c>
      <c r="D19" s="103">
        <v>0</v>
      </c>
      <c r="E19" s="103">
        <v>0</v>
      </c>
      <c r="F19" s="103">
        <f t="shared" si="0"/>
        <v>0</v>
      </c>
      <c r="G19" s="103">
        <v>0</v>
      </c>
      <c r="H19" s="103">
        <f t="shared" si="1"/>
        <v>0</v>
      </c>
    </row>
    <row r="20" spans="1:8" ht="16.5">
      <c r="A20" s="23" t="s">
        <v>21</v>
      </c>
      <c r="B20" s="104">
        <f>SUM(B21:B24)</f>
        <v>0</v>
      </c>
      <c r="C20" s="103">
        <v>0</v>
      </c>
      <c r="D20" s="103">
        <v>0</v>
      </c>
      <c r="E20" s="103">
        <v>0</v>
      </c>
      <c r="F20" s="103">
        <f t="shared" si="0"/>
        <v>0</v>
      </c>
      <c r="G20" s="103">
        <v>0</v>
      </c>
      <c r="H20" s="103">
        <f t="shared" si="1"/>
        <v>0</v>
      </c>
    </row>
    <row r="21" spans="1:8" ht="48">
      <c r="A21" s="10" t="s">
        <v>55</v>
      </c>
      <c r="B21" s="103">
        <v>0</v>
      </c>
      <c r="C21" s="103">
        <v>0</v>
      </c>
      <c r="D21" s="103">
        <v>0</v>
      </c>
      <c r="E21" s="103">
        <v>180011</v>
      </c>
      <c r="F21" s="103">
        <f t="shared" si="0"/>
        <v>180011</v>
      </c>
      <c r="G21" s="103">
        <v>0</v>
      </c>
      <c r="H21" s="103">
        <f t="shared" si="1"/>
        <v>180011</v>
      </c>
    </row>
    <row r="22" spans="1:8" ht="16.5">
      <c r="A22" s="10" t="s">
        <v>56</v>
      </c>
      <c r="B22" s="103">
        <v>0</v>
      </c>
      <c r="C22" s="103">
        <v>0</v>
      </c>
      <c r="D22" s="103">
        <v>0</v>
      </c>
      <c r="E22" s="103">
        <v>0</v>
      </c>
      <c r="F22" s="103">
        <f t="shared" si="0"/>
        <v>0</v>
      </c>
      <c r="G22" s="103">
        <v>0</v>
      </c>
      <c r="H22" s="103">
        <f t="shared" si="1"/>
        <v>0</v>
      </c>
    </row>
    <row r="23" spans="1:8" ht="32.25">
      <c r="A23" s="10" t="s">
        <v>57</v>
      </c>
      <c r="B23" s="103">
        <v>0</v>
      </c>
      <c r="C23" s="103">
        <v>0</v>
      </c>
      <c r="D23" s="103">
        <v>0</v>
      </c>
      <c r="E23" s="103">
        <v>0</v>
      </c>
      <c r="F23" s="103">
        <f t="shared" si="0"/>
        <v>0</v>
      </c>
      <c r="G23" s="103">
        <v>0</v>
      </c>
      <c r="H23" s="103">
        <f t="shared" si="1"/>
        <v>0</v>
      </c>
    </row>
    <row r="24" spans="1:8" ht="16.5">
      <c r="A24" s="10" t="s">
        <v>58</v>
      </c>
      <c r="B24" s="103">
        <v>0</v>
      </c>
      <c r="C24" s="103">
        <v>0</v>
      </c>
      <c r="D24" s="103">
        <v>0</v>
      </c>
      <c r="E24" s="103">
        <v>0</v>
      </c>
      <c r="F24" s="103">
        <f t="shared" si="0"/>
        <v>0</v>
      </c>
      <c r="G24" s="103">
        <v>0</v>
      </c>
      <c r="H24" s="103">
        <f t="shared" si="1"/>
        <v>0</v>
      </c>
    </row>
    <row r="25" spans="1:8" ht="16.5">
      <c r="A25" s="5" t="s">
        <v>33</v>
      </c>
      <c r="B25" s="103">
        <v>0</v>
      </c>
      <c r="C25" s="103">
        <v>0</v>
      </c>
      <c r="D25" s="103">
        <v>0</v>
      </c>
      <c r="E25" s="103">
        <v>0</v>
      </c>
      <c r="F25" s="103">
        <f t="shared" si="0"/>
        <v>0</v>
      </c>
      <c r="G25" s="103">
        <v>0</v>
      </c>
      <c r="H25" s="103">
        <f t="shared" si="1"/>
        <v>0</v>
      </c>
    </row>
    <row r="26" spans="1:8" ht="16.5">
      <c r="A26" s="5" t="s">
        <v>32</v>
      </c>
      <c r="B26" s="103">
        <v>0</v>
      </c>
      <c r="C26" s="103">
        <v>0</v>
      </c>
      <c r="D26" s="103">
        <v>0</v>
      </c>
      <c r="E26" s="103">
        <v>0</v>
      </c>
      <c r="F26" s="103">
        <f t="shared" si="0"/>
        <v>0</v>
      </c>
      <c r="G26" s="103">
        <v>0</v>
      </c>
      <c r="H26" s="103">
        <f t="shared" si="1"/>
        <v>0</v>
      </c>
    </row>
    <row r="27" spans="1:8" ht="32.25">
      <c r="A27" s="19" t="s">
        <v>25</v>
      </c>
      <c r="B27" s="103">
        <v>0</v>
      </c>
      <c r="C27" s="103">
        <v>0</v>
      </c>
      <c r="D27" s="103">
        <v>0</v>
      </c>
      <c r="E27" s="103">
        <v>6985</v>
      </c>
      <c r="F27" s="103">
        <f t="shared" si="0"/>
        <v>6985</v>
      </c>
      <c r="G27" s="103">
        <f>F27</f>
        <v>6985</v>
      </c>
      <c r="H27" s="103">
        <f t="shared" si="1"/>
        <v>0</v>
      </c>
    </row>
    <row r="28" spans="1:8" ht="16.5">
      <c r="A28" s="7" t="s">
        <v>22</v>
      </c>
      <c r="B28" s="103">
        <v>0</v>
      </c>
      <c r="C28" s="103">
        <v>0</v>
      </c>
      <c r="D28" s="103">
        <v>0</v>
      </c>
      <c r="E28" s="103">
        <v>0</v>
      </c>
      <c r="F28" s="103">
        <f t="shared" si="0"/>
        <v>0</v>
      </c>
      <c r="G28" s="103">
        <v>0</v>
      </c>
      <c r="H28" s="103">
        <f t="shared" si="1"/>
        <v>0</v>
      </c>
    </row>
    <row r="29" spans="1:8" ht="16.5">
      <c r="A29" s="7" t="s">
        <v>24</v>
      </c>
      <c r="B29" s="103">
        <v>0</v>
      </c>
      <c r="C29" s="103">
        <v>0</v>
      </c>
      <c r="D29" s="103">
        <v>0</v>
      </c>
      <c r="E29" s="103">
        <v>0</v>
      </c>
      <c r="F29" s="103">
        <f t="shared" si="0"/>
        <v>0</v>
      </c>
      <c r="G29" s="103">
        <v>0</v>
      </c>
      <c r="H29" s="103">
        <f t="shared" si="1"/>
        <v>0</v>
      </c>
    </row>
    <row r="30" spans="1:8" ht="16.5">
      <c r="A30" s="7" t="s">
        <v>23</v>
      </c>
      <c r="B30" s="103">
        <v>0</v>
      </c>
      <c r="C30" s="103">
        <v>0</v>
      </c>
      <c r="D30" s="103">
        <v>0</v>
      </c>
      <c r="E30" s="103">
        <v>50000</v>
      </c>
      <c r="F30" s="103">
        <f t="shared" si="0"/>
        <v>50000</v>
      </c>
      <c r="G30" s="103">
        <v>0</v>
      </c>
      <c r="H30" s="103">
        <f t="shared" si="1"/>
        <v>50000</v>
      </c>
    </row>
    <row r="31" spans="1:8" ht="24" customHeight="1">
      <c r="A31" s="50" t="s">
        <v>7</v>
      </c>
      <c r="B31" s="105">
        <f>SUM(B18,B19,B20,B25,B26,B27,B28,B29,B30)</f>
        <v>924</v>
      </c>
      <c r="C31" s="105">
        <f>SUM(C18,C19,C20,C25,C26,C27,C28,C29,C30)</f>
        <v>4826</v>
      </c>
      <c r="D31" s="105">
        <f>SUM(D18,D19,D20,D25,D26,D27,D28,D29,D30)</f>
        <v>635</v>
      </c>
      <c r="E31" s="105">
        <f>E30+E18</f>
        <v>322541</v>
      </c>
      <c r="F31" s="106">
        <f t="shared" si="0"/>
        <v>328926</v>
      </c>
      <c r="G31" s="105">
        <f>SUM(G18,G19,G20,G25,G26,G27,G28,G29,G30)</f>
        <v>6985</v>
      </c>
      <c r="H31" s="106">
        <f t="shared" si="1"/>
        <v>321941</v>
      </c>
    </row>
    <row r="32" spans="1:8" ht="36" customHeight="1">
      <c r="A32" s="24" t="s">
        <v>18</v>
      </c>
      <c r="B32" s="109">
        <f>SUM(B17,B31)</f>
        <v>53663</v>
      </c>
      <c r="C32" s="109">
        <f>SUM(C17,C31)</f>
        <v>30747</v>
      </c>
      <c r="D32" s="109">
        <f>SUM(D17,D31)</f>
        <v>64395</v>
      </c>
      <c r="E32" s="109">
        <f>SUM(E17,E31)</f>
        <v>849126</v>
      </c>
      <c r="F32" s="103">
        <f t="shared" si="0"/>
        <v>997931</v>
      </c>
      <c r="G32" s="109">
        <f>SUM(G17,G31)</f>
        <v>147026</v>
      </c>
      <c r="H32" s="103">
        <f t="shared" si="1"/>
        <v>850905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A99"/>
  <sheetViews>
    <sheetView zoomScalePageLayoutView="0" workbookViewId="0" topLeftCell="A1">
      <pane xSplit="2" ySplit="4" topLeftCell="Q3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Y36" sqref="Y36"/>
    </sheetView>
  </sheetViews>
  <sheetFormatPr defaultColWidth="10.28125" defaultRowHeight="12.75"/>
  <cols>
    <col min="1" max="1" width="8.28125" style="95" customWidth="1"/>
    <col min="2" max="2" width="36.00390625" style="96" customWidth="1"/>
    <col min="3" max="15" width="10.140625" style="102" customWidth="1"/>
    <col min="16" max="16" width="14.00390625" style="102" customWidth="1"/>
    <col min="17" max="17" width="10.140625" style="98" customWidth="1"/>
    <col min="18" max="18" width="5.8515625" style="98" customWidth="1"/>
    <col min="19" max="19" width="9.57421875" style="98" customWidth="1"/>
    <col min="20" max="20" width="10.140625" style="98" customWidth="1"/>
    <col min="21" max="22" width="9.421875" style="98" customWidth="1"/>
    <col min="23" max="24" width="9.57421875" style="98" customWidth="1"/>
    <col min="25" max="25" width="10.421875" style="98" customWidth="1"/>
    <col min="26" max="26" width="11.28125" style="96" customWidth="1"/>
    <col min="27" max="27" width="6.7109375" style="99" customWidth="1"/>
    <col min="28" max="16384" width="10.28125" style="99" customWidth="1"/>
  </cols>
  <sheetData>
    <row r="1" ht="12">
      <c r="A1" s="234" t="s">
        <v>411</v>
      </c>
    </row>
    <row r="2" ht="12.75">
      <c r="A2" s="233" t="s">
        <v>410</v>
      </c>
    </row>
    <row r="3" spans="1:27" s="85" customFormat="1" ht="20.25" customHeight="1">
      <c r="A3" s="283" t="s">
        <v>248</v>
      </c>
      <c r="B3" s="283"/>
      <c r="C3" s="286" t="s">
        <v>337</v>
      </c>
      <c r="D3" s="286"/>
      <c r="E3" s="286"/>
      <c r="F3" s="286"/>
      <c r="G3" s="286"/>
      <c r="H3" s="286"/>
      <c r="I3" s="286"/>
      <c r="J3" s="286"/>
      <c r="K3" s="286" t="s">
        <v>338</v>
      </c>
      <c r="L3" s="287"/>
      <c r="M3" s="287"/>
      <c r="N3" s="287"/>
      <c r="O3" s="288" t="s">
        <v>341</v>
      </c>
      <c r="P3" s="196" t="s">
        <v>249</v>
      </c>
      <c r="Q3" s="289" t="s">
        <v>250</v>
      </c>
      <c r="R3" s="290"/>
      <c r="S3" s="290"/>
      <c r="T3" s="290"/>
      <c r="U3" s="290"/>
      <c r="V3" s="290"/>
      <c r="W3" s="290"/>
      <c r="X3" s="287"/>
      <c r="Y3" s="288" t="s">
        <v>339</v>
      </c>
      <c r="Z3" s="288" t="s">
        <v>259</v>
      </c>
      <c r="AA3" s="281" t="s">
        <v>340</v>
      </c>
    </row>
    <row r="4" spans="1:27" s="85" customFormat="1" ht="84">
      <c r="A4" s="86" t="s">
        <v>251</v>
      </c>
      <c r="B4" s="174" t="s">
        <v>252</v>
      </c>
      <c r="C4" s="175" t="s">
        <v>34</v>
      </c>
      <c r="D4" s="175" t="s">
        <v>34</v>
      </c>
      <c r="E4" s="175" t="s">
        <v>13</v>
      </c>
      <c r="F4" s="175" t="s">
        <v>35</v>
      </c>
      <c r="G4" s="175" t="s">
        <v>336</v>
      </c>
      <c r="H4" s="175" t="s">
        <v>4</v>
      </c>
      <c r="I4" s="175" t="s">
        <v>10</v>
      </c>
      <c r="J4" s="175" t="s">
        <v>37</v>
      </c>
      <c r="K4" s="175" t="s">
        <v>36</v>
      </c>
      <c r="L4" s="175" t="s">
        <v>3</v>
      </c>
      <c r="M4" s="176" t="s">
        <v>11</v>
      </c>
      <c r="N4" s="176" t="s">
        <v>41</v>
      </c>
      <c r="O4" s="287"/>
      <c r="P4" s="249" t="s">
        <v>249</v>
      </c>
      <c r="Q4" s="86" t="s">
        <v>253</v>
      </c>
      <c r="R4" s="86" t="s">
        <v>254</v>
      </c>
      <c r="S4" s="86" t="s">
        <v>255</v>
      </c>
      <c r="T4" s="86" t="s">
        <v>256</v>
      </c>
      <c r="U4" s="86" t="s">
        <v>257</v>
      </c>
      <c r="V4" s="86" t="s">
        <v>258</v>
      </c>
      <c r="W4" s="86" t="s">
        <v>343</v>
      </c>
      <c r="X4" s="86" t="s">
        <v>342</v>
      </c>
      <c r="Y4" s="287"/>
      <c r="Z4" s="287"/>
      <c r="AA4" s="282"/>
    </row>
    <row r="5" spans="1:27" s="93" customFormat="1" ht="24">
      <c r="A5" s="87">
        <v>851011</v>
      </c>
      <c r="B5" s="89" t="s">
        <v>260</v>
      </c>
      <c r="C5" s="90"/>
      <c r="D5" s="90"/>
      <c r="E5" s="90"/>
      <c r="F5" s="90"/>
      <c r="G5" s="90"/>
      <c r="H5" s="90"/>
      <c r="I5" s="90">
        <v>52664</v>
      </c>
      <c r="J5" s="90">
        <f>'1. bevételek össz'!B13</f>
        <v>75</v>
      </c>
      <c r="K5" s="90"/>
      <c r="L5" s="90"/>
      <c r="M5" s="90">
        <f>'1. bevételek össz'!B25</f>
        <v>924</v>
      </c>
      <c r="N5" s="90"/>
      <c r="O5" s="90">
        <f>SUM(D5:N5)</f>
        <v>53663</v>
      </c>
      <c r="P5" s="90">
        <v>924</v>
      </c>
      <c r="Q5" s="91">
        <v>34730</v>
      </c>
      <c r="R5" s="91">
        <v>16</v>
      </c>
      <c r="S5" s="91">
        <v>9015</v>
      </c>
      <c r="T5" s="91">
        <v>8861</v>
      </c>
      <c r="U5" s="91"/>
      <c r="V5" s="91"/>
      <c r="W5" s="91"/>
      <c r="X5" s="91">
        <f>'2. kiadások össz'!B15</f>
        <v>133</v>
      </c>
      <c r="Y5" s="91">
        <f>Q5+S5+T5+U5+V5+W5+P5+X5</f>
        <v>53663</v>
      </c>
      <c r="Z5" s="92" t="s">
        <v>244</v>
      </c>
      <c r="AA5" s="163" t="s">
        <v>261</v>
      </c>
    </row>
    <row r="6" spans="1:27" s="93" customFormat="1" ht="33.75">
      <c r="A6" s="87">
        <v>841126</v>
      </c>
      <c r="B6" s="89" t="s">
        <v>262</v>
      </c>
      <c r="C6" s="90"/>
      <c r="D6" s="90"/>
      <c r="E6" s="90">
        <v>250</v>
      </c>
      <c r="F6" s="90"/>
      <c r="G6" s="90"/>
      <c r="H6" s="90"/>
      <c r="I6" s="90">
        <v>63399</v>
      </c>
      <c r="J6" s="90">
        <f>'1. bevételek össz'!D13</f>
        <v>111</v>
      </c>
      <c r="K6" s="90"/>
      <c r="L6" s="90"/>
      <c r="M6" s="90">
        <v>635</v>
      </c>
      <c r="N6" s="90"/>
      <c r="O6" s="90">
        <f>SUM(D6:N6)</f>
        <v>64395</v>
      </c>
      <c r="P6" s="90">
        <v>635</v>
      </c>
      <c r="Q6" s="91">
        <v>35674</v>
      </c>
      <c r="R6" s="91">
        <v>9</v>
      </c>
      <c r="S6" s="91">
        <v>9234</v>
      </c>
      <c r="T6" s="91">
        <f>2032+9715+6355+610</f>
        <v>18712</v>
      </c>
      <c r="U6" s="91"/>
      <c r="V6" s="91"/>
      <c r="W6" s="91"/>
      <c r="X6" s="91">
        <f>'2. kiadások össz'!D15</f>
        <v>140</v>
      </c>
      <c r="Y6" s="91">
        <f aca="true" t="shared" si="0" ref="Y6:Y34">Q6+S6+T6+U6+V6+W6+P6+X6</f>
        <v>64395</v>
      </c>
      <c r="Z6" s="92" t="s">
        <v>246</v>
      </c>
      <c r="AA6" s="163" t="s">
        <v>261</v>
      </c>
    </row>
    <row r="7" spans="1:27" s="93" customFormat="1" ht="33.75">
      <c r="A7" s="87">
        <v>910502</v>
      </c>
      <c r="B7" s="89" t="s">
        <v>263</v>
      </c>
      <c r="C7" s="90"/>
      <c r="D7" s="90"/>
      <c r="E7" s="90">
        <v>1223</v>
      </c>
      <c r="F7" s="90"/>
      <c r="G7" s="90"/>
      <c r="H7" s="90"/>
      <c r="I7" s="90">
        <v>24578</v>
      </c>
      <c r="J7" s="90">
        <f>'1. bevételek össz'!C13</f>
        <v>120</v>
      </c>
      <c r="K7" s="90"/>
      <c r="L7" s="90"/>
      <c r="M7" s="90">
        <f>'1. bevételek össz'!C25</f>
        <v>4826</v>
      </c>
      <c r="N7" s="90"/>
      <c r="O7" s="90">
        <f>SUM(D7:N7)</f>
        <v>30747</v>
      </c>
      <c r="P7" s="90">
        <f>90+800+3000+810+126</f>
        <v>4826</v>
      </c>
      <c r="Q7" s="91">
        <v>5992</v>
      </c>
      <c r="R7" s="91">
        <v>5</v>
      </c>
      <c r="S7" s="91">
        <v>1555</v>
      </c>
      <c r="T7" s="91">
        <f>2810+11768+3421+245</f>
        <v>18244</v>
      </c>
      <c r="U7" s="91"/>
      <c r="V7" s="91"/>
      <c r="W7" s="91"/>
      <c r="X7" s="91">
        <f>'2. kiadások össz'!C15</f>
        <v>130</v>
      </c>
      <c r="Y7" s="91">
        <f t="shared" si="0"/>
        <v>30747</v>
      </c>
      <c r="Z7" s="92" t="s">
        <v>245</v>
      </c>
      <c r="AA7" s="163" t="s">
        <v>261</v>
      </c>
    </row>
    <row r="8" spans="1:27" s="93" customFormat="1" ht="33.75">
      <c r="A8" s="94">
        <v>370000</v>
      </c>
      <c r="B8" s="182" t="s">
        <v>264</v>
      </c>
      <c r="C8" s="230"/>
      <c r="D8" s="230"/>
      <c r="E8" s="230">
        <v>2174</v>
      </c>
      <c r="F8" s="230"/>
      <c r="G8" s="230"/>
      <c r="H8" s="230"/>
      <c r="I8" s="230"/>
      <c r="J8" s="230"/>
      <c r="K8" s="230"/>
      <c r="L8" s="230"/>
      <c r="M8" s="230"/>
      <c r="N8" s="230"/>
      <c r="O8" s="90">
        <f aca="true" t="shared" si="1" ref="O8:O34">SUM(D8:N8)</f>
        <v>2174</v>
      </c>
      <c r="P8" s="230">
        <v>6234</v>
      </c>
      <c r="Q8" s="91"/>
      <c r="R8" s="91"/>
      <c r="S8" s="91"/>
      <c r="T8" s="91">
        <v>314</v>
      </c>
      <c r="U8" s="91"/>
      <c r="V8" s="91">
        <v>2395</v>
      </c>
      <c r="W8" s="91"/>
      <c r="X8" s="91"/>
      <c r="Y8" s="91">
        <f t="shared" si="0"/>
        <v>8943</v>
      </c>
      <c r="Z8" s="92" t="s">
        <v>265</v>
      </c>
      <c r="AA8" s="163" t="s">
        <v>261</v>
      </c>
    </row>
    <row r="9" spans="1:27" s="93" customFormat="1" ht="33.75">
      <c r="A9" s="94">
        <v>381101</v>
      </c>
      <c r="B9" s="182" t="s">
        <v>266</v>
      </c>
      <c r="C9" s="230"/>
      <c r="D9" s="230"/>
      <c r="E9" s="230">
        <v>36907</v>
      </c>
      <c r="F9" s="230"/>
      <c r="G9" s="230"/>
      <c r="H9" s="230"/>
      <c r="I9" s="230"/>
      <c r="J9" s="230"/>
      <c r="K9" s="230"/>
      <c r="L9" s="230"/>
      <c r="M9" s="230"/>
      <c r="N9" s="230"/>
      <c r="O9" s="90">
        <f t="shared" si="1"/>
        <v>36907</v>
      </c>
      <c r="P9" s="230">
        <v>12000</v>
      </c>
      <c r="Q9" s="91">
        <v>7291</v>
      </c>
      <c r="R9" s="91">
        <v>5</v>
      </c>
      <c r="S9" s="91">
        <v>1725</v>
      </c>
      <c r="T9" s="91">
        <f>4650+24049+7900+810</f>
        <v>37409</v>
      </c>
      <c r="U9" s="91"/>
      <c r="V9" s="91"/>
      <c r="W9" s="91"/>
      <c r="X9" s="91"/>
      <c r="Y9" s="91">
        <f t="shared" si="0"/>
        <v>58425</v>
      </c>
      <c r="Z9" s="92" t="s">
        <v>265</v>
      </c>
      <c r="AA9" s="163" t="s">
        <v>261</v>
      </c>
    </row>
    <row r="10" spans="1:27" s="93" customFormat="1" ht="33.75">
      <c r="A10" s="87">
        <v>562912</v>
      </c>
      <c r="B10" s="89" t="s">
        <v>267</v>
      </c>
      <c r="C10" s="90"/>
      <c r="D10" s="90"/>
      <c r="E10" s="90">
        <v>6350</v>
      </c>
      <c r="F10" s="90"/>
      <c r="G10" s="90"/>
      <c r="H10" s="90"/>
      <c r="I10" s="90"/>
      <c r="J10" s="90"/>
      <c r="K10" s="90"/>
      <c r="L10" s="90"/>
      <c r="M10" s="90"/>
      <c r="N10" s="90"/>
      <c r="O10" s="90">
        <f t="shared" si="1"/>
        <v>6350</v>
      </c>
      <c r="P10" s="90"/>
      <c r="Q10" s="91"/>
      <c r="R10" s="91"/>
      <c r="S10" s="91"/>
      <c r="T10" s="91"/>
      <c r="U10" s="91">
        <v>1609</v>
      </c>
      <c r="V10" s="91"/>
      <c r="W10" s="91"/>
      <c r="X10" s="91"/>
      <c r="Y10" s="91">
        <f t="shared" si="0"/>
        <v>1609</v>
      </c>
      <c r="Z10" s="92" t="s">
        <v>265</v>
      </c>
      <c r="AA10" s="163" t="s">
        <v>261</v>
      </c>
    </row>
    <row r="11" spans="1:27" s="93" customFormat="1" ht="33.75">
      <c r="A11" s="87">
        <v>562913</v>
      </c>
      <c r="B11" s="89" t="s">
        <v>268</v>
      </c>
      <c r="C11" s="90"/>
      <c r="D11" s="90"/>
      <c r="E11" s="90">
        <v>12700</v>
      </c>
      <c r="F11" s="90"/>
      <c r="G11" s="90"/>
      <c r="H11" s="90"/>
      <c r="I11" s="90"/>
      <c r="J11" s="90"/>
      <c r="K11" s="90"/>
      <c r="L11" s="90"/>
      <c r="M11" s="90"/>
      <c r="N11" s="90"/>
      <c r="O11" s="90">
        <f t="shared" si="1"/>
        <v>12700</v>
      </c>
      <c r="P11" s="90"/>
      <c r="Q11" s="91"/>
      <c r="R11" s="91"/>
      <c r="S11" s="91"/>
      <c r="T11" s="91"/>
      <c r="U11" s="91">
        <v>4058</v>
      </c>
      <c r="V11" s="91"/>
      <c r="W11" s="91"/>
      <c r="X11" s="91"/>
      <c r="Y11" s="91">
        <f t="shared" si="0"/>
        <v>4058</v>
      </c>
      <c r="Z11" s="92" t="s">
        <v>265</v>
      </c>
      <c r="AA11" s="163" t="s">
        <v>261</v>
      </c>
    </row>
    <row r="12" spans="1:27" s="93" customFormat="1" ht="33.75">
      <c r="A12" s="87">
        <v>841401</v>
      </c>
      <c r="B12" s="89" t="s">
        <v>269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>
        <f t="shared" si="1"/>
        <v>0</v>
      </c>
      <c r="P12" s="90"/>
      <c r="Q12" s="91"/>
      <c r="R12" s="91"/>
      <c r="S12" s="91"/>
      <c r="T12" s="91">
        <v>9460</v>
      </c>
      <c r="U12" s="91"/>
      <c r="V12" s="91"/>
      <c r="W12" s="91"/>
      <c r="X12" s="91"/>
      <c r="Y12" s="91">
        <f t="shared" si="0"/>
        <v>9460</v>
      </c>
      <c r="Z12" s="92" t="s">
        <v>265</v>
      </c>
      <c r="AA12" s="163" t="s">
        <v>261</v>
      </c>
    </row>
    <row r="13" spans="1:27" s="93" customFormat="1" ht="33.75">
      <c r="A13" s="87">
        <v>841402</v>
      </c>
      <c r="B13" s="89" t="s">
        <v>270</v>
      </c>
      <c r="C13" s="90"/>
      <c r="D13" s="90"/>
      <c r="E13" s="90">
        <v>1270</v>
      </c>
      <c r="F13" s="90"/>
      <c r="G13" s="90"/>
      <c r="H13" s="90"/>
      <c r="I13" s="90"/>
      <c r="J13" s="90"/>
      <c r="K13" s="90"/>
      <c r="L13" s="90"/>
      <c r="M13" s="90"/>
      <c r="N13" s="90"/>
      <c r="O13" s="90">
        <f t="shared" si="1"/>
        <v>1270</v>
      </c>
      <c r="P13" s="90">
        <v>58372</v>
      </c>
      <c r="Q13" s="91">
        <v>11467</v>
      </c>
      <c r="R13" s="91">
        <v>6</v>
      </c>
      <c r="S13" s="91">
        <v>2823</v>
      </c>
      <c r="T13" s="91">
        <f>6815+23227+7899+1145</f>
        <v>39086</v>
      </c>
      <c r="U13" s="91"/>
      <c r="V13" s="91"/>
      <c r="W13" s="91"/>
      <c r="X13" s="91"/>
      <c r="Y13" s="91">
        <f t="shared" si="0"/>
        <v>111748</v>
      </c>
      <c r="Z13" s="92" t="s">
        <v>265</v>
      </c>
      <c r="AA13" s="163" t="s">
        <v>261</v>
      </c>
    </row>
    <row r="14" spans="1:27" s="93" customFormat="1" ht="33.75">
      <c r="A14" s="87">
        <v>869041</v>
      </c>
      <c r="B14" s="89" t="s">
        <v>271</v>
      </c>
      <c r="C14" s="90"/>
      <c r="D14" s="90"/>
      <c r="E14" s="90"/>
      <c r="F14" s="90"/>
      <c r="G14" s="90">
        <v>4922</v>
      </c>
      <c r="H14" s="90"/>
      <c r="I14" s="90"/>
      <c r="J14" s="90"/>
      <c r="K14" s="90"/>
      <c r="L14" s="90"/>
      <c r="M14" s="90"/>
      <c r="N14" s="90"/>
      <c r="O14" s="90">
        <f t="shared" si="1"/>
        <v>4922</v>
      </c>
      <c r="P14" s="90">
        <v>15670</v>
      </c>
      <c r="Q14" s="91">
        <v>2950</v>
      </c>
      <c r="R14" s="91">
        <v>2</v>
      </c>
      <c r="S14" s="91">
        <v>745</v>
      </c>
      <c r="T14" s="91">
        <f>770+3881+1269+55</f>
        <v>5975</v>
      </c>
      <c r="U14" s="91"/>
      <c r="V14" s="91"/>
      <c r="W14" s="91"/>
      <c r="X14" s="91"/>
      <c r="Y14" s="91">
        <f t="shared" si="0"/>
        <v>25340</v>
      </c>
      <c r="Z14" s="92" t="s">
        <v>265</v>
      </c>
      <c r="AA14" s="163" t="s">
        <v>261</v>
      </c>
    </row>
    <row r="15" spans="1:27" s="93" customFormat="1" ht="33.75">
      <c r="A15" s="87">
        <v>882111</v>
      </c>
      <c r="B15" s="89" t="s">
        <v>272</v>
      </c>
      <c r="C15" s="90"/>
      <c r="D15" s="90"/>
      <c r="E15" s="90"/>
      <c r="F15" s="90"/>
      <c r="G15" s="90">
        <v>3120</v>
      </c>
      <c r="H15" s="90"/>
      <c r="I15" s="90"/>
      <c r="J15" s="90"/>
      <c r="K15" s="90"/>
      <c r="L15" s="90"/>
      <c r="M15" s="90"/>
      <c r="N15" s="90"/>
      <c r="O15" s="90">
        <f t="shared" si="1"/>
        <v>3120</v>
      </c>
      <c r="P15" s="90"/>
      <c r="Q15" s="91"/>
      <c r="R15" s="91"/>
      <c r="S15" s="91"/>
      <c r="T15" s="91"/>
      <c r="U15" s="91">
        <v>4600</v>
      </c>
      <c r="V15" s="91"/>
      <c r="W15" s="91"/>
      <c r="X15" s="91"/>
      <c r="Y15" s="91">
        <f t="shared" si="0"/>
        <v>4600</v>
      </c>
      <c r="Z15" s="92" t="s">
        <v>265</v>
      </c>
      <c r="AA15" s="163" t="s">
        <v>261</v>
      </c>
    </row>
    <row r="16" spans="1:27" s="93" customFormat="1" ht="49.5" customHeight="1">
      <c r="A16" s="87">
        <v>882115</v>
      </c>
      <c r="B16" s="89" t="s">
        <v>462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91"/>
      <c r="S16" s="91"/>
      <c r="T16" s="91"/>
      <c r="U16" s="91">
        <v>655</v>
      </c>
      <c r="V16" s="91"/>
      <c r="W16" s="91"/>
      <c r="X16" s="91"/>
      <c r="Y16" s="91">
        <f t="shared" si="0"/>
        <v>655</v>
      </c>
      <c r="Z16" s="92" t="s">
        <v>265</v>
      </c>
      <c r="AA16" s="163" t="s">
        <v>261</v>
      </c>
    </row>
    <row r="17" spans="1:27" s="93" customFormat="1" ht="33.75">
      <c r="A17" s="87">
        <v>882118</v>
      </c>
      <c r="B17" s="89" t="s">
        <v>274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>
        <f t="shared" si="1"/>
        <v>0</v>
      </c>
      <c r="P17" s="90"/>
      <c r="Q17" s="91"/>
      <c r="R17" s="91"/>
      <c r="S17" s="91"/>
      <c r="T17" s="91"/>
      <c r="U17" s="91">
        <v>700</v>
      </c>
      <c r="V17" s="91"/>
      <c r="W17" s="91"/>
      <c r="X17" s="91"/>
      <c r="Y17" s="91">
        <f t="shared" si="0"/>
        <v>700</v>
      </c>
      <c r="Z17" s="92" t="s">
        <v>265</v>
      </c>
      <c r="AA17" s="163" t="s">
        <v>261</v>
      </c>
    </row>
    <row r="18" spans="1:27" s="93" customFormat="1" ht="33.75">
      <c r="A18" s="87">
        <v>882121</v>
      </c>
      <c r="B18" s="89" t="s">
        <v>275</v>
      </c>
      <c r="C18" s="90"/>
      <c r="D18" s="90"/>
      <c r="E18" s="90"/>
      <c r="F18" s="90"/>
      <c r="G18" s="90">
        <v>135</v>
      </c>
      <c r="H18" s="90"/>
      <c r="I18" s="90"/>
      <c r="J18" s="90"/>
      <c r="K18" s="90"/>
      <c r="L18" s="90"/>
      <c r="M18" s="90"/>
      <c r="N18" s="90"/>
      <c r="O18" s="90">
        <f t="shared" si="1"/>
        <v>135</v>
      </c>
      <c r="P18" s="90"/>
      <c r="Q18" s="91"/>
      <c r="R18" s="91"/>
      <c r="S18" s="91"/>
      <c r="T18" s="91"/>
      <c r="U18" s="91">
        <v>230</v>
      </c>
      <c r="V18" s="91"/>
      <c r="W18" s="91"/>
      <c r="X18" s="91"/>
      <c r="Y18" s="91">
        <f t="shared" si="0"/>
        <v>230</v>
      </c>
      <c r="Z18" s="92" t="s">
        <v>265</v>
      </c>
      <c r="AA18" s="163" t="s">
        <v>261</v>
      </c>
    </row>
    <row r="19" spans="1:27" s="93" customFormat="1" ht="33.75">
      <c r="A19" s="87">
        <v>882122</v>
      </c>
      <c r="B19" s="89" t="s">
        <v>276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>
        <f t="shared" si="1"/>
        <v>0</v>
      </c>
      <c r="P19" s="90"/>
      <c r="Q19" s="91"/>
      <c r="R19" s="91"/>
      <c r="S19" s="91"/>
      <c r="T19" s="91"/>
      <c r="U19" s="91">
        <v>1000</v>
      </c>
      <c r="V19" s="91"/>
      <c r="W19" s="91"/>
      <c r="X19" s="91"/>
      <c r="Y19" s="91">
        <f t="shared" si="0"/>
        <v>1000</v>
      </c>
      <c r="Z19" s="92" t="s">
        <v>265</v>
      </c>
      <c r="AA19" s="163" t="s">
        <v>261</v>
      </c>
    </row>
    <row r="20" spans="1:27" s="93" customFormat="1" ht="33.75">
      <c r="A20" s="87">
        <v>882123</v>
      </c>
      <c r="B20" s="89" t="s">
        <v>277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>
        <f t="shared" si="1"/>
        <v>0</v>
      </c>
      <c r="P20" s="90"/>
      <c r="Q20" s="91"/>
      <c r="R20" s="91"/>
      <c r="S20" s="91"/>
      <c r="T20" s="91"/>
      <c r="U20" s="91">
        <v>500</v>
      </c>
      <c r="V20" s="91"/>
      <c r="W20" s="91"/>
      <c r="X20" s="91"/>
      <c r="Y20" s="91">
        <f t="shared" si="0"/>
        <v>500</v>
      </c>
      <c r="Z20" s="92" t="s">
        <v>265</v>
      </c>
      <c r="AA20" s="163" t="s">
        <v>261</v>
      </c>
    </row>
    <row r="21" spans="1:27" s="93" customFormat="1" ht="33.75">
      <c r="A21" s="87">
        <v>882124</v>
      </c>
      <c r="B21" s="89" t="s">
        <v>278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>
        <f t="shared" si="1"/>
        <v>0</v>
      </c>
      <c r="P21" s="90"/>
      <c r="Q21" s="91"/>
      <c r="R21" s="91"/>
      <c r="S21" s="91"/>
      <c r="T21" s="91"/>
      <c r="U21" s="91">
        <v>700</v>
      </c>
      <c r="V21" s="91"/>
      <c r="W21" s="91"/>
      <c r="X21" s="91"/>
      <c r="Y21" s="91">
        <f t="shared" si="0"/>
        <v>700</v>
      </c>
      <c r="Z21" s="92" t="s">
        <v>265</v>
      </c>
      <c r="AA21" s="163" t="s">
        <v>261</v>
      </c>
    </row>
    <row r="22" spans="1:27" s="93" customFormat="1" ht="33.75">
      <c r="A22" s="87">
        <v>882129</v>
      </c>
      <c r="B22" s="89" t="s">
        <v>280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>
        <f t="shared" si="1"/>
        <v>0</v>
      </c>
      <c r="P22" s="90"/>
      <c r="Q22" s="91"/>
      <c r="R22" s="91"/>
      <c r="S22" s="91"/>
      <c r="T22" s="91"/>
      <c r="U22" s="91">
        <v>5300</v>
      </c>
      <c r="V22" s="91"/>
      <c r="W22" s="91"/>
      <c r="X22" s="91"/>
      <c r="Y22" s="91">
        <f t="shared" si="0"/>
        <v>5300</v>
      </c>
      <c r="Z22" s="92" t="s">
        <v>265</v>
      </c>
      <c r="AA22" s="163" t="s">
        <v>261</v>
      </c>
    </row>
    <row r="23" spans="1:27" s="93" customFormat="1" ht="33.75">
      <c r="A23" s="87">
        <v>882203</v>
      </c>
      <c r="B23" s="89" t="s">
        <v>281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>
        <f t="shared" si="1"/>
        <v>0</v>
      </c>
      <c r="P23" s="90"/>
      <c r="Q23" s="91"/>
      <c r="R23" s="91"/>
      <c r="S23" s="91"/>
      <c r="T23" s="91"/>
      <c r="U23" s="91">
        <v>70</v>
      </c>
      <c r="V23" s="91"/>
      <c r="W23" s="91"/>
      <c r="X23" s="91"/>
      <c r="Y23" s="91">
        <f t="shared" si="0"/>
        <v>70</v>
      </c>
      <c r="Z23" s="92" t="s">
        <v>265</v>
      </c>
      <c r="AA23" s="163" t="s">
        <v>261</v>
      </c>
    </row>
    <row r="24" spans="1:27" s="93" customFormat="1" ht="33.75">
      <c r="A24" s="87">
        <v>889201</v>
      </c>
      <c r="B24" s="89" t="s">
        <v>282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>
        <f t="shared" si="1"/>
        <v>0</v>
      </c>
      <c r="P24" s="90"/>
      <c r="Q24" s="91"/>
      <c r="R24" s="91"/>
      <c r="S24" s="91"/>
      <c r="T24" s="91"/>
      <c r="U24" s="91">
        <v>8000</v>
      </c>
      <c r="V24" s="91"/>
      <c r="W24" s="91"/>
      <c r="X24" s="91"/>
      <c r="Y24" s="91">
        <f t="shared" si="0"/>
        <v>8000</v>
      </c>
      <c r="Z24" s="92" t="s">
        <v>265</v>
      </c>
      <c r="AA24" s="163" t="s">
        <v>261</v>
      </c>
    </row>
    <row r="25" spans="1:27" s="93" customFormat="1" ht="33.75">
      <c r="A25" s="87">
        <v>889921</v>
      </c>
      <c r="B25" s="89" t="s">
        <v>283</v>
      </c>
      <c r="C25" s="90"/>
      <c r="D25" s="90"/>
      <c r="E25" s="90">
        <v>3810</v>
      </c>
      <c r="F25" s="90"/>
      <c r="G25" s="90"/>
      <c r="H25" s="90"/>
      <c r="I25" s="90"/>
      <c r="J25" s="90"/>
      <c r="K25" s="90"/>
      <c r="L25" s="90"/>
      <c r="M25" s="90"/>
      <c r="N25" s="90"/>
      <c r="O25" s="90">
        <f t="shared" si="1"/>
        <v>3810</v>
      </c>
      <c r="P25" s="90"/>
      <c r="Q25" s="91"/>
      <c r="R25" s="91"/>
      <c r="S25" s="91"/>
      <c r="T25" s="91"/>
      <c r="U25" s="91">
        <v>1000</v>
      </c>
      <c r="V25" s="91"/>
      <c r="W25" s="91"/>
      <c r="X25" s="91"/>
      <c r="Y25" s="91">
        <f t="shared" si="0"/>
        <v>1000</v>
      </c>
      <c r="Z25" s="92" t="s">
        <v>265</v>
      </c>
      <c r="AA25" s="163" t="s">
        <v>261</v>
      </c>
    </row>
    <row r="26" spans="1:27" s="93" customFormat="1" ht="33.75">
      <c r="A26" s="87">
        <v>890441</v>
      </c>
      <c r="B26" s="89" t="s">
        <v>284</v>
      </c>
      <c r="C26" s="90"/>
      <c r="D26" s="90"/>
      <c r="E26" s="90"/>
      <c r="F26" s="90"/>
      <c r="G26" s="90">
        <v>815</v>
      </c>
      <c r="H26" s="90"/>
      <c r="I26" s="90"/>
      <c r="J26" s="90"/>
      <c r="K26" s="90"/>
      <c r="L26" s="90"/>
      <c r="M26" s="90"/>
      <c r="N26" s="90"/>
      <c r="O26" s="90">
        <f t="shared" si="1"/>
        <v>815</v>
      </c>
      <c r="P26" s="90"/>
      <c r="Q26" s="91">
        <v>1936</v>
      </c>
      <c r="R26" s="91"/>
      <c r="S26" s="91">
        <v>267</v>
      </c>
      <c r="T26" s="91">
        <v>80</v>
      </c>
      <c r="U26" s="91"/>
      <c r="V26" s="91"/>
      <c r="W26" s="91"/>
      <c r="X26" s="91"/>
      <c r="Y26" s="91">
        <f t="shared" si="0"/>
        <v>2283</v>
      </c>
      <c r="Z26" s="92" t="s">
        <v>265</v>
      </c>
      <c r="AA26" s="163" t="s">
        <v>261</v>
      </c>
    </row>
    <row r="27" spans="1:27" s="93" customFormat="1" ht="33.75">
      <c r="A27" s="87">
        <v>890442</v>
      </c>
      <c r="B27" s="89" t="s">
        <v>285</v>
      </c>
      <c r="C27" s="90"/>
      <c r="D27" s="90"/>
      <c r="E27" s="90"/>
      <c r="F27" s="90"/>
      <c r="G27" s="90">
        <v>5080</v>
      </c>
      <c r="H27" s="90"/>
      <c r="I27" s="90"/>
      <c r="J27" s="90"/>
      <c r="K27" s="90"/>
      <c r="L27" s="90"/>
      <c r="M27" s="90"/>
      <c r="N27" s="90"/>
      <c r="O27" s="90">
        <f t="shared" si="1"/>
        <v>5080</v>
      </c>
      <c r="P27" s="90"/>
      <c r="Q27" s="91">
        <v>5000</v>
      </c>
      <c r="R27" s="91">
        <v>10</v>
      </c>
      <c r="S27" s="91">
        <v>1290</v>
      </c>
      <c r="T27" s="91">
        <v>60</v>
      </c>
      <c r="U27" s="91"/>
      <c r="V27" s="91"/>
      <c r="W27" s="91"/>
      <c r="X27" s="91"/>
      <c r="Y27" s="91">
        <f t="shared" si="0"/>
        <v>6350</v>
      </c>
      <c r="Z27" s="92" t="s">
        <v>265</v>
      </c>
      <c r="AA27" s="163" t="s">
        <v>261</v>
      </c>
    </row>
    <row r="28" spans="1:27" s="93" customFormat="1" ht="33.75">
      <c r="A28" s="87">
        <v>500001</v>
      </c>
      <c r="B28" s="89" t="s">
        <v>286</v>
      </c>
      <c r="C28" s="90"/>
      <c r="D28" s="90"/>
      <c r="E28" s="90">
        <v>3302</v>
      </c>
      <c r="F28" s="90"/>
      <c r="G28" s="90">
        <v>5000</v>
      </c>
      <c r="H28" s="90"/>
      <c r="I28" s="90"/>
      <c r="J28" s="90"/>
      <c r="K28" s="90"/>
      <c r="L28" s="90"/>
      <c r="M28" s="90"/>
      <c r="N28" s="90"/>
      <c r="O28" s="90">
        <f t="shared" si="1"/>
        <v>8302</v>
      </c>
      <c r="P28" s="90"/>
      <c r="Q28" s="91"/>
      <c r="R28" s="91"/>
      <c r="S28" s="91"/>
      <c r="T28" s="91">
        <v>635</v>
      </c>
      <c r="U28" s="91"/>
      <c r="V28" s="91">
        <v>5000</v>
      </c>
      <c r="W28" s="91"/>
      <c r="X28" s="91"/>
      <c r="Y28" s="91">
        <f t="shared" si="0"/>
        <v>5635</v>
      </c>
      <c r="Z28" s="92" t="s">
        <v>265</v>
      </c>
      <c r="AA28" s="163" t="s">
        <v>261</v>
      </c>
    </row>
    <row r="29" spans="1:27" s="93" customFormat="1" ht="33.75">
      <c r="A29" s="87">
        <v>562917</v>
      </c>
      <c r="B29" s="89" t="s">
        <v>287</v>
      </c>
      <c r="C29" s="90"/>
      <c r="D29" s="90"/>
      <c r="E29" s="90">
        <v>5992</v>
      </c>
      <c r="F29" s="90"/>
      <c r="G29" s="90"/>
      <c r="H29" s="90"/>
      <c r="I29" s="90"/>
      <c r="J29" s="90"/>
      <c r="K29" s="90"/>
      <c r="L29" s="90"/>
      <c r="M29" s="90"/>
      <c r="N29" s="90"/>
      <c r="O29" s="90">
        <f t="shared" si="1"/>
        <v>5992</v>
      </c>
      <c r="P29" s="90">
        <v>254</v>
      </c>
      <c r="Q29" s="91">
        <v>10999</v>
      </c>
      <c r="R29" s="91">
        <v>6</v>
      </c>
      <c r="S29" s="91">
        <v>2511</v>
      </c>
      <c r="T29" s="91">
        <f>25560+5240+8381+202</f>
        <v>39383</v>
      </c>
      <c r="U29" s="91"/>
      <c r="V29" s="91"/>
      <c r="W29" s="91"/>
      <c r="X29" s="91"/>
      <c r="Y29" s="91">
        <f t="shared" si="0"/>
        <v>53147</v>
      </c>
      <c r="Z29" s="92" t="s">
        <v>265</v>
      </c>
      <c r="AA29" s="163" t="s">
        <v>288</v>
      </c>
    </row>
    <row r="30" spans="1:27" s="93" customFormat="1" ht="33.75">
      <c r="A30" s="87">
        <v>841126</v>
      </c>
      <c r="B30" s="89" t="s">
        <v>262</v>
      </c>
      <c r="C30" s="90"/>
      <c r="D30" s="90"/>
      <c r="E30" s="90">
        <v>60802</v>
      </c>
      <c r="F30" s="90">
        <v>44424</v>
      </c>
      <c r="G30" s="90"/>
      <c r="H30" s="90"/>
      <c r="I30" s="90"/>
      <c r="J30" s="90">
        <v>23897</v>
      </c>
      <c r="K30" s="90">
        <v>73391</v>
      </c>
      <c r="L30" s="90"/>
      <c r="M30" s="90"/>
      <c r="N30" s="90">
        <v>36490</v>
      </c>
      <c r="O30" s="90">
        <f t="shared" si="1"/>
        <v>239004</v>
      </c>
      <c r="P30" s="90"/>
      <c r="Q30" s="91">
        <v>0</v>
      </c>
      <c r="R30" s="91">
        <v>0</v>
      </c>
      <c r="S30" s="91">
        <v>0</v>
      </c>
      <c r="T30" s="91">
        <v>76053</v>
      </c>
      <c r="U30" s="91"/>
      <c r="V30" s="91">
        <v>20431</v>
      </c>
      <c r="W30" s="91"/>
      <c r="X30" s="91">
        <v>68297</v>
      </c>
      <c r="Y30" s="91">
        <f t="shared" si="0"/>
        <v>164781</v>
      </c>
      <c r="Z30" s="92" t="s">
        <v>265</v>
      </c>
      <c r="AA30" s="163" t="s">
        <v>261</v>
      </c>
    </row>
    <row r="31" spans="1:27" s="93" customFormat="1" ht="33.75">
      <c r="A31" s="87">
        <v>841906</v>
      </c>
      <c r="B31" s="89" t="s">
        <v>289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>
        <f t="shared" si="1"/>
        <v>0</v>
      </c>
      <c r="P31" s="90"/>
      <c r="Q31" s="91"/>
      <c r="R31" s="91"/>
      <c r="S31" s="91"/>
      <c r="T31" s="91"/>
      <c r="U31" s="91"/>
      <c r="V31" s="91"/>
      <c r="W31" s="91">
        <f>'2. kiadások össz'!E14</f>
        <v>140041</v>
      </c>
      <c r="X31" s="91"/>
      <c r="Y31" s="91">
        <f t="shared" si="0"/>
        <v>140041</v>
      </c>
      <c r="Z31" s="92" t="s">
        <v>265</v>
      </c>
      <c r="AA31" s="163" t="s">
        <v>288</v>
      </c>
    </row>
    <row r="32" spans="1:27" s="93" customFormat="1" ht="33.75">
      <c r="A32" s="87">
        <v>841133</v>
      </c>
      <c r="B32" s="89" t="s">
        <v>290</v>
      </c>
      <c r="C32" s="90"/>
      <c r="D32" s="90">
        <v>134850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>
        <f t="shared" si="1"/>
        <v>134850</v>
      </c>
      <c r="P32" s="90"/>
      <c r="Q32" s="91"/>
      <c r="R32" s="91"/>
      <c r="S32" s="91"/>
      <c r="T32" s="91">
        <v>0</v>
      </c>
      <c r="U32" s="91"/>
      <c r="V32" s="91"/>
      <c r="W32" s="91"/>
      <c r="X32" s="91"/>
      <c r="Y32" s="91">
        <f t="shared" si="0"/>
        <v>0</v>
      </c>
      <c r="Z32" s="92" t="s">
        <v>265</v>
      </c>
      <c r="AA32" s="163" t="s">
        <v>261</v>
      </c>
    </row>
    <row r="33" spans="1:27" s="93" customFormat="1" ht="33.75">
      <c r="A33" s="87">
        <v>841901</v>
      </c>
      <c r="B33" s="89" t="s">
        <v>291</v>
      </c>
      <c r="C33" s="90"/>
      <c r="D33" s="90"/>
      <c r="E33" s="90"/>
      <c r="F33" s="90"/>
      <c r="G33" s="90">
        <v>184835</v>
      </c>
      <c r="H33" s="90"/>
      <c r="I33" s="90"/>
      <c r="J33" s="90"/>
      <c r="K33" s="90"/>
      <c r="L33" s="90"/>
      <c r="M33" s="90"/>
      <c r="N33" s="90"/>
      <c r="O33" s="90">
        <f t="shared" si="1"/>
        <v>184835</v>
      </c>
      <c r="P33" s="90"/>
      <c r="Q33" s="91"/>
      <c r="R33" s="91"/>
      <c r="S33" s="91"/>
      <c r="T33" s="91"/>
      <c r="U33" s="91"/>
      <c r="V33" s="91"/>
      <c r="W33" s="91"/>
      <c r="X33" s="91"/>
      <c r="Y33" s="91">
        <f t="shared" si="0"/>
        <v>0</v>
      </c>
      <c r="Z33" s="92" t="s">
        <v>265</v>
      </c>
      <c r="AA33" s="163" t="s">
        <v>261</v>
      </c>
    </row>
    <row r="34" spans="1:27" ht="33.75">
      <c r="A34" s="179">
        <v>889101</v>
      </c>
      <c r="B34" s="183" t="s">
        <v>292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>
        <v>148860</v>
      </c>
      <c r="M34" s="164"/>
      <c r="N34" s="164"/>
      <c r="O34" s="90">
        <f t="shared" si="1"/>
        <v>148860</v>
      </c>
      <c r="P34" s="164">
        <v>180011</v>
      </c>
      <c r="Q34" s="165">
        <v>2788</v>
      </c>
      <c r="R34" s="165">
        <v>7</v>
      </c>
      <c r="S34" s="165">
        <v>753</v>
      </c>
      <c r="T34" s="165">
        <v>1000</v>
      </c>
      <c r="U34" s="165"/>
      <c r="V34" s="165"/>
      <c r="W34" s="165"/>
      <c r="X34" s="165"/>
      <c r="Y34" s="91">
        <f t="shared" si="0"/>
        <v>184552</v>
      </c>
      <c r="Z34" s="92" t="s">
        <v>265</v>
      </c>
      <c r="AA34" s="163" t="s">
        <v>288</v>
      </c>
    </row>
    <row r="35" spans="1:25" ht="15.75">
      <c r="A35" s="284" t="s">
        <v>107</v>
      </c>
      <c r="B35" s="285"/>
      <c r="C35" s="162">
        <f aca="true" t="shared" si="2" ref="C35:O35">SUM(C5:C34)</f>
        <v>0</v>
      </c>
      <c r="D35" s="162">
        <f t="shared" si="2"/>
        <v>134850</v>
      </c>
      <c r="E35" s="162">
        <f t="shared" si="2"/>
        <v>134780</v>
      </c>
      <c r="F35" s="162">
        <f t="shared" si="2"/>
        <v>44424</v>
      </c>
      <c r="G35" s="162">
        <f t="shared" si="2"/>
        <v>203907</v>
      </c>
      <c r="H35" s="162">
        <f t="shared" si="2"/>
        <v>0</v>
      </c>
      <c r="I35" s="162">
        <f t="shared" si="2"/>
        <v>140641</v>
      </c>
      <c r="J35" s="162">
        <f t="shared" si="2"/>
        <v>24203</v>
      </c>
      <c r="K35" s="162">
        <f t="shared" si="2"/>
        <v>73391</v>
      </c>
      <c r="L35" s="162">
        <f t="shared" si="2"/>
        <v>148860</v>
      </c>
      <c r="M35" s="162">
        <f t="shared" si="2"/>
        <v>6385</v>
      </c>
      <c r="N35" s="162">
        <f t="shared" si="2"/>
        <v>36490</v>
      </c>
      <c r="O35" s="162">
        <f t="shared" si="2"/>
        <v>947931</v>
      </c>
      <c r="P35" s="162">
        <f aca="true" t="shared" si="3" ref="P35:X35">SUM(P5:P34)</f>
        <v>278926</v>
      </c>
      <c r="Q35" s="162">
        <f t="shared" si="3"/>
        <v>118827</v>
      </c>
      <c r="R35" s="162">
        <f t="shared" si="3"/>
        <v>66</v>
      </c>
      <c r="S35" s="162">
        <f t="shared" si="3"/>
        <v>29918</v>
      </c>
      <c r="T35" s="162">
        <f t="shared" si="3"/>
        <v>255272</v>
      </c>
      <c r="U35" s="162">
        <f t="shared" si="3"/>
        <v>28422</v>
      </c>
      <c r="V35" s="162">
        <f t="shared" si="3"/>
        <v>27826</v>
      </c>
      <c r="W35" s="162">
        <f t="shared" si="3"/>
        <v>140041</v>
      </c>
      <c r="X35" s="162">
        <f t="shared" si="3"/>
        <v>68700</v>
      </c>
      <c r="Y35" s="162">
        <v>947931</v>
      </c>
    </row>
    <row r="36" spans="3:25" ht="12"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3:25" ht="12"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3:25" ht="12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3:25" ht="12"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3:25" ht="12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3:25" ht="12"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3:16" ht="12"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3:16" ht="12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3:16" ht="12"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3:16" ht="12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3:16" ht="12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3:16" ht="12"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3:16" ht="12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3:16" ht="12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3:16" ht="12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3:16" ht="12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3:16" ht="12"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3:16" ht="12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3:16" ht="12"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3:16" ht="12"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3:16" ht="12"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3:16" ht="12"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3:16" ht="12"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3:16" ht="12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3:16" ht="12"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3:16" ht="12"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3:16" ht="12"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3:16" ht="12"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3:16" ht="12"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3:16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3:16" ht="12"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3:16" ht="12"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3:16" ht="12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3:16" ht="12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3:16" ht="12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3:16" ht="12"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3:16" ht="12"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3:16" ht="12"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3:16" ht="12"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3:16" ht="12"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3:16" ht="12"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3:16" ht="12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3:16" ht="12"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3:16" ht="12"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3:16" ht="12"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3:16" ht="12"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3:16" ht="12"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3:16" ht="12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3:16" ht="12"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3:16" ht="1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3:16" ht="12"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3:16" ht="12"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3:16" ht="12"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3:16" ht="12"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3:16" ht="12"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3:16" ht="12"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3:16" ht="12"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3:16" ht="12"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3:16" ht="12"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3:16" ht="12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3:16" ht="12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3:16" ht="12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3:16" ht="12"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3:16" ht="12"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</sheetData>
  <sheetProtection/>
  <autoFilter ref="A4:AA36"/>
  <mergeCells count="9">
    <mergeCell ref="AA3:AA4"/>
    <mergeCell ref="A3:B3"/>
    <mergeCell ref="A35:B35"/>
    <mergeCell ref="C3:J3"/>
    <mergeCell ref="K3:N3"/>
    <mergeCell ref="O3:O4"/>
    <mergeCell ref="Q3:X3"/>
    <mergeCell ref="Y3:Y4"/>
    <mergeCell ref="Z3:Z4"/>
  </mergeCells>
  <printOptions gridLines="1" horizontalCentered="1"/>
  <pageMargins left="0.19" right="0.15748031496062992" top="0.46" bottom="0.3937007874015748" header="0.17" footer="0.2362204724409449"/>
  <pageSetup horizontalDpi="600" verticalDpi="600" orientation="landscape" paperSize="8" scale="70" r:id="rId1"/>
  <headerFooter alignWithMargins="0">
    <oddFooter>&amp;C&amp;10&amp;P/&amp;N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109"/>
  <sheetViews>
    <sheetView zoomScale="70" zoomScaleNormal="70" zoomScalePageLayoutView="0" workbookViewId="0" topLeftCell="A1">
      <pane xSplit="1" topLeftCell="L1" activePane="topRight" state="frozen"/>
      <selection pane="topLeft" activeCell="B2" sqref="B2"/>
      <selection pane="topRight" activeCell="Q35" sqref="Q35"/>
    </sheetView>
  </sheetViews>
  <sheetFormatPr defaultColWidth="9.140625" defaultRowHeight="12.75"/>
  <cols>
    <col min="1" max="1" width="72.140625" style="250" customWidth="1"/>
    <col min="2" max="4" width="13.57421875" style="251" customWidth="1"/>
    <col min="5" max="7" width="13.28125" style="252" customWidth="1"/>
    <col min="8" max="10" width="12.8515625" style="252" customWidth="1"/>
    <col min="11" max="13" width="13.28125" style="252" customWidth="1"/>
    <col min="14" max="16" width="13.00390625" style="251" customWidth="1"/>
    <col min="17" max="17" width="13.28125" style="251" customWidth="1"/>
    <col min="18" max="19" width="13.8515625" style="251" customWidth="1"/>
    <col min="20" max="20" width="9.140625" style="253" customWidth="1"/>
    <col min="21" max="16384" width="9.140625" style="250" customWidth="1"/>
  </cols>
  <sheetData>
    <row r="1" ht="12.75">
      <c r="A1" s="250" t="s">
        <v>412</v>
      </c>
    </row>
    <row r="2" spans="1:19" ht="15">
      <c r="A2" s="233" t="s">
        <v>463</v>
      </c>
      <c r="B2" s="254"/>
      <c r="C2" s="254"/>
      <c r="D2" s="254"/>
      <c r="E2" s="113"/>
      <c r="F2" s="113"/>
      <c r="G2" s="113"/>
      <c r="H2" s="113"/>
      <c r="Q2" s="255"/>
      <c r="R2" s="255"/>
      <c r="S2" s="255"/>
    </row>
    <row r="3" spans="1:19" ht="15">
      <c r="A3" s="21"/>
      <c r="B3" s="297" t="s">
        <v>244</v>
      </c>
      <c r="C3" s="297"/>
      <c r="D3" s="297"/>
      <c r="E3" s="291" t="s">
        <v>245</v>
      </c>
      <c r="F3" s="291"/>
      <c r="G3" s="291"/>
      <c r="H3" s="292" t="s">
        <v>246</v>
      </c>
      <c r="I3" s="292"/>
      <c r="J3" s="293"/>
      <c r="K3" s="292" t="s">
        <v>247</v>
      </c>
      <c r="L3" s="292"/>
      <c r="M3" s="293"/>
      <c r="N3" s="298" t="s">
        <v>467</v>
      </c>
      <c r="O3" s="298"/>
      <c r="P3" s="299"/>
      <c r="Q3" s="297" t="s">
        <v>294</v>
      </c>
      <c r="R3" s="297"/>
      <c r="S3" s="297"/>
    </row>
    <row r="4" spans="1:20" s="115" customFormat="1" ht="63.75">
      <c r="A4" s="197" t="s">
        <v>365</v>
      </c>
      <c r="B4" s="256" t="s">
        <v>464</v>
      </c>
      <c r="C4" s="256" t="s">
        <v>233</v>
      </c>
      <c r="D4" s="256" t="s">
        <v>362</v>
      </c>
      <c r="E4" s="210" t="s">
        <v>464</v>
      </c>
      <c r="F4" s="210" t="s">
        <v>233</v>
      </c>
      <c r="G4" s="210" t="s">
        <v>362</v>
      </c>
      <c r="H4" s="210" t="s">
        <v>464</v>
      </c>
      <c r="I4" s="210" t="s">
        <v>233</v>
      </c>
      <c r="J4" s="210" t="s">
        <v>465</v>
      </c>
      <c r="K4" s="210" t="s">
        <v>464</v>
      </c>
      <c r="L4" s="210" t="s">
        <v>466</v>
      </c>
      <c r="M4" s="210" t="s">
        <v>465</v>
      </c>
      <c r="N4" s="256" t="s">
        <v>464</v>
      </c>
      <c r="O4" s="256" t="s">
        <v>466</v>
      </c>
      <c r="P4" s="256" t="s">
        <v>465</v>
      </c>
      <c r="Q4" s="256" t="s">
        <v>464</v>
      </c>
      <c r="R4" s="256" t="s">
        <v>466</v>
      </c>
      <c r="S4" s="256" t="s">
        <v>465</v>
      </c>
      <c r="T4" s="257"/>
    </row>
    <row r="5" spans="1:19" ht="15">
      <c r="A5" s="198" t="s">
        <v>31</v>
      </c>
      <c r="B5" s="147">
        <f>'[1]1. kiadások össz'!D5</f>
        <v>34729.542</v>
      </c>
      <c r="C5" s="147">
        <v>0</v>
      </c>
      <c r="D5" s="147">
        <v>0</v>
      </c>
      <c r="E5" s="103">
        <f>'[1]1. kiadások össz'!H5</f>
        <v>5992.414</v>
      </c>
      <c r="F5" s="103">
        <v>0</v>
      </c>
      <c r="G5" s="103">
        <v>0</v>
      </c>
      <c r="H5" s="103">
        <f>'[1]1. kiadások össz'!L5*0.6333</f>
        <v>22592.253004799997</v>
      </c>
      <c r="I5" s="103">
        <v>0</v>
      </c>
      <c r="J5" s="103">
        <f>'[1]1. kiadások össz'!L5*0.3667</f>
        <v>13081.6029952</v>
      </c>
      <c r="K5" s="258">
        <f>SUM('[1]3. szakfeladatok'!AT8:AT34)-'[1]3. szakfeladatok'!AT34-'[1]3. szakfeladatok'!AT29</f>
        <v>28644</v>
      </c>
      <c r="L5" s="258">
        <f>'[1]3. szakfeladatok'!AT29+'[1]3. szakfeladatok'!AT34-1</f>
        <v>13786</v>
      </c>
      <c r="M5" s="259">
        <v>0</v>
      </c>
      <c r="N5" s="258">
        <f aca="true" t="shared" si="0" ref="N5:N32">B5+E5+H5+K5</f>
        <v>91958.2090048</v>
      </c>
      <c r="O5" s="258">
        <f aca="true" t="shared" si="1" ref="O5:O32">L5</f>
        <v>13786</v>
      </c>
      <c r="P5" s="258">
        <f aca="true" t="shared" si="2" ref="P5:P32">M5</f>
        <v>0</v>
      </c>
      <c r="Q5" s="258"/>
      <c r="R5" s="258"/>
      <c r="S5" s="258"/>
    </row>
    <row r="6" spans="1:19" ht="15">
      <c r="A6" s="198" t="s">
        <v>27</v>
      </c>
      <c r="B6" s="147">
        <f>'[1]1. kiadások össz'!D6</f>
        <v>9015</v>
      </c>
      <c r="C6" s="147">
        <v>0</v>
      </c>
      <c r="D6" s="147">
        <v>0</v>
      </c>
      <c r="E6" s="103">
        <f>'[1]1. kiadások össz'!H6</f>
        <v>1555</v>
      </c>
      <c r="F6" s="103">
        <v>0</v>
      </c>
      <c r="G6" s="103">
        <v>0</v>
      </c>
      <c r="H6" s="103">
        <f>'[1]1. kiadások össz'!L6*0.6333</f>
        <v>5847.892199999999</v>
      </c>
      <c r="I6" s="103">
        <v>0</v>
      </c>
      <c r="J6" s="103">
        <f>'[1]1. kiadások össz'!L6*0.3667</f>
        <v>3386.1078</v>
      </c>
      <c r="K6" s="258">
        <f>SUM('[1]3. szakfeladatok'!AZ8:AZ34)-'[1]3. szakfeladatok'!AZ34-'[1]3. szakfeladatok'!AZ29</f>
        <v>6850</v>
      </c>
      <c r="L6" s="258">
        <f>'[1]3. szakfeladatok'!AZ29+'[1]3. szakfeladatok'!AZ34</f>
        <v>3264</v>
      </c>
      <c r="M6" s="259">
        <v>0</v>
      </c>
      <c r="N6" s="258">
        <f t="shared" si="0"/>
        <v>23267.8922</v>
      </c>
      <c r="O6" s="258">
        <f t="shared" si="1"/>
        <v>3264</v>
      </c>
      <c r="P6" s="258">
        <f t="shared" si="2"/>
        <v>0</v>
      </c>
      <c r="Q6" s="258"/>
      <c r="R6" s="258"/>
      <c r="S6" s="258"/>
    </row>
    <row r="7" spans="1:19" ht="15">
      <c r="A7" s="198" t="s">
        <v>28</v>
      </c>
      <c r="B7" s="147">
        <f>'[1]1. kiadások össz'!D7</f>
        <v>8861</v>
      </c>
      <c r="C7" s="147">
        <v>0</v>
      </c>
      <c r="D7" s="147">
        <v>0</v>
      </c>
      <c r="E7" s="103">
        <f>'[1]1. kiadások össz'!H7</f>
        <v>18244</v>
      </c>
      <c r="F7" s="103">
        <v>0</v>
      </c>
      <c r="G7" s="103">
        <v>0</v>
      </c>
      <c r="H7" s="103">
        <f>'[1]1. kiadások össz'!L7*0.6333</f>
        <v>11850.309599999999</v>
      </c>
      <c r="I7" s="103">
        <v>0</v>
      </c>
      <c r="J7" s="103">
        <f>'[1]1. kiadások össz'!L7*0.3667</f>
        <v>6861.6904</v>
      </c>
      <c r="K7" s="258">
        <f>SUM('[1]3. szakfeladatok'!BC8:BC34)-'[1]3. szakfeladatok'!BC29-'[1]3. szakfeladatok'!BC34</f>
        <v>169071.53100000002</v>
      </c>
      <c r="L7" s="258">
        <f>'[1]3. szakfeladatok'!BC34+'[1]3. szakfeladatok'!BC29</f>
        <v>40383</v>
      </c>
      <c r="M7" s="259">
        <v>0</v>
      </c>
      <c r="N7" s="258">
        <f t="shared" si="0"/>
        <v>208026.84060000003</v>
      </c>
      <c r="O7" s="258">
        <f t="shared" si="1"/>
        <v>40383</v>
      </c>
      <c r="P7" s="258">
        <f t="shared" si="2"/>
        <v>0</v>
      </c>
      <c r="Q7" s="258"/>
      <c r="R7" s="258"/>
      <c r="S7" s="258"/>
    </row>
    <row r="8" spans="1:19" ht="15">
      <c r="A8" s="198" t="s">
        <v>29</v>
      </c>
      <c r="B8" s="147">
        <f>'[1]1. kiadások össz'!D8</f>
        <v>0</v>
      </c>
      <c r="C8" s="147">
        <v>0</v>
      </c>
      <c r="D8" s="147">
        <v>0</v>
      </c>
      <c r="E8" s="103">
        <f>'[1]1. kiadások össz'!H8</f>
        <v>0</v>
      </c>
      <c r="F8" s="103">
        <v>0</v>
      </c>
      <c r="G8" s="103">
        <v>0</v>
      </c>
      <c r="H8" s="103">
        <f>'[1]1. kiadások össz'!L8*0.6333</f>
        <v>0</v>
      </c>
      <c r="I8" s="103">
        <v>0</v>
      </c>
      <c r="J8" s="103">
        <f>'[1]1. kiadások össz'!L8*0.3667</f>
        <v>0</v>
      </c>
      <c r="K8" s="258">
        <f>SUM('[1]3. szakfeladatok'!BF8:BF34)-'[1]3. szakfeladatok'!BF29-'[1]3. szakfeladatok'!BF34</f>
        <v>28422</v>
      </c>
      <c r="L8" s="258">
        <f>'[1]3. szakfeladatok'!BF29+'[1]3. szakfeladatok'!BF34</f>
        <v>0</v>
      </c>
      <c r="M8" s="259">
        <v>0</v>
      </c>
      <c r="N8" s="258">
        <f t="shared" si="0"/>
        <v>28422</v>
      </c>
      <c r="O8" s="258">
        <f t="shared" si="1"/>
        <v>0</v>
      </c>
      <c r="P8" s="258">
        <f t="shared" si="2"/>
        <v>0</v>
      </c>
      <c r="Q8" s="258"/>
      <c r="R8" s="258"/>
      <c r="S8" s="258"/>
    </row>
    <row r="9" spans="1:19" ht="15">
      <c r="A9" s="198" t="s">
        <v>30</v>
      </c>
      <c r="B9" s="147">
        <f>'[1]1. kiadások össz'!D9</f>
        <v>0</v>
      </c>
      <c r="C9" s="147">
        <v>0</v>
      </c>
      <c r="D9" s="147">
        <v>0</v>
      </c>
      <c r="E9" s="103">
        <f>'[1]1. kiadások össz'!H9</f>
        <v>0</v>
      </c>
      <c r="F9" s="103">
        <v>0</v>
      </c>
      <c r="G9" s="103">
        <v>0</v>
      </c>
      <c r="H9" s="103">
        <f>'[1]1. kiadások össz'!L9*0.6333</f>
        <v>0</v>
      </c>
      <c r="I9" s="103">
        <v>0</v>
      </c>
      <c r="J9" s="103">
        <f>'[1]1. kiadások össz'!L9*0.3667</f>
        <v>0</v>
      </c>
      <c r="K9" s="258">
        <f>SUM('[1]3. szakfeladatok'!BI8:BI34)-'[1]3. szakfeladatok'!BI34-'[1]3. szakfeladatok'!BI29</f>
        <v>27826</v>
      </c>
      <c r="L9" s="258">
        <f>'[1]3. szakfeladatok'!BI34+'[1]3. szakfeladatok'!BH29</f>
        <v>0</v>
      </c>
      <c r="M9" s="259">
        <v>0</v>
      </c>
      <c r="N9" s="258">
        <f t="shared" si="0"/>
        <v>27826</v>
      </c>
      <c r="O9" s="258">
        <f t="shared" si="1"/>
        <v>0</v>
      </c>
      <c r="P9" s="258">
        <f t="shared" si="2"/>
        <v>0</v>
      </c>
      <c r="Q9" s="258"/>
      <c r="R9" s="258"/>
      <c r="S9" s="258"/>
    </row>
    <row r="10" spans="1:19" ht="30">
      <c r="A10" s="199" t="s">
        <v>367</v>
      </c>
      <c r="B10" s="147">
        <f>'[1]1. kiadások össz'!D10</f>
        <v>0</v>
      </c>
      <c r="C10" s="147">
        <v>0</v>
      </c>
      <c r="D10" s="147">
        <v>0</v>
      </c>
      <c r="E10" s="103">
        <f>'[1]1. kiadások össz'!H10</f>
        <v>0</v>
      </c>
      <c r="F10" s="103">
        <v>0</v>
      </c>
      <c r="G10" s="103">
        <v>0</v>
      </c>
      <c r="H10" s="103">
        <f>'[1]1. kiadások össz'!L10*0.6333</f>
        <v>0</v>
      </c>
      <c r="I10" s="103">
        <v>0</v>
      </c>
      <c r="J10" s="103">
        <f>'[1]1. kiadások össz'!L10*0.3667</f>
        <v>0</v>
      </c>
      <c r="K10" s="258">
        <v>0</v>
      </c>
      <c r="L10" s="258">
        <v>0</v>
      </c>
      <c r="M10" s="259">
        <v>0</v>
      </c>
      <c r="N10" s="258">
        <f t="shared" si="0"/>
        <v>0</v>
      </c>
      <c r="O10" s="258">
        <f t="shared" si="1"/>
        <v>0</v>
      </c>
      <c r="P10" s="258">
        <f t="shared" si="2"/>
        <v>0</v>
      </c>
      <c r="Q10" s="258"/>
      <c r="R10" s="258"/>
      <c r="S10" s="258"/>
    </row>
    <row r="11" spans="1:19" ht="15">
      <c r="A11" s="199" t="s">
        <v>368</v>
      </c>
      <c r="B11" s="147">
        <f>'[1]1. kiadások össz'!D11</f>
        <v>0</v>
      </c>
      <c r="C11" s="147">
        <v>0</v>
      </c>
      <c r="D11" s="147">
        <v>0</v>
      </c>
      <c r="E11" s="103">
        <f>'[1]1. kiadások össz'!H11</f>
        <v>0</v>
      </c>
      <c r="F11" s="103">
        <v>0</v>
      </c>
      <c r="G11" s="103">
        <v>0</v>
      </c>
      <c r="H11" s="103">
        <f>'[1]1. kiadások össz'!L11*0.6333</f>
        <v>0</v>
      </c>
      <c r="I11" s="103">
        <v>0</v>
      </c>
      <c r="J11" s="103">
        <f>'[1]1. kiadások össz'!L11*0.3667</f>
        <v>0</v>
      </c>
      <c r="K11" s="258">
        <v>0</v>
      </c>
      <c r="L11" s="258">
        <f>'[1]3. szakfeladatok'!BI36+'[1]3. szakfeladatok'!BH31</f>
        <v>0</v>
      </c>
      <c r="M11" s="259">
        <v>0</v>
      </c>
      <c r="N11" s="258">
        <f t="shared" si="0"/>
        <v>0</v>
      </c>
      <c r="O11" s="258">
        <f t="shared" si="1"/>
        <v>0</v>
      </c>
      <c r="P11" s="258">
        <f t="shared" si="2"/>
        <v>0</v>
      </c>
      <c r="Q11" s="258"/>
      <c r="R11" s="258"/>
      <c r="S11" s="258"/>
    </row>
    <row r="12" spans="1:19" ht="30">
      <c r="A12" s="199" t="s">
        <v>369</v>
      </c>
      <c r="B12" s="147">
        <f>'[1]1. kiadások össz'!D12</f>
        <v>0</v>
      </c>
      <c r="C12" s="147">
        <v>0</v>
      </c>
      <c r="D12" s="147">
        <v>0</v>
      </c>
      <c r="E12" s="103">
        <f>'[1]1. kiadások össz'!H12</f>
        <v>0</v>
      </c>
      <c r="F12" s="103">
        <v>0</v>
      </c>
      <c r="G12" s="103">
        <v>0</v>
      </c>
      <c r="H12" s="103">
        <f>'[1]1. kiadások össz'!L12*0.6333</f>
        <v>0</v>
      </c>
      <c r="I12" s="103">
        <v>0</v>
      </c>
      <c r="J12" s="103">
        <f>'[1]1. kiadások össz'!L12*0.3667</f>
        <v>0</v>
      </c>
      <c r="K12" s="258">
        <v>0</v>
      </c>
      <c r="L12" s="258">
        <v>0</v>
      </c>
      <c r="M12" s="259">
        <v>0</v>
      </c>
      <c r="N12" s="258">
        <f t="shared" si="0"/>
        <v>0</v>
      </c>
      <c r="O12" s="258">
        <f t="shared" si="1"/>
        <v>0</v>
      </c>
      <c r="P12" s="258">
        <f t="shared" si="2"/>
        <v>0</v>
      </c>
      <c r="Q12" s="258"/>
      <c r="R12" s="258"/>
      <c r="S12" s="258"/>
    </row>
    <row r="13" spans="1:19" ht="30">
      <c r="A13" s="199" t="s">
        <v>370</v>
      </c>
      <c r="B13" s="147">
        <f>'[1]1. kiadások össz'!D13</f>
        <v>0</v>
      </c>
      <c r="C13" s="147">
        <v>0</v>
      </c>
      <c r="D13" s="147">
        <v>0</v>
      </c>
      <c r="E13" s="103">
        <f>'[1]1. kiadások össz'!H13</f>
        <v>0</v>
      </c>
      <c r="F13" s="103">
        <v>0</v>
      </c>
      <c r="G13" s="103">
        <v>0</v>
      </c>
      <c r="H13" s="103">
        <f>'[1]1. kiadások össz'!L13*0.6333</f>
        <v>0</v>
      </c>
      <c r="I13" s="103">
        <v>0</v>
      </c>
      <c r="J13" s="103">
        <f>'[1]1. kiadások össz'!L13*0.3667</f>
        <v>0</v>
      </c>
      <c r="K13" s="258">
        <v>0</v>
      </c>
      <c r="L13" s="258">
        <f>'[1]3. szakfeladatok'!BI37+'[1]3. szakfeladatok'!BH33</f>
        <v>0</v>
      </c>
      <c r="M13" s="259">
        <v>0</v>
      </c>
      <c r="N13" s="258">
        <f t="shared" si="0"/>
        <v>0</v>
      </c>
      <c r="O13" s="258">
        <f t="shared" si="1"/>
        <v>0</v>
      </c>
      <c r="P13" s="258">
        <f t="shared" si="2"/>
        <v>0</v>
      </c>
      <c r="Q13" s="258"/>
      <c r="R13" s="258"/>
      <c r="S13" s="258"/>
    </row>
    <row r="14" spans="1:19" ht="27">
      <c r="A14" s="200" t="s">
        <v>26</v>
      </c>
      <c r="B14" s="147">
        <f>'[1]1. kiadások össz'!D14</f>
        <v>0</v>
      </c>
      <c r="C14" s="147">
        <v>0</v>
      </c>
      <c r="D14" s="147">
        <v>0</v>
      </c>
      <c r="E14" s="103">
        <f>'[1]1. kiadások össz'!H14</f>
        <v>0</v>
      </c>
      <c r="F14" s="103">
        <v>0</v>
      </c>
      <c r="G14" s="103">
        <v>0</v>
      </c>
      <c r="H14" s="103">
        <f>'[1]1. kiadások össz'!L14*0.6333</f>
        <v>0</v>
      </c>
      <c r="I14" s="103">
        <v>0</v>
      </c>
      <c r="J14" s="103">
        <f>'[1]1. kiadások össz'!L14*0.3667</f>
        <v>0</v>
      </c>
      <c r="K14" s="258">
        <v>140041</v>
      </c>
      <c r="L14" s="258">
        <f>'[1]3. szakfeladatok'!BI38+'[1]3. szakfeladatok'!BH34</f>
        <v>0</v>
      </c>
      <c r="M14" s="259">
        <v>0</v>
      </c>
      <c r="N14" s="258">
        <f t="shared" si="0"/>
        <v>140041</v>
      </c>
      <c r="O14" s="258">
        <f t="shared" si="1"/>
        <v>0</v>
      </c>
      <c r="P14" s="258">
        <f t="shared" si="2"/>
        <v>0</v>
      </c>
      <c r="Q14" s="258">
        <f>K14</f>
        <v>140041</v>
      </c>
      <c r="R14" s="258"/>
      <c r="S14" s="258"/>
    </row>
    <row r="15" spans="1:19" ht="15">
      <c r="A15" s="201" t="s">
        <v>16</v>
      </c>
      <c r="B15" s="147">
        <f>'[1]1. kiadások össz'!D15</f>
        <v>133</v>
      </c>
      <c r="C15" s="147">
        <v>0</v>
      </c>
      <c r="D15" s="147">
        <v>0</v>
      </c>
      <c r="E15" s="103">
        <f>'[1]1. kiadások össz'!H15</f>
        <v>130</v>
      </c>
      <c r="F15" s="103">
        <v>0</v>
      </c>
      <c r="G15" s="103">
        <v>0</v>
      </c>
      <c r="H15" s="103">
        <f>'[1]1. kiadások össz'!L15*0.6333</f>
        <v>88.66199999999999</v>
      </c>
      <c r="I15" s="103">
        <v>0</v>
      </c>
      <c r="J15" s="103">
        <f>'[1]1. kiadások össz'!L15*0.3667</f>
        <v>51.338</v>
      </c>
      <c r="K15" s="258">
        <v>68297</v>
      </c>
      <c r="L15" s="258">
        <v>0</v>
      </c>
      <c r="M15" s="259">
        <v>0</v>
      </c>
      <c r="N15" s="258">
        <f t="shared" si="0"/>
        <v>68648.662</v>
      </c>
      <c r="O15" s="258">
        <f t="shared" si="1"/>
        <v>0</v>
      </c>
      <c r="P15" s="258">
        <f t="shared" si="2"/>
        <v>0</v>
      </c>
      <c r="Q15" s="258"/>
      <c r="R15" s="258"/>
      <c r="S15" s="258"/>
    </row>
    <row r="16" spans="1:19" ht="15">
      <c r="A16" s="201" t="s">
        <v>17</v>
      </c>
      <c r="B16" s="147">
        <f>'[1]1. kiadások össz'!D16</f>
        <v>0</v>
      </c>
      <c r="C16" s="147">
        <v>0</v>
      </c>
      <c r="D16" s="147">
        <v>0</v>
      </c>
      <c r="E16" s="103">
        <f>'[1]1. kiadások össz'!H16</f>
        <v>0</v>
      </c>
      <c r="F16" s="103">
        <v>0</v>
      </c>
      <c r="G16" s="103">
        <v>0</v>
      </c>
      <c r="H16" s="103">
        <f>'[1]1. kiadások össz'!L16*0.6333</f>
        <v>0</v>
      </c>
      <c r="I16" s="103">
        <v>0</v>
      </c>
      <c r="J16" s="103">
        <f>'[1]1. kiadások össz'!L16*0.3667</f>
        <v>0</v>
      </c>
      <c r="K16" s="258">
        <v>0</v>
      </c>
      <c r="L16" s="258">
        <f>'[1]3. szakfeladatok'!BI40+'[1]3. szakfeladatok'!BH36</f>
        <v>0</v>
      </c>
      <c r="M16" s="259">
        <v>0</v>
      </c>
      <c r="N16" s="258">
        <f t="shared" si="0"/>
        <v>0</v>
      </c>
      <c r="O16" s="258">
        <f t="shared" si="1"/>
        <v>0</v>
      </c>
      <c r="P16" s="258">
        <f t="shared" si="2"/>
        <v>0</v>
      </c>
      <c r="Q16" s="258"/>
      <c r="R16" s="258"/>
      <c r="S16" s="258"/>
    </row>
    <row r="17" spans="1:19" ht="15">
      <c r="A17" s="51" t="s">
        <v>6</v>
      </c>
      <c r="B17" s="147">
        <f>'[1]1. kiadások össz'!D17</f>
        <v>52738.542</v>
      </c>
      <c r="C17" s="147">
        <v>0</v>
      </c>
      <c r="D17" s="147">
        <v>0</v>
      </c>
      <c r="E17" s="103">
        <f>'[1]1. kiadások össz'!H17</f>
        <v>25921.414</v>
      </c>
      <c r="F17" s="103">
        <v>0</v>
      </c>
      <c r="G17" s="103">
        <v>0</v>
      </c>
      <c r="H17" s="103">
        <f>'[1]1. kiadások össz'!L17*0.6333</f>
        <v>40379.116804799996</v>
      </c>
      <c r="I17" s="103">
        <v>0</v>
      </c>
      <c r="J17" s="103">
        <f>'[1]1. kiadások össz'!L17*0.3667</f>
        <v>23380.7391952</v>
      </c>
      <c r="K17" s="258">
        <f>SUM(K5:K16)</f>
        <v>469151.531</v>
      </c>
      <c r="L17" s="258">
        <f>SUM(L5:L16)</f>
        <v>57433</v>
      </c>
      <c r="M17" s="259">
        <v>0</v>
      </c>
      <c r="N17" s="258">
        <f t="shared" si="0"/>
        <v>588190.6038048</v>
      </c>
      <c r="O17" s="258">
        <f t="shared" si="1"/>
        <v>57433</v>
      </c>
      <c r="P17" s="258">
        <f t="shared" si="2"/>
        <v>0</v>
      </c>
      <c r="Q17" s="258">
        <f>SUM(Q14:Q16)</f>
        <v>140041</v>
      </c>
      <c r="R17" s="258">
        <f>SUM(R14:R16)</f>
        <v>0</v>
      </c>
      <c r="S17" s="258"/>
    </row>
    <row r="18" spans="1:19" ht="15">
      <c r="A18" s="198" t="s">
        <v>20</v>
      </c>
      <c r="B18" s="147">
        <f>'[1]1. kiadások össz'!D18</f>
        <v>924</v>
      </c>
      <c r="C18" s="147">
        <v>0</v>
      </c>
      <c r="D18" s="147">
        <v>0</v>
      </c>
      <c r="E18" s="103">
        <f>'[1]1. kiadások össz'!H18</f>
        <v>4826</v>
      </c>
      <c r="F18" s="103">
        <v>0</v>
      </c>
      <c r="G18" s="103">
        <v>0</v>
      </c>
      <c r="H18" s="103">
        <f>'[1]1. kiadások össz'!L18*0.6333</f>
        <v>402.14549999999997</v>
      </c>
      <c r="I18" s="103">
        <v>0</v>
      </c>
      <c r="J18" s="103">
        <f>'[1]1. kiadások össz'!L18*0.3667</f>
        <v>232.85450000000003</v>
      </c>
      <c r="K18" s="258">
        <v>92276</v>
      </c>
      <c r="L18" s="258">
        <v>180265</v>
      </c>
      <c r="M18" s="259">
        <v>0</v>
      </c>
      <c r="N18" s="258">
        <f t="shared" si="0"/>
        <v>98428.1455</v>
      </c>
      <c r="O18" s="258">
        <f t="shared" si="1"/>
        <v>180265</v>
      </c>
      <c r="P18" s="258">
        <f t="shared" si="2"/>
        <v>0</v>
      </c>
      <c r="Q18" s="258"/>
      <c r="R18" s="258"/>
      <c r="S18" s="258"/>
    </row>
    <row r="19" spans="1:19" ht="15">
      <c r="A19" s="198" t="s">
        <v>19</v>
      </c>
      <c r="B19" s="147">
        <f>'[1]1. kiadások össz'!D19</f>
        <v>0</v>
      </c>
      <c r="C19" s="147">
        <v>0</v>
      </c>
      <c r="D19" s="147">
        <v>0</v>
      </c>
      <c r="E19" s="103">
        <f>'[1]1. kiadások össz'!H19</f>
        <v>0</v>
      </c>
      <c r="F19" s="103">
        <v>0</v>
      </c>
      <c r="G19" s="103">
        <v>0</v>
      </c>
      <c r="H19" s="103">
        <f>'[1]1. kiadások össz'!L19*0.6333</f>
        <v>0</v>
      </c>
      <c r="I19" s="103">
        <v>0</v>
      </c>
      <c r="J19" s="103">
        <f>'[1]1. kiadások össz'!L19*0.3667</f>
        <v>0</v>
      </c>
      <c r="K19" s="258">
        <v>0</v>
      </c>
      <c r="L19" s="258">
        <f>'[1]3. szakfeladatok'!BI43+'[1]3. szakfeladatok'!BH38</f>
        <v>0</v>
      </c>
      <c r="M19" s="259">
        <v>0</v>
      </c>
      <c r="N19" s="258">
        <f t="shared" si="0"/>
        <v>0</v>
      </c>
      <c r="O19" s="258">
        <f t="shared" si="1"/>
        <v>0</v>
      </c>
      <c r="P19" s="258">
        <f t="shared" si="2"/>
        <v>0</v>
      </c>
      <c r="Q19" s="258"/>
      <c r="R19" s="258"/>
      <c r="S19" s="258"/>
    </row>
    <row r="20" spans="1:19" ht="15">
      <c r="A20" s="198" t="s">
        <v>21</v>
      </c>
      <c r="B20" s="147">
        <f>'[1]1. kiadások össz'!D20</f>
        <v>0</v>
      </c>
      <c r="C20" s="147">
        <v>0</v>
      </c>
      <c r="D20" s="147">
        <v>0</v>
      </c>
      <c r="E20" s="103">
        <f>'[1]1. kiadások össz'!H20</f>
        <v>0</v>
      </c>
      <c r="F20" s="103">
        <v>0</v>
      </c>
      <c r="G20" s="103">
        <v>0</v>
      </c>
      <c r="H20" s="103">
        <f>'[1]1. kiadások össz'!L20*0.6333</f>
        <v>0</v>
      </c>
      <c r="I20" s="103">
        <v>0</v>
      </c>
      <c r="J20" s="103">
        <f>'[1]1. kiadások össz'!L20*0.3667</f>
        <v>0</v>
      </c>
      <c r="K20" s="258">
        <v>0</v>
      </c>
      <c r="L20" s="258">
        <f>'[1]3. szakfeladatok'!BI44+'[1]3. szakfeladatok'!BH39</f>
        <v>0</v>
      </c>
      <c r="M20" s="259">
        <v>0</v>
      </c>
      <c r="N20" s="258">
        <f t="shared" si="0"/>
        <v>0</v>
      </c>
      <c r="O20" s="258">
        <f t="shared" si="1"/>
        <v>0</v>
      </c>
      <c r="P20" s="258">
        <f t="shared" si="2"/>
        <v>0</v>
      </c>
      <c r="Q20" s="258"/>
      <c r="R20" s="258"/>
      <c r="S20" s="258"/>
    </row>
    <row r="21" spans="1:19" ht="45">
      <c r="A21" s="199" t="s">
        <v>371</v>
      </c>
      <c r="B21" s="147">
        <f>'[1]1. kiadások össz'!D21</f>
        <v>0</v>
      </c>
      <c r="C21" s="147">
        <v>0</v>
      </c>
      <c r="D21" s="147">
        <v>0</v>
      </c>
      <c r="E21" s="103">
        <f>'[1]1. kiadások össz'!H21</f>
        <v>0</v>
      </c>
      <c r="F21" s="103">
        <v>0</v>
      </c>
      <c r="G21" s="103">
        <v>0</v>
      </c>
      <c r="H21" s="103">
        <f>'[1]1. kiadások össz'!L21*0.6333</f>
        <v>0</v>
      </c>
      <c r="I21" s="103">
        <v>0</v>
      </c>
      <c r="J21" s="103">
        <f>'[1]1. kiadások össz'!L21*0.3667</f>
        <v>0</v>
      </c>
      <c r="K21" s="258">
        <v>0</v>
      </c>
      <c r="L21" s="258">
        <v>180011</v>
      </c>
      <c r="M21" s="259">
        <v>0</v>
      </c>
      <c r="N21" s="258">
        <f t="shared" si="0"/>
        <v>0</v>
      </c>
      <c r="O21" s="258">
        <f t="shared" si="1"/>
        <v>180011</v>
      </c>
      <c r="P21" s="258">
        <f t="shared" si="2"/>
        <v>0</v>
      </c>
      <c r="Q21" s="258"/>
      <c r="R21" s="258"/>
      <c r="S21" s="258"/>
    </row>
    <row r="22" spans="1:19" ht="15">
      <c r="A22" s="199" t="s">
        <v>372</v>
      </c>
      <c r="B22" s="147">
        <f>'[1]1. kiadások össz'!D22</f>
        <v>0</v>
      </c>
      <c r="C22" s="147">
        <v>0</v>
      </c>
      <c r="D22" s="147">
        <v>0</v>
      </c>
      <c r="E22" s="103">
        <f>'[1]1. kiadások össz'!H22</f>
        <v>0</v>
      </c>
      <c r="F22" s="103">
        <v>0</v>
      </c>
      <c r="G22" s="103">
        <v>0</v>
      </c>
      <c r="H22" s="103">
        <f>'[1]1. kiadások össz'!L22*0.6333</f>
        <v>0</v>
      </c>
      <c r="I22" s="103">
        <v>0</v>
      </c>
      <c r="J22" s="103">
        <f>'[1]1. kiadások össz'!L22*0.3667</f>
        <v>0</v>
      </c>
      <c r="K22" s="259">
        <v>0</v>
      </c>
      <c r="L22" s="259">
        <f>'[1]3. szakfeladatok'!BI46+'[1]3. szakfeladatok'!BH41</f>
        <v>0</v>
      </c>
      <c r="M22" s="259">
        <v>0</v>
      </c>
      <c r="N22" s="258">
        <f t="shared" si="0"/>
        <v>0</v>
      </c>
      <c r="O22" s="258">
        <f t="shared" si="1"/>
        <v>0</v>
      </c>
      <c r="P22" s="258">
        <f t="shared" si="2"/>
        <v>0</v>
      </c>
      <c r="Q22" s="258"/>
      <c r="R22" s="258"/>
      <c r="S22" s="258"/>
    </row>
    <row r="23" spans="1:19" ht="30">
      <c r="A23" s="199" t="s">
        <v>373</v>
      </c>
      <c r="B23" s="147">
        <f>'[1]1. kiadások össz'!D23</f>
        <v>0</v>
      </c>
      <c r="C23" s="147">
        <v>0</v>
      </c>
      <c r="D23" s="147">
        <v>0</v>
      </c>
      <c r="E23" s="103">
        <f>'[1]1. kiadások össz'!H23</f>
        <v>0</v>
      </c>
      <c r="F23" s="103">
        <v>0</v>
      </c>
      <c r="G23" s="103">
        <v>0</v>
      </c>
      <c r="H23" s="103">
        <f>'[1]1. kiadások össz'!L23*0.6333</f>
        <v>0</v>
      </c>
      <c r="I23" s="103">
        <v>0</v>
      </c>
      <c r="J23" s="103">
        <f>'[1]1. kiadások össz'!L23*0.3667</f>
        <v>0</v>
      </c>
      <c r="K23" s="259">
        <v>0</v>
      </c>
      <c r="L23" s="259">
        <f>'[1]3. szakfeladatok'!BI47+'[1]3. szakfeladatok'!BH42</f>
        <v>0</v>
      </c>
      <c r="M23" s="259">
        <v>0</v>
      </c>
      <c r="N23" s="258">
        <f t="shared" si="0"/>
        <v>0</v>
      </c>
      <c r="O23" s="258">
        <f t="shared" si="1"/>
        <v>0</v>
      </c>
      <c r="P23" s="258">
        <f t="shared" si="2"/>
        <v>0</v>
      </c>
      <c r="Q23" s="258"/>
      <c r="R23" s="258"/>
      <c r="S23" s="258"/>
    </row>
    <row r="24" spans="1:19" ht="30">
      <c r="A24" s="199" t="s">
        <v>374</v>
      </c>
      <c r="B24" s="147">
        <f>'[1]1. kiadások össz'!D24</f>
        <v>0</v>
      </c>
      <c r="C24" s="147">
        <v>0</v>
      </c>
      <c r="D24" s="147">
        <v>0</v>
      </c>
      <c r="E24" s="103">
        <f>'[1]1. kiadások össz'!H24</f>
        <v>0</v>
      </c>
      <c r="F24" s="103">
        <v>0</v>
      </c>
      <c r="G24" s="103">
        <v>0</v>
      </c>
      <c r="H24" s="103">
        <f>'[1]1. kiadások össz'!L24*0.6333</f>
        <v>0</v>
      </c>
      <c r="I24" s="103">
        <v>0</v>
      </c>
      <c r="J24" s="103">
        <f>'[1]1. kiadások össz'!L24*0.3667</f>
        <v>0</v>
      </c>
      <c r="K24" s="259">
        <v>0</v>
      </c>
      <c r="L24" s="259">
        <f>'[1]3. szakfeladatok'!BI48+'[1]3. szakfeladatok'!BH43</f>
        <v>0</v>
      </c>
      <c r="M24" s="259">
        <v>0</v>
      </c>
      <c r="N24" s="258">
        <f t="shared" si="0"/>
        <v>0</v>
      </c>
      <c r="O24" s="258">
        <f t="shared" si="1"/>
        <v>0</v>
      </c>
      <c r="P24" s="258">
        <f t="shared" si="2"/>
        <v>0</v>
      </c>
      <c r="Q24" s="258"/>
      <c r="R24" s="258"/>
      <c r="S24" s="258"/>
    </row>
    <row r="25" spans="1:19" ht="15">
      <c r="A25" s="201" t="s">
        <v>33</v>
      </c>
      <c r="B25" s="147">
        <f>'[1]1. kiadások össz'!D25</f>
        <v>0</v>
      </c>
      <c r="C25" s="147">
        <v>0</v>
      </c>
      <c r="D25" s="147">
        <v>0</v>
      </c>
      <c r="E25" s="103">
        <f>'[1]1. kiadások össz'!H25</f>
        <v>0</v>
      </c>
      <c r="F25" s="103">
        <v>0</v>
      </c>
      <c r="G25" s="103">
        <v>0</v>
      </c>
      <c r="H25" s="103">
        <f>'[1]1. kiadások össz'!L25*0.6333</f>
        <v>0</v>
      </c>
      <c r="I25" s="103">
        <v>0</v>
      </c>
      <c r="J25" s="103">
        <f>'[1]1. kiadások össz'!L25*0.3667</f>
        <v>0</v>
      </c>
      <c r="K25" s="259">
        <v>0</v>
      </c>
      <c r="L25" s="259">
        <f>'[1]3. szakfeladatok'!BI49+'[1]3. szakfeladatok'!BH44</f>
        <v>0</v>
      </c>
      <c r="M25" s="259">
        <v>0</v>
      </c>
      <c r="N25" s="258">
        <f t="shared" si="0"/>
        <v>0</v>
      </c>
      <c r="O25" s="258">
        <f t="shared" si="1"/>
        <v>0</v>
      </c>
      <c r="P25" s="258">
        <f t="shared" si="2"/>
        <v>0</v>
      </c>
      <c r="Q25" s="258"/>
      <c r="R25" s="258"/>
      <c r="S25" s="258"/>
    </row>
    <row r="26" spans="1:19" ht="15">
      <c r="A26" s="201" t="s">
        <v>32</v>
      </c>
      <c r="B26" s="147">
        <f>'[1]1. kiadások össz'!D26</f>
        <v>0</v>
      </c>
      <c r="C26" s="147">
        <v>0</v>
      </c>
      <c r="D26" s="147">
        <v>0</v>
      </c>
      <c r="E26" s="103">
        <f>'[1]1. kiadások össz'!H26</f>
        <v>0</v>
      </c>
      <c r="F26" s="103">
        <v>0</v>
      </c>
      <c r="G26" s="103">
        <v>0</v>
      </c>
      <c r="H26" s="103">
        <f>'[1]1. kiadások össz'!L26*0.6333</f>
        <v>0</v>
      </c>
      <c r="I26" s="103">
        <v>0</v>
      </c>
      <c r="J26" s="103">
        <f>'[1]1. kiadások össz'!L26*0.3667</f>
        <v>0</v>
      </c>
      <c r="K26" s="259">
        <v>0</v>
      </c>
      <c r="L26" s="259">
        <f>'[1]3. szakfeladatok'!BI50+'[1]3. szakfeladatok'!BH45</f>
        <v>0</v>
      </c>
      <c r="M26" s="259">
        <v>0</v>
      </c>
      <c r="N26" s="258">
        <f t="shared" si="0"/>
        <v>0</v>
      </c>
      <c r="O26" s="258">
        <f t="shared" si="1"/>
        <v>0</v>
      </c>
      <c r="P26" s="258">
        <f t="shared" si="2"/>
        <v>0</v>
      </c>
      <c r="Q26" s="258"/>
      <c r="R26" s="258"/>
      <c r="S26" s="258"/>
    </row>
    <row r="27" spans="1:19" ht="27">
      <c r="A27" s="202" t="s">
        <v>25</v>
      </c>
      <c r="B27" s="147">
        <f>'[1]1. kiadások össz'!D27</f>
        <v>0</v>
      </c>
      <c r="C27" s="147">
        <v>0</v>
      </c>
      <c r="D27" s="147">
        <v>0</v>
      </c>
      <c r="E27" s="103">
        <f>'[1]1. kiadások össz'!H27</f>
        <v>0</v>
      </c>
      <c r="F27" s="103">
        <v>0</v>
      </c>
      <c r="G27" s="103">
        <v>0</v>
      </c>
      <c r="H27" s="103">
        <f>'[1]1. kiadások össz'!L27*0.6333</f>
        <v>0</v>
      </c>
      <c r="I27" s="103">
        <v>0</v>
      </c>
      <c r="J27" s="103">
        <f>'[1]1. kiadások össz'!L27*0.3667</f>
        <v>0</v>
      </c>
      <c r="K27" s="259">
        <v>6385</v>
      </c>
      <c r="L27" s="259">
        <f>'[1]3. szakfeladatok'!BI51+'[1]3. szakfeladatok'!BH46</f>
        <v>0</v>
      </c>
      <c r="M27" s="259">
        <v>0</v>
      </c>
      <c r="N27" s="258">
        <f t="shared" si="0"/>
        <v>6385</v>
      </c>
      <c r="O27" s="258">
        <f t="shared" si="1"/>
        <v>0</v>
      </c>
      <c r="P27" s="258">
        <f t="shared" si="2"/>
        <v>0</v>
      </c>
      <c r="Q27" s="258">
        <v>6385</v>
      </c>
      <c r="R27" s="258"/>
      <c r="S27" s="258"/>
    </row>
    <row r="28" spans="1:19" ht="15">
      <c r="A28" s="203" t="s">
        <v>22</v>
      </c>
      <c r="B28" s="147">
        <f>'[1]1. kiadások össz'!D28</f>
        <v>0</v>
      </c>
      <c r="C28" s="147">
        <v>0</v>
      </c>
      <c r="D28" s="147">
        <v>0</v>
      </c>
      <c r="E28" s="103">
        <f>'[1]1. kiadások össz'!H28</f>
        <v>0</v>
      </c>
      <c r="F28" s="103">
        <v>0</v>
      </c>
      <c r="G28" s="103">
        <v>0</v>
      </c>
      <c r="H28" s="103">
        <f>'[1]1. kiadások össz'!L28*0.6333</f>
        <v>0</v>
      </c>
      <c r="I28" s="103">
        <v>0</v>
      </c>
      <c r="J28" s="103">
        <f>'[1]1. kiadások össz'!L28*0.3667</f>
        <v>0</v>
      </c>
      <c r="K28" s="259">
        <v>0</v>
      </c>
      <c r="L28" s="259">
        <f>'[1]3. szakfeladatok'!BI52+'[1]3. szakfeladatok'!BH47</f>
        <v>0</v>
      </c>
      <c r="M28" s="259">
        <v>0</v>
      </c>
      <c r="N28" s="258">
        <f t="shared" si="0"/>
        <v>0</v>
      </c>
      <c r="O28" s="258">
        <f t="shared" si="1"/>
        <v>0</v>
      </c>
      <c r="P28" s="258">
        <f t="shared" si="2"/>
        <v>0</v>
      </c>
      <c r="Q28" s="258"/>
      <c r="R28" s="258"/>
      <c r="S28" s="258"/>
    </row>
    <row r="29" spans="1:19" ht="15">
      <c r="A29" s="203" t="s">
        <v>24</v>
      </c>
      <c r="B29" s="147">
        <f>'[1]1. kiadások össz'!D29</f>
        <v>0</v>
      </c>
      <c r="C29" s="147">
        <v>0</v>
      </c>
      <c r="D29" s="147">
        <v>0</v>
      </c>
      <c r="E29" s="103">
        <f>'[1]1. kiadások össz'!H29</f>
        <v>0</v>
      </c>
      <c r="F29" s="103">
        <v>0</v>
      </c>
      <c r="G29" s="103">
        <v>0</v>
      </c>
      <c r="H29" s="103">
        <f>'[1]1. kiadások össz'!L29*0.6333</f>
        <v>0</v>
      </c>
      <c r="I29" s="103">
        <v>0</v>
      </c>
      <c r="J29" s="103">
        <f>'[1]1. kiadások össz'!L29*0.3667</f>
        <v>0</v>
      </c>
      <c r="K29" s="259">
        <v>0</v>
      </c>
      <c r="L29" s="259">
        <f>'[1]3. szakfeladatok'!BI53+'[1]3. szakfeladatok'!BH48</f>
        <v>0</v>
      </c>
      <c r="M29" s="259">
        <v>0</v>
      </c>
      <c r="N29" s="258">
        <f t="shared" si="0"/>
        <v>0</v>
      </c>
      <c r="O29" s="258">
        <f t="shared" si="1"/>
        <v>0</v>
      </c>
      <c r="P29" s="258">
        <f t="shared" si="2"/>
        <v>0</v>
      </c>
      <c r="Q29" s="258"/>
      <c r="R29" s="258"/>
      <c r="S29" s="258"/>
    </row>
    <row r="30" spans="1:19" ht="15">
      <c r="A30" s="203" t="s">
        <v>23</v>
      </c>
      <c r="B30" s="147">
        <f>'[1]1. kiadások össz'!D30</f>
        <v>0</v>
      </c>
      <c r="C30" s="147">
        <v>0</v>
      </c>
      <c r="D30" s="147">
        <v>0</v>
      </c>
      <c r="E30" s="103">
        <f>'[1]1. kiadások össz'!H30</f>
        <v>0</v>
      </c>
      <c r="F30" s="103">
        <v>0</v>
      </c>
      <c r="G30" s="103">
        <v>0</v>
      </c>
      <c r="H30" s="103">
        <f>'[1]1. kiadások össz'!L30*0.6333</f>
        <v>0</v>
      </c>
      <c r="I30" s="103">
        <v>0</v>
      </c>
      <c r="J30" s="103">
        <f>'[1]1. kiadások össz'!L30*0.3667</f>
        <v>0</v>
      </c>
      <c r="K30" s="259">
        <v>50000</v>
      </c>
      <c r="L30" s="259">
        <f>'[1]3. szakfeladatok'!BI54+'[1]3. szakfeladatok'!BH49</f>
        <v>0</v>
      </c>
      <c r="M30" s="259">
        <v>0</v>
      </c>
      <c r="N30" s="258">
        <f t="shared" si="0"/>
        <v>50000</v>
      </c>
      <c r="O30" s="258">
        <f t="shared" si="1"/>
        <v>0</v>
      </c>
      <c r="P30" s="258">
        <f t="shared" si="2"/>
        <v>0</v>
      </c>
      <c r="Q30" s="258"/>
      <c r="R30" s="258"/>
      <c r="S30" s="258"/>
    </row>
    <row r="31" spans="1:19" ht="15">
      <c r="A31" s="51" t="s">
        <v>7</v>
      </c>
      <c r="B31" s="147">
        <f>'[1]1. kiadások össz'!D31</f>
        <v>924</v>
      </c>
      <c r="C31" s="147">
        <v>0</v>
      </c>
      <c r="D31" s="147">
        <v>0</v>
      </c>
      <c r="E31" s="103">
        <f>'[1]1. kiadások össz'!H31</f>
        <v>4826</v>
      </c>
      <c r="F31" s="103">
        <v>0</v>
      </c>
      <c r="G31" s="103">
        <v>0</v>
      </c>
      <c r="H31" s="103">
        <f>'[1]1. kiadások össz'!L31*0.6333</f>
        <v>402.14549999999997</v>
      </c>
      <c r="I31" s="103">
        <v>0</v>
      </c>
      <c r="J31" s="103">
        <f>'[1]1. kiadások össz'!L31*0.3667</f>
        <v>232.85450000000003</v>
      </c>
      <c r="K31" s="259">
        <f>SUM(K18:K30)-K27</f>
        <v>142276</v>
      </c>
      <c r="L31" s="259">
        <f>L18</f>
        <v>180265</v>
      </c>
      <c r="M31" s="259">
        <v>0</v>
      </c>
      <c r="N31" s="258">
        <f t="shared" si="0"/>
        <v>148428.1455</v>
      </c>
      <c r="O31" s="258">
        <f t="shared" si="1"/>
        <v>180265</v>
      </c>
      <c r="P31" s="258">
        <f t="shared" si="2"/>
        <v>0</v>
      </c>
      <c r="Q31" s="258"/>
      <c r="R31" s="258"/>
      <c r="S31" s="258"/>
    </row>
    <row r="32" spans="1:19" ht="31.5" customHeight="1">
      <c r="A32" s="67" t="s">
        <v>18</v>
      </c>
      <c r="B32" s="147">
        <f>'[1]1. kiadások össz'!D32</f>
        <v>53662.542</v>
      </c>
      <c r="C32" s="147">
        <v>0</v>
      </c>
      <c r="D32" s="147">
        <v>0</v>
      </c>
      <c r="E32" s="103">
        <f>'[1]1. kiadások össz'!H32</f>
        <v>30747.414</v>
      </c>
      <c r="F32" s="103">
        <v>0</v>
      </c>
      <c r="G32" s="103">
        <v>0</v>
      </c>
      <c r="H32" s="103">
        <f>'[1]1. kiadások össz'!L32*0.6333</f>
        <v>40781.262304799995</v>
      </c>
      <c r="I32" s="103">
        <v>0</v>
      </c>
      <c r="J32" s="103">
        <f>'[1]1. kiadások össz'!L32*0.3667</f>
        <v>23613.5936952</v>
      </c>
      <c r="K32" s="259">
        <f>K31+K17</f>
        <v>611427.531</v>
      </c>
      <c r="L32" s="259">
        <f>L31+L17</f>
        <v>237698</v>
      </c>
      <c r="M32" s="259">
        <v>0</v>
      </c>
      <c r="N32" s="258">
        <f t="shared" si="0"/>
        <v>736618.7493048</v>
      </c>
      <c r="O32" s="258">
        <f t="shared" si="1"/>
        <v>237698</v>
      </c>
      <c r="P32" s="258">
        <f t="shared" si="2"/>
        <v>0</v>
      </c>
      <c r="Q32" s="258">
        <f>Q14+Q27</f>
        <v>146426</v>
      </c>
      <c r="R32" s="258">
        <f>R14+R27</f>
        <v>0</v>
      </c>
      <c r="S32" s="258"/>
    </row>
    <row r="33" spans="1:10" ht="15">
      <c r="A33" s="2"/>
      <c r="B33" s="254"/>
      <c r="C33" s="254"/>
      <c r="D33" s="254"/>
      <c r="E33" s="113"/>
      <c r="F33" s="113"/>
      <c r="G33" s="113"/>
      <c r="H33" s="113"/>
      <c r="I33" s="113"/>
      <c r="J33" s="113"/>
    </row>
    <row r="34" spans="1:19" ht="15">
      <c r="A34" s="21"/>
      <c r="B34" s="297" t="s">
        <v>244</v>
      </c>
      <c r="C34" s="297"/>
      <c r="D34" s="297"/>
      <c r="E34" s="291" t="s">
        <v>245</v>
      </c>
      <c r="F34" s="291"/>
      <c r="G34" s="291"/>
      <c r="H34" s="294" t="s">
        <v>246</v>
      </c>
      <c r="I34" s="295"/>
      <c r="J34" s="296"/>
      <c r="K34" s="291"/>
      <c r="L34" s="291"/>
      <c r="M34" s="248"/>
      <c r="N34" s="298" t="s">
        <v>467</v>
      </c>
      <c r="O34" s="298"/>
      <c r="P34" s="299"/>
      <c r="Q34" s="297" t="s">
        <v>294</v>
      </c>
      <c r="R34" s="297"/>
      <c r="S34" s="297"/>
    </row>
    <row r="35" spans="1:20" s="115" customFormat="1" ht="63.75">
      <c r="A35" s="197" t="s">
        <v>366</v>
      </c>
      <c r="B35" s="256" t="s">
        <v>464</v>
      </c>
      <c r="C35" s="256" t="s">
        <v>233</v>
      </c>
      <c r="D35" s="256" t="s">
        <v>362</v>
      </c>
      <c r="E35" s="210" t="s">
        <v>464</v>
      </c>
      <c r="F35" s="210" t="s">
        <v>233</v>
      </c>
      <c r="G35" s="210" t="s">
        <v>362</v>
      </c>
      <c r="H35" s="210" t="s">
        <v>464</v>
      </c>
      <c r="I35" s="210" t="s">
        <v>233</v>
      </c>
      <c r="J35" s="210" t="s">
        <v>465</v>
      </c>
      <c r="K35" s="210" t="s">
        <v>464</v>
      </c>
      <c r="L35" s="210" t="s">
        <v>466</v>
      </c>
      <c r="M35" s="210" t="s">
        <v>465</v>
      </c>
      <c r="N35" s="256" t="s">
        <v>464</v>
      </c>
      <c r="O35" s="256" t="s">
        <v>466</v>
      </c>
      <c r="P35" s="256" t="s">
        <v>465</v>
      </c>
      <c r="Q35" s="256" t="s">
        <v>464</v>
      </c>
      <c r="R35" s="256" t="s">
        <v>466</v>
      </c>
      <c r="S35" s="256" t="s">
        <v>465</v>
      </c>
      <c r="T35" s="257"/>
    </row>
    <row r="36" spans="1:19" ht="15">
      <c r="A36" s="199" t="s">
        <v>34</v>
      </c>
      <c r="B36" s="147">
        <f>'[1]2. bevételek össz'!D5</f>
        <v>0</v>
      </c>
      <c r="C36" s="147">
        <v>0</v>
      </c>
      <c r="D36" s="147">
        <v>0</v>
      </c>
      <c r="E36" s="103">
        <f>'[1]2. bevételek össz'!H5</f>
        <v>0</v>
      </c>
      <c r="F36" s="103">
        <v>0</v>
      </c>
      <c r="G36" s="103">
        <v>0</v>
      </c>
      <c r="H36" s="103">
        <f>'[1]2. bevételek össz'!L5*0.6333</f>
        <v>0</v>
      </c>
      <c r="I36" s="103">
        <v>0</v>
      </c>
      <c r="J36" s="103">
        <f>'[1]2. bevételek össz'!L5*0.3667</f>
        <v>0</v>
      </c>
      <c r="K36" s="259">
        <v>134850</v>
      </c>
      <c r="L36" s="259"/>
      <c r="M36" s="259">
        <v>0</v>
      </c>
      <c r="N36" s="258">
        <f aca="true" t="shared" si="3" ref="N36:N42">B36+E36+H36+K36</f>
        <v>134850</v>
      </c>
      <c r="O36" s="258">
        <f aca="true" t="shared" si="4" ref="O36:P42">L36</f>
        <v>0</v>
      </c>
      <c r="P36" s="258">
        <f t="shared" si="4"/>
        <v>0</v>
      </c>
      <c r="Q36" s="258"/>
      <c r="R36" s="258"/>
      <c r="S36" s="258"/>
    </row>
    <row r="37" spans="1:19" ht="15">
      <c r="A37" s="204" t="s">
        <v>13</v>
      </c>
      <c r="B37" s="147">
        <f>'[1]2. bevételek össz'!D6</f>
        <v>0</v>
      </c>
      <c r="C37" s="147">
        <v>0</v>
      </c>
      <c r="D37" s="147">
        <v>0</v>
      </c>
      <c r="E37" s="103">
        <f>'[1]2. bevételek össz'!H6</f>
        <v>1223</v>
      </c>
      <c r="F37" s="103">
        <v>0</v>
      </c>
      <c r="G37" s="103">
        <v>0</v>
      </c>
      <c r="H37" s="103">
        <f>'[1]2. bevételek össz'!L6*0.6333</f>
        <v>158.325</v>
      </c>
      <c r="I37" s="103">
        <v>0</v>
      </c>
      <c r="J37" s="103">
        <f>'[1]2. bevételek össz'!L6*0.3667</f>
        <v>91.67500000000001</v>
      </c>
      <c r="K37" s="259">
        <v>127315</v>
      </c>
      <c r="L37" s="259">
        <v>5992</v>
      </c>
      <c r="M37" s="259">
        <v>0</v>
      </c>
      <c r="N37" s="258">
        <f t="shared" si="3"/>
        <v>128696.325</v>
      </c>
      <c r="O37" s="258">
        <f t="shared" si="4"/>
        <v>5992</v>
      </c>
      <c r="P37" s="258">
        <f t="shared" si="4"/>
        <v>0</v>
      </c>
      <c r="Q37" s="258"/>
      <c r="R37" s="258"/>
      <c r="S37" s="258"/>
    </row>
    <row r="38" spans="1:19" ht="15">
      <c r="A38" s="204" t="s">
        <v>35</v>
      </c>
      <c r="B38" s="147">
        <f>'[1]2. bevételek össz'!D7</f>
        <v>0</v>
      </c>
      <c r="C38" s="147">
        <v>0</v>
      </c>
      <c r="D38" s="147">
        <v>0</v>
      </c>
      <c r="E38" s="103">
        <f>'[1]2. bevételek össz'!H7</f>
        <v>0</v>
      </c>
      <c r="F38" s="103">
        <v>0</v>
      </c>
      <c r="G38" s="103">
        <v>0</v>
      </c>
      <c r="H38" s="103">
        <f>'[1]2. bevételek össz'!L7*0.6333</f>
        <v>0</v>
      </c>
      <c r="I38" s="103">
        <v>0</v>
      </c>
      <c r="J38" s="103">
        <f>'[1]2. bevételek össz'!L7*0.3667</f>
        <v>0</v>
      </c>
      <c r="K38" s="259">
        <v>44424</v>
      </c>
      <c r="L38" s="259"/>
      <c r="M38" s="259">
        <v>0</v>
      </c>
      <c r="N38" s="258">
        <f t="shared" si="3"/>
        <v>44424</v>
      </c>
      <c r="O38" s="258">
        <f t="shared" si="4"/>
        <v>0</v>
      </c>
      <c r="P38" s="258">
        <f t="shared" si="4"/>
        <v>0</v>
      </c>
      <c r="Q38" s="258"/>
      <c r="R38" s="258"/>
      <c r="S38" s="258"/>
    </row>
    <row r="39" spans="1:19" ht="15">
      <c r="A39" s="204" t="s">
        <v>2</v>
      </c>
      <c r="B39" s="147">
        <f>'[1]2. bevételek össz'!D8</f>
        <v>0</v>
      </c>
      <c r="C39" s="147"/>
      <c r="D39" s="147">
        <v>0</v>
      </c>
      <c r="E39" s="103">
        <f>'[1]2. bevételek össz'!H8</f>
        <v>0</v>
      </c>
      <c r="F39" s="103">
        <v>0</v>
      </c>
      <c r="G39" s="103">
        <v>0</v>
      </c>
      <c r="H39" s="103">
        <f>'[1]2. bevételek össz'!L8*0.6333</f>
        <v>0</v>
      </c>
      <c r="I39" s="103">
        <v>0</v>
      </c>
      <c r="J39" s="103">
        <f>'[1]2. bevételek össz'!L8*0.3667</f>
        <v>0</v>
      </c>
      <c r="K39" s="259"/>
      <c r="L39" s="259"/>
      <c r="M39" s="259">
        <v>0</v>
      </c>
      <c r="N39" s="258">
        <f t="shared" si="3"/>
        <v>0</v>
      </c>
      <c r="O39" s="258">
        <f t="shared" si="4"/>
        <v>0</v>
      </c>
      <c r="P39" s="258">
        <f t="shared" si="4"/>
        <v>0</v>
      </c>
      <c r="Q39" s="258"/>
      <c r="R39" s="258"/>
      <c r="S39" s="258"/>
    </row>
    <row r="40" spans="1:19" ht="45">
      <c r="A40" s="204" t="s">
        <v>0</v>
      </c>
      <c r="B40" s="147">
        <f>'[1]2. bevételek össz'!D9</f>
        <v>0</v>
      </c>
      <c r="C40" s="147">
        <v>0</v>
      </c>
      <c r="D40" s="147">
        <v>0</v>
      </c>
      <c r="E40" s="103">
        <f>'[1]2. bevételek össz'!H9</f>
        <v>0</v>
      </c>
      <c r="F40" s="103">
        <v>0</v>
      </c>
      <c r="G40" s="103">
        <v>0</v>
      </c>
      <c r="H40" s="103">
        <f>'[1]2. bevételek össz'!L9*0.6333</f>
        <v>0</v>
      </c>
      <c r="I40" s="103">
        <v>0</v>
      </c>
      <c r="J40" s="103">
        <f>'[1]2. bevételek össz'!L9*0.3667</f>
        <v>0</v>
      </c>
      <c r="K40" s="259">
        <v>203907</v>
      </c>
      <c r="L40" s="259"/>
      <c r="M40" s="259">
        <v>0</v>
      </c>
      <c r="N40" s="258">
        <f t="shared" si="3"/>
        <v>203907</v>
      </c>
      <c r="O40" s="258">
        <f t="shared" si="4"/>
        <v>0</v>
      </c>
      <c r="P40" s="258">
        <f t="shared" si="4"/>
        <v>0</v>
      </c>
      <c r="Q40" s="258"/>
      <c r="R40" s="258"/>
      <c r="S40" s="258"/>
    </row>
    <row r="41" spans="1:19" ht="15">
      <c r="A41" s="21" t="s">
        <v>4</v>
      </c>
      <c r="B41" s="147">
        <f>'[1]2. bevételek össz'!D10</f>
        <v>0</v>
      </c>
      <c r="C41" s="147">
        <v>0</v>
      </c>
      <c r="D41" s="147">
        <v>0</v>
      </c>
      <c r="E41" s="103">
        <f>'[1]2. bevételek össz'!H10</f>
        <v>0</v>
      </c>
      <c r="F41" s="103">
        <v>0</v>
      </c>
      <c r="G41" s="103">
        <v>0</v>
      </c>
      <c r="H41" s="103">
        <f>'[1]2. bevételek össz'!L10*0.6333</f>
        <v>0</v>
      </c>
      <c r="I41" s="103">
        <v>0</v>
      </c>
      <c r="J41" s="103">
        <f>'[1]2. bevételek össz'!L10*0.3667</f>
        <v>0</v>
      </c>
      <c r="K41" s="259"/>
      <c r="L41" s="259"/>
      <c r="M41" s="259">
        <v>0</v>
      </c>
      <c r="N41" s="258">
        <f t="shared" si="3"/>
        <v>0</v>
      </c>
      <c r="O41" s="258">
        <f t="shared" si="4"/>
        <v>0</v>
      </c>
      <c r="P41" s="258">
        <f t="shared" si="4"/>
        <v>0</v>
      </c>
      <c r="Q41" s="258"/>
      <c r="R41" s="258"/>
      <c r="S41" s="258"/>
    </row>
    <row r="42" spans="1:19" ht="15">
      <c r="A42" s="205" t="s">
        <v>39</v>
      </c>
      <c r="B42" s="147">
        <f>'[1]2. bevételek össz'!D11</f>
        <v>0</v>
      </c>
      <c r="C42" s="147">
        <v>0</v>
      </c>
      <c r="D42" s="147">
        <v>0</v>
      </c>
      <c r="E42" s="103">
        <f>'[1]2. bevételek össz'!H11</f>
        <v>1223</v>
      </c>
      <c r="F42" s="103">
        <v>0</v>
      </c>
      <c r="G42" s="103">
        <v>0</v>
      </c>
      <c r="H42" s="103">
        <f>'[1]2. bevételek össz'!L11*0.6333</f>
        <v>158.325</v>
      </c>
      <c r="I42" s="103">
        <v>0</v>
      </c>
      <c r="J42" s="103">
        <f>'[1]2. bevételek össz'!L11*0.3667</f>
        <v>91.67500000000001</v>
      </c>
      <c r="K42" s="259">
        <f>K36+K37+K39+K40+K38</f>
        <v>510496</v>
      </c>
      <c r="L42" s="259">
        <f>L36+L37+L39+L40</f>
        <v>5992</v>
      </c>
      <c r="M42" s="259">
        <v>0</v>
      </c>
      <c r="N42" s="258">
        <f t="shared" si="3"/>
        <v>511877.325</v>
      </c>
      <c r="O42" s="258">
        <f t="shared" si="4"/>
        <v>5992</v>
      </c>
      <c r="P42" s="258">
        <f t="shared" si="4"/>
        <v>0</v>
      </c>
      <c r="Q42" s="258"/>
      <c r="R42" s="258"/>
      <c r="S42" s="258"/>
    </row>
    <row r="43" spans="1:19" ht="15">
      <c r="A43" s="206" t="s">
        <v>10</v>
      </c>
      <c r="B43" s="147">
        <f>'[1]2. bevételek össz'!D12</f>
        <v>52663.542</v>
      </c>
      <c r="C43" s="147"/>
      <c r="D43" s="147">
        <v>0</v>
      </c>
      <c r="E43" s="103">
        <f>'[1]2. bevételek össz'!H12</f>
        <v>24578.414</v>
      </c>
      <c r="F43" s="103">
        <v>0</v>
      </c>
      <c r="G43" s="103">
        <v>0</v>
      </c>
      <c r="H43" s="103">
        <f>'[1]2. bevételek össz'!L12*0.6333</f>
        <v>40150.5867</v>
      </c>
      <c r="I43" s="103">
        <v>0</v>
      </c>
      <c r="J43" s="103">
        <f>'[1]2. bevételek össz'!L12*0.3667</f>
        <v>23248.4133</v>
      </c>
      <c r="K43" s="259"/>
      <c r="L43" s="259"/>
      <c r="M43" s="259">
        <v>0</v>
      </c>
      <c r="N43" s="258">
        <f>B43+E43+H43</f>
        <v>117392.5427</v>
      </c>
      <c r="O43" s="258">
        <f>J43</f>
        <v>23248.4133</v>
      </c>
      <c r="P43" s="258">
        <f>M43</f>
        <v>0</v>
      </c>
      <c r="Q43" s="258">
        <v>140041</v>
      </c>
      <c r="R43" s="258"/>
      <c r="S43" s="258"/>
    </row>
    <row r="44" spans="1:19" ht="15">
      <c r="A44" s="207" t="s">
        <v>37</v>
      </c>
      <c r="B44" s="147">
        <f>'[1]2. bevételek össz'!D13</f>
        <v>75</v>
      </c>
      <c r="C44" s="147">
        <v>0</v>
      </c>
      <c r="D44" s="147">
        <v>0</v>
      </c>
      <c r="E44" s="103">
        <f>'[1]2. bevételek össz'!H13</f>
        <v>120</v>
      </c>
      <c r="F44" s="103">
        <v>0</v>
      </c>
      <c r="G44" s="103">
        <v>0</v>
      </c>
      <c r="H44" s="103">
        <f>'[1]2. bevételek össz'!L13*0.6333</f>
        <v>70.2963</v>
      </c>
      <c r="I44" s="103">
        <v>0</v>
      </c>
      <c r="J44" s="103">
        <f>'[1]2. bevételek össz'!L13*0.3667</f>
        <v>40.703700000000005</v>
      </c>
      <c r="K44" s="259">
        <v>23897</v>
      </c>
      <c r="L44" s="259"/>
      <c r="M44" s="259">
        <v>0</v>
      </c>
      <c r="N44" s="258">
        <f aca="true" t="shared" si="5" ref="N44:N63">B44+E44+H44+K44</f>
        <v>24162.2963</v>
      </c>
      <c r="O44" s="258">
        <f aca="true" t="shared" si="6" ref="O44:O63">L44</f>
        <v>0</v>
      </c>
      <c r="P44" s="258">
        <f aca="true" t="shared" si="7" ref="P44:P63">M44</f>
        <v>0</v>
      </c>
      <c r="Q44" s="258"/>
      <c r="R44" s="258"/>
      <c r="S44" s="258"/>
    </row>
    <row r="45" spans="1:19" ht="15">
      <c r="A45" s="51" t="s">
        <v>327</v>
      </c>
      <c r="B45" s="147">
        <f>'[1]2. bevételek össz'!D14</f>
        <v>52738.542</v>
      </c>
      <c r="C45" s="147">
        <v>0</v>
      </c>
      <c r="D45" s="147">
        <v>0</v>
      </c>
      <c r="E45" s="103">
        <f>'[1]2. bevételek össz'!H14</f>
        <v>25921.414</v>
      </c>
      <c r="F45" s="103">
        <v>0</v>
      </c>
      <c r="G45" s="103">
        <v>0</v>
      </c>
      <c r="H45" s="103">
        <f>'[1]2. bevételek össz'!L14*0.6333</f>
        <v>40379.208</v>
      </c>
      <c r="I45" s="103">
        <v>0</v>
      </c>
      <c r="J45" s="103">
        <f>'[1]2. bevételek össz'!L14*0.3667</f>
        <v>23380.792</v>
      </c>
      <c r="K45" s="259">
        <f>K44+K42</f>
        <v>534393</v>
      </c>
      <c r="L45" s="259">
        <f>L44+L42</f>
        <v>5992</v>
      </c>
      <c r="M45" s="259">
        <v>0</v>
      </c>
      <c r="N45" s="258">
        <f t="shared" si="5"/>
        <v>653432.164</v>
      </c>
      <c r="O45" s="258">
        <f t="shared" si="6"/>
        <v>5992</v>
      </c>
      <c r="P45" s="258">
        <f t="shared" si="7"/>
        <v>0</v>
      </c>
      <c r="Q45" s="258">
        <f>Q43</f>
        <v>140041</v>
      </c>
      <c r="R45" s="258"/>
      <c r="S45" s="258"/>
    </row>
    <row r="46" spans="1:19" ht="15">
      <c r="A46" s="208" t="s">
        <v>42</v>
      </c>
      <c r="B46" s="147">
        <f>'[1]2. bevételek össz'!D15</f>
        <v>0</v>
      </c>
      <c r="C46" s="147">
        <v>0</v>
      </c>
      <c r="D46" s="147">
        <v>0</v>
      </c>
      <c r="E46" s="103">
        <f>'[1]2. bevételek össz'!H15</f>
        <v>0</v>
      </c>
      <c r="F46" s="103">
        <v>0</v>
      </c>
      <c r="G46" s="103">
        <v>0</v>
      </c>
      <c r="H46" s="103">
        <f>'[1]2. bevételek össz'!L15*0.6333</f>
        <v>0.09119520000014744</v>
      </c>
      <c r="I46" s="103">
        <v>0</v>
      </c>
      <c r="J46" s="103">
        <f>'[1]2. bevételek össz'!L15*0.3667</f>
        <v>0.05280480000008538</v>
      </c>
      <c r="K46" s="259">
        <f>K45-K17</f>
        <v>65241.46899999998</v>
      </c>
      <c r="L46" s="259">
        <f>L45-L17</f>
        <v>-51441</v>
      </c>
      <c r="M46" s="259">
        <v>0</v>
      </c>
      <c r="N46" s="258">
        <f t="shared" si="5"/>
        <v>65241.560195199985</v>
      </c>
      <c r="O46" s="258">
        <f t="shared" si="6"/>
        <v>-51441</v>
      </c>
      <c r="P46" s="258">
        <f t="shared" si="7"/>
        <v>0</v>
      </c>
      <c r="Q46" s="258"/>
      <c r="R46" s="258"/>
      <c r="S46" s="258"/>
    </row>
    <row r="47" spans="1:19" ht="15">
      <c r="A47" s="202" t="s">
        <v>43</v>
      </c>
      <c r="B47" s="147">
        <f>'[1]2. bevételek össz'!D16</f>
        <v>0</v>
      </c>
      <c r="C47" s="147"/>
      <c r="D47" s="147">
        <v>0</v>
      </c>
      <c r="E47" s="103">
        <f>'[1]2. bevételek össz'!H16</f>
        <v>0</v>
      </c>
      <c r="F47" s="103">
        <v>0</v>
      </c>
      <c r="G47" s="103">
        <v>0</v>
      </c>
      <c r="H47" s="103">
        <f>'[1]2. bevételek össz'!L16*0.6333</f>
        <v>0</v>
      </c>
      <c r="I47" s="103">
        <v>0</v>
      </c>
      <c r="J47" s="103">
        <f>'[1]2. bevételek össz'!L16*0.3667</f>
        <v>0</v>
      </c>
      <c r="K47" s="259"/>
      <c r="L47" s="259"/>
      <c r="M47" s="259">
        <v>0</v>
      </c>
      <c r="N47" s="258">
        <f t="shared" si="5"/>
        <v>0</v>
      </c>
      <c r="O47" s="258">
        <f t="shared" si="6"/>
        <v>0</v>
      </c>
      <c r="P47" s="258">
        <f t="shared" si="7"/>
        <v>0</v>
      </c>
      <c r="Q47" s="258"/>
      <c r="R47" s="258"/>
      <c r="S47" s="258"/>
    </row>
    <row r="48" spans="1:19" ht="15">
      <c r="A48" s="204" t="s">
        <v>36</v>
      </c>
      <c r="B48" s="147">
        <f>'[1]2. bevételek össz'!D17</f>
        <v>0</v>
      </c>
      <c r="C48" s="147">
        <v>0</v>
      </c>
      <c r="D48" s="147">
        <v>0</v>
      </c>
      <c r="E48" s="103">
        <f>'[1]2. bevételek össz'!H17</f>
        <v>0</v>
      </c>
      <c r="F48" s="103">
        <v>0</v>
      </c>
      <c r="G48" s="103">
        <v>0</v>
      </c>
      <c r="H48" s="103">
        <f>'[1]2. bevételek össz'!L17*0.6333</f>
        <v>0</v>
      </c>
      <c r="I48" s="103">
        <v>0</v>
      </c>
      <c r="J48" s="103">
        <f>'[1]2. bevételek össz'!L17*0.3667</f>
        <v>0</v>
      </c>
      <c r="K48" s="259">
        <f>41986-14951</f>
        <v>27035</v>
      </c>
      <c r="L48" s="259">
        <f>31405+14951</f>
        <v>46356</v>
      </c>
      <c r="M48" s="259">
        <v>0</v>
      </c>
      <c r="N48" s="258">
        <f t="shared" si="5"/>
        <v>27035</v>
      </c>
      <c r="O48" s="258">
        <f t="shared" si="6"/>
        <v>46356</v>
      </c>
      <c r="P48" s="258">
        <f t="shared" si="7"/>
        <v>0</v>
      </c>
      <c r="Q48" s="258"/>
      <c r="R48" s="258"/>
      <c r="S48" s="258"/>
    </row>
    <row r="49" spans="1:19" ht="15">
      <c r="A49" s="204" t="s">
        <v>15</v>
      </c>
      <c r="B49" s="147">
        <f>'[1]2. bevételek össz'!D18</f>
        <v>0</v>
      </c>
      <c r="C49" s="147">
        <v>0</v>
      </c>
      <c r="D49" s="147">
        <v>0</v>
      </c>
      <c r="E49" s="103">
        <f>'[1]2. bevételek össz'!H18</f>
        <v>0</v>
      </c>
      <c r="F49" s="103">
        <v>0</v>
      </c>
      <c r="G49" s="103">
        <v>0</v>
      </c>
      <c r="H49" s="103">
        <f>'[1]2. bevételek össz'!L18*0.6333</f>
        <v>0</v>
      </c>
      <c r="I49" s="103">
        <v>0</v>
      </c>
      <c r="J49" s="103">
        <f>'[1]2. bevételek össz'!L18*0.3667</f>
        <v>0</v>
      </c>
      <c r="K49" s="259"/>
      <c r="L49" s="259"/>
      <c r="M49" s="259">
        <v>0</v>
      </c>
      <c r="N49" s="258">
        <f t="shared" si="5"/>
        <v>0</v>
      </c>
      <c r="O49" s="258">
        <f t="shared" si="6"/>
        <v>0</v>
      </c>
      <c r="P49" s="258">
        <f t="shared" si="7"/>
        <v>0</v>
      </c>
      <c r="Q49" s="258"/>
      <c r="R49" s="258"/>
      <c r="S49" s="258"/>
    </row>
    <row r="50" spans="1:19" ht="15">
      <c r="A50" s="204" t="s">
        <v>188</v>
      </c>
      <c r="B50" s="147">
        <f>'[1]2. bevételek össz'!D19</f>
        <v>0</v>
      </c>
      <c r="C50" s="147">
        <v>0</v>
      </c>
      <c r="D50" s="147">
        <v>0</v>
      </c>
      <c r="E50" s="103">
        <f>'[1]2. bevételek össz'!H19</f>
        <v>0</v>
      </c>
      <c r="F50" s="103">
        <v>0</v>
      </c>
      <c r="G50" s="103">
        <v>0</v>
      </c>
      <c r="H50" s="103">
        <f>'[1]2. bevételek össz'!L19*0.6333</f>
        <v>0</v>
      </c>
      <c r="I50" s="103">
        <v>0</v>
      </c>
      <c r="J50" s="103">
        <f>'[1]2. bevételek össz'!L19*0.3667</f>
        <v>0</v>
      </c>
      <c r="K50" s="259"/>
      <c r="L50" s="259"/>
      <c r="M50" s="259">
        <v>0</v>
      </c>
      <c r="N50" s="258">
        <f t="shared" si="5"/>
        <v>0</v>
      </c>
      <c r="O50" s="258">
        <f t="shared" si="6"/>
        <v>0</v>
      </c>
      <c r="P50" s="258">
        <f t="shared" si="7"/>
        <v>0</v>
      </c>
      <c r="Q50" s="258"/>
      <c r="R50" s="258"/>
      <c r="S50" s="258"/>
    </row>
    <row r="51" spans="1:19" ht="30">
      <c r="A51" s="204" t="s">
        <v>3</v>
      </c>
      <c r="B51" s="147">
        <f>'[1]2. bevételek össz'!D20</f>
        <v>0</v>
      </c>
      <c r="C51" s="147"/>
      <c r="D51" s="147">
        <v>0</v>
      </c>
      <c r="E51" s="103">
        <f>'[1]2. bevételek össz'!H20</f>
        <v>0</v>
      </c>
      <c r="F51" s="103">
        <v>0</v>
      </c>
      <c r="G51" s="103">
        <v>0</v>
      </c>
      <c r="H51" s="103">
        <f>'[1]2. bevételek össz'!L20*0.6333</f>
        <v>0</v>
      </c>
      <c r="I51" s="103">
        <v>0</v>
      </c>
      <c r="J51" s="103">
        <f>'[1]2. bevételek össz'!L20*0.3667</f>
        <v>0</v>
      </c>
      <c r="K51" s="259"/>
      <c r="L51" s="259">
        <v>148860</v>
      </c>
      <c r="M51" s="259">
        <v>0</v>
      </c>
      <c r="N51" s="258">
        <f t="shared" si="5"/>
        <v>0</v>
      </c>
      <c r="O51" s="258">
        <f t="shared" si="6"/>
        <v>148860</v>
      </c>
      <c r="P51" s="258">
        <f t="shared" si="7"/>
        <v>0</v>
      </c>
      <c r="Q51" s="258"/>
      <c r="R51" s="258"/>
      <c r="S51" s="258"/>
    </row>
    <row r="52" spans="1:19" ht="30">
      <c r="A52" s="204" t="s">
        <v>8</v>
      </c>
      <c r="B52" s="147">
        <f>'[1]2. bevételek össz'!D21</f>
        <v>0</v>
      </c>
      <c r="C52" s="147">
        <v>0</v>
      </c>
      <c r="D52" s="147">
        <v>0</v>
      </c>
      <c r="E52" s="103">
        <f>'[1]2. bevételek össz'!H21</f>
        <v>0</v>
      </c>
      <c r="F52" s="103">
        <v>0</v>
      </c>
      <c r="G52" s="103">
        <v>0</v>
      </c>
      <c r="H52" s="103">
        <f>'[1]2. bevételek össz'!L21*0.6333</f>
        <v>0</v>
      </c>
      <c r="I52" s="103">
        <v>0</v>
      </c>
      <c r="J52" s="103">
        <f>'[1]2. bevételek össz'!L21*0.3667</f>
        <v>0</v>
      </c>
      <c r="K52" s="259"/>
      <c r="L52" s="259"/>
      <c r="M52" s="259">
        <v>0</v>
      </c>
      <c r="N52" s="258">
        <f t="shared" si="5"/>
        <v>0</v>
      </c>
      <c r="O52" s="258">
        <f t="shared" si="6"/>
        <v>0</v>
      </c>
      <c r="P52" s="258">
        <f t="shared" si="7"/>
        <v>0</v>
      </c>
      <c r="Q52" s="258"/>
      <c r="R52" s="258"/>
      <c r="S52" s="258"/>
    </row>
    <row r="53" spans="1:19" ht="15">
      <c r="A53" s="199" t="s">
        <v>1</v>
      </c>
      <c r="B53" s="147">
        <f>'[1]2. bevételek össz'!D22</f>
        <v>0</v>
      </c>
      <c r="C53" s="147">
        <v>0</v>
      </c>
      <c r="D53" s="147">
        <v>0</v>
      </c>
      <c r="E53" s="103">
        <f>'[1]2. bevételek össz'!H22</f>
        <v>0</v>
      </c>
      <c r="F53" s="103">
        <v>0</v>
      </c>
      <c r="G53" s="103">
        <v>0</v>
      </c>
      <c r="H53" s="103">
        <f>'[1]2. bevételek össz'!L22*0.6333</f>
        <v>0</v>
      </c>
      <c r="I53" s="103">
        <v>0</v>
      </c>
      <c r="J53" s="103">
        <f>'[1]2. bevételek össz'!L22*0.3667</f>
        <v>0</v>
      </c>
      <c r="K53" s="259"/>
      <c r="L53" s="259"/>
      <c r="M53" s="259">
        <v>0</v>
      </c>
      <c r="N53" s="258">
        <f t="shared" si="5"/>
        <v>0</v>
      </c>
      <c r="O53" s="258">
        <f t="shared" si="6"/>
        <v>0</v>
      </c>
      <c r="P53" s="258">
        <f t="shared" si="7"/>
        <v>0</v>
      </c>
      <c r="Q53" s="258"/>
      <c r="R53" s="258"/>
      <c r="S53" s="258"/>
    </row>
    <row r="54" spans="1:19" ht="15">
      <c r="A54" s="21" t="s">
        <v>5</v>
      </c>
      <c r="B54" s="147">
        <f>'[1]2. bevételek össz'!D23</f>
        <v>0</v>
      </c>
      <c r="C54" s="147">
        <v>0</v>
      </c>
      <c r="D54" s="147">
        <v>0</v>
      </c>
      <c r="E54" s="103">
        <f>'[1]2. bevételek össz'!H23</f>
        <v>0</v>
      </c>
      <c r="F54" s="103">
        <v>0</v>
      </c>
      <c r="G54" s="103">
        <v>0</v>
      </c>
      <c r="H54" s="103">
        <f>'[1]2. bevételek össz'!L23*0.6333</f>
        <v>0</v>
      </c>
      <c r="I54" s="103">
        <v>0</v>
      </c>
      <c r="J54" s="103">
        <f>'[1]2. bevételek össz'!L23*0.3667</f>
        <v>0</v>
      </c>
      <c r="K54" s="259"/>
      <c r="L54" s="259"/>
      <c r="M54" s="259">
        <v>0</v>
      </c>
      <c r="N54" s="258">
        <f t="shared" si="5"/>
        <v>0</v>
      </c>
      <c r="O54" s="258">
        <f t="shared" si="6"/>
        <v>0</v>
      </c>
      <c r="P54" s="258">
        <f t="shared" si="7"/>
        <v>0</v>
      </c>
      <c r="Q54" s="258"/>
      <c r="R54" s="258"/>
      <c r="S54" s="258"/>
    </row>
    <row r="55" spans="1:19" ht="15">
      <c r="A55" s="205" t="s">
        <v>38</v>
      </c>
      <c r="B55" s="147">
        <f>'[1]2. bevételek össz'!D24</f>
        <v>0</v>
      </c>
      <c r="C55" s="147"/>
      <c r="D55" s="147">
        <v>0</v>
      </c>
      <c r="E55" s="103">
        <f>'[1]2. bevételek össz'!H24</f>
        <v>0</v>
      </c>
      <c r="F55" s="103">
        <v>0</v>
      </c>
      <c r="G55" s="103">
        <v>0</v>
      </c>
      <c r="H55" s="103">
        <f>'[1]2. bevételek össz'!L24*0.6333</f>
        <v>0</v>
      </c>
      <c r="I55" s="103">
        <v>0</v>
      </c>
      <c r="J55" s="103">
        <f>'[1]2. bevételek össz'!L24*0.3667</f>
        <v>0</v>
      </c>
      <c r="K55" s="259">
        <v>27035</v>
      </c>
      <c r="L55" s="259">
        <f>L51+L48</f>
        <v>195216</v>
      </c>
      <c r="M55" s="259">
        <v>0</v>
      </c>
      <c r="N55" s="258">
        <f t="shared" si="5"/>
        <v>27035</v>
      </c>
      <c r="O55" s="258">
        <f t="shared" si="6"/>
        <v>195216</v>
      </c>
      <c r="P55" s="258">
        <f t="shared" si="7"/>
        <v>0</v>
      </c>
      <c r="Q55" s="258"/>
      <c r="R55" s="258"/>
      <c r="S55" s="258"/>
    </row>
    <row r="56" spans="1:19" ht="15">
      <c r="A56" s="206" t="s">
        <v>11</v>
      </c>
      <c r="B56" s="147">
        <f>'[1]2. bevételek össz'!D25</f>
        <v>924</v>
      </c>
      <c r="C56" s="147">
        <v>0</v>
      </c>
      <c r="D56" s="147">
        <v>0</v>
      </c>
      <c r="E56" s="103">
        <f>'[1]2. bevételek össz'!H25</f>
        <v>4826</v>
      </c>
      <c r="F56" s="103">
        <v>0</v>
      </c>
      <c r="G56" s="103">
        <v>0</v>
      </c>
      <c r="H56" s="103">
        <f>'[1]2. bevételek össz'!L25*0.6333</f>
        <v>402.14549999999997</v>
      </c>
      <c r="I56" s="103">
        <v>0</v>
      </c>
      <c r="J56" s="103">
        <f>'[1]2. bevételek össz'!L25*0.3667</f>
        <v>232.85450000000003</v>
      </c>
      <c r="K56" s="259"/>
      <c r="L56" s="259"/>
      <c r="M56" s="259">
        <v>0</v>
      </c>
      <c r="N56" s="258">
        <f t="shared" si="5"/>
        <v>6152.1455</v>
      </c>
      <c r="O56" s="258">
        <f t="shared" si="6"/>
        <v>0</v>
      </c>
      <c r="P56" s="258">
        <f t="shared" si="7"/>
        <v>0</v>
      </c>
      <c r="Q56" s="258">
        <v>6385</v>
      </c>
      <c r="R56" s="258"/>
      <c r="S56" s="258"/>
    </row>
    <row r="57" spans="1:19" ht="15">
      <c r="A57" s="209" t="s">
        <v>41</v>
      </c>
      <c r="B57" s="147">
        <f>'[1]2. bevételek össz'!D26</f>
        <v>0</v>
      </c>
      <c r="C57" s="147">
        <v>0</v>
      </c>
      <c r="D57" s="147">
        <v>0</v>
      </c>
      <c r="E57" s="103">
        <f>'[1]2. bevételek össz'!H26</f>
        <v>0</v>
      </c>
      <c r="F57" s="103">
        <v>0</v>
      </c>
      <c r="G57" s="103">
        <v>0</v>
      </c>
      <c r="H57" s="103">
        <f>'[1]2. bevételek össz'!L26*0.6333</f>
        <v>0</v>
      </c>
      <c r="I57" s="103">
        <v>0</v>
      </c>
      <c r="J57" s="103">
        <f>'[1]2. bevételek össz'!L26*0.3667</f>
        <v>0</v>
      </c>
      <c r="K57" s="259"/>
      <c r="L57" s="259">
        <v>36490</v>
      </c>
      <c r="M57" s="259">
        <v>0</v>
      </c>
      <c r="N57" s="258">
        <f t="shared" si="5"/>
        <v>0</v>
      </c>
      <c r="O57" s="258">
        <f t="shared" si="6"/>
        <v>36490</v>
      </c>
      <c r="P57" s="258">
        <f t="shared" si="7"/>
        <v>0</v>
      </c>
      <c r="Q57" s="258"/>
      <c r="R57" s="258"/>
      <c r="S57" s="258"/>
    </row>
    <row r="58" spans="1:19" ht="15">
      <c r="A58" s="189" t="s">
        <v>14</v>
      </c>
      <c r="B58" s="147">
        <f>'[1]2. bevételek össz'!D27</f>
        <v>0</v>
      </c>
      <c r="C58" s="147">
        <v>0</v>
      </c>
      <c r="D58" s="147">
        <v>0</v>
      </c>
      <c r="E58" s="103">
        <f>'[1]2. bevételek össz'!H27</f>
        <v>0</v>
      </c>
      <c r="F58" s="103">
        <v>0</v>
      </c>
      <c r="G58" s="103">
        <v>0</v>
      </c>
      <c r="H58" s="103">
        <f>'[1]2. bevételek össz'!L27*0.6333</f>
        <v>0</v>
      </c>
      <c r="I58" s="103">
        <v>0</v>
      </c>
      <c r="J58" s="103">
        <f>'[1]2. bevételek össz'!L27*0.3667</f>
        <v>0</v>
      </c>
      <c r="K58" s="259"/>
      <c r="L58" s="259"/>
      <c r="M58" s="259">
        <v>0</v>
      </c>
      <c r="N58" s="258">
        <f t="shared" si="5"/>
        <v>0</v>
      </c>
      <c r="O58" s="258">
        <f t="shared" si="6"/>
        <v>0</v>
      </c>
      <c r="P58" s="258">
        <f t="shared" si="7"/>
        <v>0</v>
      </c>
      <c r="Q58" s="258"/>
      <c r="R58" s="258"/>
      <c r="S58" s="258"/>
    </row>
    <row r="59" spans="1:19" ht="15">
      <c r="A59" s="189" t="s">
        <v>40</v>
      </c>
      <c r="B59" s="147">
        <f>'[1]2. bevételek össz'!D28</f>
        <v>0</v>
      </c>
      <c r="C59" s="147"/>
      <c r="D59" s="147">
        <v>0</v>
      </c>
      <c r="E59" s="103">
        <f>'[1]2. bevételek össz'!H28</f>
        <v>0</v>
      </c>
      <c r="F59" s="103">
        <v>0</v>
      </c>
      <c r="G59" s="103">
        <v>0</v>
      </c>
      <c r="H59" s="103">
        <f>'[1]2. bevételek össz'!L28*0.6333</f>
        <v>0</v>
      </c>
      <c r="I59" s="103">
        <v>0</v>
      </c>
      <c r="J59" s="103">
        <f>'[1]2. bevételek össz'!L28*0.3667</f>
        <v>0</v>
      </c>
      <c r="K59" s="259">
        <v>50000</v>
      </c>
      <c r="L59" s="259"/>
      <c r="M59" s="259">
        <v>0</v>
      </c>
      <c r="N59" s="258">
        <f t="shared" si="5"/>
        <v>50000</v>
      </c>
      <c r="O59" s="258">
        <f t="shared" si="6"/>
        <v>0</v>
      </c>
      <c r="P59" s="258">
        <f t="shared" si="7"/>
        <v>0</v>
      </c>
      <c r="Q59" s="258"/>
      <c r="R59" s="258"/>
      <c r="S59" s="258"/>
    </row>
    <row r="60" spans="1:19" ht="15">
      <c r="A60" s="51" t="s">
        <v>7</v>
      </c>
      <c r="B60" s="147">
        <f>'[1]2. bevételek össz'!D29</f>
        <v>924</v>
      </c>
      <c r="C60" s="147">
        <v>0</v>
      </c>
      <c r="D60" s="147">
        <v>0</v>
      </c>
      <c r="E60" s="103">
        <f>'[1]2. bevételek össz'!H29</f>
        <v>4826</v>
      </c>
      <c r="F60" s="103">
        <v>0</v>
      </c>
      <c r="G60" s="103">
        <v>0</v>
      </c>
      <c r="H60" s="103">
        <f>'[1]2. bevételek össz'!L29*0.6333</f>
        <v>402.14549999999997</v>
      </c>
      <c r="I60" s="103">
        <v>0</v>
      </c>
      <c r="J60" s="103">
        <f>'[1]2. bevételek össz'!L29*0.3667</f>
        <v>232.85450000000003</v>
      </c>
      <c r="K60" s="259">
        <f>K55+K57+K59</f>
        <v>77035</v>
      </c>
      <c r="L60" s="259">
        <f>L55+L57+L59</f>
        <v>231706</v>
      </c>
      <c r="M60" s="259">
        <v>0</v>
      </c>
      <c r="N60" s="258">
        <f t="shared" si="5"/>
        <v>83187.1455</v>
      </c>
      <c r="O60" s="258">
        <f t="shared" si="6"/>
        <v>231706</v>
      </c>
      <c r="P60" s="258">
        <f t="shared" si="7"/>
        <v>0</v>
      </c>
      <c r="Q60" s="258"/>
      <c r="R60" s="258"/>
      <c r="S60" s="258"/>
    </row>
    <row r="61" spans="1:19" ht="15">
      <c r="A61" s="208" t="s">
        <v>44</v>
      </c>
      <c r="B61" s="147">
        <f>'[1]2. bevételek össz'!D30</f>
        <v>0</v>
      </c>
      <c r="C61" s="147">
        <v>0</v>
      </c>
      <c r="D61" s="147">
        <v>0</v>
      </c>
      <c r="E61" s="103">
        <f>'[1]2. bevételek össz'!H30</f>
        <v>0</v>
      </c>
      <c r="F61" s="103">
        <v>0</v>
      </c>
      <c r="G61" s="103">
        <v>0</v>
      </c>
      <c r="H61" s="103">
        <f>'[1]2. bevételek össz'!L30*0.6333</f>
        <v>0</v>
      </c>
      <c r="I61" s="103">
        <v>0</v>
      </c>
      <c r="J61" s="103">
        <f>'[1]2. bevételek össz'!L30*0.3667</f>
        <v>0</v>
      </c>
      <c r="K61" s="259"/>
      <c r="L61" s="259"/>
      <c r="M61" s="259">
        <v>0</v>
      </c>
      <c r="N61" s="258">
        <f t="shared" si="5"/>
        <v>0</v>
      </c>
      <c r="O61" s="258">
        <f t="shared" si="6"/>
        <v>0</v>
      </c>
      <c r="P61" s="258">
        <f t="shared" si="7"/>
        <v>0</v>
      </c>
      <c r="Q61" s="258"/>
      <c r="R61" s="258"/>
      <c r="S61" s="258"/>
    </row>
    <row r="62" spans="1:19" ht="15">
      <c r="A62" s="202" t="s">
        <v>45</v>
      </c>
      <c r="B62" s="147">
        <f>'[1]2. bevételek össz'!D31</f>
        <v>0</v>
      </c>
      <c r="C62" s="147">
        <v>0</v>
      </c>
      <c r="D62" s="147">
        <v>0</v>
      </c>
      <c r="E62" s="103">
        <f>'[1]2. bevételek össz'!H31</f>
        <v>0</v>
      </c>
      <c r="F62" s="103">
        <v>0</v>
      </c>
      <c r="G62" s="103">
        <v>0</v>
      </c>
      <c r="H62" s="103">
        <f>'[1]2. bevételek össz'!L31*0.6333</f>
        <v>0</v>
      </c>
      <c r="I62" s="103">
        <v>0</v>
      </c>
      <c r="J62" s="103">
        <f>'[1]2. bevételek össz'!L31*0.3667</f>
        <v>0</v>
      </c>
      <c r="K62" s="259"/>
      <c r="L62" s="259"/>
      <c r="M62" s="259">
        <v>0</v>
      </c>
      <c r="N62" s="258">
        <f t="shared" si="5"/>
        <v>0</v>
      </c>
      <c r="O62" s="258">
        <f t="shared" si="6"/>
        <v>0</v>
      </c>
      <c r="P62" s="258">
        <f t="shared" si="7"/>
        <v>0</v>
      </c>
      <c r="Q62" s="258"/>
      <c r="R62" s="258"/>
      <c r="S62" s="258"/>
    </row>
    <row r="63" spans="1:19" ht="15">
      <c r="A63" s="197" t="s">
        <v>46</v>
      </c>
      <c r="B63" s="147">
        <f>'[1]2. bevételek össz'!D32</f>
        <v>53662.542</v>
      </c>
      <c r="C63" s="147"/>
      <c r="D63" s="147">
        <v>0</v>
      </c>
      <c r="E63" s="103">
        <f>'[1]2. bevételek össz'!H32</f>
        <v>30747.414</v>
      </c>
      <c r="F63" s="103">
        <v>0</v>
      </c>
      <c r="G63" s="103">
        <v>0</v>
      </c>
      <c r="H63" s="103">
        <f>'[1]2. bevételek össz'!L32*0.6333</f>
        <v>40781.3535</v>
      </c>
      <c r="I63" s="103">
        <v>0</v>
      </c>
      <c r="J63" s="103">
        <f>'[1]2. bevételek össz'!L32*0.3667</f>
        <v>23613.646500000003</v>
      </c>
      <c r="K63" s="259">
        <f>K60+K45</f>
        <v>611428</v>
      </c>
      <c r="L63" s="259">
        <f>L60+L45</f>
        <v>237698</v>
      </c>
      <c r="M63" s="259">
        <v>0</v>
      </c>
      <c r="N63" s="258">
        <f t="shared" si="5"/>
        <v>736619.3095</v>
      </c>
      <c r="O63" s="258">
        <f t="shared" si="6"/>
        <v>237698</v>
      </c>
      <c r="P63" s="258">
        <f t="shared" si="7"/>
        <v>0</v>
      </c>
      <c r="Q63" s="258">
        <f>Q56+Q45</f>
        <v>146426</v>
      </c>
      <c r="R63" s="258">
        <f>R56+R45</f>
        <v>0</v>
      </c>
      <c r="S63" s="258"/>
    </row>
    <row r="64" spans="1:10" ht="15">
      <c r="A64" s="2"/>
      <c r="B64" s="254"/>
      <c r="C64" s="254"/>
      <c r="D64" s="254"/>
      <c r="E64" s="113"/>
      <c r="F64" s="113"/>
      <c r="G64" s="113"/>
      <c r="H64" s="113"/>
      <c r="I64" s="113"/>
      <c r="J64" s="113"/>
    </row>
    <row r="65" spans="1:10" ht="15">
      <c r="A65" s="84"/>
      <c r="B65" s="254"/>
      <c r="C65" s="254"/>
      <c r="D65" s="254"/>
      <c r="E65" s="113"/>
      <c r="F65" s="113"/>
      <c r="G65" s="113"/>
      <c r="H65" s="113"/>
      <c r="I65" s="113"/>
      <c r="J65" s="113"/>
    </row>
    <row r="66" spans="1:10" ht="15">
      <c r="A66" s="2"/>
      <c r="B66" s="254"/>
      <c r="C66" s="254"/>
      <c r="D66" s="254"/>
      <c r="E66" s="113"/>
      <c r="F66" s="113"/>
      <c r="G66" s="113"/>
      <c r="H66" s="113"/>
      <c r="I66" s="113"/>
      <c r="J66" s="113"/>
    </row>
    <row r="67" spans="1:10" ht="15">
      <c r="A67" s="2"/>
      <c r="B67" s="254"/>
      <c r="C67" s="254"/>
      <c r="D67" s="254"/>
      <c r="E67" s="113"/>
      <c r="F67" s="113"/>
      <c r="G67" s="113"/>
      <c r="H67" s="113"/>
      <c r="I67" s="113"/>
      <c r="J67" s="113"/>
    </row>
    <row r="68" spans="1:10" ht="15">
      <c r="A68" s="2"/>
      <c r="B68" s="254"/>
      <c r="C68" s="254"/>
      <c r="D68" s="254"/>
      <c r="E68" s="113"/>
      <c r="F68" s="113"/>
      <c r="G68" s="113"/>
      <c r="H68" s="113"/>
      <c r="I68" s="113"/>
      <c r="J68" s="113"/>
    </row>
    <row r="69" spans="1:10" ht="15">
      <c r="A69" s="2"/>
      <c r="B69" s="254"/>
      <c r="C69" s="254"/>
      <c r="D69" s="254"/>
      <c r="E69" s="113"/>
      <c r="F69" s="113"/>
      <c r="G69" s="113"/>
      <c r="H69" s="113"/>
      <c r="I69" s="113"/>
      <c r="J69" s="113"/>
    </row>
    <row r="70" spans="1:10" ht="15">
      <c r="A70" s="2"/>
      <c r="B70" s="254"/>
      <c r="C70" s="254"/>
      <c r="D70" s="254"/>
      <c r="E70" s="113"/>
      <c r="F70" s="113"/>
      <c r="G70" s="113"/>
      <c r="H70" s="113"/>
      <c r="I70" s="113"/>
      <c r="J70" s="113"/>
    </row>
    <row r="71" spans="1:10" ht="15">
      <c r="A71" s="2"/>
      <c r="B71" s="254"/>
      <c r="C71" s="254"/>
      <c r="D71" s="254"/>
      <c r="E71" s="113"/>
      <c r="F71" s="113"/>
      <c r="G71" s="113"/>
      <c r="H71" s="113"/>
      <c r="I71" s="113"/>
      <c r="J71" s="113"/>
    </row>
    <row r="72" spans="1:10" ht="15">
      <c r="A72" s="2"/>
      <c r="B72" s="254"/>
      <c r="C72" s="254"/>
      <c r="D72" s="254"/>
      <c r="E72" s="113"/>
      <c r="F72" s="113"/>
      <c r="G72" s="113"/>
      <c r="H72" s="113"/>
      <c r="I72" s="113"/>
      <c r="J72" s="113"/>
    </row>
    <row r="73" spans="1:10" ht="15">
      <c r="A73" s="2"/>
      <c r="B73" s="254"/>
      <c r="C73" s="254"/>
      <c r="D73" s="254"/>
      <c r="E73" s="113"/>
      <c r="F73" s="113"/>
      <c r="G73" s="113"/>
      <c r="H73" s="113"/>
      <c r="I73" s="113"/>
      <c r="J73" s="113"/>
    </row>
    <row r="74" spans="1:10" ht="15">
      <c r="A74" s="2"/>
      <c r="B74" s="254"/>
      <c r="C74" s="254"/>
      <c r="D74" s="254"/>
      <c r="E74" s="113"/>
      <c r="F74" s="113"/>
      <c r="G74" s="113"/>
      <c r="H74" s="113"/>
      <c r="I74" s="113"/>
      <c r="J74" s="113"/>
    </row>
    <row r="75" spans="1:10" ht="15">
      <c r="A75" s="2"/>
      <c r="B75" s="254"/>
      <c r="C75" s="254"/>
      <c r="D75" s="254"/>
      <c r="E75" s="113"/>
      <c r="F75" s="113"/>
      <c r="G75" s="113"/>
      <c r="H75" s="113"/>
      <c r="I75" s="113"/>
      <c r="J75" s="113"/>
    </row>
    <row r="76" spans="1:10" ht="15">
      <c r="A76" s="2"/>
      <c r="B76" s="254"/>
      <c r="C76" s="254"/>
      <c r="D76" s="254"/>
      <c r="E76" s="113"/>
      <c r="F76" s="113"/>
      <c r="G76" s="113"/>
      <c r="H76" s="113"/>
      <c r="I76" s="113"/>
      <c r="J76" s="113"/>
    </row>
    <row r="77" spans="1:10" ht="15">
      <c r="A77" s="2"/>
      <c r="B77" s="254"/>
      <c r="C77" s="254"/>
      <c r="D77" s="254"/>
      <c r="E77" s="113"/>
      <c r="F77" s="113"/>
      <c r="G77" s="113"/>
      <c r="H77" s="113"/>
      <c r="I77" s="113"/>
      <c r="J77" s="113"/>
    </row>
    <row r="78" spans="1:10" ht="15">
      <c r="A78" s="2"/>
      <c r="B78" s="254"/>
      <c r="C78" s="254"/>
      <c r="D78" s="254"/>
      <c r="E78" s="113"/>
      <c r="F78" s="113"/>
      <c r="G78" s="113"/>
      <c r="H78" s="113"/>
      <c r="I78" s="113"/>
      <c r="J78" s="113"/>
    </row>
    <row r="79" spans="1:10" ht="15">
      <c r="A79" s="2"/>
      <c r="B79" s="254"/>
      <c r="C79" s="254"/>
      <c r="D79" s="254"/>
      <c r="E79" s="113"/>
      <c r="F79" s="113"/>
      <c r="G79" s="113"/>
      <c r="H79" s="113"/>
      <c r="I79" s="113"/>
      <c r="J79" s="113"/>
    </row>
    <row r="80" spans="1:10" ht="15">
      <c r="A80" s="2"/>
      <c r="B80" s="254"/>
      <c r="C80" s="254"/>
      <c r="D80" s="254"/>
      <c r="E80" s="113"/>
      <c r="F80" s="113"/>
      <c r="G80" s="113"/>
      <c r="H80" s="113"/>
      <c r="I80" s="113"/>
      <c r="J80" s="113"/>
    </row>
    <row r="81" spans="1:10" ht="15">
      <c r="A81" s="2"/>
      <c r="B81" s="254"/>
      <c r="C81" s="254"/>
      <c r="D81" s="254"/>
      <c r="E81" s="113"/>
      <c r="F81" s="113"/>
      <c r="G81" s="113"/>
      <c r="H81" s="113"/>
      <c r="I81" s="113"/>
      <c r="J81" s="113"/>
    </row>
    <row r="82" spans="1:10" ht="15">
      <c r="A82" s="2"/>
      <c r="B82" s="254"/>
      <c r="C82" s="254"/>
      <c r="D82" s="254"/>
      <c r="E82" s="113"/>
      <c r="F82" s="113"/>
      <c r="G82" s="113"/>
      <c r="H82" s="113"/>
      <c r="I82" s="113"/>
      <c r="J82" s="113"/>
    </row>
    <row r="83" spans="1:10" ht="15">
      <c r="A83" s="2"/>
      <c r="B83" s="254"/>
      <c r="C83" s="254"/>
      <c r="D83" s="254"/>
      <c r="E83" s="113"/>
      <c r="F83" s="113"/>
      <c r="G83" s="113"/>
      <c r="H83" s="113"/>
      <c r="I83" s="113"/>
      <c r="J83" s="113"/>
    </row>
    <row r="84" spans="1:10" ht="15">
      <c r="A84" s="2"/>
      <c r="B84" s="254"/>
      <c r="C84" s="254"/>
      <c r="D84" s="254"/>
      <c r="E84" s="113"/>
      <c r="F84" s="113"/>
      <c r="G84" s="113"/>
      <c r="H84" s="113"/>
      <c r="I84" s="113"/>
      <c r="J84" s="113"/>
    </row>
    <row r="85" spans="1:10" ht="15">
      <c r="A85" s="2"/>
      <c r="B85" s="254"/>
      <c r="C85" s="254"/>
      <c r="D85" s="254"/>
      <c r="E85" s="113"/>
      <c r="F85" s="113"/>
      <c r="G85" s="113"/>
      <c r="H85" s="113"/>
      <c r="I85" s="113"/>
      <c r="J85" s="113"/>
    </row>
    <row r="86" spans="1:10" ht="15">
      <c r="A86" s="2"/>
      <c r="B86" s="254"/>
      <c r="C86" s="254"/>
      <c r="D86" s="254"/>
      <c r="E86" s="113"/>
      <c r="F86" s="113"/>
      <c r="G86" s="113"/>
      <c r="H86" s="113"/>
      <c r="I86" s="113"/>
      <c r="J86" s="113"/>
    </row>
    <row r="87" spans="1:10" ht="15">
      <c r="A87" s="2"/>
      <c r="B87" s="254"/>
      <c r="C87" s="254"/>
      <c r="D87" s="254"/>
      <c r="E87" s="113"/>
      <c r="F87" s="113"/>
      <c r="G87" s="113"/>
      <c r="H87" s="113"/>
      <c r="I87" s="113"/>
      <c r="J87" s="113"/>
    </row>
    <row r="88" spans="1:10" ht="15">
      <c r="A88" s="2"/>
      <c r="B88" s="254"/>
      <c r="C88" s="254"/>
      <c r="D88" s="254"/>
      <c r="E88" s="113"/>
      <c r="F88" s="113"/>
      <c r="G88" s="113"/>
      <c r="H88" s="113"/>
      <c r="I88" s="113"/>
      <c r="J88" s="113"/>
    </row>
    <row r="89" spans="1:10" ht="15">
      <c r="A89" s="2"/>
      <c r="B89" s="254"/>
      <c r="C89" s="254"/>
      <c r="D89" s="254"/>
      <c r="E89" s="113"/>
      <c r="F89" s="113"/>
      <c r="G89" s="113"/>
      <c r="H89" s="113"/>
      <c r="I89" s="113"/>
      <c r="J89" s="113"/>
    </row>
    <row r="90" spans="1:10" ht="15">
      <c r="A90" s="2"/>
      <c r="B90" s="254"/>
      <c r="C90" s="254"/>
      <c r="D90" s="254"/>
      <c r="E90" s="113"/>
      <c r="F90" s="113"/>
      <c r="G90" s="113"/>
      <c r="H90" s="113"/>
      <c r="I90" s="113"/>
      <c r="J90" s="113"/>
    </row>
    <row r="91" spans="1:10" ht="15">
      <c r="A91" s="2"/>
      <c r="B91" s="254"/>
      <c r="C91" s="254"/>
      <c r="D91" s="254"/>
      <c r="E91" s="113"/>
      <c r="F91" s="113"/>
      <c r="G91" s="113"/>
      <c r="H91" s="113"/>
      <c r="I91" s="113"/>
      <c r="J91" s="113"/>
    </row>
    <row r="92" spans="1:10" ht="15">
      <c r="A92" s="2"/>
      <c r="B92" s="254"/>
      <c r="C92" s="254"/>
      <c r="D92" s="254"/>
      <c r="E92" s="113"/>
      <c r="F92" s="113"/>
      <c r="G92" s="113"/>
      <c r="H92" s="113"/>
      <c r="I92" s="113"/>
      <c r="J92" s="113"/>
    </row>
    <row r="93" spans="1:10" ht="15">
      <c r="A93" s="2"/>
      <c r="B93" s="254"/>
      <c r="C93" s="254"/>
      <c r="D93" s="254"/>
      <c r="E93" s="113"/>
      <c r="F93" s="113"/>
      <c r="G93" s="113"/>
      <c r="H93" s="113"/>
      <c r="I93" s="113"/>
      <c r="J93" s="113"/>
    </row>
    <row r="94" spans="1:10" ht="15">
      <c r="A94" s="2"/>
      <c r="B94" s="254"/>
      <c r="C94" s="254"/>
      <c r="D94" s="254"/>
      <c r="E94" s="113"/>
      <c r="F94" s="113"/>
      <c r="G94" s="113"/>
      <c r="H94" s="113"/>
      <c r="I94" s="113"/>
      <c r="J94" s="113"/>
    </row>
    <row r="95" spans="1:10" ht="15">
      <c r="A95" s="2"/>
      <c r="B95" s="254"/>
      <c r="C95" s="254"/>
      <c r="D95" s="254"/>
      <c r="E95" s="113"/>
      <c r="F95" s="113"/>
      <c r="G95" s="113"/>
      <c r="H95" s="113"/>
      <c r="I95" s="113"/>
      <c r="J95" s="113"/>
    </row>
    <row r="96" spans="1:10" ht="15">
      <c r="A96" s="2"/>
      <c r="B96" s="254"/>
      <c r="C96" s="254"/>
      <c r="D96" s="254"/>
      <c r="E96" s="113"/>
      <c r="F96" s="113"/>
      <c r="G96" s="113"/>
      <c r="H96" s="113"/>
      <c r="I96" s="113"/>
      <c r="J96" s="113"/>
    </row>
    <row r="97" spans="1:10" ht="15">
      <c r="A97" s="2"/>
      <c r="B97" s="254"/>
      <c r="C97" s="254"/>
      <c r="D97" s="254"/>
      <c r="E97" s="113"/>
      <c r="F97" s="113"/>
      <c r="G97" s="113"/>
      <c r="H97" s="113"/>
      <c r="I97" s="113"/>
      <c r="J97" s="113"/>
    </row>
    <row r="98" spans="1:10" ht="15">
      <c r="A98" s="2"/>
      <c r="B98" s="254"/>
      <c r="C98" s="254"/>
      <c r="D98" s="254"/>
      <c r="E98" s="113"/>
      <c r="F98" s="113"/>
      <c r="G98" s="113"/>
      <c r="H98" s="113"/>
      <c r="I98" s="113"/>
      <c r="J98" s="113"/>
    </row>
    <row r="99" spans="1:10" ht="15">
      <c r="A99" s="2"/>
      <c r="B99" s="254"/>
      <c r="C99" s="254"/>
      <c r="D99" s="254"/>
      <c r="E99" s="113"/>
      <c r="F99" s="113"/>
      <c r="G99" s="113"/>
      <c r="H99" s="113"/>
      <c r="I99" s="113"/>
      <c r="J99" s="113"/>
    </row>
    <row r="100" spans="1:10" ht="15">
      <c r="A100" s="2"/>
      <c r="B100" s="254"/>
      <c r="C100" s="254"/>
      <c r="D100" s="254"/>
      <c r="E100" s="113"/>
      <c r="F100" s="113"/>
      <c r="G100" s="113"/>
      <c r="H100" s="113"/>
      <c r="I100" s="113"/>
      <c r="J100" s="113"/>
    </row>
    <row r="101" spans="1:10" ht="15">
      <c r="A101" s="2"/>
      <c r="B101" s="254"/>
      <c r="C101" s="254"/>
      <c r="D101" s="254"/>
      <c r="E101" s="113"/>
      <c r="F101" s="113"/>
      <c r="G101" s="113"/>
      <c r="H101" s="113"/>
      <c r="I101" s="113"/>
      <c r="J101" s="113"/>
    </row>
    <row r="102" spans="1:10" ht="15">
      <c r="A102" s="2"/>
      <c r="B102" s="254"/>
      <c r="C102" s="254"/>
      <c r="D102" s="254"/>
      <c r="E102" s="113"/>
      <c r="F102" s="113"/>
      <c r="G102" s="113"/>
      <c r="H102" s="113"/>
      <c r="I102" s="113"/>
      <c r="J102" s="113"/>
    </row>
    <row r="103" spans="1:10" ht="15">
      <c r="A103" s="2"/>
      <c r="B103" s="254"/>
      <c r="C103" s="254"/>
      <c r="D103" s="254"/>
      <c r="E103" s="113"/>
      <c r="F103" s="113"/>
      <c r="G103" s="113"/>
      <c r="H103" s="113"/>
      <c r="I103" s="113"/>
      <c r="J103" s="113"/>
    </row>
    <row r="104" spans="1:10" ht="15">
      <c r="A104" s="2"/>
      <c r="B104" s="254"/>
      <c r="C104" s="254"/>
      <c r="D104" s="254"/>
      <c r="E104" s="113"/>
      <c r="F104" s="113"/>
      <c r="G104" s="113"/>
      <c r="H104" s="113"/>
      <c r="I104" s="113"/>
      <c r="J104" s="113"/>
    </row>
    <row r="105" spans="1:10" ht="15">
      <c r="A105" s="2"/>
      <c r="B105" s="254"/>
      <c r="C105" s="254"/>
      <c r="D105" s="254"/>
      <c r="E105" s="113"/>
      <c r="F105" s="113"/>
      <c r="G105" s="113"/>
      <c r="H105" s="113"/>
      <c r="I105" s="113"/>
      <c r="J105" s="113"/>
    </row>
    <row r="106" spans="1:10" ht="15">
      <c r="A106" s="2"/>
      <c r="B106" s="254"/>
      <c r="C106" s="254"/>
      <c r="D106" s="254"/>
      <c r="E106" s="113"/>
      <c r="F106" s="113"/>
      <c r="G106" s="113"/>
      <c r="H106" s="113"/>
      <c r="I106" s="113"/>
      <c r="J106" s="113"/>
    </row>
    <row r="107" spans="1:10" ht="15">
      <c r="A107" s="2"/>
      <c r="B107" s="254"/>
      <c r="C107" s="254"/>
      <c r="D107" s="254"/>
      <c r="E107" s="113"/>
      <c r="F107" s="113"/>
      <c r="G107" s="113"/>
      <c r="H107" s="113"/>
      <c r="I107" s="113"/>
      <c r="J107" s="113"/>
    </row>
    <row r="108" spans="1:10" ht="15">
      <c r="A108" s="2"/>
      <c r="B108" s="254"/>
      <c r="C108" s="254"/>
      <c r="D108" s="254"/>
      <c r="E108" s="113"/>
      <c r="F108" s="113"/>
      <c r="G108" s="113"/>
      <c r="H108" s="113"/>
      <c r="I108" s="113"/>
      <c r="J108" s="113"/>
    </row>
    <row r="109" spans="1:10" ht="15">
      <c r="A109" s="2"/>
      <c r="B109" s="254"/>
      <c r="C109" s="254"/>
      <c r="D109" s="254"/>
      <c r="E109" s="113"/>
      <c r="F109" s="113"/>
      <c r="G109" s="113"/>
      <c r="H109" s="113"/>
      <c r="I109" s="113"/>
      <c r="J109" s="113"/>
    </row>
  </sheetData>
  <sheetProtection/>
  <mergeCells count="12">
    <mergeCell ref="Q3:S3"/>
    <mergeCell ref="Q34:S34"/>
    <mergeCell ref="N34:P34"/>
    <mergeCell ref="B3:D3"/>
    <mergeCell ref="E3:G3"/>
    <mergeCell ref="B34:D34"/>
    <mergeCell ref="E34:G34"/>
    <mergeCell ref="N3:P3"/>
    <mergeCell ref="K34:L34"/>
    <mergeCell ref="H3:J3"/>
    <mergeCell ref="K3:M3"/>
    <mergeCell ref="H34:J34"/>
  </mergeCells>
  <printOptions/>
  <pageMargins left="0.21" right="0.16" top="0.17" bottom="0.28" header="0.1" footer="0.08"/>
  <pageSetup fitToHeight="1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6.28125" style="0" customWidth="1"/>
    <col min="2" max="2" width="12.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19.421875" style="0" customWidth="1"/>
  </cols>
  <sheetData>
    <row r="1" ht="12.75">
      <c r="A1" s="166" t="s">
        <v>415</v>
      </c>
    </row>
    <row r="2" ht="12.75">
      <c r="A2" s="233" t="s">
        <v>414</v>
      </c>
    </row>
    <row r="4" spans="1:8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</row>
    <row r="5" spans="1:8" ht="45.75">
      <c r="A5" s="82" t="s">
        <v>236</v>
      </c>
      <c r="B5" s="21"/>
      <c r="C5" s="21"/>
      <c r="D5" s="21"/>
      <c r="E5" s="21"/>
      <c r="F5" s="21"/>
      <c r="G5" s="21"/>
      <c r="H5" s="21"/>
    </row>
    <row r="6" spans="1:8" ht="60.75">
      <c r="A6" s="82" t="s">
        <v>239</v>
      </c>
      <c r="B6" s="21"/>
      <c r="C6" s="21"/>
      <c r="D6" s="21"/>
      <c r="E6" s="21">
        <v>50000</v>
      </c>
      <c r="F6" s="21">
        <v>50000</v>
      </c>
      <c r="G6" s="21">
        <v>0</v>
      </c>
      <c r="H6" s="21">
        <v>50000</v>
      </c>
    </row>
    <row r="7" spans="1:8" ht="30.75">
      <c r="A7" s="82" t="s">
        <v>237</v>
      </c>
      <c r="B7" s="21">
        <f>B16</f>
        <v>75</v>
      </c>
      <c r="C7" s="21">
        <f aca="true" t="shared" si="0" ref="C7:H7">C16</f>
        <v>120</v>
      </c>
      <c r="D7" s="21">
        <f t="shared" si="0"/>
        <v>111</v>
      </c>
      <c r="E7" s="21">
        <f t="shared" si="0"/>
        <v>60387</v>
      </c>
      <c r="F7" s="21">
        <f t="shared" si="0"/>
        <v>60693</v>
      </c>
      <c r="G7" s="21">
        <f t="shared" si="0"/>
        <v>0</v>
      </c>
      <c r="H7" s="21">
        <f t="shared" si="0"/>
        <v>60693</v>
      </c>
    </row>
    <row r="8" spans="1:8" ht="60.75">
      <c r="A8" s="82" t="s">
        <v>238</v>
      </c>
      <c r="B8" s="21"/>
      <c r="C8" s="21"/>
      <c r="D8" s="21"/>
      <c r="E8" s="21">
        <f>'1. bevételek össz'!F12+'1. bevételek össz'!F25</f>
        <v>147026</v>
      </c>
      <c r="F8" s="21">
        <f>E8</f>
        <v>147026</v>
      </c>
      <c r="G8" s="21">
        <v>0</v>
      </c>
      <c r="H8" s="21">
        <f>F8</f>
        <v>147026</v>
      </c>
    </row>
    <row r="9" spans="1:8" ht="45.75">
      <c r="A9" s="82" t="s">
        <v>235</v>
      </c>
      <c r="B9" s="21"/>
      <c r="C9" s="21"/>
      <c r="D9" s="21"/>
      <c r="E9" s="21"/>
      <c r="F9" s="21"/>
      <c r="G9" s="21"/>
      <c r="H9" s="21"/>
    </row>
    <row r="10" spans="1:8" ht="15.75">
      <c r="A10" s="26" t="s">
        <v>59</v>
      </c>
      <c r="B10" s="21">
        <f>SUM(B5:B9)</f>
        <v>75</v>
      </c>
      <c r="C10" s="21">
        <f aca="true" t="shared" si="1" ref="C10:H10">SUM(C5:C9)</f>
        <v>120</v>
      </c>
      <c r="D10" s="21">
        <f t="shared" si="1"/>
        <v>111</v>
      </c>
      <c r="E10" s="21">
        <f t="shared" si="1"/>
        <v>257413</v>
      </c>
      <c r="F10" s="21">
        <f t="shared" si="1"/>
        <v>257719</v>
      </c>
      <c r="G10" s="21">
        <f t="shared" si="1"/>
        <v>0</v>
      </c>
      <c r="H10" s="21">
        <f t="shared" si="1"/>
        <v>257719</v>
      </c>
    </row>
    <row r="11" ht="15">
      <c r="A11" s="25"/>
    </row>
    <row r="12" spans="1:8" ht="60">
      <c r="A12" s="17" t="s">
        <v>48</v>
      </c>
      <c r="B12" s="110" t="s">
        <v>244</v>
      </c>
      <c r="C12" s="110" t="s">
        <v>245</v>
      </c>
      <c r="D12" s="110" t="s">
        <v>246</v>
      </c>
      <c r="E12" s="110" t="s">
        <v>247</v>
      </c>
      <c r="F12" s="111" t="s">
        <v>49</v>
      </c>
      <c r="G12" s="110" t="s">
        <v>294</v>
      </c>
      <c r="H12" s="112" t="s">
        <v>50</v>
      </c>
    </row>
    <row r="13" spans="1:8" ht="60.75">
      <c r="A13" s="82" t="s">
        <v>240</v>
      </c>
      <c r="B13" s="21"/>
      <c r="C13" s="21"/>
      <c r="D13" s="21"/>
      <c r="E13" s="21"/>
      <c r="F13" s="21"/>
      <c r="G13" s="21"/>
      <c r="H13" s="21"/>
    </row>
    <row r="14" spans="1:8" ht="60.75">
      <c r="A14" s="82" t="s">
        <v>243</v>
      </c>
      <c r="B14" s="21"/>
      <c r="C14" s="21"/>
      <c r="D14" s="21"/>
      <c r="E14" s="21">
        <v>50000</v>
      </c>
      <c r="F14" s="21">
        <v>50000</v>
      </c>
      <c r="G14" s="21">
        <v>0</v>
      </c>
      <c r="H14" s="21">
        <v>50000</v>
      </c>
    </row>
    <row r="15" spans="1:8" ht="30.75">
      <c r="A15" s="82" t="s">
        <v>241</v>
      </c>
      <c r="B15" s="21"/>
      <c r="C15" s="21"/>
      <c r="D15" s="21"/>
      <c r="E15" s="21"/>
      <c r="F15" s="21"/>
      <c r="G15" s="21"/>
      <c r="H15" s="21"/>
    </row>
    <row r="16" spans="1:8" ht="45.75">
      <c r="A16" s="82" t="s">
        <v>234</v>
      </c>
      <c r="B16" s="21">
        <f>'1. bevételek össz'!B13</f>
        <v>75</v>
      </c>
      <c r="C16" s="21">
        <f>'1. bevételek össz'!C13</f>
        <v>120</v>
      </c>
      <c r="D16" s="21">
        <f>'1. bevételek össz'!D13</f>
        <v>111</v>
      </c>
      <c r="E16" s="21">
        <f>'1. bevételek össz'!E13+'1. bevételek össz'!E26</f>
        <v>60387</v>
      </c>
      <c r="F16" s="21">
        <f>B16+C16+D16+E16</f>
        <v>60693</v>
      </c>
      <c r="G16" s="21">
        <v>0</v>
      </c>
      <c r="H16" s="21">
        <f>F16</f>
        <v>60693</v>
      </c>
    </row>
    <row r="17" spans="1:8" ht="75.75">
      <c r="A17" s="82" t="s">
        <v>242</v>
      </c>
      <c r="B17" s="21">
        <f>'1. bevételek össz'!B12+'1. bevételek össz'!B25</f>
        <v>53588</v>
      </c>
      <c r="C17" s="21">
        <f>'1. bevételek össz'!C12+'1. bevételek össz'!C25</f>
        <v>29404</v>
      </c>
      <c r="D17" s="21">
        <f>'1. bevételek össz'!D12+'1. bevételek össz'!D25</f>
        <v>64034</v>
      </c>
      <c r="E17" s="21"/>
      <c r="F17" s="21">
        <f>B17+C17+D17</f>
        <v>147026</v>
      </c>
      <c r="G17" s="21">
        <v>0</v>
      </c>
      <c r="H17" s="21">
        <f>F17</f>
        <v>147026</v>
      </c>
    </row>
    <row r="18" spans="1:8" ht="15.75">
      <c r="A18" s="26" t="s">
        <v>60</v>
      </c>
      <c r="B18" s="21">
        <f>SUM(B13:B17)</f>
        <v>53663</v>
      </c>
      <c r="C18" s="21">
        <f aca="true" t="shared" si="2" ref="C18:H18">SUM(C13:C17)</f>
        <v>29524</v>
      </c>
      <c r="D18" s="21">
        <f t="shared" si="2"/>
        <v>64145</v>
      </c>
      <c r="E18" s="21">
        <f t="shared" si="2"/>
        <v>110387</v>
      </c>
      <c r="F18" s="21">
        <f t="shared" si="2"/>
        <v>257719</v>
      </c>
      <c r="G18" s="21">
        <f t="shared" si="2"/>
        <v>0</v>
      </c>
      <c r="H18" s="21">
        <f t="shared" si="2"/>
        <v>257719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zoomScalePageLayoutView="0" workbookViewId="0" topLeftCell="A18">
      <selection activeCell="E29" sqref="E29"/>
    </sheetView>
  </sheetViews>
  <sheetFormatPr defaultColWidth="9.140625" defaultRowHeight="12.75"/>
  <cols>
    <col min="1" max="1" width="46.28125" style="0" customWidth="1"/>
    <col min="2" max="2" width="16.57421875" style="108" customWidth="1"/>
    <col min="3" max="3" width="13.00390625" style="108" customWidth="1"/>
    <col min="4" max="4" width="18.140625" style="108" customWidth="1"/>
    <col min="5" max="5" width="16.28125" style="108" customWidth="1"/>
    <col min="6" max="6" width="17.421875" style="108" customWidth="1"/>
    <col min="7" max="7" width="22.28125" style="108" customWidth="1"/>
    <col min="8" max="8" width="19.421875" style="108" customWidth="1"/>
  </cols>
  <sheetData>
    <row r="1" ht="12.75">
      <c r="A1" t="s">
        <v>416</v>
      </c>
    </row>
    <row r="2" ht="12.75">
      <c r="A2" t="s">
        <v>417</v>
      </c>
    </row>
    <row r="4" spans="1:8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</row>
    <row r="5" spans="1:8" ht="30">
      <c r="A5" s="8" t="s">
        <v>61</v>
      </c>
      <c r="B5" s="103"/>
      <c r="C5" s="103"/>
      <c r="D5" s="103"/>
      <c r="E5" s="103">
        <f>támogatások!D10/1000</f>
        <v>1551</v>
      </c>
      <c r="F5" s="103"/>
      <c r="G5" s="103"/>
      <c r="H5" s="103"/>
    </row>
    <row r="6" spans="1:8" ht="45">
      <c r="A6" s="8" t="s">
        <v>62</v>
      </c>
      <c r="B6" s="103"/>
      <c r="C6" s="103"/>
      <c r="D6" s="103"/>
      <c r="E6" s="103"/>
      <c r="F6" s="103"/>
      <c r="G6" s="103"/>
      <c r="H6" s="103"/>
    </row>
    <row r="7" spans="1:8" ht="60">
      <c r="A7" s="8" t="s">
        <v>63</v>
      </c>
      <c r="B7" s="103"/>
      <c r="C7" s="103"/>
      <c r="D7" s="103"/>
      <c r="E7" s="103"/>
      <c r="F7" s="103"/>
      <c r="G7" s="103"/>
      <c r="H7" s="103"/>
    </row>
    <row r="8" spans="1:8" ht="30">
      <c r="A8" s="8" t="s">
        <v>64</v>
      </c>
      <c r="B8" s="103"/>
      <c r="C8" s="103"/>
      <c r="D8" s="103"/>
      <c r="E8" s="103"/>
      <c r="F8" s="103"/>
      <c r="G8" s="103"/>
      <c r="H8" s="103"/>
    </row>
    <row r="9" spans="1:8" ht="30">
      <c r="A9" s="8" t="s">
        <v>65</v>
      </c>
      <c r="B9" s="103"/>
      <c r="C9" s="103"/>
      <c r="D9" s="103"/>
      <c r="E9" s="103"/>
      <c r="F9" s="103"/>
      <c r="G9" s="103"/>
      <c r="H9" s="103"/>
    </row>
    <row r="10" spans="1:8" ht="45">
      <c r="A10" s="8" t="s">
        <v>66</v>
      </c>
      <c r="B10" s="103"/>
      <c r="C10" s="103"/>
      <c r="D10" s="103"/>
      <c r="E10" s="103">
        <f>támogatások!D8/1000</f>
        <v>300</v>
      </c>
      <c r="F10" s="103"/>
      <c r="G10" s="103"/>
      <c r="H10" s="103"/>
    </row>
    <row r="11" spans="1:8" ht="30">
      <c r="A11" s="8" t="s">
        <v>67</v>
      </c>
      <c r="B11" s="103"/>
      <c r="C11" s="103"/>
      <c r="D11" s="103"/>
      <c r="E11" s="103">
        <v>5000</v>
      </c>
      <c r="F11" s="103"/>
      <c r="G11" s="103"/>
      <c r="H11" s="103"/>
    </row>
    <row r="12" spans="1:8" ht="45">
      <c r="A12" s="8" t="s">
        <v>68</v>
      </c>
      <c r="B12" s="103"/>
      <c r="C12" s="103"/>
      <c r="D12" s="103"/>
      <c r="E12" s="103"/>
      <c r="F12" s="103"/>
      <c r="G12" s="103"/>
      <c r="H12" s="103"/>
    </row>
    <row r="13" spans="1:8" ht="45">
      <c r="A13" s="8" t="s">
        <v>69</v>
      </c>
      <c r="B13" s="103"/>
      <c r="C13" s="103"/>
      <c r="D13" s="103"/>
      <c r="E13" s="103"/>
      <c r="F13" s="103"/>
      <c r="G13" s="103"/>
      <c r="H13" s="103"/>
    </row>
    <row r="14" spans="1:8" ht="24.75" customHeight="1">
      <c r="A14" s="8"/>
      <c r="B14" s="103"/>
      <c r="C14" s="103"/>
      <c r="D14" s="103"/>
      <c r="E14" s="103"/>
      <c r="F14" s="103"/>
      <c r="G14" s="103"/>
      <c r="H14" s="103"/>
    </row>
    <row r="15" spans="1:8" ht="31.5">
      <c r="A15" s="28" t="s">
        <v>70</v>
      </c>
      <c r="B15" s="103">
        <f aca="true" t="shared" si="0" ref="B15:H15">SUM(B5:B14)</f>
        <v>0</v>
      </c>
      <c r="C15" s="103">
        <f t="shared" si="0"/>
        <v>0</v>
      </c>
      <c r="D15" s="103">
        <f t="shared" si="0"/>
        <v>0</v>
      </c>
      <c r="E15" s="103">
        <f t="shared" si="0"/>
        <v>6851</v>
      </c>
      <c r="F15" s="103">
        <f t="shared" si="0"/>
        <v>0</v>
      </c>
      <c r="G15" s="103">
        <f t="shared" si="0"/>
        <v>0</v>
      </c>
      <c r="H15" s="103">
        <f t="shared" si="0"/>
        <v>0</v>
      </c>
    </row>
    <row r="16" ht="15">
      <c r="A16" s="27"/>
    </row>
    <row r="17" ht="15">
      <c r="A17" s="27"/>
    </row>
    <row r="18" spans="1:8" ht="60">
      <c r="A18" s="17" t="s">
        <v>48</v>
      </c>
      <c r="B18" s="110" t="s">
        <v>244</v>
      </c>
      <c r="C18" s="110" t="s">
        <v>245</v>
      </c>
      <c r="D18" s="110" t="s">
        <v>246</v>
      </c>
      <c r="E18" s="110" t="s">
        <v>247</v>
      </c>
      <c r="F18" s="111" t="s">
        <v>49</v>
      </c>
      <c r="G18" s="110" t="s">
        <v>294</v>
      </c>
      <c r="H18" s="112" t="s">
        <v>50</v>
      </c>
    </row>
    <row r="19" spans="1:8" ht="30">
      <c r="A19" s="8" t="s">
        <v>71</v>
      </c>
      <c r="B19" s="103"/>
      <c r="C19" s="103"/>
      <c r="D19" s="103"/>
      <c r="E19" s="103"/>
      <c r="F19" s="103"/>
      <c r="G19" s="103"/>
      <c r="H19" s="103"/>
    </row>
    <row r="20" spans="1:8" ht="45">
      <c r="A20" s="8" t="s">
        <v>72</v>
      </c>
      <c r="B20" s="103"/>
      <c r="C20" s="103"/>
      <c r="D20" s="103"/>
      <c r="E20" s="103"/>
      <c r="F20" s="103"/>
      <c r="G20" s="103"/>
      <c r="H20" s="103"/>
    </row>
    <row r="21" spans="1:8" ht="60">
      <c r="A21" s="8" t="s">
        <v>73</v>
      </c>
      <c r="B21" s="103"/>
      <c r="C21" s="103"/>
      <c r="D21" s="103"/>
      <c r="E21" s="103"/>
      <c r="F21" s="103"/>
      <c r="G21" s="103"/>
      <c r="H21" s="103"/>
    </row>
    <row r="22" spans="1:8" ht="30">
      <c r="A22" s="8" t="s">
        <v>74</v>
      </c>
      <c r="B22" s="103"/>
      <c r="C22" s="103"/>
      <c r="D22" s="103"/>
      <c r="E22" s="103"/>
      <c r="F22" s="103"/>
      <c r="G22" s="103"/>
      <c r="H22" s="103"/>
    </row>
    <row r="23" spans="1:8" ht="30">
      <c r="A23" s="8" t="s">
        <v>75</v>
      </c>
      <c r="B23" s="103"/>
      <c r="C23" s="103"/>
      <c r="D23" s="103"/>
      <c r="E23" s="103"/>
      <c r="F23" s="103"/>
      <c r="G23" s="103"/>
      <c r="H23" s="103"/>
    </row>
    <row r="24" spans="1:8" ht="45">
      <c r="A24" s="8" t="s">
        <v>76</v>
      </c>
      <c r="B24" s="103"/>
      <c r="C24" s="103"/>
      <c r="D24" s="103"/>
      <c r="E24" s="103"/>
      <c r="F24" s="103"/>
      <c r="G24" s="103"/>
      <c r="H24" s="103"/>
    </row>
    <row r="25" spans="1:8" ht="30">
      <c r="A25" s="8" t="s">
        <v>77</v>
      </c>
      <c r="B25" s="103"/>
      <c r="C25" s="103"/>
      <c r="D25" s="103"/>
      <c r="E25" s="103"/>
      <c r="F25" s="103"/>
      <c r="G25" s="103"/>
      <c r="H25" s="103"/>
    </row>
    <row r="26" spans="1:8" ht="45">
      <c r="A26" s="8" t="s">
        <v>78</v>
      </c>
      <c r="B26" s="103"/>
      <c r="C26" s="103"/>
      <c r="D26" s="103"/>
      <c r="E26" s="103"/>
      <c r="F26" s="103"/>
      <c r="G26" s="103"/>
      <c r="H26" s="103"/>
    </row>
    <row r="27" spans="1:8" ht="25.5" customHeight="1">
      <c r="A27" s="8"/>
      <c r="B27" s="103"/>
      <c r="C27" s="103"/>
      <c r="D27" s="103"/>
      <c r="E27" s="103"/>
      <c r="F27" s="103"/>
      <c r="G27" s="103"/>
      <c r="H27" s="103"/>
    </row>
    <row r="28" spans="1:8" ht="31.5">
      <c r="A28" s="28" t="s">
        <v>79</v>
      </c>
      <c r="B28" s="103"/>
      <c r="C28" s="103"/>
      <c r="D28" s="103"/>
      <c r="E28" s="103"/>
      <c r="F28" s="103"/>
      <c r="G28" s="103"/>
      <c r="H28" s="103"/>
    </row>
  </sheetData>
  <sheetProtection/>
  <printOptions/>
  <pageMargins left="0.31" right="0.19" top="0.16" bottom="0.33" header="0.11" footer="7158278.82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7.57421875" style="0" customWidth="1"/>
    <col min="4" max="4" width="18.140625" style="0" customWidth="1"/>
    <col min="5" max="5" width="17.7109375" style="0" customWidth="1"/>
    <col min="6" max="6" width="17.421875" style="0" customWidth="1"/>
    <col min="7" max="7" width="22.28125" style="0" customWidth="1"/>
    <col min="8" max="8" width="19.421875" style="0" customWidth="1"/>
  </cols>
  <sheetData>
    <row r="1" ht="12.75">
      <c r="A1" s="233" t="s">
        <v>419</v>
      </c>
    </row>
    <row r="2" ht="12.75">
      <c r="A2" s="233" t="s">
        <v>418</v>
      </c>
    </row>
    <row r="4" spans="1:8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</row>
    <row r="5" spans="1:8" ht="30">
      <c r="A5" s="8" t="s">
        <v>80</v>
      </c>
      <c r="B5" s="21"/>
      <c r="C5" s="21"/>
      <c r="D5" s="21"/>
      <c r="E5" s="103">
        <f>(támogatások!D2+támogatások!D3+támogatások!D5+támogatások!D6+támogatások!D9-250000)/1000</f>
        <v>4547</v>
      </c>
      <c r="F5" s="21"/>
      <c r="G5" s="21"/>
      <c r="H5" s="21"/>
    </row>
    <row r="6" spans="1:8" ht="30">
      <c r="A6" s="8" t="s">
        <v>81</v>
      </c>
      <c r="B6" s="21"/>
      <c r="C6" s="21"/>
      <c r="D6" s="21"/>
      <c r="E6" s="103">
        <v>250</v>
      </c>
      <c r="F6" s="21"/>
      <c r="G6" s="21"/>
      <c r="H6" s="21"/>
    </row>
    <row r="7" spans="1:8" ht="30">
      <c r="A7" s="8" t="s">
        <v>82</v>
      </c>
      <c r="B7" s="21"/>
      <c r="C7" s="21"/>
      <c r="D7" s="21"/>
      <c r="E7" s="103">
        <v>3280</v>
      </c>
      <c r="F7" s="21"/>
      <c r="G7" s="21"/>
      <c r="H7" s="21"/>
    </row>
    <row r="8" spans="1:8" ht="30">
      <c r="A8" s="8" t="s">
        <v>83</v>
      </c>
      <c r="B8" s="21"/>
      <c r="C8" s="21"/>
      <c r="D8" s="21"/>
      <c r="E8" s="103">
        <f>támogatások!D14/1000</f>
        <v>3000</v>
      </c>
      <c r="F8" s="21"/>
      <c r="G8" s="21"/>
      <c r="H8" s="21"/>
    </row>
    <row r="9" spans="1:8" ht="30">
      <c r="A9" s="8" t="s">
        <v>84</v>
      </c>
      <c r="B9" s="21"/>
      <c r="C9" s="21"/>
      <c r="D9" s="21"/>
      <c r="E9" s="103"/>
      <c r="F9" s="21"/>
      <c r="G9" s="21"/>
      <c r="H9" s="21"/>
    </row>
    <row r="10" spans="1:8" ht="45">
      <c r="A10" s="8" t="s">
        <v>85</v>
      </c>
      <c r="B10" s="21"/>
      <c r="C10" s="21"/>
      <c r="D10" s="21"/>
      <c r="E10" s="103"/>
      <c r="F10" s="21"/>
      <c r="G10" s="21"/>
      <c r="H10" s="21"/>
    </row>
    <row r="11" spans="1:8" ht="30">
      <c r="A11" s="8" t="s">
        <v>86</v>
      </c>
      <c r="B11" s="21"/>
      <c r="C11" s="21"/>
      <c r="D11" s="21"/>
      <c r="E11" s="103"/>
      <c r="F11" s="21"/>
      <c r="G11" s="21"/>
      <c r="H11" s="21"/>
    </row>
    <row r="12" spans="1:8" ht="30">
      <c r="A12" s="8" t="s">
        <v>87</v>
      </c>
      <c r="B12" s="21"/>
      <c r="C12" s="21"/>
      <c r="D12" s="21"/>
      <c r="E12" s="103"/>
      <c r="F12" s="21"/>
      <c r="G12" s="21"/>
      <c r="H12" s="21"/>
    </row>
    <row r="13" spans="1:8" ht="24.75" customHeight="1">
      <c r="A13" s="8" t="s">
        <v>468</v>
      </c>
      <c r="B13" s="21"/>
      <c r="C13" s="21"/>
      <c r="D13" s="21"/>
      <c r="E13" s="103">
        <v>2503</v>
      </c>
      <c r="F13" s="21"/>
      <c r="G13" s="21"/>
      <c r="H13" s="21"/>
    </row>
    <row r="14" spans="1:8" ht="31.5">
      <c r="A14" s="28" t="s">
        <v>88</v>
      </c>
      <c r="B14" s="21">
        <f>SUM(B5:B13)</f>
        <v>0</v>
      </c>
      <c r="C14" s="21">
        <f aca="true" t="shared" si="0" ref="C14:H14">SUM(C5:C13)</f>
        <v>0</v>
      </c>
      <c r="D14" s="21">
        <f t="shared" si="0"/>
        <v>0</v>
      </c>
      <c r="E14" s="103">
        <f t="shared" si="0"/>
        <v>13580</v>
      </c>
      <c r="F14" s="21">
        <f t="shared" si="0"/>
        <v>0</v>
      </c>
      <c r="G14" s="21">
        <f t="shared" si="0"/>
        <v>0</v>
      </c>
      <c r="H14" s="21">
        <f t="shared" si="0"/>
        <v>0</v>
      </c>
    </row>
    <row r="15" spans="1:5" ht="15">
      <c r="A15" s="27"/>
      <c r="E15" s="108"/>
    </row>
    <row r="16" spans="1:8" ht="60">
      <c r="A16" s="17" t="s">
        <v>48</v>
      </c>
      <c r="B16" s="110" t="s">
        <v>244</v>
      </c>
      <c r="C16" s="110" t="s">
        <v>245</v>
      </c>
      <c r="D16" s="110" t="s">
        <v>246</v>
      </c>
      <c r="E16" s="110" t="s">
        <v>247</v>
      </c>
      <c r="F16" s="111" t="s">
        <v>49</v>
      </c>
      <c r="G16" s="110" t="s">
        <v>294</v>
      </c>
      <c r="H16" s="112" t="s">
        <v>50</v>
      </c>
    </row>
    <row r="17" spans="1:8" ht="30">
      <c r="A17" s="8" t="s">
        <v>89</v>
      </c>
      <c r="B17" s="21"/>
      <c r="C17" s="21"/>
      <c r="D17" s="21"/>
      <c r="E17" s="103"/>
      <c r="F17" s="21"/>
      <c r="G17" s="21"/>
      <c r="H17" s="21"/>
    </row>
    <row r="18" spans="1:8" ht="30">
      <c r="A18" s="8" t="s">
        <v>90</v>
      </c>
      <c r="B18" s="21"/>
      <c r="C18" s="21"/>
      <c r="D18" s="21"/>
      <c r="E18" s="103"/>
      <c r="F18" s="21"/>
      <c r="G18" s="21"/>
      <c r="H18" s="21"/>
    </row>
    <row r="19" spans="1:8" ht="30">
      <c r="A19" s="8" t="s">
        <v>91</v>
      </c>
      <c r="B19" s="21"/>
      <c r="C19" s="21"/>
      <c r="D19" s="21"/>
      <c r="E19" s="103"/>
      <c r="F19" s="21"/>
      <c r="G19" s="21"/>
      <c r="H19" s="21"/>
    </row>
    <row r="20" spans="1:8" ht="30">
      <c r="A20" s="8" t="s">
        <v>92</v>
      </c>
      <c r="B20" s="21"/>
      <c r="C20" s="21"/>
      <c r="D20" s="21"/>
      <c r="E20" s="103"/>
      <c r="F20" s="21"/>
      <c r="G20" s="21"/>
      <c r="H20" s="21"/>
    </row>
    <row r="21" spans="1:8" ht="30">
      <c r="A21" s="8" t="s">
        <v>93</v>
      </c>
      <c r="B21" s="21"/>
      <c r="C21" s="21"/>
      <c r="D21" s="21"/>
      <c r="E21" s="103"/>
      <c r="F21" s="21"/>
      <c r="G21" s="21"/>
      <c r="H21" s="21"/>
    </row>
    <row r="22" spans="1:8" ht="45">
      <c r="A22" s="8" t="s">
        <v>94</v>
      </c>
      <c r="B22" s="21"/>
      <c r="C22" s="21"/>
      <c r="D22" s="21"/>
      <c r="E22" s="103"/>
      <c r="F22" s="21"/>
      <c r="G22" s="21"/>
      <c r="H22" s="21"/>
    </row>
    <row r="23" spans="1:8" ht="30">
      <c r="A23" s="8" t="s">
        <v>95</v>
      </c>
      <c r="B23" s="21"/>
      <c r="C23" s="21"/>
      <c r="D23" s="21"/>
      <c r="E23" s="21"/>
      <c r="F23" s="21"/>
      <c r="G23" s="21"/>
      <c r="H23" s="21"/>
    </row>
    <row r="24" spans="1:8" ht="15">
      <c r="A24" s="8" t="s">
        <v>96</v>
      </c>
      <c r="B24" s="21"/>
      <c r="C24" s="21"/>
      <c r="D24" s="21"/>
      <c r="E24" s="21"/>
      <c r="F24" s="21"/>
      <c r="G24" s="21"/>
      <c r="H24" s="21"/>
    </row>
    <row r="25" spans="1:8" ht="30">
      <c r="A25" s="8" t="s">
        <v>97</v>
      </c>
      <c r="B25" s="21"/>
      <c r="C25" s="21"/>
      <c r="D25" s="21"/>
      <c r="E25" s="21"/>
      <c r="F25" s="21"/>
      <c r="G25" s="21"/>
      <c r="H25" s="21"/>
    </row>
    <row r="26" spans="1:8" ht="45">
      <c r="A26" s="8" t="s">
        <v>98</v>
      </c>
      <c r="B26" s="21"/>
      <c r="C26" s="21"/>
      <c r="D26" s="21"/>
      <c r="E26" s="21"/>
      <c r="F26" s="21"/>
      <c r="G26" s="21"/>
      <c r="H26" s="21"/>
    </row>
    <row r="27" spans="1:8" ht="26.25" customHeight="1">
      <c r="A27" s="8"/>
      <c r="B27" s="21"/>
      <c r="C27" s="21"/>
      <c r="D27" s="21"/>
      <c r="E27" s="21"/>
      <c r="F27" s="21"/>
      <c r="G27" s="21"/>
      <c r="H27" s="21"/>
    </row>
    <row r="28" spans="1:8" ht="47.25">
      <c r="A28" s="28" t="s">
        <v>99</v>
      </c>
      <c r="B28" s="21"/>
      <c r="C28" s="21"/>
      <c r="D28" s="21"/>
      <c r="E28" s="21"/>
      <c r="F28" s="21"/>
      <c r="G28" s="21"/>
      <c r="H28" s="2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9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2.140625" style="0" bestFit="1" customWidth="1"/>
    <col min="2" max="2" width="16.57421875" style="0" customWidth="1"/>
    <col min="3" max="3" width="15.7109375" style="0" customWidth="1"/>
    <col min="4" max="4" width="18.140625" style="0" customWidth="1"/>
    <col min="5" max="5" width="16.7109375" style="0" customWidth="1"/>
    <col min="6" max="6" width="17.421875" style="0" customWidth="1"/>
    <col min="7" max="7" width="22.28125" style="0" customWidth="1"/>
    <col min="8" max="8" width="22.140625" style="0" customWidth="1"/>
  </cols>
  <sheetData>
    <row r="1" ht="15">
      <c r="A1" s="2" t="s">
        <v>420</v>
      </c>
    </row>
    <row r="2" spans="1:10" ht="15">
      <c r="A2" s="2" t="s">
        <v>421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0">
      <c r="A4" s="17" t="s">
        <v>48</v>
      </c>
      <c r="B4" s="110" t="s">
        <v>244</v>
      </c>
      <c r="C4" s="110" t="s">
        <v>245</v>
      </c>
      <c r="D4" s="110" t="s">
        <v>246</v>
      </c>
      <c r="E4" s="110" t="s">
        <v>247</v>
      </c>
      <c r="F4" s="111" t="s">
        <v>49</v>
      </c>
      <c r="G4" s="110" t="s">
        <v>294</v>
      </c>
      <c r="H4" s="112" t="s">
        <v>50</v>
      </c>
      <c r="I4" s="2"/>
      <c r="J4" s="2"/>
    </row>
    <row r="5" spans="1:10" ht="15">
      <c r="A5" s="160" t="s">
        <v>267</v>
      </c>
      <c r="B5" s="103"/>
      <c r="C5" s="103"/>
      <c r="D5" s="103"/>
      <c r="E5" s="161">
        <v>1609</v>
      </c>
      <c r="F5" s="103">
        <f>E5</f>
        <v>1609</v>
      </c>
      <c r="G5" s="103"/>
      <c r="H5" s="103">
        <f>F5-G5</f>
        <v>1609</v>
      </c>
      <c r="I5" s="2"/>
      <c r="J5" s="2"/>
    </row>
    <row r="6" spans="1:10" ht="15">
      <c r="A6" s="160" t="s">
        <v>268</v>
      </c>
      <c r="B6" s="103"/>
      <c r="C6" s="103"/>
      <c r="D6" s="103"/>
      <c r="E6" s="161">
        <v>4058</v>
      </c>
      <c r="F6" s="103">
        <f aca="true" t="shared" si="0" ref="F6:F18">E6</f>
        <v>4058</v>
      </c>
      <c r="G6" s="103"/>
      <c r="H6" s="103">
        <f aca="true" t="shared" si="1" ref="H6:H18">F6-G6</f>
        <v>4058</v>
      </c>
      <c r="I6" s="2"/>
      <c r="J6" s="2"/>
    </row>
    <row r="7" spans="1:10" ht="15">
      <c r="A7" s="160" t="s">
        <v>272</v>
      </c>
      <c r="B7" s="103"/>
      <c r="C7" s="103"/>
      <c r="D7" s="103"/>
      <c r="E7" s="161">
        <v>4600</v>
      </c>
      <c r="F7" s="103">
        <f t="shared" si="0"/>
        <v>4600</v>
      </c>
      <c r="G7" s="103"/>
      <c r="H7" s="103">
        <f t="shared" si="1"/>
        <v>4600</v>
      </c>
      <c r="I7" s="2"/>
      <c r="J7" s="2"/>
    </row>
    <row r="8" spans="1:10" ht="15">
      <c r="A8" s="160" t="s">
        <v>273</v>
      </c>
      <c r="B8" s="103"/>
      <c r="C8" s="103"/>
      <c r="D8" s="103"/>
      <c r="E8" s="161">
        <v>655</v>
      </c>
      <c r="F8" s="103">
        <f t="shared" si="0"/>
        <v>655</v>
      </c>
      <c r="G8" s="103"/>
      <c r="H8" s="103">
        <f t="shared" si="1"/>
        <v>655</v>
      </c>
      <c r="I8" s="2"/>
      <c r="J8" s="2"/>
    </row>
    <row r="9" spans="1:10" ht="30">
      <c r="A9" s="160" t="s">
        <v>274</v>
      </c>
      <c r="B9" s="103"/>
      <c r="C9" s="103"/>
      <c r="D9" s="103"/>
      <c r="E9" s="161">
        <v>700</v>
      </c>
      <c r="F9" s="103">
        <f t="shared" si="0"/>
        <v>700</v>
      </c>
      <c r="G9" s="103"/>
      <c r="H9" s="103">
        <f t="shared" si="1"/>
        <v>700</v>
      </c>
      <c r="I9" s="2"/>
      <c r="J9" s="2"/>
    </row>
    <row r="10" spans="1:10" ht="30">
      <c r="A10" s="160" t="s">
        <v>275</v>
      </c>
      <c r="B10" s="103"/>
      <c r="C10" s="103"/>
      <c r="D10" s="103"/>
      <c r="E10" s="161">
        <v>230</v>
      </c>
      <c r="F10" s="103">
        <f t="shared" si="0"/>
        <v>230</v>
      </c>
      <c r="G10" s="103"/>
      <c r="H10" s="103">
        <f t="shared" si="1"/>
        <v>230</v>
      </c>
      <c r="I10" s="2"/>
      <c r="J10" s="2"/>
    </row>
    <row r="11" spans="1:10" ht="15">
      <c r="A11" s="160" t="s">
        <v>276</v>
      </c>
      <c r="B11" s="103"/>
      <c r="C11" s="103"/>
      <c r="D11" s="103"/>
      <c r="E11" s="161">
        <v>1000</v>
      </c>
      <c r="F11" s="103">
        <f t="shared" si="0"/>
        <v>1000</v>
      </c>
      <c r="G11" s="103"/>
      <c r="H11" s="103">
        <f t="shared" si="1"/>
        <v>1000</v>
      </c>
      <c r="I11" s="2"/>
      <c r="J11" s="2"/>
    </row>
    <row r="12" spans="1:10" ht="15">
      <c r="A12" s="160" t="s">
        <v>277</v>
      </c>
      <c r="B12" s="103"/>
      <c r="C12" s="103"/>
      <c r="D12" s="103"/>
      <c r="E12" s="161">
        <f>segély!C9/1000</f>
        <v>500</v>
      </c>
      <c r="F12" s="103">
        <f t="shared" si="0"/>
        <v>500</v>
      </c>
      <c r="G12" s="103"/>
      <c r="H12" s="103">
        <f t="shared" si="1"/>
        <v>500</v>
      </c>
      <c r="I12" s="2"/>
      <c r="J12" s="2"/>
    </row>
    <row r="13" spans="1:10" ht="30">
      <c r="A13" s="160" t="s">
        <v>278</v>
      </c>
      <c r="B13" s="103"/>
      <c r="C13" s="103"/>
      <c r="D13" s="103"/>
      <c r="E13" s="161">
        <f>segély!C10/1000</f>
        <v>700</v>
      </c>
      <c r="F13" s="103">
        <f t="shared" si="0"/>
        <v>700</v>
      </c>
      <c r="G13" s="103"/>
      <c r="H13" s="103">
        <f t="shared" si="1"/>
        <v>700</v>
      </c>
      <c r="I13" s="2"/>
      <c r="J13" s="2"/>
    </row>
    <row r="14" spans="1:10" ht="30">
      <c r="A14" s="160" t="s">
        <v>279</v>
      </c>
      <c r="B14" s="103"/>
      <c r="C14" s="103"/>
      <c r="D14" s="103"/>
      <c r="E14" s="161">
        <v>0</v>
      </c>
      <c r="F14" s="103">
        <f t="shared" si="0"/>
        <v>0</v>
      </c>
      <c r="G14" s="103"/>
      <c r="H14" s="103">
        <f t="shared" si="1"/>
        <v>0</v>
      </c>
      <c r="I14" s="2"/>
      <c r="J14" s="2"/>
    </row>
    <row r="15" spans="1:10" ht="30">
      <c r="A15" s="160" t="s">
        <v>280</v>
      </c>
      <c r="B15" s="103"/>
      <c r="C15" s="103"/>
      <c r="D15" s="103"/>
      <c r="E15" s="161">
        <v>5300</v>
      </c>
      <c r="F15" s="103">
        <f t="shared" si="0"/>
        <v>5300</v>
      </c>
      <c r="G15" s="103"/>
      <c r="H15" s="103">
        <f t="shared" si="1"/>
        <v>5300</v>
      </c>
      <c r="I15" s="2"/>
      <c r="J15" s="2"/>
    </row>
    <row r="16" spans="1:10" ht="15">
      <c r="A16" s="160" t="s">
        <v>281</v>
      </c>
      <c r="B16" s="103"/>
      <c r="C16" s="103"/>
      <c r="D16" s="103"/>
      <c r="E16" s="161">
        <v>70</v>
      </c>
      <c r="F16" s="103">
        <f t="shared" si="0"/>
        <v>70</v>
      </c>
      <c r="G16" s="103"/>
      <c r="H16" s="103">
        <f t="shared" si="1"/>
        <v>70</v>
      </c>
      <c r="I16" s="2"/>
      <c r="J16" s="2"/>
    </row>
    <row r="17" spans="1:10" ht="15">
      <c r="A17" s="160" t="s">
        <v>282</v>
      </c>
      <c r="B17" s="103"/>
      <c r="C17" s="103"/>
      <c r="D17" s="103"/>
      <c r="E17" s="161">
        <f>segély!C14/1000</f>
        <v>8000</v>
      </c>
      <c r="F17" s="103">
        <f t="shared" si="0"/>
        <v>8000</v>
      </c>
      <c r="G17" s="103"/>
      <c r="H17" s="103">
        <f t="shared" si="1"/>
        <v>8000</v>
      </c>
      <c r="I17" s="2"/>
      <c r="J17" s="2"/>
    </row>
    <row r="18" spans="1:10" ht="15">
      <c r="A18" s="160" t="s">
        <v>283</v>
      </c>
      <c r="B18" s="103"/>
      <c r="C18" s="103"/>
      <c r="D18" s="103"/>
      <c r="E18" s="161">
        <f>segély!C15/1000</f>
        <v>1000</v>
      </c>
      <c r="F18" s="103">
        <f t="shared" si="0"/>
        <v>1000</v>
      </c>
      <c r="G18" s="103"/>
      <c r="H18" s="103">
        <f t="shared" si="1"/>
        <v>1000</v>
      </c>
      <c r="I18" s="2"/>
      <c r="J18" s="2"/>
    </row>
    <row r="19" spans="1:10" s="115" customFormat="1" ht="12.75">
      <c r="A19" s="46" t="s">
        <v>107</v>
      </c>
      <c r="B19" s="104">
        <f>SUM(B5:B18)</f>
        <v>0</v>
      </c>
      <c r="C19" s="104">
        <f aca="true" t="shared" si="2" ref="C19:H19">SUM(C5:C18)</f>
        <v>0</v>
      </c>
      <c r="D19" s="104">
        <f t="shared" si="2"/>
        <v>0</v>
      </c>
      <c r="E19" s="104">
        <f t="shared" si="2"/>
        <v>28422</v>
      </c>
      <c r="F19" s="104">
        <f t="shared" si="2"/>
        <v>28422</v>
      </c>
      <c r="G19" s="104">
        <f t="shared" si="2"/>
        <v>0</v>
      </c>
      <c r="H19" s="104">
        <f t="shared" si="2"/>
        <v>28422</v>
      </c>
      <c r="I19" s="114"/>
      <c r="J19" s="114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Anita</cp:lastModifiedBy>
  <cp:lastPrinted>2014-04-17T07:37:11Z</cp:lastPrinted>
  <dcterms:created xsi:type="dcterms:W3CDTF">2013-01-22T19:33:25Z</dcterms:created>
  <dcterms:modified xsi:type="dcterms:W3CDTF">2014-04-29T07:12:16Z</dcterms:modified>
  <cp:category/>
  <cp:version/>
  <cp:contentType/>
  <cp:contentStatus/>
</cp:coreProperties>
</file>