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80" yWindow="-90" windowWidth="12660" windowHeight="11010" tabRatio="941" firstSheet="17" activeTab="22"/>
  </bookViews>
  <sheets>
    <sheet name="1.1.sz.mell.összesen" sheetId="1" r:id="rId1"/>
    <sheet name="1.2.sz.mell kötelező össz." sheetId="95" r:id="rId2"/>
    <sheet name="1.3.sz.mell önként.össz." sheetId="96" state="hidden" r:id="rId3"/>
    <sheet name="1.4.sz.mell áll.ig.össz." sheetId="97" state="hidden" r:id="rId4"/>
    <sheet name="1.3.sz.mell Önként vállalt   " sheetId="140" r:id="rId5"/>
    <sheet name="1.4.sz.mell államig.össz." sheetId="139" r:id="rId6"/>
    <sheet name="2.1.sz.mell műk.mérleg " sheetId="73" r:id="rId7"/>
    <sheet name="2.2.sz.mell felhalm.mérleg  " sheetId="61" r:id="rId8"/>
    <sheet name="3.1. sz. mell Önk.össz." sheetId="128" r:id="rId9"/>
    <sheet name="3.1.1. sz. mell Önk.kötelező " sheetId="113" r:id="rId10"/>
    <sheet name="3.1.2. sz. mell Önk.önként.  " sheetId="114" state="hidden" r:id="rId11"/>
    <sheet name="3.1.3. sz. mell Önk.áll.ig." sheetId="115" state="hidden" r:id="rId12"/>
    <sheet name="3.1.1. sz. mell Önk.önként váll" sheetId="137" r:id="rId13"/>
    <sheet name="3.1.1. sz. mell Önk.államig. fe" sheetId="138" r:id="rId14"/>
    <sheet name="3.2 Polgármesteri Hivatal össz." sheetId="130" r:id="rId15"/>
    <sheet name="3.2.1Polgármesteri Hiv.kötelező" sheetId="131" state="hidden" r:id="rId16"/>
    <sheet name="3.2.2 Polg.Hiv.államig.fel." sheetId="133" r:id="rId17"/>
    <sheet name="3.2.2 Polg.Hiv.önként vállalt f" sheetId="136" r:id="rId18"/>
    <sheet name="3.3. sz. mell Óvoda össz." sheetId="127" r:id="rId19"/>
    <sheet name="3.3.1 sz. mell Óvoda köt." sheetId="126" r:id="rId20"/>
    <sheet name="3.4 Város- és Műv.kp. összes" sheetId="134" r:id="rId21"/>
    <sheet name="3.4.1 Város- és Műv.kp.kötelező" sheetId="135" r:id="rId22"/>
    <sheet name="4.sz.mell - tartalék" sheetId="120" r:id="rId23"/>
  </sheets>
  <externalReferences>
    <externalReference r:id="rId24"/>
    <externalReference r:id="rId25"/>
    <externalReference r:id="rId26"/>
    <externalReference r:id="rId27"/>
    <externalReference r:id="rId28"/>
  </externalReferences>
  <definedNames>
    <definedName name="_fgl1" localSheetId="4">[1]flag_1!#REF!</definedName>
    <definedName name="_fgl1" localSheetId="5">[1]flag_1!#REF!</definedName>
    <definedName name="_fgl1" localSheetId="13">[1]flag_1!#REF!</definedName>
    <definedName name="_fgl1" localSheetId="12">[1]flag_1!#REF!</definedName>
    <definedName name="_fgl1" localSheetId="17">[1]flag_1!#REF!</definedName>
    <definedName name="_fgl1" localSheetId="18">[1]flag_1!#REF!</definedName>
    <definedName name="_fgl1" localSheetId="19">[1]flag_1!#REF!</definedName>
    <definedName name="_fgl1" localSheetId="22">[2]flag_1!#REF!</definedName>
    <definedName name="_fgl1">[1]flag_1!#REF!</definedName>
    <definedName name="_KSZ1" localSheetId="4">[1]flag_1!#REF!</definedName>
    <definedName name="_KSZ1" localSheetId="5">[1]flag_1!#REF!</definedName>
    <definedName name="_KSZ1" localSheetId="13">[1]flag_1!#REF!</definedName>
    <definedName name="_KSZ1" localSheetId="12">[1]flag_1!#REF!</definedName>
    <definedName name="_KSZ1" localSheetId="17">[1]flag_1!#REF!</definedName>
    <definedName name="_KSZ1" localSheetId="18">[1]flag_1!#REF!</definedName>
    <definedName name="_KSZ1" localSheetId="19">[1]flag_1!#REF!</definedName>
    <definedName name="_KSZ1" localSheetId="22">[2]flag_1!#REF!</definedName>
    <definedName name="_KSZ1">[1]flag_1!#REF!</definedName>
    <definedName name="_ksz11" localSheetId="4">[1]flag_1!#REF!</definedName>
    <definedName name="_ksz11" localSheetId="5">[1]flag_1!#REF!</definedName>
    <definedName name="_ksz11" localSheetId="13">[1]flag_1!#REF!</definedName>
    <definedName name="_ksz11" localSheetId="12">[1]flag_1!#REF!</definedName>
    <definedName name="_ksz11" localSheetId="17">[1]flag_1!#REF!</definedName>
    <definedName name="_ksz11" localSheetId="18">[1]flag_1!#REF!</definedName>
    <definedName name="_ksz11" localSheetId="19">[1]flag_1!#REF!</definedName>
    <definedName name="_ksz11" localSheetId="22">[2]flag_1!#REF!</definedName>
    <definedName name="_ksz11">[1]flag_1!#REF!</definedName>
    <definedName name="_xlnm.Database" localSheetId="4">#REF!</definedName>
    <definedName name="_xlnm.Database" localSheetId="5">#REF!</definedName>
    <definedName name="_xlnm.Database" localSheetId="13">#REF!</definedName>
    <definedName name="_xlnm.Database" localSheetId="12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2">#REF!</definedName>
    <definedName name="_xlnm.Database">#REF!</definedName>
    <definedName name="css" localSheetId="4">#REF!</definedName>
    <definedName name="css" localSheetId="5">#REF!</definedName>
    <definedName name="css" localSheetId="13">#REF!</definedName>
    <definedName name="css" localSheetId="12">#REF!</definedName>
    <definedName name="css" localSheetId="17">#REF!</definedName>
    <definedName name="css" localSheetId="18">#REF!</definedName>
    <definedName name="css" localSheetId="19">#REF!</definedName>
    <definedName name="css" localSheetId="22">#REF!</definedName>
    <definedName name="css">#REF!</definedName>
    <definedName name="css_k" localSheetId="22">[3]Családsegítés!$C$27:$C$86</definedName>
    <definedName name="css_k_" localSheetId="4">#REF!</definedName>
    <definedName name="css_k_" localSheetId="5">#REF!</definedName>
    <definedName name="css_k_" localSheetId="13">#REF!</definedName>
    <definedName name="css_k_" localSheetId="12">#REF!</definedName>
    <definedName name="css_k_" localSheetId="17">#REF!</definedName>
    <definedName name="css_k_" localSheetId="18">#REF!</definedName>
    <definedName name="css_k_" localSheetId="19">#REF!</definedName>
    <definedName name="css_k_" localSheetId="22">#REF!</definedName>
    <definedName name="css_k_">#REF!</definedName>
    <definedName name="FEJ" localSheetId="4">#REF!</definedName>
    <definedName name="FEJ" localSheetId="5">#REF!</definedName>
    <definedName name="FEJ" localSheetId="13">#REF!</definedName>
    <definedName name="FEJ" localSheetId="12">#REF!</definedName>
    <definedName name="FEJ" localSheetId="17">#REF!</definedName>
    <definedName name="FEJ" localSheetId="18">#REF!</definedName>
    <definedName name="FEJ" localSheetId="19">#REF!</definedName>
    <definedName name="FEJ" localSheetId="22">#REF!</definedName>
    <definedName name="FEJ">#REF!</definedName>
    <definedName name="FGL" localSheetId="4">[1]flag_1!#REF!</definedName>
    <definedName name="FGL" localSheetId="5">[1]flag_1!#REF!</definedName>
    <definedName name="FGL" localSheetId="13">[1]flag_1!#REF!</definedName>
    <definedName name="FGL" localSheetId="12">[1]flag_1!#REF!</definedName>
    <definedName name="FGL" localSheetId="17">[1]flag_1!#REF!</definedName>
    <definedName name="FGL" localSheetId="18">[1]flag_1!#REF!</definedName>
    <definedName name="FGL" localSheetId="19">[1]flag_1!#REF!</definedName>
    <definedName name="FGL" localSheetId="22">[2]flag_1!#REF!</definedName>
    <definedName name="FGL">[1]flag_1!#REF!</definedName>
    <definedName name="FLAG" localSheetId="4">[1]flag_1!#REF!</definedName>
    <definedName name="FLAG" localSheetId="5">[1]flag_1!#REF!</definedName>
    <definedName name="FLAG" localSheetId="13">[1]flag_1!#REF!</definedName>
    <definedName name="FLAG" localSheetId="12">[1]flag_1!#REF!</definedName>
    <definedName name="FLAG" localSheetId="17">[1]flag_1!#REF!</definedName>
    <definedName name="FLAG" localSheetId="18">[1]flag_1!#REF!</definedName>
    <definedName name="FLAG" localSheetId="19">[1]flag_1!#REF!</definedName>
    <definedName name="FLAG" localSheetId="22">[2]flag_1!#REF!</definedName>
    <definedName name="FLAG">[1]flag_1!#REF!</definedName>
    <definedName name="flag1" localSheetId="4">[1]flag_1!#REF!</definedName>
    <definedName name="flag1" localSheetId="5">[1]flag_1!#REF!</definedName>
    <definedName name="flag1" localSheetId="13">[1]flag_1!#REF!</definedName>
    <definedName name="flag1" localSheetId="12">[1]flag_1!#REF!</definedName>
    <definedName name="flag1" localSheetId="17">[1]flag_1!#REF!</definedName>
    <definedName name="flag1" localSheetId="18">[1]flag_1!#REF!</definedName>
    <definedName name="flag1" localSheetId="19">[1]flag_1!#REF!</definedName>
    <definedName name="flag1" localSheetId="22">[2]flag_1!#REF!</definedName>
    <definedName name="flag1">[1]flag_1!#REF!</definedName>
    <definedName name="gyj" localSheetId="4">#REF!</definedName>
    <definedName name="gyj" localSheetId="5">#REF!</definedName>
    <definedName name="gyj" localSheetId="13">#REF!</definedName>
    <definedName name="gyj" localSheetId="12">#REF!</definedName>
    <definedName name="gyj" localSheetId="17">#REF!</definedName>
    <definedName name="gyj" localSheetId="18">#REF!</definedName>
    <definedName name="gyj" localSheetId="19">#REF!</definedName>
    <definedName name="gyj" localSheetId="22">#REF!</definedName>
    <definedName name="gyj">#REF!</definedName>
    <definedName name="gyj_k" localSheetId="22">[3]Gyermekjóléti!$C$27:$C$86</definedName>
    <definedName name="gyj_k_" localSheetId="4">#REF!</definedName>
    <definedName name="gyj_k_" localSheetId="5">#REF!</definedName>
    <definedName name="gyj_k_" localSheetId="13">#REF!</definedName>
    <definedName name="gyj_k_" localSheetId="12">#REF!</definedName>
    <definedName name="gyj_k_" localSheetId="17">#REF!</definedName>
    <definedName name="gyj_k_" localSheetId="18">#REF!</definedName>
    <definedName name="gyj_k_" localSheetId="19">#REF!</definedName>
    <definedName name="gyj_k_" localSheetId="22">#REF!</definedName>
    <definedName name="gyj_k_">#REF!</definedName>
    <definedName name="K_LSZA_BECS_1" localSheetId="4">#REF!</definedName>
    <definedName name="K_LSZA_BECS_1" localSheetId="5">#REF!</definedName>
    <definedName name="K_LSZA_BECS_1" localSheetId="13">#REF!</definedName>
    <definedName name="K_LSZA_BECS_1" localSheetId="12">#REF!</definedName>
    <definedName name="K_LSZA_BECS_1" localSheetId="17">#REF!</definedName>
    <definedName name="K_LSZA_BECS_1" localSheetId="18">#REF!</definedName>
    <definedName name="K_LSZA_BECS_1" localSheetId="19">#REF!</definedName>
    <definedName name="K_LSZA_BECS_1" localSheetId="22">#REF!</definedName>
    <definedName name="K_LSZA_BECS_1">#REF!</definedName>
    <definedName name="kjz" localSheetId="4">#REF!</definedName>
    <definedName name="kjz" localSheetId="5">#REF!</definedName>
    <definedName name="kjz" localSheetId="13">#REF!</definedName>
    <definedName name="kjz" localSheetId="12">#REF!</definedName>
    <definedName name="kjz" localSheetId="17">#REF!</definedName>
    <definedName name="kjz" localSheetId="18">#REF!</definedName>
    <definedName name="kjz" localSheetId="19">#REF!</definedName>
    <definedName name="kjz" localSheetId="22">#REF!</definedName>
    <definedName name="kjz">#REF!</definedName>
    <definedName name="kjz_k" localSheetId="22">[3]körjegyzőség!$C$9:$C$28</definedName>
    <definedName name="kjz_k_" localSheetId="4">#REF!</definedName>
    <definedName name="kjz_k_" localSheetId="5">#REF!</definedName>
    <definedName name="kjz_k_" localSheetId="13">#REF!</definedName>
    <definedName name="kjz_k_" localSheetId="12">#REF!</definedName>
    <definedName name="kjz_k_" localSheetId="17">#REF!</definedName>
    <definedName name="kjz_k_" localSheetId="18">#REF!</definedName>
    <definedName name="kjz_k_" localSheetId="19">#REF!</definedName>
    <definedName name="kjz_k_" localSheetId="22">#REF!</definedName>
    <definedName name="kjz_k_">#REF!</definedName>
    <definedName name="KSH_R" localSheetId="4">#REF!</definedName>
    <definedName name="KSH_R" localSheetId="5">#REF!</definedName>
    <definedName name="KSH_R" localSheetId="13">#REF!</definedName>
    <definedName name="KSH_R" localSheetId="12">#REF!</definedName>
    <definedName name="KSH_R" localSheetId="17">#REF!</definedName>
    <definedName name="KSH_R" localSheetId="18">#REF!</definedName>
    <definedName name="KSH_R" localSheetId="19">#REF!</definedName>
    <definedName name="KSH_R" localSheetId="22">#REF!</definedName>
    <definedName name="KSH_R">#REF!</definedName>
    <definedName name="nev_c" localSheetId="4">#REF!</definedName>
    <definedName name="nev_c" localSheetId="5">#REF!</definedName>
    <definedName name="nev_c" localSheetId="13">#REF!</definedName>
    <definedName name="nev_c" localSheetId="12">#REF!</definedName>
    <definedName name="nev_c" localSheetId="17">#REF!</definedName>
    <definedName name="nev_c" localSheetId="18">#REF!</definedName>
    <definedName name="nev_c" localSheetId="19">#REF!</definedName>
    <definedName name="nev_c" localSheetId="22">#REF!</definedName>
    <definedName name="nev_c">#REF!</definedName>
    <definedName name="nev_g" localSheetId="4">#REF!</definedName>
    <definedName name="nev_g" localSheetId="5">#REF!</definedName>
    <definedName name="nev_g" localSheetId="13">#REF!</definedName>
    <definedName name="nev_g" localSheetId="12">#REF!</definedName>
    <definedName name="nev_g" localSheetId="17">#REF!</definedName>
    <definedName name="nev_g" localSheetId="18">#REF!</definedName>
    <definedName name="nev_g" localSheetId="19">#REF!</definedName>
    <definedName name="nev_g" localSheetId="22">#REF!</definedName>
    <definedName name="nev_g">#REF!</definedName>
    <definedName name="nev_k" localSheetId="4">#REF!</definedName>
    <definedName name="nev_k" localSheetId="5">#REF!</definedName>
    <definedName name="nev_k" localSheetId="13">#REF!</definedName>
    <definedName name="nev_k" localSheetId="12">#REF!</definedName>
    <definedName name="nev_k" localSheetId="17">#REF!</definedName>
    <definedName name="nev_k" localSheetId="18">#REF!</definedName>
    <definedName name="nev_k" localSheetId="19">#REF!</definedName>
    <definedName name="nev_k" localSheetId="22">#REF!</definedName>
    <definedName name="nev_k">#REF!</definedName>
    <definedName name="_xlnm.Print_Titles" localSheetId="8">'3.1. sz. mell Önk.össz.'!$1:$6</definedName>
    <definedName name="_xlnm.Print_Titles" localSheetId="13">'3.1.1. sz. mell Önk.államig. fe'!$1:$6</definedName>
    <definedName name="_xlnm.Print_Titles" localSheetId="9">'3.1.1. sz. mell Önk.kötelező '!$1:$6</definedName>
    <definedName name="_xlnm.Print_Titles" localSheetId="12">'3.1.1. sz. mell Önk.önként váll'!$1:$6</definedName>
    <definedName name="_xlnm.Print_Titles" localSheetId="10">'3.1.2. sz. mell Önk.önként.  '!$1:$6</definedName>
    <definedName name="_xlnm.Print_Titles" localSheetId="11">'3.1.3. sz. mell Önk.áll.ig.'!$1:$6</definedName>
    <definedName name="_xlnm.Print_Titles" localSheetId="18">'3.3. sz. mell Óvoda össz.'!$1:$6</definedName>
    <definedName name="_xlnm.Print_Titles" localSheetId="19">'3.3.1 sz. mell Óvoda köt.'!$1:$6</definedName>
    <definedName name="_xlnm.Print_Area" localSheetId="0">'1.1.sz.mell.összesen'!$A$2:$F$149</definedName>
    <definedName name="_xlnm.Print_Area" localSheetId="1">'1.2.sz.mell kötelező össz.'!$A$2:$D$150</definedName>
    <definedName name="_xlnm.Print_Area" localSheetId="4">'1.3.sz.mell Önként vállalt   '!$A$1:$D$149</definedName>
    <definedName name="_xlnm.Print_Area" localSheetId="2">'1.3.sz.mell önként.össz.'!$A$1:$D$149</definedName>
    <definedName name="_xlnm.Print_Area" localSheetId="3">'1.4.sz.mell áll.ig.össz.'!$A$1:$D$149</definedName>
    <definedName name="_xlnm.Print_Area" localSheetId="5">'1.4.sz.mell államig.össz.'!$A$2:$D$150</definedName>
    <definedName name="_xlnm.Print_Area" localSheetId="6">'2.1.sz.mell műk.mérleg '!$A$2:$G$32</definedName>
    <definedName name="_xlnm.Print_Area" localSheetId="7">'2.2.sz.mell felhalm.mérleg  '!$A$1:$G$33</definedName>
    <definedName name="PUK" localSheetId="4">#REF!</definedName>
    <definedName name="PUK" localSheetId="5">#REF!</definedName>
    <definedName name="PUK" localSheetId="13">#REF!</definedName>
    <definedName name="PUK" localSheetId="12">#REF!</definedName>
    <definedName name="PUK" localSheetId="17">#REF!</definedName>
    <definedName name="PUK" localSheetId="18">#REF!</definedName>
    <definedName name="PUK" localSheetId="19">#REF!</definedName>
    <definedName name="PUK" localSheetId="22">#REF!</definedName>
    <definedName name="PUK">#REF!</definedName>
    <definedName name="státusz" localSheetId="4">#REF!</definedName>
    <definedName name="státusz" localSheetId="5">#REF!</definedName>
    <definedName name="státusz" localSheetId="13">#REF!</definedName>
    <definedName name="státusz" localSheetId="12">#REF!</definedName>
    <definedName name="státusz" localSheetId="17">#REF!</definedName>
    <definedName name="státusz" localSheetId="18">#REF!</definedName>
    <definedName name="státusz" localSheetId="19">#REF!</definedName>
    <definedName name="státusz">#REF!</definedName>
    <definedName name="TAM_jogc_feldkod" localSheetId="22">[4]NATUR_select!$C$16:$D$287</definedName>
    <definedName name="TAM_jogc_feldkod">[5]NATUR_select!$C$16:$D$287</definedName>
    <definedName name="URSZ" localSheetId="4">#REF!</definedName>
    <definedName name="URSZ" localSheetId="5">#REF!</definedName>
    <definedName name="URSZ" localSheetId="13">#REF!</definedName>
    <definedName name="URSZ" localSheetId="12">#REF!</definedName>
    <definedName name="URSZ" localSheetId="17">#REF!</definedName>
    <definedName name="URSZ" localSheetId="18">#REF!</definedName>
    <definedName name="URSZ" localSheetId="19">#REF!</definedName>
    <definedName name="URSZ" localSheetId="22">#REF!</definedName>
    <definedName name="URSZ">#REF!</definedName>
  </definedNames>
  <calcPr calcId="125725"/>
</workbook>
</file>

<file path=xl/calcChain.xml><?xml version="1.0" encoding="utf-8"?>
<calcChain xmlns="http://schemas.openxmlformats.org/spreadsheetml/2006/main">
  <c r="E91" i="128"/>
  <c r="E121"/>
  <c r="E107"/>
  <c r="D72" i="95"/>
  <c r="D108"/>
  <c r="C108"/>
  <c r="C106"/>
  <c r="C96"/>
  <c r="D94"/>
  <c r="C94"/>
  <c r="D93"/>
  <c r="C93"/>
  <c r="D92"/>
  <c r="C92"/>
  <c r="D18"/>
  <c r="C18"/>
  <c r="D40"/>
  <c r="C40"/>
  <c r="D36"/>
  <c r="C36"/>
  <c r="D106"/>
  <c r="D96"/>
  <c r="D44"/>
  <c r="D42"/>
  <c r="D41"/>
  <c r="D37"/>
  <c r="C37"/>
  <c r="C7"/>
  <c r="D34" i="139"/>
  <c r="D61" s="1"/>
  <c r="D95"/>
  <c r="C95"/>
  <c r="D94"/>
  <c r="C94"/>
  <c r="D93" i="140"/>
  <c r="C93"/>
  <c r="D92"/>
  <c r="C92"/>
  <c r="D91"/>
  <c r="C91"/>
  <c r="D138"/>
  <c r="C138"/>
  <c r="D133"/>
  <c r="C133"/>
  <c r="D128"/>
  <c r="C128"/>
  <c r="D124"/>
  <c r="D143" s="1"/>
  <c r="C124"/>
  <c r="C143" s="1"/>
  <c r="D120"/>
  <c r="C120"/>
  <c r="D106"/>
  <c r="C106"/>
  <c r="D90"/>
  <c r="D123" s="1"/>
  <c r="D144" s="1"/>
  <c r="C90"/>
  <c r="C123" s="1"/>
  <c r="C144" s="1"/>
  <c r="D77"/>
  <c r="C77"/>
  <c r="D73"/>
  <c r="C73"/>
  <c r="D70"/>
  <c r="C70"/>
  <c r="D65"/>
  <c r="C65"/>
  <c r="D61"/>
  <c r="D83" s="1"/>
  <c r="D149" s="1"/>
  <c r="C61"/>
  <c r="C83" s="1"/>
  <c r="C149" s="1"/>
  <c r="D55"/>
  <c r="C55"/>
  <c r="D50"/>
  <c r="C50"/>
  <c r="D44"/>
  <c r="C44"/>
  <c r="D33"/>
  <c r="C33"/>
  <c r="D26"/>
  <c r="C26"/>
  <c r="D19"/>
  <c r="C19"/>
  <c r="D12"/>
  <c r="C12"/>
  <c r="D5"/>
  <c r="D60" s="1"/>
  <c r="C5"/>
  <c r="C60" s="1"/>
  <c r="D139" i="139"/>
  <c r="C139"/>
  <c r="D134"/>
  <c r="C134"/>
  <c r="D129"/>
  <c r="C129"/>
  <c r="D125"/>
  <c r="D144" s="1"/>
  <c r="C125"/>
  <c r="C144" s="1"/>
  <c r="D121"/>
  <c r="C121"/>
  <c r="D107"/>
  <c r="C107"/>
  <c r="D91"/>
  <c r="D124" s="1"/>
  <c r="C91"/>
  <c r="C124" s="1"/>
  <c r="C145" s="1"/>
  <c r="D78"/>
  <c r="C78"/>
  <c r="D74"/>
  <c r="C74"/>
  <c r="D71"/>
  <c r="C71"/>
  <c r="D66"/>
  <c r="C66"/>
  <c r="D62"/>
  <c r="D84" s="1"/>
  <c r="D150" s="1"/>
  <c r="C62"/>
  <c r="C84" s="1"/>
  <c r="C150" s="1"/>
  <c r="D56"/>
  <c r="C56"/>
  <c r="D51"/>
  <c r="C51"/>
  <c r="D45"/>
  <c r="C45"/>
  <c r="C34"/>
  <c r="D27"/>
  <c r="C27"/>
  <c r="D20"/>
  <c r="C20"/>
  <c r="D13"/>
  <c r="C13"/>
  <c r="D6"/>
  <c r="C6"/>
  <c r="C61" s="1"/>
  <c r="F94" i="113"/>
  <c r="F107" i="1"/>
  <c r="F93"/>
  <c r="F92"/>
  <c r="F91"/>
  <c r="F18"/>
  <c r="F40"/>
  <c r="F36"/>
  <c r="F95"/>
  <c r="F44"/>
  <c r="F42"/>
  <c r="F41"/>
  <c r="F39"/>
  <c r="F37"/>
  <c r="F109"/>
  <c r="F105"/>
  <c r="F94"/>
  <c r="F24"/>
  <c r="F33"/>
  <c r="F35"/>
  <c r="F122"/>
  <c r="F111"/>
  <c r="F102"/>
  <c r="F100"/>
  <c r="F96"/>
  <c r="F75"/>
  <c r="F38"/>
  <c r="F25"/>
  <c r="F21"/>
  <c r="F11"/>
  <c r="F10"/>
  <c r="F9"/>
  <c r="F8"/>
  <c r="F7"/>
  <c r="F46" i="133"/>
  <c r="F44"/>
  <c r="F46" i="130"/>
  <c r="F44"/>
  <c r="F92" i="113"/>
  <c r="E77" i="128"/>
  <c r="F121"/>
  <c r="F107"/>
  <c r="D112"/>
  <c r="D107" s="1"/>
  <c r="D91"/>
  <c r="F94"/>
  <c r="F92"/>
  <c r="F134"/>
  <c r="F73"/>
  <c r="E145" i="113"/>
  <c r="D121"/>
  <c r="E24" i="130"/>
  <c r="F8"/>
  <c r="E35"/>
  <c r="E40" s="1"/>
  <c r="F35"/>
  <c r="D40"/>
  <c r="D36"/>
  <c r="D35"/>
  <c r="D8"/>
  <c r="E49"/>
  <c r="E8"/>
  <c r="F110" i="113"/>
  <c r="F108"/>
  <c r="F106"/>
  <c r="F101"/>
  <c r="F96"/>
  <c r="F95"/>
  <c r="F93"/>
  <c r="F46"/>
  <c r="D46"/>
  <c r="F43"/>
  <c r="F42"/>
  <c r="F40"/>
  <c r="F39"/>
  <c r="F38"/>
  <c r="E87" i="138"/>
  <c r="F87"/>
  <c r="E63"/>
  <c r="E15"/>
  <c r="E17"/>
  <c r="E18"/>
  <c r="E19"/>
  <c r="E20"/>
  <c r="E21"/>
  <c r="E16"/>
  <c r="F35" i="133"/>
  <c r="F43"/>
  <c r="F54" s="1"/>
  <c r="F45"/>
  <c r="F49" i="130"/>
  <c r="E51"/>
  <c r="E52"/>
  <c r="E53"/>
  <c r="E50"/>
  <c r="E45"/>
  <c r="E46"/>
  <c r="E47"/>
  <c r="E48"/>
  <c r="E44"/>
  <c r="E36"/>
  <c r="E38"/>
  <c r="E39"/>
  <c r="E37"/>
  <c r="E21"/>
  <c r="E22"/>
  <c r="E23"/>
  <c r="E20"/>
  <c r="E10"/>
  <c r="E11"/>
  <c r="E12"/>
  <c r="E13"/>
  <c r="E14"/>
  <c r="E15"/>
  <c r="E16"/>
  <c r="E17"/>
  <c r="E18"/>
  <c r="E9"/>
  <c r="E36" i="127"/>
  <c r="E40"/>
  <c r="E38"/>
  <c r="E39"/>
  <c r="E37"/>
  <c r="E21"/>
  <c r="E22"/>
  <c r="E23"/>
  <c r="E20"/>
  <c r="E10"/>
  <c r="E11"/>
  <c r="E12"/>
  <c r="E13"/>
  <c r="E14"/>
  <c r="E15"/>
  <c r="E16"/>
  <c r="E17"/>
  <c r="E18"/>
  <c r="E9"/>
  <c r="E47"/>
  <c r="E48"/>
  <c r="E49"/>
  <c r="E93" i="128"/>
  <c r="E94"/>
  <c r="E95"/>
  <c r="E96"/>
  <c r="E97"/>
  <c r="E101"/>
  <c r="E102"/>
  <c r="E103"/>
  <c r="E106"/>
  <c r="E108"/>
  <c r="E109"/>
  <c r="E110"/>
  <c r="E112"/>
  <c r="E116"/>
  <c r="E120"/>
  <c r="E122"/>
  <c r="E123"/>
  <c r="E136"/>
  <c r="E137"/>
  <c r="E92"/>
  <c r="E16"/>
  <c r="E17"/>
  <c r="E18"/>
  <c r="E19"/>
  <c r="E21"/>
  <c r="E65"/>
  <c r="E85"/>
  <c r="F145" i="137"/>
  <c r="F108"/>
  <c r="F96"/>
  <c r="F98"/>
  <c r="F99"/>
  <c r="F100"/>
  <c r="F101"/>
  <c r="F102"/>
  <c r="F103"/>
  <c r="F104"/>
  <c r="F105"/>
  <c r="F106"/>
  <c r="F97"/>
  <c r="D106"/>
  <c r="C106"/>
  <c r="F93"/>
  <c r="F94"/>
  <c r="F95"/>
  <c r="F92"/>
  <c r="E108"/>
  <c r="E93"/>
  <c r="E92"/>
  <c r="E94"/>
  <c r="F55"/>
  <c r="F57"/>
  <c r="F54"/>
  <c r="F39"/>
  <c r="F40"/>
  <c r="F41"/>
  <c r="F42"/>
  <c r="F43"/>
  <c r="F44"/>
  <c r="F45"/>
  <c r="F46"/>
  <c r="F38"/>
  <c r="E45" i="126"/>
  <c r="E46"/>
  <c r="E46" i="127" s="1"/>
  <c r="E47" i="126"/>
  <c r="E48"/>
  <c r="E49"/>
  <c r="E50"/>
  <c r="E51"/>
  <c r="E52"/>
  <c r="E53"/>
  <c r="E54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7"/>
  <c r="E38"/>
  <c r="E39"/>
  <c r="E43" i="135"/>
  <c r="E44"/>
  <c r="E45"/>
  <c r="E46"/>
  <c r="E47"/>
  <c r="E48"/>
  <c r="E49"/>
  <c r="E50"/>
  <c r="E51"/>
  <c r="E52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7"/>
  <c r="E38"/>
  <c r="E39"/>
  <c r="E8"/>
  <c r="E46" i="137"/>
  <c r="D46"/>
  <c r="E42"/>
  <c r="E38"/>
  <c r="E43"/>
  <c r="E39"/>
  <c r="D94"/>
  <c r="C94"/>
  <c r="C96"/>
  <c r="D96"/>
  <c r="E9" i="128"/>
  <c r="E135" i="1"/>
  <c r="E136"/>
  <c r="E137"/>
  <c r="E134"/>
  <c r="E122"/>
  <c r="E121"/>
  <c r="E108"/>
  <c r="E109"/>
  <c r="E110"/>
  <c r="E111"/>
  <c r="E112"/>
  <c r="E113"/>
  <c r="E114"/>
  <c r="E115"/>
  <c r="E116"/>
  <c r="E117"/>
  <c r="E118"/>
  <c r="E119"/>
  <c r="E107"/>
  <c r="E92"/>
  <c r="E93"/>
  <c r="E94"/>
  <c r="E95"/>
  <c r="E96"/>
  <c r="E97"/>
  <c r="E98"/>
  <c r="E99"/>
  <c r="E100"/>
  <c r="E101"/>
  <c r="E102"/>
  <c r="E103"/>
  <c r="E104"/>
  <c r="E105"/>
  <c r="E91"/>
  <c r="E72"/>
  <c r="E71" s="1"/>
  <c r="E84" s="1"/>
  <c r="E56"/>
  <c r="E58"/>
  <c r="E59"/>
  <c r="E60"/>
  <c r="E57"/>
  <c r="E51"/>
  <c r="E53"/>
  <c r="E54"/>
  <c r="E55"/>
  <c r="E52"/>
  <c r="E45"/>
  <c r="E47"/>
  <c r="E48"/>
  <c r="E49"/>
  <c r="E50"/>
  <c r="E46"/>
  <c r="E36"/>
  <c r="E37"/>
  <c r="E38"/>
  <c r="E39"/>
  <c r="E40"/>
  <c r="E41"/>
  <c r="E42"/>
  <c r="E43"/>
  <c r="E44"/>
  <c r="E29"/>
  <c r="E30"/>
  <c r="E31"/>
  <c r="E32"/>
  <c r="E22"/>
  <c r="E23"/>
  <c r="E24"/>
  <c r="E25"/>
  <c r="E26"/>
  <c r="E21"/>
  <c r="E15"/>
  <c r="E16"/>
  <c r="E17"/>
  <c r="E19"/>
  <c r="E14"/>
  <c r="E8"/>
  <c r="E9"/>
  <c r="E10"/>
  <c r="E11"/>
  <c r="E12"/>
  <c r="E7"/>
  <c r="D93" i="137"/>
  <c r="C93"/>
  <c r="D92"/>
  <c r="C92"/>
  <c r="D43"/>
  <c r="C43"/>
  <c r="D42"/>
  <c r="C42"/>
  <c r="C39"/>
  <c r="D39"/>
  <c r="D95"/>
  <c r="C95"/>
  <c r="D40"/>
  <c r="C40"/>
  <c r="D38"/>
  <c r="C38"/>
  <c r="D129"/>
  <c r="D121"/>
  <c r="E145" i="138"/>
  <c r="F145"/>
  <c r="D124"/>
  <c r="F139"/>
  <c r="D139"/>
  <c r="C139"/>
  <c r="F134"/>
  <c r="D134"/>
  <c r="C134"/>
  <c r="F129"/>
  <c r="D129"/>
  <c r="C129"/>
  <c r="F125"/>
  <c r="F144" s="1"/>
  <c r="D125"/>
  <c r="D144" s="1"/>
  <c r="C125"/>
  <c r="C144" s="1"/>
  <c r="F121"/>
  <c r="E121"/>
  <c r="C121"/>
  <c r="F107"/>
  <c r="D107"/>
  <c r="C107"/>
  <c r="F91"/>
  <c r="F124" s="1"/>
  <c r="E91"/>
  <c r="E124" s="1"/>
  <c r="D91"/>
  <c r="C91"/>
  <c r="F80"/>
  <c r="D80"/>
  <c r="C80"/>
  <c r="F76"/>
  <c r="D76"/>
  <c r="C76"/>
  <c r="F73"/>
  <c r="D73"/>
  <c r="C73"/>
  <c r="F68"/>
  <c r="D68"/>
  <c r="C68"/>
  <c r="F64"/>
  <c r="F86" s="1"/>
  <c r="D64"/>
  <c r="D86" s="1"/>
  <c r="C64"/>
  <c r="C86" s="1"/>
  <c r="F58"/>
  <c r="D58"/>
  <c r="C58"/>
  <c r="F53"/>
  <c r="D53"/>
  <c r="C53"/>
  <c r="F47"/>
  <c r="D47"/>
  <c r="C47"/>
  <c r="F36"/>
  <c r="D36"/>
  <c r="C36"/>
  <c r="F29"/>
  <c r="D29"/>
  <c r="C29"/>
  <c r="F22"/>
  <c r="D22"/>
  <c r="C22"/>
  <c r="F15"/>
  <c r="D15"/>
  <c r="C15"/>
  <c r="F8"/>
  <c r="F63" s="1"/>
  <c r="D8"/>
  <c r="C8"/>
  <c r="F139" i="137"/>
  <c r="D139"/>
  <c r="C139"/>
  <c r="F134"/>
  <c r="D134"/>
  <c r="C134"/>
  <c r="F129"/>
  <c r="C129"/>
  <c r="F125"/>
  <c r="F144" s="1"/>
  <c r="D125"/>
  <c r="D144" s="1"/>
  <c r="C125"/>
  <c r="C144" s="1"/>
  <c r="F121"/>
  <c r="C121"/>
  <c r="F107"/>
  <c r="D107"/>
  <c r="C107"/>
  <c r="F91"/>
  <c r="F124" s="1"/>
  <c r="E91"/>
  <c r="D91"/>
  <c r="D124" s="1"/>
  <c r="C91"/>
  <c r="F80"/>
  <c r="D80"/>
  <c r="C80"/>
  <c r="F76"/>
  <c r="D76"/>
  <c r="C76"/>
  <c r="F73"/>
  <c r="D73"/>
  <c r="C73"/>
  <c r="F68"/>
  <c r="D68"/>
  <c r="C68"/>
  <c r="F64"/>
  <c r="F86" s="1"/>
  <c r="D64"/>
  <c r="D86" s="1"/>
  <c r="C64"/>
  <c r="C86" s="1"/>
  <c r="F58"/>
  <c r="D58"/>
  <c r="C58"/>
  <c r="F53"/>
  <c r="D53"/>
  <c r="C53"/>
  <c r="F47"/>
  <c r="D47"/>
  <c r="C47"/>
  <c r="F36"/>
  <c r="D36"/>
  <c r="C36"/>
  <c r="F29"/>
  <c r="D29"/>
  <c r="C29"/>
  <c r="F22"/>
  <c r="D22"/>
  <c r="C22"/>
  <c r="F15"/>
  <c r="D15"/>
  <c r="C15"/>
  <c r="F8"/>
  <c r="F63" s="1"/>
  <c r="F87" s="1"/>
  <c r="D8"/>
  <c r="C8"/>
  <c r="F120" i="1"/>
  <c r="C36" i="120"/>
  <c r="F20" i="1"/>
  <c r="F6"/>
  <c r="F58" i="128"/>
  <c r="F30"/>
  <c r="F29"/>
  <c r="F22"/>
  <c r="F15"/>
  <c r="F8"/>
  <c r="F28" i="1"/>
  <c r="E28" s="1"/>
  <c r="F34"/>
  <c r="E33"/>
  <c r="E18"/>
  <c r="F90"/>
  <c r="F112" i="128"/>
  <c r="F96"/>
  <c r="F36" i="135"/>
  <c r="F48"/>
  <c r="D36"/>
  <c r="E36" s="1"/>
  <c r="E45" i="134"/>
  <c r="E46"/>
  <c r="E47"/>
  <c r="E48"/>
  <c r="E44"/>
  <c r="E39"/>
  <c r="E36" s="1"/>
  <c r="E40" s="1"/>
  <c r="F36"/>
  <c r="F49"/>
  <c r="D35"/>
  <c r="D36"/>
  <c r="D36" i="126"/>
  <c r="D36" i="127"/>
  <c r="F43" i="130"/>
  <c r="F43" i="136"/>
  <c r="D43"/>
  <c r="D46"/>
  <c r="D45"/>
  <c r="C46"/>
  <c r="C45"/>
  <c r="C43" s="1"/>
  <c r="C44"/>
  <c r="F50"/>
  <c r="F49" s="1"/>
  <c r="E49"/>
  <c r="E54" s="1"/>
  <c r="D49"/>
  <c r="C49"/>
  <c r="F39"/>
  <c r="F36" s="1"/>
  <c r="E36"/>
  <c r="E40" s="1"/>
  <c r="D36"/>
  <c r="C36"/>
  <c r="F29"/>
  <c r="D29"/>
  <c r="C29"/>
  <c r="F25"/>
  <c r="D25"/>
  <c r="C25"/>
  <c r="F19"/>
  <c r="D19"/>
  <c r="C19"/>
  <c r="F8"/>
  <c r="D8"/>
  <c r="C8"/>
  <c r="F36" i="130"/>
  <c r="F40" s="1"/>
  <c r="D19"/>
  <c r="C148" i="140" l="1"/>
  <c r="C84"/>
  <c r="D84"/>
  <c r="D148"/>
  <c r="C149" i="139"/>
  <c r="C85"/>
  <c r="D85"/>
  <c r="D149"/>
  <c r="D145"/>
  <c r="E133" i="1"/>
  <c r="E20"/>
  <c r="E6"/>
  <c r="E43" i="130"/>
  <c r="E54" s="1"/>
  <c r="E124" i="128"/>
  <c r="E43" i="134"/>
  <c r="E124" i="137"/>
  <c r="E145" s="1"/>
  <c r="E13" i="1"/>
  <c r="E27"/>
  <c r="F13"/>
  <c r="F27"/>
  <c r="E35"/>
  <c r="E34" s="1"/>
  <c r="D145" i="137"/>
  <c r="C124"/>
  <c r="C145" s="1"/>
  <c r="D63"/>
  <c r="D87" s="1"/>
  <c r="C63"/>
  <c r="C87" s="1"/>
  <c r="D145" i="138"/>
  <c r="D63"/>
  <c r="D87" s="1"/>
  <c r="C124"/>
  <c r="C145" s="1"/>
  <c r="C63"/>
  <c r="C87" s="1"/>
  <c r="D54" i="136"/>
  <c r="F54"/>
  <c r="C54"/>
  <c r="F35"/>
  <c r="D35"/>
  <c r="D40" s="1"/>
  <c r="F40"/>
  <c r="C35"/>
  <c r="C40" s="1"/>
  <c r="C24" i="120"/>
  <c r="C8" i="126"/>
  <c r="B21" i="120"/>
  <c r="E36" i="133"/>
  <c r="E40" s="1"/>
  <c r="F36"/>
  <c r="E49"/>
  <c r="E121" i="113"/>
  <c r="E90" i="1"/>
  <c r="F50" i="127"/>
  <c r="E52"/>
  <c r="E53"/>
  <c r="E54"/>
  <c r="E45"/>
  <c r="F36"/>
  <c r="E8"/>
  <c r="F19"/>
  <c r="F19" i="134"/>
  <c r="F42" i="135"/>
  <c r="D14" i="128"/>
  <c r="E14" s="1"/>
  <c r="D13"/>
  <c r="E13" s="1"/>
  <c r="D12"/>
  <c r="E12" s="1"/>
  <c r="D11"/>
  <c r="E11" s="1"/>
  <c r="D10"/>
  <c r="E10" s="1"/>
  <c r="F112" i="114"/>
  <c r="F107"/>
  <c r="F147" i="128"/>
  <c r="F148"/>
  <c r="F149"/>
  <c r="D8"/>
  <c r="E20"/>
  <c r="E15" s="1"/>
  <c r="D23"/>
  <c r="E23" s="1"/>
  <c r="D24"/>
  <c r="E24" s="1"/>
  <c r="D25"/>
  <c r="E25" s="1"/>
  <c r="D26"/>
  <c r="E26" s="1"/>
  <c r="D27"/>
  <c r="E27" s="1"/>
  <c r="D28"/>
  <c r="E28" s="1"/>
  <c r="D31"/>
  <c r="E31" s="1"/>
  <c r="D32"/>
  <c r="E32" s="1"/>
  <c r="D33"/>
  <c r="E33" s="1"/>
  <c r="D34"/>
  <c r="E34" s="1"/>
  <c r="D35"/>
  <c r="E35" s="1"/>
  <c r="D37"/>
  <c r="E37" s="1"/>
  <c r="D38"/>
  <c r="E38" s="1"/>
  <c r="D39"/>
  <c r="E39" s="1"/>
  <c r="D40"/>
  <c r="E40" s="1"/>
  <c r="D41"/>
  <c r="D42"/>
  <c r="E42" s="1"/>
  <c r="D43"/>
  <c r="E43" s="1"/>
  <c r="D44"/>
  <c r="E44" s="1"/>
  <c r="D45"/>
  <c r="E46"/>
  <c r="D48"/>
  <c r="E48" s="1"/>
  <c r="D49"/>
  <c r="E49" s="1"/>
  <c r="D50"/>
  <c r="D51"/>
  <c r="D52"/>
  <c r="D54"/>
  <c r="D55"/>
  <c r="D56"/>
  <c r="E56" s="1"/>
  <c r="D57"/>
  <c r="D59"/>
  <c r="E59" s="1"/>
  <c r="D60"/>
  <c r="E60" s="1"/>
  <c r="D61"/>
  <c r="D62"/>
  <c r="D66"/>
  <c r="D67"/>
  <c r="D69"/>
  <c r="D70"/>
  <c r="D71"/>
  <c r="D72"/>
  <c r="D74"/>
  <c r="E74" s="1"/>
  <c r="D75"/>
  <c r="D48" i="135"/>
  <c r="C48"/>
  <c r="D42"/>
  <c r="E42" s="1"/>
  <c r="C42"/>
  <c r="C53"/>
  <c r="D49" i="134"/>
  <c r="D43"/>
  <c r="D54" s="1"/>
  <c r="C49"/>
  <c r="C43"/>
  <c r="C54" s="1"/>
  <c r="D49" i="133"/>
  <c r="D54" s="1"/>
  <c r="F49"/>
  <c r="C49"/>
  <c r="C43"/>
  <c r="C54" s="1"/>
  <c r="E49" i="131"/>
  <c r="C49"/>
  <c r="E43"/>
  <c r="E54" s="1"/>
  <c r="C43"/>
  <c r="C54" s="1"/>
  <c r="D49" i="130"/>
  <c r="D54" s="1"/>
  <c r="C49"/>
  <c r="C43"/>
  <c r="C54" s="1"/>
  <c r="D29" i="135"/>
  <c r="D25"/>
  <c r="D19"/>
  <c r="D8"/>
  <c r="D29" i="134"/>
  <c r="D25"/>
  <c r="D19"/>
  <c r="D8"/>
  <c r="D36" i="133"/>
  <c r="D29"/>
  <c r="D25"/>
  <c r="D19"/>
  <c r="D8"/>
  <c r="D35" s="1"/>
  <c r="D40" s="1"/>
  <c r="D25" i="130"/>
  <c r="D29"/>
  <c r="C36" i="135"/>
  <c r="F29"/>
  <c r="C29"/>
  <c r="F25"/>
  <c r="C25"/>
  <c r="F19"/>
  <c r="C19"/>
  <c r="F8"/>
  <c r="C8"/>
  <c r="C35" s="1"/>
  <c r="C40" s="1"/>
  <c r="C36" i="134"/>
  <c r="F29"/>
  <c r="C29"/>
  <c r="F25"/>
  <c r="C25"/>
  <c r="C19"/>
  <c r="F8"/>
  <c r="C8"/>
  <c r="C35" s="1"/>
  <c r="C40" s="1"/>
  <c r="C36" i="133"/>
  <c r="F29"/>
  <c r="C29"/>
  <c r="F25"/>
  <c r="C25"/>
  <c r="F19"/>
  <c r="C19"/>
  <c r="F8"/>
  <c r="F40" s="1"/>
  <c r="C8"/>
  <c r="C35"/>
  <c r="C40" s="1"/>
  <c r="E36" i="131"/>
  <c r="C36"/>
  <c r="E29"/>
  <c r="C29"/>
  <c r="E25"/>
  <c r="C25"/>
  <c r="E19"/>
  <c r="C19"/>
  <c r="E8"/>
  <c r="E35" s="1"/>
  <c r="E40" s="1"/>
  <c r="C8"/>
  <c r="C35"/>
  <c r="C40" s="1"/>
  <c r="C36" i="130"/>
  <c r="F29"/>
  <c r="C29"/>
  <c r="F25"/>
  <c r="C25"/>
  <c r="F19"/>
  <c r="C19"/>
  <c r="C8"/>
  <c r="C35"/>
  <c r="C40" s="1"/>
  <c r="G19" i="73"/>
  <c r="D6" i="1"/>
  <c r="D13"/>
  <c r="D20"/>
  <c r="D27"/>
  <c r="D34"/>
  <c r="D45"/>
  <c r="D51"/>
  <c r="D56"/>
  <c r="D62"/>
  <c r="D66"/>
  <c r="D71"/>
  <c r="D74"/>
  <c r="D78"/>
  <c r="D90"/>
  <c r="D106"/>
  <c r="E106"/>
  <c r="D120"/>
  <c r="E120"/>
  <c r="D124"/>
  <c r="D128"/>
  <c r="D143" s="1"/>
  <c r="D133"/>
  <c r="D138"/>
  <c r="B11" i="120"/>
  <c r="C144" i="128"/>
  <c r="C143"/>
  <c r="C142"/>
  <c r="C141"/>
  <c r="C139"/>
  <c r="C138"/>
  <c r="C134" s="1"/>
  <c r="C133"/>
  <c r="C132"/>
  <c r="C131"/>
  <c r="C130"/>
  <c r="D128"/>
  <c r="C128"/>
  <c r="D127"/>
  <c r="C127"/>
  <c r="D126"/>
  <c r="C126"/>
  <c r="C125" s="1"/>
  <c r="C123"/>
  <c r="C122"/>
  <c r="C121" s="1"/>
  <c r="C120"/>
  <c r="C116"/>
  <c r="C112"/>
  <c r="C110"/>
  <c r="C109"/>
  <c r="C108"/>
  <c r="C107" s="1"/>
  <c r="C106"/>
  <c r="C103"/>
  <c r="C102"/>
  <c r="C101"/>
  <c r="C97"/>
  <c r="C95"/>
  <c r="C94"/>
  <c r="C93"/>
  <c r="C92"/>
  <c r="C76"/>
  <c r="C75"/>
  <c r="C74"/>
  <c r="C73" s="1"/>
  <c r="F72"/>
  <c r="E72" s="1"/>
  <c r="C72"/>
  <c r="F71"/>
  <c r="E71" s="1"/>
  <c r="C71"/>
  <c r="F70"/>
  <c r="E70" s="1"/>
  <c r="C70"/>
  <c r="F69"/>
  <c r="E69" s="1"/>
  <c r="E68" s="1"/>
  <c r="C69"/>
  <c r="F67"/>
  <c r="E67" s="1"/>
  <c r="C67"/>
  <c r="F66"/>
  <c r="E66" s="1"/>
  <c r="C66"/>
  <c r="F64"/>
  <c r="C64"/>
  <c r="F62"/>
  <c r="E62" s="1"/>
  <c r="C62"/>
  <c r="C61"/>
  <c r="C60"/>
  <c r="C59"/>
  <c r="C58" s="1"/>
  <c r="F57"/>
  <c r="E57" s="1"/>
  <c r="C57"/>
  <c r="C56"/>
  <c r="F55"/>
  <c r="E55" s="1"/>
  <c r="C55"/>
  <c r="F54"/>
  <c r="C54"/>
  <c r="F52"/>
  <c r="E52" s="1"/>
  <c r="C52"/>
  <c r="F51"/>
  <c r="E51" s="1"/>
  <c r="C51"/>
  <c r="F50"/>
  <c r="C50"/>
  <c r="C49"/>
  <c r="C48"/>
  <c r="C46"/>
  <c r="C45"/>
  <c r="C44"/>
  <c r="C43"/>
  <c r="C42"/>
  <c r="C41"/>
  <c r="C40"/>
  <c r="C39"/>
  <c r="C38"/>
  <c r="C37"/>
  <c r="C35"/>
  <c r="C34"/>
  <c r="C33"/>
  <c r="C32"/>
  <c r="C31"/>
  <c r="C28"/>
  <c r="C27"/>
  <c r="C26"/>
  <c r="C25"/>
  <c r="C24"/>
  <c r="C23"/>
  <c r="C14"/>
  <c r="C13"/>
  <c r="C12"/>
  <c r="C11"/>
  <c r="C10"/>
  <c r="C9"/>
  <c r="C140"/>
  <c r="D121" i="95"/>
  <c r="F45" i="128"/>
  <c r="E45" s="1"/>
  <c r="D30" i="113"/>
  <c r="D30" i="128" s="1"/>
  <c r="E30" s="1"/>
  <c r="E29" s="1"/>
  <c r="F106" i="114"/>
  <c r="D95" i="96"/>
  <c r="D90"/>
  <c r="F105" i="114"/>
  <c r="F104"/>
  <c r="F103"/>
  <c r="F102"/>
  <c r="F101"/>
  <c r="F100"/>
  <c r="F99"/>
  <c r="F98"/>
  <c r="F97"/>
  <c r="F95"/>
  <c r="F94"/>
  <c r="F93"/>
  <c r="F92"/>
  <c r="F43"/>
  <c r="F42"/>
  <c r="F41"/>
  <c r="F41" i="128" s="1"/>
  <c r="F40" i="114"/>
  <c r="F39"/>
  <c r="F38"/>
  <c r="E121"/>
  <c r="D91" i="113"/>
  <c r="D107"/>
  <c r="D125"/>
  <c r="D129"/>
  <c r="D134"/>
  <c r="D139"/>
  <c r="D144"/>
  <c r="D145" s="1"/>
  <c r="D8"/>
  <c r="D15"/>
  <c r="D22"/>
  <c r="D36"/>
  <c r="D47"/>
  <c r="D53"/>
  <c r="D58"/>
  <c r="D64"/>
  <c r="D86" s="1"/>
  <c r="D68"/>
  <c r="D73"/>
  <c r="D76"/>
  <c r="D80"/>
  <c r="D121" i="114"/>
  <c r="D91"/>
  <c r="D124"/>
  <c r="D145" s="1"/>
  <c r="D36"/>
  <c r="D63" s="1"/>
  <c r="D87" s="1"/>
  <c r="D91" i="115"/>
  <c r="D124"/>
  <c r="D145" s="1"/>
  <c r="D15"/>
  <c r="D63" s="1"/>
  <c r="D87" s="1"/>
  <c r="C8" i="127"/>
  <c r="D8"/>
  <c r="C19"/>
  <c r="C35" s="1"/>
  <c r="C40" s="1"/>
  <c r="D19"/>
  <c r="E19"/>
  <c r="C25"/>
  <c r="D25"/>
  <c r="E25"/>
  <c r="F25"/>
  <c r="C29"/>
  <c r="D29"/>
  <c r="E29"/>
  <c r="F29"/>
  <c r="C36"/>
  <c r="C44"/>
  <c r="D44"/>
  <c r="C50"/>
  <c r="D50"/>
  <c r="C55"/>
  <c r="F50" i="126"/>
  <c r="D44"/>
  <c r="D50"/>
  <c r="D55"/>
  <c r="F36"/>
  <c r="E36" s="1"/>
  <c r="F8"/>
  <c r="E8" s="1"/>
  <c r="D8"/>
  <c r="D19"/>
  <c r="D35" s="1"/>
  <c r="D40" s="1"/>
  <c r="D25"/>
  <c r="D29"/>
  <c r="F106" i="1"/>
  <c r="F123" s="1"/>
  <c r="F56"/>
  <c r="F45"/>
  <c r="D15" i="120"/>
  <c r="C139" i="115"/>
  <c r="C134"/>
  <c r="C129"/>
  <c r="C125"/>
  <c r="C144"/>
  <c r="C121"/>
  <c r="C107"/>
  <c r="C91"/>
  <c r="C124"/>
  <c r="C80"/>
  <c r="C76"/>
  <c r="C73"/>
  <c r="C68"/>
  <c r="C64"/>
  <c r="C86"/>
  <c r="C58"/>
  <c r="C53"/>
  <c r="C47"/>
  <c r="C36"/>
  <c r="C30"/>
  <c r="C29"/>
  <c r="C22"/>
  <c r="C15"/>
  <c r="C8"/>
  <c r="C139" i="114"/>
  <c r="C134"/>
  <c r="C129"/>
  <c r="C125"/>
  <c r="C144"/>
  <c r="C121"/>
  <c r="C107"/>
  <c r="C96"/>
  <c r="C91"/>
  <c r="C124" s="1"/>
  <c r="C145" s="1"/>
  <c r="C80"/>
  <c r="C76"/>
  <c r="C73"/>
  <c r="C68"/>
  <c r="C64"/>
  <c r="C86"/>
  <c r="C58"/>
  <c r="C53"/>
  <c r="C47"/>
  <c r="C36"/>
  <c r="C30"/>
  <c r="C29"/>
  <c r="C22"/>
  <c r="C15"/>
  <c r="C8"/>
  <c r="C139" i="113"/>
  <c r="C134"/>
  <c r="C129"/>
  <c r="C125"/>
  <c r="C144"/>
  <c r="C121"/>
  <c r="C107"/>
  <c r="C96"/>
  <c r="C96" i="128"/>
  <c r="C80" i="113"/>
  <c r="C76"/>
  <c r="C73"/>
  <c r="C68"/>
  <c r="C64"/>
  <c r="C86"/>
  <c r="C58"/>
  <c r="C53"/>
  <c r="C47"/>
  <c r="C36"/>
  <c r="C30"/>
  <c r="C30" i="128"/>
  <c r="C29" s="1"/>
  <c r="C22" i="113"/>
  <c r="C15"/>
  <c r="C8"/>
  <c r="C50" i="126"/>
  <c r="C44"/>
  <c r="C55"/>
  <c r="C36"/>
  <c r="F29"/>
  <c r="C29"/>
  <c r="F25"/>
  <c r="C25"/>
  <c r="F19"/>
  <c r="F35" s="1"/>
  <c r="E35" s="1"/>
  <c r="C19"/>
  <c r="C35" s="1"/>
  <c r="C40" s="1"/>
  <c r="C139" i="95"/>
  <c r="C134"/>
  <c r="C129"/>
  <c r="C125"/>
  <c r="C144"/>
  <c r="C121"/>
  <c r="C112"/>
  <c r="C107" s="1"/>
  <c r="C91"/>
  <c r="C78"/>
  <c r="C74"/>
  <c r="C71"/>
  <c r="C66"/>
  <c r="C62"/>
  <c r="C84" s="1"/>
  <c r="C56"/>
  <c r="C51"/>
  <c r="C45"/>
  <c r="C34"/>
  <c r="C28"/>
  <c r="C27"/>
  <c r="C20"/>
  <c r="C13"/>
  <c r="C6"/>
  <c r="C138" i="96"/>
  <c r="C133"/>
  <c r="C128"/>
  <c r="C124"/>
  <c r="C143" s="1"/>
  <c r="C120"/>
  <c r="C106"/>
  <c r="C95"/>
  <c r="C90" s="1"/>
  <c r="C123" s="1"/>
  <c r="C77"/>
  <c r="C73"/>
  <c r="C70"/>
  <c r="C65"/>
  <c r="C61"/>
  <c r="C83"/>
  <c r="C149" s="1"/>
  <c r="C55"/>
  <c r="C50"/>
  <c r="C44"/>
  <c r="C33"/>
  <c r="C27"/>
  <c r="C26"/>
  <c r="C19"/>
  <c r="C12"/>
  <c r="C5"/>
  <c r="C60"/>
  <c r="C138" i="97"/>
  <c r="C133"/>
  <c r="C128"/>
  <c r="C124"/>
  <c r="C143"/>
  <c r="C120"/>
  <c r="C106"/>
  <c r="C90"/>
  <c r="C123"/>
  <c r="C77"/>
  <c r="C73"/>
  <c r="C70"/>
  <c r="C65"/>
  <c r="C61"/>
  <c r="C83"/>
  <c r="C55"/>
  <c r="C50"/>
  <c r="C44"/>
  <c r="C33"/>
  <c r="C27"/>
  <c r="C26"/>
  <c r="C19"/>
  <c r="C12"/>
  <c r="C5"/>
  <c r="C17" i="61"/>
  <c r="C18"/>
  <c r="F17"/>
  <c r="F30"/>
  <c r="F31" s="1"/>
  <c r="F33" s="1"/>
  <c r="C32"/>
  <c r="C24"/>
  <c r="C30"/>
  <c r="C19" i="73"/>
  <c r="C20"/>
  <c r="C28" s="1"/>
  <c r="C29" s="1"/>
  <c r="F19"/>
  <c r="F28"/>
  <c r="F29" s="1"/>
  <c r="C30"/>
  <c r="C25"/>
  <c r="F138" i="1"/>
  <c r="F133"/>
  <c r="F128"/>
  <c r="F124"/>
  <c r="F78"/>
  <c r="F74"/>
  <c r="F71"/>
  <c r="F66"/>
  <c r="F62"/>
  <c r="F51"/>
  <c r="C15" i="120"/>
  <c r="D11"/>
  <c r="D33"/>
  <c r="D21"/>
  <c r="C29"/>
  <c r="C21"/>
  <c r="C13"/>
  <c r="C9"/>
  <c r="C35" s="1"/>
  <c r="C7"/>
  <c r="C31"/>
  <c r="D9"/>
  <c r="G17" i="61"/>
  <c r="D7" i="120"/>
  <c r="D31"/>
  <c r="B9"/>
  <c r="B35" s="1"/>
  <c r="B37" s="1"/>
  <c r="B31"/>
  <c r="D91" i="95"/>
  <c r="D6"/>
  <c r="C120" i="1"/>
  <c r="C51"/>
  <c r="C56"/>
  <c r="C71"/>
  <c r="C74"/>
  <c r="C106"/>
  <c r="D25" i="73"/>
  <c r="D20"/>
  <c r="D28" s="1"/>
  <c r="F139" i="115"/>
  <c r="F134"/>
  <c r="F129"/>
  <c r="F125"/>
  <c r="F144"/>
  <c r="F121"/>
  <c r="F107"/>
  <c r="F91"/>
  <c r="F124"/>
  <c r="F145" s="1"/>
  <c r="F80"/>
  <c r="F76"/>
  <c r="F73"/>
  <c r="F68"/>
  <c r="F64"/>
  <c r="F86" s="1"/>
  <c r="F58"/>
  <c r="F53"/>
  <c r="F47"/>
  <c r="F36"/>
  <c r="F30"/>
  <c r="F29" s="1"/>
  <c r="F22"/>
  <c r="F15"/>
  <c r="F8"/>
  <c r="F63" s="1"/>
  <c r="F87" s="1"/>
  <c r="F139" i="114"/>
  <c r="F134"/>
  <c r="F129"/>
  <c r="F125"/>
  <c r="F144" s="1"/>
  <c r="F121"/>
  <c r="F80"/>
  <c r="F76"/>
  <c r="F73"/>
  <c r="F68"/>
  <c r="F64"/>
  <c r="F86"/>
  <c r="F58"/>
  <c r="F53"/>
  <c r="F47"/>
  <c r="F36"/>
  <c r="F30"/>
  <c r="F29"/>
  <c r="F22"/>
  <c r="F15"/>
  <c r="F8"/>
  <c r="F63" s="1"/>
  <c r="F87" s="1"/>
  <c r="F139" i="113"/>
  <c r="F134"/>
  <c r="F129"/>
  <c r="F125"/>
  <c r="F107"/>
  <c r="F80"/>
  <c r="F76"/>
  <c r="F64"/>
  <c r="F68"/>
  <c r="F58"/>
  <c r="F53"/>
  <c r="F47"/>
  <c r="F36"/>
  <c r="F22"/>
  <c r="D138" i="97"/>
  <c r="D133"/>
  <c r="D128"/>
  <c r="D124"/>
  <c r="D143" s="1"/>
  <c r="D120"/>
  <c r="D106"/>
  <c r="D90"/>
  <c r="D123" s="1"/>
  <c r="D144" s="1"/>
  <c r="D77"/>
  <c r="D73"/>
  <c r="D70"/>
  <c r="D65"/>
  <c r="D61"/>
  <c r="D83"/>
  <c r="D149" s="1"/>
  <c r="D55"/>
  <c r="D50"/>
  <c r="D44"/>
  <c r="D33"/>
  <c r="D27"/>
  <c r="D26" s="1"/>
  <c r="D19"/>
  <c r="D12"/>
  <c r="D5"/>
  <c r="D60" s="1"/>
  <c r="D138" i="96"/>
  <c r="D133"/>
  <c r="D128"/>
  <c r="D124"/>
  <c r="D143" s="1"/>
  <c r="D120"/>
  <c r="D106"/>
  <c r="D77"/>
  <c r="D73"/>
  <c r="D70"/>
  <c r="D65"/>
  <c r="D61"/>
  <c r="D83" s="1"/>
  <c r="D55"/>
  <c r="D50"/>
  <c r="D44"/>
  <c r="D33"/>
  <c r="D27"/>
  <c r="D26"/>
  <c r="D19"/>
  <c r="D12"/>
  <c r="D5"/>
  <c r="D139" i="95"/>
  <c r="D134"/>
  <c r="D144" s="1"/>
  <c r="D129"/>
  <c r="D125"/>
  <c r="D107"/>
  <c r="D124" s="1"/>
  <c r="D78"/>
  <c r="D74"/>
  <c r="D71"/>
  <c r="D66"/>
  <c r="D62"/>
  <c r="D56"/>
  <c r="D51"/>
  <c r="D45"/>
  <c r="D34"/>
  <c r="D28"/>
  <c r="D27" s="1"/>
  <c r="D20"/>
  <c r="D13"/>
  <c r="D19" i="73"/>
  <c r="G30" s="1"/>
  <c r="D17" i="61"/>
  <c r="D32" s="1"/>
  <c r="C138" i="1"/>
  <c r="C133"/>
  <c r="C128"/>
  <c r="C124"/>
  <c r="C78"/>
  <c r="C66"/>
  <c r="C62"/>
  <c r="C84" s="1"/>
  <c r="G30" i="61"/>
  <c r="D18"/>
  <c r="G28" i="73"/>
  <c r="D24" i="61"/>
  <c r="C90" i="1"/>
  <c r="C123" s="1"/>
  <c r="C45"/>
  <c r="C34"/>
  <c r="C27"/>
  <c r="C20"/>
  <c r="C13"/>
  <c r="C6"/>
  <c r="C61" s="1"/>
  <c r="C84" i="96"/>
  <c r="D60"/>
  <c r="C63" i="114"/>
  <c r="C87" s="1"/>
  <c r="C63" i="115"/>
  <c r="C87" s="1"/>
  <c r="F30" i="73"/>
  <c r="C29" i="113"/>
  <c r="C63"/>
  <c r="C87" s="1"/>
  <c r="C91"/>
  <c r="C124" s="1"/>
  <c r="C145" s="1"/>
  <c r="E91" i="114"/>
  <c r="E124"/>
  <c r="E145" s="1"/>
  <c r="C60" i="97"/>
  <c r="C149"/>
  <c r="C144"/>
  <c r="C145" i="115"/>
  <c r="F32" i="61"/>
  <c r="F15" i="113"/>
  <c r="C31" i="61"/>
  <c r="D55" i="127"/>
  <c r="D29" i="113"/>
  <c r="D63"/>
  <c r="F96" i="114"/>
  <c r="F91"/>
  <c r="F124" s="1"/>
  <c r="F145" s="1"/>
  <c r="F29" i="113"/>
  <c r="C84" i="97"/>
  <c r="C148"/>
  <c r="G29" i="73"/>
  <c r="G31" i="61"/>
  <c r="D33" s="1"/>
  <c r="F44" i="126"/>
  <c r="D35" i="120"/>
  <c r="F8" i="113"/>
  <c r="D123" i="96"/>
  <c r="D144" s="1"/>
  <c r="D148"/>
  <c r="F73" i="113"/>
  <c r="F86" s="1"/>
  <c r="F40" i="126"/>
  <c r="E40" s="1"/>
  <c r="D30" i="73"/>
  <c r="F36" i="128" l="1"/>
  <c r="E41"/>
  <c r="D73"/>
  <c r="E75"/>
  <c r="C36"/>
  <c r="E22"/>
  <c r="E50"/>
  <c r="E47" s="1"/>
  <c r="F47"/>
  <c r="E54"/>
  <c r="E53" s="1"/>
  <c r="F53"/>
  <c r="D58"/>
  <c r="E61"/>
  <c r="E58" s="1"/>
  <c r="E73"/>
  <c r="E36"/>
  <c r="D22"/>
  <c r="C61" i="95"/>
  <c r="D145"/>
  <c r="C124"/>
  <c r="D84"/>
  <c r="D150" s="1"/>
  <c r="D61"/>
  <c r="D31" i="73"/>
  <c r="F61" i="1"/>
  <c r="F148" s="1"/>
  <c r="F144" i="113"/>
  <c r="D15" i="128"/>
  <c r="D87" i="113"/>
  <c r="F55" i="126"/>
  <c r="E55" s="1"/>
  <c r="E44"/>
  <c r="D53" i="135"/>
  <c r="E61" i="1"/>
  <c r="E85" s="1"/>
  <c r="F143"/>
  <c r="F144" s="1"/>
  <c r="C143"/>
  <c r="C144" s="1"/>
  <c r="F84"/>
  <c r="F63" i="113"/>
  <c r="F87" s="1"/>
  <c r="F121"/>
  <c r="D29" i="73"/>
  <c r="D30" i="61"/>
  <c r="D31" s="1"/>
  <c r="G33"/>
  <c r="G32"/>
  <c r="G31" i="73"/>
  <c r="F149" i="1"/>
  <c r="E123"/>
  <c r="E144" s="1"/>
  <c r="D123"/>
  <c r="D144" s="1"/>
  <c r="D84"/>
  <c r="D149" s="1"/>
  <c r="D61"/>
  <c r="D85" s="1"/>
  <c r="F35" i="135"/>
  <c r="F53"/>
  <c r="D35"/>
  <c r="D35" i="127"/>
  <c r="D40" s="1"/>
  <c r="E54" i="133"/>
  <c r="D29" i="128"/>
  <c r="C15"/>
  <c r="C22"/>
  <c r="C47"/>
  <c r="C53"/>
  <c r="C68"/>
  <c r="F68"/>
  <c r="C80"/>
  <c r="D125"/>
  <c r="C129"/>
  <c r="D140"/>
  <c r="D76"/>
  <c r="F8" i="127"/>
  <c r="F35" s="1"/>
  <c r="F40" s="1"/>
  <c r="F80" i="128"/>
  <c r="E80" s="1"/>
  <c r="C8"/>
  <c r="E35" i="127"/>
  <c r="C85" i="1"/>
  <c r="C148"/>
  <c r="D85" i="95"/>
  <c r="D149"/>
  <c r="D149" i="96"/>
  <c r="D84"/>
  <c r="C148"/>
  <c r="C144"/>
  <c r="C149" i="95"/>
  <c r="C145"/>
  <c r="D84" i="97"/>
  <c r="D148"/>
  <c r="F31" i="73"/>
  <c r="C31"/>
  <c r="C150" i="95"/>
  <c r="C85"/>
  <c r="D148" i="1"/>
  <c r="E53" i="135"/>
  <c r="C33" i="61"/>
  <c r="C145" i="128"/>
  <c r="F76"/>
  <c r="D64"/>
  <c r="E64" s="1"/>
  <c r="D53"/>
  <c r="D36"/>
  <c r="D121"/>
  <c r="D124" s="1"/>
  <c r="F43" i="134"/>
  <c r="F54" s="1"/>
  <c r="F44" i="127"/>
  <c r="F55" s="1"/>
  <c r="C91" i="128"/>
  <c r="C124" s="1"/>
  <c r="D80"/>
  <c r="D68"/>
  <c r="D47"/>
  <c r="F35" i="134"/>
  <c r="F54" i="130"/>
  <c r="D129" i="128"/>
  <c r="E44" i="127"/>
  <c r="E55" s="1"/>
  <c r="D86" i="128" l="1"/>
  <c r="E86"/>
  <c r="C146"/>
  <c r="C63"/>
  <c r="F85" i="1"/>
  <c r="D63" i="128"/>
  <c r="F86"/>
  <c r="E76"/>
  <c r="C149" i="1"/>
  <c r="F63" i="128"/>
  <c r="C86"/>
  <c r="C87" s="1"/>
  <c r="F40" i="134"/>
  <c r="F40" i="135"/>
  <c r="E40" s="1"/>
  <c r="D145" i="128"/>
  <c r="F87" l="1"/>
  <c r="E87" s="1"/>
  <c r="D146"/>
  <c r="E91" i="113" l="1"/>
  <c r="E124" s="1"/>
  <c r="F91"/>
  <c r="F124" s="1"/>
  <c r="F145" s="1"/>
  <c r="F91" i="128" l="1"/>
  <c r="F124" s="1"/>
  <c r="E8" l="1"/>
  <c r="E63" s="1"/>
  <c r="F125"/>
  <c r="E129"/>
  <c r="F129" s="1"/>
  <c r="E134" l="1"/>
  <c r="E140"/>
  <c r="F140" s="1"/>
  <c r="F145" l="1"/>
  <c r="E145" s="1"/>
  <c r="E146" s="1"/>
  <c r="F146" l="1"/>
</calcChain>
</file>

<file path=xl/sharedStrings.xml><?xml version="1.0" encoding="utf-8"?>
<sst xmlns="http://schemas.openxmlformats.org/spreadsheetml/2006/main" count="4525" uniqueCount="450">
  <si>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</si>
  <si>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</si>
  <si>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</si>
  <si>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</si>
  <si>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</si>
  <si>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</si>
  <si>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</si>
  <si>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</si>
  <si>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</si>
  <si>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</si>
  <si>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</si>
  <si>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</si>
  <si>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</si>
  <si>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</si>
  <si>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</si>
  <si>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</si>
  <si>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</si>
  <si>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</si>
  <si>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</si>
  <si>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</si>
  <si>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</si>
  <si>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</si>
  <si>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</si>
  <si>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</si>
  <si>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</si>
  <si>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</si>
  <si>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</si>
  <si>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</si>
  <si>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</si>
  <si>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</si>
  <si>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</si>
  <si>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</si>
  <si>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</si>
  <si>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</si>
  <si>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</si>
  <si>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</si>
  <si>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</si>
  <si>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</si>
  <si>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01</t>
  </si>
  <si>
    <t>Ezer forintban !</t>
  </si>
  <si>
    <t>Előirányzat-csoport, kiemelt előirányzat megnevezése</t>
  </si>
  <si>
    <t>Bevételek</t>
  </si>
  <si>
    <t>Kiadások</t>
  </si>
  <si>
    <t>Egyéb fejlesztési célú kiadások</t>
  </si>
  <si>
    <t>Általános tartalék</t>
  </si>
  <si>
    <t>Céltartalék</t>
  </si>
  <si>
    <t>03</t>
  </si>
  <si>
    <t xml:space="preserve"> Ezer forintban !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</si>
  <si>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</si>
  <si>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</si>
  <si>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</si>
  <si>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</si>
  <si>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</si>
  <si>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</si>
  <si>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</si>
  <si>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</si>
  <si>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</si>
  <si>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</si>
  <si>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</si>
  <si>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</si>
  <si>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</si>
  <si>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</si>
  <si>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</si>
  <si>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</si>
  <si>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</si>
  <si>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</si>
  <si>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</si>
  <si>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</si>
  <si>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</si>
  <si>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</si>
  <si>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</si>
  <si>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</si>
  <si>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</si>
  <si>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</si>
  <si>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</si>
  <si>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</si>
  <si>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</si>
  <si>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</si>
  <si>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</si>
  <si>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</si>
  <si>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</si>
  <si>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</si>
  <si>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</si>
  <si>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</si>
  <si>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</si>
  <si>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</si>
  <si>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</si>
  <si>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</si>
  <si>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</si>
  <si>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</si>
  <si>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</si>
  <si>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</si>
  <si>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</si>
  <si>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</si>
  <si>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</si>
  <si>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</si>
  <si>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</si>
  <si>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</si>
  <si>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</si>
  <si>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</si>
  <si>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</si>
  <si>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</si>
  <si>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</si>
  <si>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</si>
  <si>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</si>
  <si>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</si>
  <si>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</si>
  <si>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</si>
  <si>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</si>
  <si>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</si>
  <si>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</si>
  <si>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</si>
  <si>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</si>
  <si>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</si>
  <si>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</si>
  <si>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</si>
  <si>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</si>
  <si>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</si>
  <si>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</si>
  <si>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</si>
  <si>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</si>
  <si>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Éves engedélyezett létszám előirányzat (fő)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</si>
  <si>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</si>
  <si>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</si>
  <si>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</si>
  <si>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</si>
  <si>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</si>
  <si>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</si>
  <si>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</si>
  <si>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</si>
  <si>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</si>
  <si>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</si>
  <si>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</si>
  <si>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</si>
  <si>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</si>
  <si>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</si>
  <si>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</si>
  <si>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</si>
  <si>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</si>
  <si>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</si>
  <si>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</si>
  <si>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</si>
  <si>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</si>
  <si>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</si>
  <si>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</si>
  <si>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</si>
  <si>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</si>
  <si>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</si>
  <si>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</si>
  <si>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</si>
  <si>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</si>
  <si>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</si>
  <si>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</si>
  <si>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</si>
  <si>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</si>
  <si>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</si>
  <si>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</si>
  <si>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</si>
  <si>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</si>
  <si>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</si>
  <si>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</si>
  <si>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</si>
  <si>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</si>
  <si>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</si>
  <si>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</si>
  <si>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</si>
  <si>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</si>
  <si>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</si>
  <si>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</si>
  <si>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</si>
  <si>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</si>
  <si>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</si>
  <si>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</si>
  <si>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</si>
  <si>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</si>
  <si>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</si>
  <si>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</si>
  <si>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</si>
  <si>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</si>
  <si>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</si>
  <si>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</si>
  <si>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</si>
  <si>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</si>
  <si>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</si>
  <si>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</si>
  <si>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</si>
  <si>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</si>
  <si>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</si>
  <si>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</si>
  <si>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</si>
  <si>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</si>
  <si>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</si>
  <si>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</si>
  <si>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</si>
  <si>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</si>
  <si>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</si>
  <si>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</si>
  <si>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</si>
  <si>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</si>
  <si>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</si>
  <si>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</si>
  <si>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</si>
  <si>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</si>
  <si>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</si>
  <si>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</si>
  <si>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</si>
  <si>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</si>
  <si>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</si>
  <si>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</si>
  <si>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</si>
  <si>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</si>
  <si>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</si>
  <si>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</si>
  <si>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</si>
  <si>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</si>
  <si>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</si>
  <si>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</si>
  <si>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</si>
  <si>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</si>
  <si>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</si>
  <si>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</si>
  <si>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</si>
  <si>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</si>
  <si>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</si>
  <si>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</si>
  <si>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</si>
  <si>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</si>
  <si>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</si>
  <si>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</si>
  <si>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</si>
  <si>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</si>
  <si>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</si>
  <si>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</si>
  <si>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</si>
  <si>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</si>
  <si>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</si>
  <si>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</si>
  <si>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</si>
  <si>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</si>
  <si>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</si>
  <si>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</si>
  <si>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</si>
  <si>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</si>
  <si>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</si>
  <si>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</si>
  <si>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</si>
  <si>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</si>
  <si>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</si>
  <si>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</si>
  <si>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</si>
  <si>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</si>
  <si>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</si>
  <si>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</si>
  <si>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</si>
  <si>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</si>
  <si>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</si>
  <si>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</si>
  <si>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</si>
  <si>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</si>
  <si>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</si>
  <si>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</si>
  <si>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</si>
  <si>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</si>
  <si>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</si>
  <si>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</si>
  <si>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</si>
  <si>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</si>
  <si>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</si>
  <si>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</si>
  <si>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</si>
  <si>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</si>
  <si>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</si>
  <si>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</si>
  <si>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</si>
  <si>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</si>
  <si>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</si>
  <si>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</si>
  <si>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</si>
  <si>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</si>
  <si>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</si>
  <si>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</si>
  <si>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</si>
  <si>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</si>
  <si>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</si>
  <si>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</si>
  <si>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</si>
  <si>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</si>
  <si>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</si>
  <si>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</si>
  <si>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</si>
  <si>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</si>
  <si>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</si>
  <si>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</si>
  <si>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</si>
  <si>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</si>
  <si>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</si>
  <si>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</si>
  <si>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</si>
  <si>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</si>
  <si>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</si>
  <si>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</si>
  <si>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</si>
  <si>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</si>
  <si>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</si>
  <si>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</si>
  <si>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</si>
  <si>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</si>
  <si>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</si>
  <si>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</si>
  <si>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</si>
  <si>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</si>
  <si>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</si>
  <si>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</si>
  <si>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</si>
  <si>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</si>
  <si>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</si>
  <si>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</si>
  <si>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</si>
  <si>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</si>
  <si>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</si>
  <si>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</si>
  <si>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</si>
  <si>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</si>
  <si>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</si>
  <si>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</si>
  <si>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</si>
  <si>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</si>
  <si>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</si>
  <si>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</si>
  <si>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BEVÉTEL ÖSSZESEN (12+25)</t>
  </si>
  <si>
    <t>KIADÁSOK ÖSSZESEN (12+25)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</si>
  <si>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</si>
  <si>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</si>
  <si>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</si>
  <si>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</si>
  <si>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</si>
  <si>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</si>
  <si>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</si>
  <si>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</si>
  <si>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</si>
  <si>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</si>
  <si>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</si>
  <si>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</si>
  <si>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</si>
  <si>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</si>
  <si>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</si>
  <si>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</si>
  <si>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</si>
  <si>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</si>
  <si>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</si>
  <si>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</si>
  <si>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</si>
  <si>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</si>
  <si>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</si>
  <si>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</si>
  <si>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</si>
  <si>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</si>
  <si>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</si>
  <si>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</si>
  <si>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</si>
  <si>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</si>
  <si>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</si>
  <si>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</si>
  <si>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</si>
  <si>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</si>
  <si>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</si>
  <si>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</si>
  <si>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</si>
  <si>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2015. évi előirányzat</t>
  </si>
  <si>
    <t>Csornai Napközi Otthonos Óvoda</t>
  </si>
  <si>
    <t>E Ft!</t>
  </si>
  <si>
    <t>Szakfeladat</t>
  </si>
  <si>
    <t>működésre</t>
  </si>
  <si>
    <t>felhalmozásra</t>
  </si>
  <si>
    <t>051080 Hulladék újrahasznosítása</t>
  </si>
  <si>
    <t>Biogáz projekt előkészítése</t>
  </si>
  <si>
    <t>045120 Út, autópálya építése</t>
  </si>
  <si>
    <t>Fejlesztési céltartalék</t>
  </si>
  <si>
    <t>106010 Lakóingatlan szoc.célú bérbeadása</t>
  </si>
  <si>
    <t>Működési céltartalék</t>
  </si>
  <si>
    <t>013350 Az önkormányzati vagyonnal való gazdálkodással kapcs.feladatok</t>
  </si>
  <si>
    <t>011130 Önkorm.és önkorm.hivatalok jogalkotó és ált.igazg.tevékenysége</t>
  </si>
  <si>
    <t>Környezetvédelmi alap képzés</t>
  </si>
  <si>
    <t>Pályázat önerő</t>
  </si>
  <si>
    <t>Kötvény bevétel terv. pénzmaradv-ből</t>
  </si>
  <si>
    <t>016080 Kiemelt állami és önkorm. rend.</t>
  </si>
  <si>
    <t>084032 Civil szervezetek programtámogatása</t>
  </si>
  <si>
    <t>Civil alap</t>
  </si>
  <si>
    <t>Önkormányzati összesen</t>
  </si>
  <si>
    <r>
      <t xml:space="preserve">
a 2013. évi tervezett tartalékokról   (</t>
    </r>
    <r>
      <rPr>
        <b/>
        <sz val="11"/>
        <rFont val="Times New Roman"/>
        <family val="1"/>
        <charset val="238"/>
      </rPr>
      <t>E Ft!)</t>
    </r>
  </si>
  <si>
    <t>Munkahelyteremtő beruházásokhoz közműfejlesztés</t>
  </si>
  <si>
    <t xml:space="preserve">Intézményi karbantartási </t>
  </si>
  <si>
    <t>Gazdasági Iroda költözése</t>
  </si>
  <si>
    <t>Zeneiskolai tantermek áthelyezése</t>
  </si>
  <si>
    <t>Széchenyi Iskolában öltöző kialakítás</t>
  </si>
  <si>
    <t>052020 Szennyvíz gyűjtése, tisztítása</t>
  </si>
  <si>
    <t>Csapadékvíz elvezetésre</t>
  </si>
  <si>
    <t>081045 Szabadidősport- tevékenyéség</t>
  </si>
  <si>
    <t>Civil szerv. sporttal kapcs. pályázatai önerejére</t>
  </si>
  <si>
    <t xml:space="preserve"> 2015. évi  rendezvényterv megvalósítás</t>
  </si>
  <si>
    <t>Andrássy u. lakásalap</t>
  </si>
  <si>
    <t>2015. évi módosított előirányzat</t>
  </si>
  <si>
    <t>2015. évi eredeti előirányzat</t>
  </si>
  <si>
    <t>Kötelező feladatok bevétele, kiadása</t>
  </si>
  <si>
    <t>Térfigyelő kamerarendszer kiépítéser</t>
  </si>
  <si>
    <t>Jelenlegi módosítás</t>
  </si>
  <si>
    <t>Kv.-i szerv megnev.</t>
  </si>
  <si>
    <t>Általános működési tartalék</t>
  </si>
  <si>
    <t>Költségvetési kiadások összesen:(1+3.+5.+...+11.)</t>
  </si>
  <si>
    <t>Felhalmozási célú finanszírozási kiadások összesen (13.+...+24.)</t>
  </si>
  <si>
    <t xml:space="preserve">   - Visszatér. támog., kölcsönök törlesztése ÁH-n belülre</t>
  </si>
  <si>
    <t>Költségvetési szerv megnevezése</t>
  </si>
  <si>
    <t>Polgármesteri /közös/ hivatal</t>
  </si>
  <si>
    <t>02</t>
  </si>
  <si>
    <t>Egyéb működési célú támogatások bevételei államháztartáson belülről</t>
  </si>
  <si>
    <t>Kötelező feladatok bevételei, kiadásai</t>
  </si>
  <si>
    <t>Állami (államigazgataási) feladatok bevételei, kiadásai</t>
  </si>
  <si>
    <t>04</t>
  </si>
  <si>
    <t>Városi Művelődési Központ  és Könyvtár</t>
  </si>
  <si>
    <t xml:space="preserve"> </t>
  </si>
  <si>
    <t>jelenlegi módosítás</t>
  </si>
  <si>
    <t>Működési bevételek</t>
  </si>
  <si>
    <t>Műk.célú visszatérítendő kölcsönök</t>
  </si>
  <si>
    <t>3.1.2 melléklet a 23/2015. (X. 28.) önkormányzati rendelethez</t>
  </si>
  <si>
    <t>3.1.3 melléklet a 2362015. (X. 28.) önkormányzati rendelethez</t>
  </si>
  <si>
    <t>3.2.1. melléklet a 23/2015. (X. 28.) önkormányzati rendelethez</t>
  </si>
  <si>
    <t>3.1 melléklet a 7/2015. (II.18.) önkormányzati rendelethez</t>
  </si>
  <si>
    <t>3.1.1 melléklet a 7/2015. (II. 18.) önkormányzati rendelethez</t>
  </si>
  <si>
    <t>3.2. melléklet a 7/2015. (II. 18.) önkormányzati rendelethez</t>
  </si>
  <si>
    <t>3.2.2. melléklet a 7/2015. (II. 18.) önkormányzati rendelethez</t>
  </si>
  <si>
    <t>3.3  melléklet a 7/2015. (II.18.) önkormányzati rendelethez</t>
  </si>
  <si>
    <t>3.3.1 melléklet a 7/2015. (II.18.) önkormányzati rendelethez</t>
  </si>
  <si>
    <t>3.4. melléklet a 7/2015. (II.18.) önkormányzati rendelethez</t>
  </si>
  <si>
    <t>3.4.1 melléklet a 7/2015. (II.18.) önkormányzati rendelethez</t>
  </si>
  <si>
    <t>4. számú melléklet a 7/2015. (II.18.) önkormányzati rendelethez</t>
  </si>
  <si>
    <t>7.3</t>
  </si>
  <si>
    <t>7.4</t>
  </si>
  <si>
    <t>7.5</t>
  </si>
  <si>
    <t xml:space="preserve">Központi, </t>
  </si>
  <si>
    <t>Mindösszesen:</t>
  </si>
  <si>
    <t>-ebből céltartalék</t>
  </si>
  <si>
    <t>Működési célú támogatások államháztartáson belülről (2.1.+…+2.5.)</t>
  </si>
  <si>
    <t>Felhalmozási célú támogatások államháztartáson belülről  (3.1.+…+3.5.)</t>
  </si>
  <si>
    <t>Államigazgatási feladatok bevételei, kiadása</t>
  </si>
  <si>
    <t>Önként vállalt feladatok bevételei, kiadásai</t>
  </si>
  <si>
    <t xml:space="preserve">                                                  </t>
  </si>
  <si>
    <t>1.1. melléklet a 7/2015. (II. 18.) önkormányzati rendelethez</t>
  </si>
  <si>
    <t>1.2. melléklet a 7/2015. (II. 18.) önkormányzati rendelethez</t>
  </si>
  <si>
    <t>1.4. melléklet a 7/2015. (II. 18.) önkormányzati rendelethez</t>
  </si>
  <si>
    <t>2.1. melléklet a 7/2015. (II. 18.)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</si>
</sst>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64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MS Sans Serif"/>
      <family val="2"/>
      <charset val="238"/>
    </font>
    <font>
      <sz val="12"/>
      <color indexed="8"/>
      <name val="Times New Roman"/>
      <family val="1"/>
    </font>
    <font>
      <sz val="14"/>
      <name val="Times New Roman CE"/>
      <charset val="238"/>
    </font>
    <font>
      <sz val="6"/>
      <name val="Times New Roman CE"/>
      <family val="1"/>
      <charset val="238"/>
    </font>
    <font>
      <sz val="6"/>
      <name val="Times New Roman"/>
      <family val="1"/>
      <charset val="238"/>
    </font>
    <font>
      <b/>
      <sz val="6"/>
      <name val="Times New Roman CE"/>
      <family val="1"/>
      <charset val="238"/>
    </font>
    <font>
      <b/>
      <i/>
      <sz val="6"/>
      <name val="Times New Roman CE"/>
      <family val="1"/>
      <charset val="238"/>
    </font>
    <font>
      <b/>
      <sz val="6"/>
      <name val="Times New Roman CE"/>
      <charset val="238"/>
    </font>
    <font>
      <sz val="6"/>
      <name val="Times New Roman CE"/>
      <charset val="238"/>
    </font>
    <font>
      <b/>
      <sz val="6"/>
      <name val="Times New Roman"/>
      <family val="1"/>
      <charset val="238"/>
    </font>
    <font>
      <b/>
      <sz val="6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6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3">
    <xf numFmtId="0" fontId="0" fillId="0" borderId="0"/>
    <xf numFmtId="43" fontId="1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" fillId="0" borderId="0"/>
    <xf numFmtId="0" fontId="15" fillId="0" borderId="0"/>
    <xf numFmtId="0" fontId="59" fillId="0" borderId="0"/>
    <xf numFmtId="0" fontId="38" fillId="0" borderId="0"/>
    <xf numFmtId="0" fontId="37" fillId="0" borderId="0"/>
    <xf numFmtId="0" fontId="10" fillId="0" borderId="0"/>
    <xf numFmtId="0" fontId="35" fillId="0" borderId="0"/>
  </cellStyleXfs>
  <cellXfs count="449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11" applyFont="1" applyFill="1" applyBorder="1" applyAlignment="1" applyProtection="1">
      <alignment horizontal="center" vertical="center" wrapText="1"/>
    </xf>
    <xf numFmtId="0" fontId="6" fillId="0" borderId="0" xfId="11" applyFont="1" applyFill="1" applyBorder="1" applyAlignment="1" applyProtection="1">
      <alignment vertical="center" wrapText="1"/>
    </xf>
    <xf numFmtId="0" fontId="18" fillId="0" borderId="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1"/>
    </xf>
    <xf numFmtId="0" fontId="18" fillId="0" borderId="4" xfId="11" applyFont="1" applyFill="1" applyBorder="1" applyAlignment="1" applyProtection="1">
      <alignment horizontal="left" vertical="center" wrapText="1" indent="1"/>
    </xf>
    <xf numFmtId="0" fontId="18" fillId="0" borderId="5" xfId="11" applyFont="1" applyFill="1" applyBorder="1" applyAlignment="1" applyProtection="1">
      <alignment horizontal="left" vertical="center" wrapText="1" indent="1"/>
    </xf>
    <xf numFmtId="0" fontId="18" fillId="0" borderId="6" xfId="11" applyFont="1" applyFill="1" applyBorder="1" applyAlignment="1" applyProtection="1">
      <alignment horizontal="left" vertical="center" wrapText="1" indent="1"/>
    </xf>
    <xf numFmtId="49" fontId="18" fillId="0" borderId="7" xfId="11" applyNumberFormat="1" applyFont="1" applyFill="1" applyBorder="1" applyAlignment="1" applyProtection="1">
      <alignment horizontal="left" vertical="center" wrapText="1" indent="1"/>
    </xf>
    <xf numFmtId="49" fontId="18" fillId="0" borderId="8" xfId="11" applyNumberFormat="1" applyFont="1" applyFill="1" applyBorder="1" applyAlignment="1" applyProtection="1">
      <alignment horizontal="left" vertical="center" wrapText="1" indent="1"/>
    </xf>
    <xf numFmtId="49" fontId="18" fillId="0" borderId="9" xfId="11" applyNumberFormat="1" applyFont="1" applyFill="1" applyBorder="1" applyAlignment="1" applyProtection="1">
      <alignment horizontal="left" vertical="center" wrapText="1" indent="1"/>
    </xf>
    <xf numFmtId="49" fontId="18" fillId="0" borderId="10" xfId="11" applyNumberFormat="1" applyFont="1" applyFill="1" applyBorder="1" applyAlignment="1" applyProtection="1">
      <alignment horizontal="left" vertical="center" wrapText="1" indent="1"/>
    </xf>
    <xf numFmtId="49" fontId="18" fillId="0" borderId="11" xfId="11" applyNumberFormat="1" applyFont="1" applyFill="1" applyBorder="1" applyAlignment="1" applyProtection="1">
      <alignment horizontal="left" vertical="center" wrapText="1" indent="1"/>
    </xf>
    <xf numFmtId="49" fontId="18" fillId="0" borderId="12" xfId="11" applyNumberFormat="1" applyFont="1" applyFill="1" applyBorder="1" applyAlignment="1" applyProtection="1">
      <alignment horizontal="left" vertical="center" wrapText="1" indent="1"/>
    </xf>
    <xf numFmtId="0" fontId="18" fillId="0" borderId="0" xfId="11" applyFont="1" applyFill="1" applyBorder="1" applyAlignment="1" applyProtection="1">
      <alignment horizontal="left" vertical="center" wrapText="1" indent="1"/>
    </xf>
    <xf numFmtId="0" fontId="17" fillId="0" borderId="13" xfId="11" applyFont="1" applyFill="1" applyBorder="1" applyAlignment="1" applyProtection="1">
      <alignment horizontal="left" vertical="center" wrapText="1" indent="1"/>
    </xf>
    <xf numFmtId="0" fontId="17" fillId="0" borderId="14" xfId="11" applyFont="1" applyFill="1" applyBorder="1" applyAlignment="1" applyProtection="1">
      <alignment horizontal="left" vertical="center" wrapText="1" indent="1"/>
    </xf>
    <xf numFmtId="0" fontId="17" fillId="0" borderId="15" xfId="11" applyFont="1" applyFill="1" applyBorder="1" applyAlignment="1" applyProtection="1">
      <alignment horizontal="left" vertical="center" wrapText="1" indent="1"/>
    </xf>
    <xf numFmtId="0" fontId="7" fillId="0" borderId="13" xfId="11" applyFont="1" applyFill="1" applyBorder="1" applyAlignment="1" applyProtection="1">
      <alignment horizontal="center" vertical="center" wrapText="1"/>
    </xf>
    <xf numFmtId="0" fontId="7" fillId="0" borderId="14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vertical="center" wrapText="1"/>
    </xf>
    <xf numFmtId="0" fontId="17" fillId="0" borderId="16" xfId="11" applyFont="1" applyFill="1" applyBorder="1" applyAlignment="1" applyProtection="1">
      <alignment vertical="center" wrapText="1"/>
    </xf>
    <xf numFmtId="0" fontId="17" fillId="0" borderId="13" xfId="11" applyFont="1" applyFill="1" applyBorder="1" applyAlignment="1" applyProtection="1">
      <alignment horizontal="center" vertical="center" wrapText="1"/>
    </xf>
    <xf numFmtId="0" fontId="17" fillId="0" borderId="14" xfId="11" applyFont="1" applyFill="1" applyBorder="1" applyAlignment="1" applyProtection="1">
      <alignment horizontal="center" vertical="center" wrapText="1"/>
    </xf>
    <xf numFmtId="0" fontId="17" fillId="0" borderId="17" xfId="11" applyFont="1" applyFill="1" applyBorder="1" applyAlignment="1" applyProtection="1">
      <alignment horizontal="center" vertical="center" wrapText="1"/>
    </xf>
    <xf numFmtId="0" fontId="7" fillId="0" borderId="17" xfId="11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18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2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11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25" fillId="0" borderId="21" xfId="11" applyFont="1" applyFill="1" applyBorder="1" applyAlignment="1" applyProtection="1">
      <alignment horizontal="left" vertical="center" wrapText="1" indent="1"/>
    </xf>
    <xf numFmtId="0" fontId="18" fillId="0" borderId="2" xfId="11" applyFont="1" applyFill="1" applyBorder="1" applyAlignment="1" applyProtection="1">
      <alignment horizontal="left" indent="6"/>
    </xf>
    <xf numFmtId="0" fontId="18" fillId="0" borderId="2" xfId="11" applyFont="1" applyFill="1" applyBorder="1" applyAlignment="1" applyProtection="1">
      <alignment horizontal="left" vertical="center" wrapText="1" indent="6"/>
    </xf>
    <xf numFmtId="0" fontId="18" fillId="0" borderId="6" xfId="11" applyFont="1" applyFill="1" applyBorder="1" applyAlignment="1" applyProtection="1">
      <alignment horizontal="left" vertical="center" wrapText="1" indent="6"/>
    </xf>
    <xf numFmtId="0" fontId="18" fillId="0" borderId="22" xfId="11" applyFont="1" applyFill="1" applyBorder="1" applyAlignment="1" applyProtection="1">
      <alignment horizontal="left" vertical="center" wrapText="1" indent="6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164" fontId="7" fillId="0" borderId="14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7" fillId="0" borderId="16" xfId="0" applyFont="1" applyFill="1" applyBorder="1" applyAlignment="1" applyProtection="1">
      <alignment horizontal="center" vertical="center" wrapText="1"/>
    </xf>
    <xf numFmtId="0" fontId="7" fillId="0" borderId="23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 applyProtection="1">
      <alignment horizontal="left" vertical="center" wrapText="1" indent="1"/>
    </xf>
    <xf numFmtId="0" fontId="23" fillId="0" borderId="13" xfId="0" applyFont="1" applyBorder="1" applyAlignment="1" applyProtection="1">
      <alignment horizontal="center" vertical="center" wrapText="1"/>
    </xf>
    <xf numFmtId="0" fontId="30" fillId="0" borderId="26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7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6" xfId="0" applyFont="1" applyFill="1" applyBorder="1" applyAlignment="1" applyProtection="1">
      <alignment vertical="center" wrapText="1"/>
    </xf>
    <xf numFmtId="0" fontId="31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8" fillId="0" borderId="2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8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29" xfId="0" applyFont="1" applyBorder="1" applyAlignment="1" applyProtection="1">
      <alignment horizontal="left" vertical="center" wrapText="1" indent="1"/>
    </xf>
    <xf numFmtId="164" fontId="17" fillId="0" borderId="23" xfId="11" applyNumberFormat="1" applyFont="1" applyFill="1" applyBorder="1" applyAlignment="1" applyProtection="1">
      <alignment horizontal="right" vertical="center" wrapText="1" indent="1"/>
    </xf>
    <xf numFmtId="164" fontId="17" fillId="0" borderId="17" xfId="11" applyNumberFormat="1" applyFont="1" applyFill="1" applyBorder="1" applyAlignment="1" applyProtection="1">
      <alignment horizontal="right" vertical="center" wrapText="1" indent="1"/>
    </xf>
    <xf numFmtId="164" fontId="18" fillId="0" borderId="30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1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11" applyNumberFormat="1" applyFont="1" applyFill="1" applyBorder="1" applyAlignment="1" applyProtection="1">
      <alignment horizontal="right" vertical="center" wrapText="1" indent="1"/>
    </xf>
    <xf numFmtId="164" fontId="6" fillId="0" borderId="0" xfId="11" applyNumberFormat="1" applyFont="1" applyFill="1" applyBorder="1" applyAlignment="1" applyProtection="1">
      <alignment horizontal="right" vertical="center" wrapText="1" indent="1"/>
    </xf>
    <xf numFmtId="164" fontId="18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7" xfId="0" applyNumberFormat="1" applyFont="1" applyBorder="1" applyAlignment="1" applyProtection="1">
      <alignment horizontal="right" vertical="center" wrapText="1" indent="1"/>
    </xf>
    <xf numFmtId="0" fontId="5" fillId="0" borderId="3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35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36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8" xfId="0" applyNumberFormat="1" applyFont="1" applyFill="1" applyBorder="1" applyAlignment="1" applyProtection="1">
      <alignment horizontal="left" vertical="center" wrapText="1" indent="1"/>
    </xf>
    <xf numFmtId="164" fontId="27" fillId="0" borderId="35" xfId="0" applyNumberFormat="1" applyFont="1" applyFill="1" applyBorder="1" applyAlignment="1" applyProtection="1">
      <alignment horizontal="left" vertical="center" wrapText="1" indent="1"/>
    </xf>
    <xf numFmtId="164" fontId="1" fillId="0" borderId="39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7" fillId="0" borderId="40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0" fontId="7" fillId="0" borderId="22" xfId="0" applyFont="1" applyFill="1" applyBorder="1" applyAlignment="1" applyProtection="1">
      <alignment horizontal="center" vertical="center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164" fontId="18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17" fillId="0" borderId="40" xfId="0" applyNumberFormat="1" applyFont="1" applyFill="1" applyBorder="1" applyAlignment="1" applyProtection="1">
      <alignment horizontal="right" vertical="center" wrapText="1" indent="1"/>
    </xf>
    <xf numFmtId="164" fontId="17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21" fillId="0" borderId="21" xfId="0" applyFont="1" applyBorder="1" applyAlignment="1" applyProtection="1">
      <alignment horizontal="left" vertical="center" wrapText="1" indent="1"/>
    </xf>
    <xf numFmtId="0" fontId="10" fillId="0" borderId="0" xfId="11" applyFont="1" applyFill="1" applyProtection="1"/>
    <xf numFmtId="0" fontId="10" fillId="0" borderId="0" xfId="11" applyFont="1" applyFill="1" applyAlignment="1" applyProtection="1">
      <alignment horizontal="right" vertical="center" indent="1"/>
    </xf>
    <xf numFmtId="0" fontId="33" fillId="0" borderId="0" xfId="0" applyFont="1" applyFill="1" applyAlignment="1" applyProtection="1">
      <alignment horizontal="left" vertical="center" wrapText="1"/>
    </xf>
    <xf numFmtId="0" fontId="33" fillId="0" borderId="0" xfId="0" applyFont="1" applyFill="1" applyAlignment="1" applyProtection="1">
      <alignment vertical="center" wrapText="1"/>
    </xf>
    <xf numFmtId="0" fontId="33" fillId="0" borderId="0" xfId="0" applyFont="1" applyFill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164" fontId="0" fillId="0" borderId="39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4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1" xfId="1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42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17" fillId="0" borderId="15" xfId="11" applyFont="1" applyFill="1" applyBorder="1" applyAlignment="1" applyProtection="1">
      <alignment horizontal="center" vertical="center" wrapText="1"/>
    </xf>
    <xf numFmtId="0" fontId="17" fillId="0" borderId="16" xfId="11" applyFont="1" applyFill="1" applyBorder="1" applyAlignment="1" applyProtection="1">
      <alignment horizontal="center" vertical="center" wrapText="1"/>
    </xf>
    <xf numFmtId="0" fontId="17" fillId="0" borderId="23" xfId="11" applyFont="1" applyFill="1" applyBorder="1" applyAlignment="1" applyProtection="1">
      <alignment horizontal="center" vertical="center" wrapText="1"/>
    </xf>
    <xf numFmtId="164" fontId="18" fillId="0" borderId="18" xfId="11" applyNumberFormat="1" applyFont="1" applyFill="1" applyBorder="1" applyAlignment="1" applyProtection="1">
      <alignment horizontal="right" vertical="center" wrapText="1" indent="1"/>
    </xf>
    <xf numFmtId="0" fontId="18" fillId="0" borderId="3" xfId="11" applyFont="1" applyFill="1" applyBorder="1" applyAlignment="1" applyProtection="1">
      <alignment horizontal="left" vertical="center" wrapText="1" indent="6"/>
    </xf>
    <xf numFmtId="0" fontId="10" fillId="0" borderId="0" xfId="11" applyFill="1" applyProtection="1"/>
    <xf numFmtId="0" fontId="18" fillId="0" borderId="0" xfId="11" applyFont="1" applyFill="1" applyProtection="1"/>
    <xf numFmtId="0" fontId="13" fillId="0" borderId="0" xfId="11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3" fillId="0" borderId="13" xfId="0" applyFont="1" applyBorder="1" applyAlignment="1" applyProtection="1">
      <alignment wrapText="1"/>
    </xf>
    <xf numFmtId="0" fontId="22" fillId="0" borderId="6" xfId="0" applyFont="1" applyBorder="1" applyAlignment="1" applyProtection="1">
      <alignment wrapTex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29" xfId="0" applyFont="1" applyBorder="1" applyAlignment="1" applyProtection="1">
      <alignment wrapText="1"/>
    </xf>
    <xf numFmtId="0" fontId="23" fillId="0" borderId="21" xfId="0" applyFont="1" applyBorder="1" applyAlignment="1" applyProtection="1">
      <alignment wrapText="1"/>
    </xf>
    <xf numFmtId="0" fontId="10" fillId="0" borderId="0" xfId="11" applyFill="1" applyAlignment="1" applyProtection="1"/>
    <xf numFmtId="164" fontId="21" fillId="0" borderId="17" xfId="0" quotePrefix="1" applyNumberFormat="1" applyFont="1" applyBorder="1" applyAlignment="1" applyProtection="1">
      <alignment horizontal="right" vertical="center" wrapText="1" indent="1"/>
    </xf>
    <xf numFmtId="0" fontId="20" fillId="0" borderId="0" xfId="11" applyFont="1" applyFill="1" applyProtection="1"/>
    <xf numFmtId="0" fontId="19" fillId="0" borderId="0" xfId="11" applyFont="1" applyFill="1" applyProtection="1"/>
    <xf numFmtId="0" fontId="10" fillId="0" borderId="0" xfId="11" applyFill="1" applyBorder="1" applyProtection="1"/>
    <xf numFmtId="164" fontId="2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8" fillId="0" borderId="9" xfId="11" applyNumberFormat="1" applyFont="1" applyFill="1" applyBorder="1" applyAlignment="1" applyProtection="1">
      <alignment horizontal="center" vertical="center" wrapText="1"/>
    </xf>
    <xf numFmtId="49" fontId="18" fillId="0" borderId="8" xfId="11" applyNumberFormat="1" applyFont="1" applyFill="1" applyBorder="1" applyAlignment="1" applyProtection="1">
      <alignment horizontal="center" vertical="center" wrapText="1"/>
    </xf>
    <xf numFmtId="49" fontId="18" fillId="0" borderId="10" xfId="11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29" xfId="0" applyFont="1" applyBorder="1" applyAlignment="1" applyProtection="1">
      <alignment horizontal="center" wrapText="1"/>
    </xf>
    <xf numFmtId="0" fontId="18" fillId="0" borderId="0" xfId="0" applyFont="1" applyFill="1" applyAlignment="1" applyProtection="1">
      <alignment horizontal="center" vertical="center" wrapText="1"/>
    </xf>
    <xf numFmtId="49" fontId="18" fillId="0" borderId="11" xfId="11" applyNumberFormat="1" applyFont="1" applyFill="1" applyBorder="1" applyAlignment="1" applyProtection="1">
      <alignment horizontal="center" vertical="center" wrapText="1"/>
    </xf>
    <xf numFmtId="49" fontId="18" fillId="0" borderId="7" xfId="11" applyNumberFormat="1" applyFont="1" applyFill="1" applyBorder="1" applyAlignment="1" applyProtection="1">
      <alignment horizontal="center" vertical="center" wrapText="1"/>
    </xf>
    <xf numFmtId="49" fontId="18" fillId="0" borderId="12" xfId="11" applyNumberFormat="1" applyFont="1" applyFill="1" applyBorder="1" applyAlignment="1" applyProtection="1">
      <alignment horizontal="center" vertical="center" wrapText="1"/>
    </xf>
    <xf numFmtId="0" fontId="23" fillId="0" borderId="29" xfId="0" applyFont="1" applyBorder="1" applyAlignment="1" applyProtection="1">
      <alignment horizontal="center" vertical="center" wrapText="1"/>
    </xf>
    <xf numFmtId="0" fontId="7" fillId="0" borderId="44" xfId="0" applyFont="1" applyFill="1" applyBorder="1" applyAlignment="1" applyProtection="1">
      <alignment horizontal="center" vertical="center" wrapText="1"/>
    </xf>
    <xf numFmtId="49" fontId="25" fillId="0" borderId="11" xfId="0" applyNumberFormat="1" applyFont="1" applyFill="1" applyBorder="1" applyAlignment="1" applyProtection="1">
      <alignment horizontal="center" vertical="center" wrapText="1"/>
    </xf>
    <xf numFmtId="49" fontId="25" fillId="0" borderId="8" xfId="0" applyNumberFormat="1" applyFont="1" applyFill="1" applyBorder="1" applyAlignment="1" applyProtection="1">
      <alignment horizontal="center" vertical="center" wrapText="1"/>
    </xf>
    <xf numFmtId="49" fontId="25" fillId="0" borderId="9" xfId="0" applyNumberFormat="1" applyFont="1" applyFill="1" applyBorder="1" applyAlignment="1" applyProtection="1">
      <alignment horizontal="center" vertical="center" wrapText="1"/>
    </xf>
    <xf numFmtId="0" fontId="25" fillId="0" borderId="3" xfId="11" applyFont="1" applyFill="1" applyBorder="1" applyAlignment="1" applyProtection="1">
      <alignment horizontal="left" vertical="center" wrapText="1" indent="1"/>
    </xf>
    <xf numFmtId="0" fontId="25" fillId="0" borderId="2" xfId="11" applyFont="1" applyFill="1" applyBorder="1" applyAlignment="1" applyProtection="1">
      <alignment horizontal="left" vertical="center" wrapText="1" indent="1"/>
    </xf>
    <xf numFmtId="0" fontId="25" fillId="0" borderId="21" xfId="11" quotePrefix="1" applyFont="1" applyFill="1" applyBorder="1" applyAlignment="1" applyProtection="1">
      <alignment horizontal="left" vertical="center" wrapText="1" indent="1"/>
    </xf>
    <xf numFmtId="0" fontId="31" fillId="0" borderId="0" xfId="0" applyFont="1" applyAlignment="1" applyProtection="1">
      <alignment horizontal="right" vertical="top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vertical="center" wrapText="1"/>
    </xf>
    <xf numFmtId="164" fontId="18" fillId="2" borderId="19" xfId="11" applyNumberFormat="1" applyFont="1" applyFill="1" applyBorder="1" applyAlignment="1" applyProtection="1">
      <alignment horizontal="right" vertical="center" wrapText="1" indent="1"/>
    </xf>
    <xf numFmtId="164" fontId="18" fillId="2" borderId="31" xfId="11" applyNumberFormat="1" applyFont="1" applyFill="1" applyBorder="1" applyAlignment="1" applyProtection="1">
      <alignment horizontal="right" vertical="center" wrapText="1" indent="1"/>
    </xf>
    <xf numFmtId="164" fontId="25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7" xfId="11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0" fontId="13" fillId="3" borderId="0" xfId="11" applyFont="1" applyFill="1" applyProtection="1"/>
    <xf numFmtId="0" fontId="23" fillId="3" borderId="29" xfId="0" applyFont="1" applyFill="1" applyBorder="1" applyAlignment="1" applyProtection="1">
      <alignment horizontal="left" vertical="center" wrapText="1" indent="1"/>
    </xf>
    <xf numFmtId="0" fontId="21" fillId="3" borderId="21" xfId="0" applyFont="1" applyFill="1" applyBorder="1" applyAlignment="1" applyProtection="1">
      <alignment horizontal="left" vertical="center" wrapText="1" indent="1"/>
    </xf>
    <xf numFmtId="0" fontId="10" fillId="0" borderId="45" xfId="11" applyFont="1" applyFill="1" applyBorder="1" applyAlignment="1" applyProtection="1">
      <alignment horizontal="right" vertical="center" indent="1"/>
    </xf>
    <xf numFmtId="164" fontId="18" fillId="0" borderId="31" xfId="11" applyNumberFormat="1" applyFont="1" applyFill="1" applyBorder="1" applyAlignment="1" applyProtection="1">
      <alignment horizontal="right" vertical="center" wrapText="1" indent="1"/>
    </xf>
    <xf numFmtId="164" fontId="18" fillId="0" borderId="19" xfId="11" applyNumberFormat="1" applyFont="1" applyFill="1" applyBorder="1" applyAlignment="1" applyProtection="1">
      <alignment horizontal="right" vertical="center" wrapText="1" indent="1"/>
    </xf>
    <xf numFmtId="0" fontId="35" fillId="0" borderId="0" xfId="12"/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4" fillId="0" borderId="0" xfId="9" applyFont="1" applyAlignment="1">
      <alignment horizontal="center" vertical="center"/>
    </xf>
    <xf numFmtId="0" fontId="42" fillId="0" borderId="0" xfId="9" applyFont="1" applyBorder="1" applyAlignment="1">
      <alignment horizontal="right"/>
    </xf>
    <xf numFmtId="0" fontId="32" fillId="0" borderId="46" xfId="9" applyFont="1" applyBorder="1" applyAlignment="1">
      <alignment horizontal="center"/>
    </xf>
    <xf numFmtId="0" fontId="32" fillId="0" borderId="47" xfId="9" applyFont="1" applyBorder="1" applyAlignment="1">
      <alignment horizontal="center"/>
    </xf>
    <xf numFmtId="0" fontId="43" fillId="0" borderId="36" xfId="9" applyFont="1" applyBorder="1" applyAlignment="1">
      <alignment horizontal="right"/>
    </xf>
    <xf numFmtId="0" fontId="45" fillId="0" borderId="38" xfId="9" applyFont="1" applyBorder="1" applyAlignment="1">
      <alignment horizontal="left" wrapText="1"/>
    </xf>
    <xf numFmtId="0" fontId="44" fillId="0" borderId="37" xfId="9" applyFont="1" applyBorder="1" applyAlignment="1">
      <alignment horizontal="right"/>
    </xf>
    <xf numFmtId="3" fontId="44" fillId="0" borderId="37" xfId="9" applyNumberFormat="1" applyFont="1" applyBorder="1" applyAlignment="1">
      <alignment horizontal="right"/>
    </xf>
    <xf numFmtId="0" fontId="45" fillId="0" borderId="0" xfId="9" applyFont="1" applyBorder="1" applyAlignment="1">
      <alignment horizontal="right"/>
    </xf>
    <xf numFmtId="0" fontId="42" fillId="0" borderId="48" xfId="9" applyFont="1" applyBorder="1" applyAlignment="1">
      <alignment horizontal="left" wrapText="1"/>
    </xf>
    <xf numFmtId="3" fontId="43" fillId="0" borderId="37" xfId="9" applyNumberFormat="1" applyFont="1" applyBorder="1" applyAlignment="1">
      <alignment horizontal="right"/>
    </xf>
    <xf numFmtId="0" fontId="36" fillId="0" borderId="0" xfId="12" applyFont="1"/>
    <xf numFmtId="0" fontId="45" fillId="0" borderId="48" xfId="9" applyFont="1" applyBorder="1" applyAlignment="1">
      <alignment horizontal="left" wrapText="1"/>
    </xf>
    <xf numFmtId="3" fontId="14" fillId="0" borderId="37" xfId="9" applyNumberFormat="1" applyFont="1" applyBorder="1" applyAlignment="1">
      <alignment horizontal="right"/>
    </xf>
    <xf numFmtId="3" fontId="46" fillId="0" borderId="27" xfId="9" applyNumberFormat="1" applyFont="1" applyBorder="1" applyAlignment="1">
      <alignment horizontal="right"/>
    </xf>
    <xf numFmtId="3" fontId="46" fillId="0" borderId="37" xfId="9" applyNumberFormat="1" applyFont="1" applyBorder="1" applyAlignment="1">
      <alignment horizontal="right"/>
    </xf>
    <xf numFmtId="3" fontId="46" fillId="0" borderId="37" xfId="9" applyNumberFormat="1" applyFont="1" applyBorder="1"/>
    <xf numFmtId="0" fontId="1" fillId="0" borderId="0" xfId="6"/>
    <xf numFmtId="0" fontId="38" fillId="0" borderId="0" xfId="9"/>
    <xf numFmtId="3" fontId="47" fillId="0" borderId="37" xfId="9" applyNumberFormat="1" applyFont="1" applyBorder="1" applyAlignment="1">
      <alignment wrapText="1"/>
    </xf>
    <xf numFmtId="0" fontId="48" fillId="0" borderId="0" xfId="9" applyFont="1" applyAlignment="1">
      <alignment wrapText="1"/>
    </xf>
    <xf numFmtId="0" fontId="35" fillId="0" borderId="0" xfId="12" applyAlignment="1">
      <alignment wrapText="1"/>
    </xf>
    <xf numFmtId="3" fontId="47" fillId="0" borderId="37" xfId="9" applyNumberFormat="1" applyFont="1" applyBorder="1" applyAlignment="1">
      <alignment horizontal="right"/>
    </xf>
    <xf numFmtId="3" fontId="47" fillId="0" borderId="27" xfId="9" applyNumberFormat="1" applyFont="1" applyBorder="1" applyAlignment="1">
      <alignment horizontal="right"/>
    </xf>
    <xf numFmtId="3" fontId="49" fillId="0" borderId="37" xfId="9" applyNumberFormat="1" applyFont="1" applyBorder="1" applyAlignment="1">
      <alignment horizontal="right"/>
    </xf>
    <xf numFmtId="3" fontId="14" fillId="0" borderId="28" xfId="9" applyNumberFormat="1" applyFont="1" applyBorder="1" applyAlignment="1">
      <alignment horizontal="right"/>
    </xf>
    <xf numFmtId="3" fontId="14" fillId="0" borderId="49" xfId="9" applyNumberFormat="1" applyFont="1" applyBorder="1" applyAlignment="1">
      <alignment horizontal="right"/>
    </xf>
    <xf numFmtId="3" fontId="46" fillId="0" borderId="28" xfId="9" applyNumberFormat="1" applyFont="1" applyBorder="1" applyAlignment="1">
      <alignment horizontal="right"/>
    </xf>
    <xf numFmtId="3" fontId="46" fillId="0" borderId="49" xfId="9" applyNumberFormat="1" applyFont="1" applyBorder="1" applyAlignment="1">
      <alignment horizontal="right"/>
    </xf>
    <xf numFmtId="0" fontId="47" fillId="0" borderId="44" xfId="9" applyFont="1" applyBorder="1" applyAlignment="1">
      <alignment horizontal="left" indent="2"/>
    </xf>
    <xf numFmtId="3" fontId="47" fillId="0" borderId="47" xfId="9" applyNumberFormat="1" applyFont="1" applyBorder="1"/>
    <xf numFmtId="3" fontId="47" fillId="0" borderId="50" xfId="9" applyNumberFormat="1" applyFont="1" applyBorder="1"/>
    <xf numFmtId="3" fontId="39" fillId="0" borderId="37" xfId="9" applyNumberFormat="1" applyFont="1" applyBorder="1" applyAlignment="1">
      <alignment wrapText="1"/>
    </xf>
    <xf numFmtId="164" fontId="24" fillId="3" borderId="17" xfId="11" applyNumberFormat="1" applyFont="1" applyFill="1" applyBorder="1" applyAlignment="1" applyProtection="1">
      <alignment horizontal="right" vertical="center" wrapText="1" indent="1"/>
    </xf>
    <xf numFmtId="164" fontId="21" fillId="3" borderId="17" xfId="0" quotePrefix="1" applyNumberFormat="1" applyFont="1" applyFill="1" applyBorder="1" applyAlignment="1" applyProtection="1">
      <alignment horizontal="right" vertical="center" wrapText="1" indent="1"/>
    </xf>
    <xf numFmtId="0" fontId="10" fillId="0" borderId="51" xfId="11" applyFont="1" applyFill="1" applyBorder="1" applyAlignment="1" applyProtection="1">
      <alignment horizontal="right" vertical="center" indent="1"/>
    </xf>
    <xf numFmtId="0" fontId="10" fillId="0" borderId="0" xfId="11" applyFont="1" applyFill="1" applyBorder="1" applyAlignment="1" applyProtection="1">
      <alignment horizontal="right" vertical="center" indent="1"/>
    </xf>
    <xf numFmtId="0" fontId="22" fillId="0" borderId="22" xfId="0" applyFont="1" applyBorder="1" applyAlignment="1" applyProtection="1">
      <alignment horizontal="left" wrapText="1" indent="1"/>
    </xf>
    <xf numFmtId="164" fontId="25" fillId="0" borderId="20" xfId="11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52" xfId="9" applyFont="1" applyBorder="1" applyAlignment="1">
      <alignment horizontal="left"/>
    </xf>
    <xf numFmtId="0" fontId="42" fillId="0" borderId="37" xfId="9" applyFont="1" applyBorder="1" applyAlignment="1">
      <alignment horizontal="left" wrapText="1"/>
    </xf>
    <xf numFmtId="0" fontId="42" fillId="0" borderId="48" xfId="9" applyFont="1" applyBorder="1" applyAlignment="1">
      <alignment horizontal="left"/>
    </xf>
    <xf numFmtId="0" fontId="45" fillId="0" borderId="48" xfId="9" applyFont="1" applyBorder="1" applyAlignment="1">
      <alignment horizontal="left" indent="1"/>
    </xf>
    <xf numFmtId="0" fontId="42" fillId="0" borderId="48" xfId="9" applyFont="1" applyBorder="1" applyAlignment="1">
      <alignment wrapText="1"/>
    </xf>
    <xf numFmtId="0" fontId="45" fillId="0" borderId="24" xfId="9" applyFont="1" applyBorder="1" applyAlignment="1">
      <alignment horizontal="left" indent="1"/>
    </xf>
    <xf numFmtId="0" fontId="42" fillId="0" borderId="24" xfId="9" applyFont="1" applyBorder="1" applyAlignment="1">
      <alignment horizontal="left" indent="1"/>
    </xf>
    <xf numFmtId="0" fontId="19" fillId="0" borderId="0" xfId="11" applyFont="1" applyFill="1" applyBorder="1" applyAlignment="1" applyProtection="1">
      <alignment horizontal="center"/>
    </xf>
    <xf numFmtId="3" fontId="35" fillId="0" borderId="0" xfId="12" applyNumberFormat="1"/>
    <xf numFmtId="164" fontId="18" fillId="0" borderId="52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1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9" xfId="1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5" xfId="11" applyNumberFormat="1" applyFont="1" applyFill="1" applyBorder="1" applyAlignment="1" applyProtection="1">
      <alignment horizontal="right" vertical="center" wrapText="1" indent="1"/>
    </xf>
    <xf numFmtId="164" fontId="18" fillId="0" borderId="47" xfId="11" applyNumberFormat="1" applyFont="1" applyFill="1" applyBorder="1" applyAlignment="1" applyProtection="1">
      <alignment horizontal="right" vertical="center" wrapText="1" indent="1"/>
      <protection locked="0"/>
    </xf>
    <xf numFmtId="164" fontId="21" fillId="3" borderId="51" xfId="0" quotePrefix="1" applyNumberFormat="1" applyFont="1" applyFill="1" applyBorder="1" applyAlignment="1" applyProtection="1">
      <alignment horizontal="right" vertical="center" wrapText="1" indent="1"/>
    </xf>
    <xf numFmtId="0" fontId="23" fillId="3" borderId="51" xfId="0" applyFont="1" applyFill="1" applyBorder="1" applyAlignment="1" applyProtection="1">
      <alignment horizontal="left" vertical="center" wrapText="1" indent="1"/>
    </xf>
    <xf numFmtId="0" fontId="21" fillId="3" borderId="51" xfId="0" applyFont="1" applyFill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wrapText="1"/>
    </xf>
    <xf numFmtId="0" fontId="50" fillId="0" borderId="4" xfId="0" applyFont="1" applyFill="1" applyBorder="1" applyAlignment="1" applyProtection="1">
      <alignment horizontal="center" vertical="center"/>
    </xf>
    <xf numFmtId="0" fontId="23" fillId="0" borderId="51" xfId="0" applyFont="1" applyBorder="1" applyAlignment="1" applyProtection="1">
      <alignment horizontal="center" wrapText="1"/>
    </xf>
    <xf numFmtId="0" fontId="23" fillId="0" borderId="51" xfId="0" applyFont="1" applyBorder="1" applyAlignment="1" applyProtection="1">
      <alignment wrapText="1"/>
    </xf>
    <xf numFmtId="164" fontId="24" fillId="0" borderId="51" xfId="11" applyNumberFormat="1" applyFont="1" applyFill="1" applyBorder="1" applyAlignment="1" applyProtection="1">
      <alignment horizontal="right" vertical="center" wrapText="1" indent="1"/>
    </xf>
    <xf numFmtId="0" fontId="23" fillId="0" borderId="0" xfId="0" applyFont="1" applyBorder="1" applyAlignment="1" applyProtection="1">
      <alignment horizontal="center" wrapText="1"/>
    </xf>
    <xf numFmtId="0" fontId="23" fillId="0" borderId="0" xfId="0" applyFont="1" applyBorder="1" applyAlignment="1" applyProtection="1">
      <alignment wrapText="1"/>
    </xf>
    <xf numFmtId="164" fontId="24" fillId="0" borderId="0" xfId="11" applyNumberFormat="1" applyFont="1" applyFill="1" applyBorder="1" applyAlignment="1" applyProtection="1">
      <alignment horizontal="righ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24" fillId="0" borderId="40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11" applyFont="1" applyFill="1" applyBorder="1" applyAlignment="1" applyProtection="1"/>
    <xf numFmtId="164" fontId="18" fillId="0" borderId="34" xfId="11" applyNumberFormat="1" applyFont="1" applyFill="1" applyBorder="1" applyAlignment="1" applyProtection="1">
      <alignment horizontal="right" vertical="center" wrapText="1" indent="1"/>
      <protection locked="0"/>
    </xf>
    <xf numFmtId="0" fontId="23" fillId="3" borderId="13" xfId="0" applyFont="1" applyFill="1" applyBorder="1" applyAlignment="1" applyProtection="1">
      <alignment wrapText="1"/>
    </xf>
    <xf numFmtId="0" fontId="23" fillId="3" borderId="14" xfId="0" applyFont="1" applyFill="1" applyBorder="1" applyAlignment="1" applyProtection="1">
      <alignment wrapText="1"/>
    </xf>
    <xf numFmtId="0" fontId="0" fillId="0" borderId="0" xfId="0" applyNumberFormat="1"/>
    <xf numFmtId="164" fontId="51" fillId="0" borderId="0" xfId="0" applyNumberFormat="1" applyFont="1" applyFill="1" applyAlignment="1" applyProtection="1">
      <alignment horizontal="left" vertical="center" wrapText="1"/>
    </xf>
    <xf numFmtId="164" fontId="51" fillId="0" borderId="0" xfId="0" applyNumberFormat="1" applyFont="1" applyFill="1" applyAlignment="1" applyProtection="1">
      <alignment vertical="center" wrapText="1"/>
    </xf>
    <xf numFmtId="0" fontId="53" fillId="0" borderId="42" xfId="0" applyFont="1" applyFill="1" applyBorder="1" applyAlignment="1" applyProtection="1">
      <alignment horizontal="center" vertical="center" wrapText="1"/>
    </xf>
    <xf numFmtId="0" fontId="53" fillId="0" borderId="4" xfId="0" applyFont="1" applyFill="1" applyBorder="1" applyAlignment="1" applyProtection="1">
      <alignment horizontal="center" vertical="center"/>
    </xf>
    <xf numFmtId="0" fontId="53" fillId="0" borderId="44" xfId="0" applyFont="1" applyFill="1" applyBorder="1" applyAlignment="1" applyProtection="1">
      <alignment horizontal="center" vertical="center" wrapText="1"/>
    </xf>
    <xf numFmtId="0" fontId="53" fillId="0" borderId="22" xfId="0" applyFont="1" applyFill="1" applyBorder="1" applyAlignment="1" applyProtection="1">
      <alignment horizontal="center" vertical="center"/>
    </xf>
    <xf numFmtId="0" fontId="53" fillId="0" borderId="0" xfId="0" applyFont="1" applyFill="1" applyAlignment="1" applyProtection="1">
      <alignment vertical="center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16" xfId="0" applyFont="1" applyFill="1" applyBorder="1" applyAlignment="1" applyProtection="1">
      <alignment horizontal="center" vertical="center" wrapText="1"/>
    </xf>
    <xf numFmtId="0" fontId="53" fillId="0" borderId="23" xfId="0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center" vertical="center" wrapText="1"/>
    </xf>
    <xf numFmtId="0" fontId="53" fillId="0" borderId="14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 applyProtection="1">
      <alignment horizontal="center" vertical="center" wrapText="1"/>
    </xf>
    <xf numFmtId="0" fontId="55" fillId="0" borderId="14" xfId="0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</xf>
    <xf numFmtId="49" fontId="56" fillId="0" borderId="11" xfId="0" applyNumberFormat="1" applyFont="1" applyFill="1" applyBorder="1" applyAlignment="1" applyProtection="1">
      <alignment horizontal="center" vertical="center" wrapText="1"/>
    </xf>
    <xf numFmtId="0" fontId="51" fillId="0" borderId="4" xfId="11" applyFont="1" applyFill="1" applyBorder="1" applyAlignment="1" applyProtection="1">
      <alignment horizontal="left" vertical="center" wrapText="1" indent="1"/>
    </xf>
    <xf numFmtId="164" fontId="5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8" xfId="0" applyNumberFormat="1" applyFont="1" applyFill="1" applyBorder="1" applyAlignment="1" applyProtection="1">
      <alignment horizontal="center" vertical="center" wrapText="1"/>
    </xf>
    <xf numFmtId="0" fontId="51" fillId="0" borderId="2" xfId="11" applyFont="1" applyFill="1" applyBorder="1" applyAlignment="1" applyProtection="1">
      <alignment horizontal="left" vertical="center" wrapText="1" indent="1"/>
    </xf>
    <xf numFmtId="164" fontId="5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1" xfId="11" applyFont="1" applyFill="1" applyBorder="1" applyAlignment="1" applyProtection="1">
      <alignment horizontal="left" vertical="center" wrapText="1" indent="1"/>
    </xf>
    <xf numFmtId="164" fontId="5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51" fillId="0" borderId="3" xfId="11" applyFont="1" applyFill="1" applyBorder="1" applyAlignment="1" applyProtection="1">
      <alignment horizontal="left" vertical="center" wrapText="1" indent="1"/>
    </xf>
    <xf numFmtId="0" fontId="55" fillId="0" borderId="13" xfId="0" applyFont="1" applyFill="1" applyBorder="1" applyAlignment="1" applyProtection="1">
      <alignment horizontal="center" vertical="center" wrapText="1"/>
    </xf>
    <xf numFmtId="0" fontId="55" fillId="0" borderId="14" xfId="11" applyFont="1" applyFill="1" applyBorder="1" applyAlignment="1" applyProtection="1">
      <alignment horizontal="left" vertical="center" wrapText="1" indent="1"/>
    </xf>
    <xf numFmtId="164" fontId="5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56" fillId="0" borderId="9" xfId="0" applyNumberFormat="1" applyFont="1" applyFill="1" applyBorder="1" applyAlignment="1" applyProtection="1">
      <alignment horizontal="center" vertical="center" wrapText="1"/>
    </xf>
    <xf numFmtId="0" fontId="56" fillId="0" borderId="3" xfId="11" applyFont="1" applyFill="1" applyBorder="1" applyAlignment="1" applyProtection="1">
      <alignment horizontal="left" vertical="center" wrapText="1" indent="1"/>
    </xf>
    <xf numFmtId="164" fontId="5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" xfId="11" applyFont="1" applyFill="1" applyBorder="1" applyAlignment="1" applyProtection="1">
      <alignment horizontal="left" vertical="center" wrapText="1" indent="1"/>
    </xf>
    <xf numFmtId="164" fontId="56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quotePrefix="1" applyFont="1" applyFill="1" applyBorder="1" applyAlignment="1" applyProtection="1">
      <alignment horizontal="left" vertical="center" wrapText="1" indent="1"/>
    </xf>
    <xf numFmtId="164" fontId="5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56" fillId="0" borderId="21" xfId="11" applyFont="1" applyFill="1" applyBorder="1" applyAlignment="1" applyProtection="1">
      <alignment horizontal="left" vertical="center" wrapText="1" indent="1"/>
    </xf>
    <xf numFmtId="164" fontId="55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40" xfId="0" applyNumberFormat="1" applyFont="1" applyFill="1" applyBorder="1" applyAlignment="1" applyProtection="1">
      <alignment horizontal="right" vertical="center" wrapText="1" indent="1"/>
    </xf>
    <xf numFmtId="0" fontId="57" fillId="0" borderId="13" xfId="0" applyFont="1" applyBorder="1" applyAlignment="1" applyProtection="1">
      <alignment horizontal="center" vertical="center" wrapText="1"/>
    </xf>
    <xf numFmtId="0" fontId="58" fillId="0" borderId="26" xfId="0" applyFont="1" applyBorder="1" applyAlignment="1" applyProtection="1">
      <alignment horizontal="left" wrapText="1" indent="1"/>
    </xf>
    <xf numFmtId="164" fontId="53" fillId="0" borderId="40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/>
    <xf numFmtId="164" fontId="5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3" fillId="0" borderId="14" xfId="0" applyFont="1" applyFill="1" applyBorder="1" applyAlignment="1" applyProtection="1">
      <alignment horizontal="left" vertical="center" wrapText="1" indent="1"/>
    </xf>
    <xf numFmtId="164" fontId="53" fillId="0" borderId="17" xfId="0" applyNumberFormat="1" applyFont="1" applyFill="1" applyBorder="1" applyAlignment="1" applyProtection="1">
      <alignment horizontal="right" vertical="center" wrapText="1" indent="1"/>
    </xf>
    <xf numFmtId="0" fontId="56" fillId="0" borderId="0" xfId="0" applyFont="1" applyFill="1" applyBorder="1" applyAlignment="1" applyProtection="1">
      <alignment horizontal="left" vertical="center" wrapText="1"/>
    </xf>
    <xf numFmtId="0" fontId="56" fillId="0" borderId="0" xfId="0" applyFont="1" applyFill="1" applyBorder="1" applyAlignment="1" applyProtection="1">
      <alignment vertical="center" wrapText="1"/>
    </xf>
    <xf numFmtId="0" fontId="56" fillId="0" borderId="0" xfId="0" applyFont="1" applyFill="1" applyBorder="1" applyAlignment="1" applyProtection="1">
      <alignment horizontal="right" vertical="center" wrapText="1" indent="1"/>
    </xf>
    <xf numFmtId="0" fontId="53" fillId="0" borderId="13" xfId="0" applyFont="1" applyFill="1" applyBorder="1" applyAlignment="1" applyProtection="1">
      <alignment horizontal="left" vertical="center"/>
    </xf>
    <xf numFmtId="0" fontId="53" fillId="0" borderId="26" xfId="0" applyFont="1" applyFill="1" applyBorder="1" applyAlignment="1" applyProtection="1">
      <alignment vertical="center" wrapText="1"/>
    </xf>
    <xf numFmtId="3" fontId="53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51" fillId="0" borderId="0" xfId="0" applyNumberFormat="1" applyFont="1" applyFill="1" applyBorder="1" applyAlignment="1" applyProtection="1">
      <alignment horizontal="left" vertical="center" wrapText="1"/>
    </xf>
    <xf numFmtId="164" fontId="51" fillId="0" borderId="0" xfId="0" applyNumberFormat="1" applyFont="1" applyFill="1" applyBorder="1" applyAlignment="1" applyProtection="1">
      <alignment vertical="center" wrapText="1"/>
    </xf>
    <xf numFmtId="0" fontId="53" fillId="0" borderId="0" xfId="0" applyFont="1" applyFill="1" applyBorder="1" applyAlignment="1" applyProtection="1">
      <alignment vertical="center"/>
    </xf>
    <xf numFmtId="0" fontId="57" fillId="0" borderId="13" xfId="0" applyFont="1" applyFill="1" applyBorder="1" applyAlignment="1" applyProtection="1">
      <alignment horizontal="center" vertical="center" wrapText="1"/>
    </xf>
    <xf numFmtId="0" fontId="60" fillId="0" borderId="26" xfId="0" applyFont="1" applyFill="1" applyBorder="1" applyAlignment="1" applyProtection="1">
      <alignment horizontal="left" wrapText="1" indent="1"/>
    </xf>
    <xf numFmtId="0" fontId="56" fillId="0" borderId="0" xfId="0" applyFont="1" applyFill="1" applyAlignment="1" applyProtection="1">
      <alignment horizontal="left" vertical="center" wrapText="1"/>
    </xf>
    <xf numFmtId="0" fontId="56" fillId="0" borderId="0" xfId="0" applyFont="1" applyFill="1" applyAlignment="1" applyProtection="1">
      <alignment vertical="center" wrapText="1"/>
    </xf>
    <xf numFmtId="0" fontId="56" fillId="0" borderId="0" xfId="0" applyFont="1" applyFill="1" applyAlignment="1" applyProtection="1">
      <alignment horizontal="right" vertical="center" wrapText="1" indent="1"/>
    </xf>
    <xf numFmtId="164" fontId="24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55" fillId="0" borderId="55" xfId="0" applyNumberFormat="1" applyFont="1" applyFill="1" applyBorder="1" applyAlignment="1" applyProtection="1">
      <alignment horizontal="right" vertical="center" wrapText="1" indent="1"/>
    </xf>
    <xf numFmtId="164" fontId="55" fillId="0" borderId="52" xfId="0" applyNumberFormat="1" applyFont="1" applyFill="1" applyBorder="1" applyAlignment="1" applyProtection="1">
      <alignment horizontal="right" vertical="center" wrapText="1" indent="1"/>
    </xf>
    <xf numFmtId="164" fontId="56" fillId="0" borderId="52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/>
    <xf numFmtId="0" fontId="53" fillId="0" borderId="43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164" fontId="18" fillId="0" borderId="35" xfId="11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5" xfId="11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43" xfId="12" applyFont="1" applyBorder="1"/>
    <xf numFmtId="3" fontId="47" fillId="0" borderId="63" xfId="9" applyNumberFormat="1" applyFont="1" applyBorder="1"/>
    <xf numFmtId="3" fontId="47" fillId="0" borderId="0" xfId="9" applyNumberFormat="1" applyFont="1" applyBorder="1"/>
    <xf numFmtId="49" fontId="47" fillId="0" borderId="63" xfId="9" applyNumberFormat="1" applyFont="1" applyBorder="1" applyAlignment="1">
      <alignment horizontal="left" indent="2"/>
    </xf>
    <xf numFmtId="164" fontId="25" fillId="0" borderId="17" xfId="0" applyNumberFormat="1" applyFont="1" applyFill="1" applyBorder="1" applyAlignment="1" applyProtection="1">
      <alignment horizontal="right" vertical="center" wrapText="1" indent="1"/>
    </xf>
    <xf numFmtId="164" fontId="24" fillId="0" borderId="18" xfId="1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11" applyNumberFormat="1" applyFont="1" applyFill="1" applyBorder="1" applyAlignment="1" applyProtection="1">
      <alignment horizontal="center" vertical="center"/>
    </xf>
    <xf numFmtId="164" fontId="29" fillId="0" borderId="32" xfId="11" applyNumberFormat="1" applyFont="1" applyFill="1" applyBorder="1" applyAlignment="1" applyProtection="1">
      <alignment horizontal="left" vertical="center"/>
    </xf>
    <xf numFmtId="164" fontId="29" fillId="0" borderId="32" xfId="11" applyNumberFormat="1" applyFont="1" applyFill="1" applyBorder="1" applyAlignment="1" applyProtection="1">
      <alignment horizontal="left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/>
    </xf>
    <xf numFmtId="0" fontId="19" fillId="0" borderId="0" xfId="11" applyFont="1" applyFill="1" applyAlignment="1" applyProtection="1">
      <alignment horizontal="center"/>
    </xf>
    <xf numFmtId="164" fontId="26" fillId="0" borderId="56" xfId="0" applyNumberFormat="1" applyFont="1" applyFill="1" applyBorder="1" applyAlignment="1" applyProtection="1">
      <alignment horizontal="center" vertical="center" wrapText="1"/>
    </xf>
    <xf numFmtId="164" fontId="26" fillId="0" borderId="46" xfId="0" applyNumberFormat="1" applyFont="1" applyFill="1" applyBorder="1" applyAlignment="1" applyProtection="1">
      <alignment horizontal="center" vertical="center" wrapText="1"/>
    </xf>
    <xf numFmtId="164" fontId="34" fillId="0" borderId="51" xfId="0" applyNumberFormat="1" applyFont="1" applyFill="1" applyBorder="1" applyAlignment="1" applyProtection="1">
      <alignment horizontal="center" vertical="center" wrapText="1"/>
    </xf>
    <xf numFmtId="164" fontId="5" fillId="0" borderId="32" xfId="0" applyNumberFormat="1" applyFont="1" applyFill="1" applyBorder="1" applyAlignment="1" applyProtection="1">
      <alignment horizontal="center" vertical="center"/>
    </xf>
    <xf numFmtId="164" fontId="26" fillId="0" borderId="52" xfId="0" applyNumberFormat="1" applyFont="1" applyFill="1" applyBorder="1" applyAlignment="1" applyProtection="1">
      <alignment horizontal="center" vertical="center" wrapText="1"/>
    </xf>
    <xf numFmtId="164" fontId="26" fillId="0" borderId="47" xfId="0" applyNumberFormat="1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wrapText="1"/>
    </xf>
    <xf numFmtId="0" fontId="7" fillId="0" borderId="57" xfId="0" applyFont="1" applyFill="1" applyBorder="1" applyAlignment="1" applyProtection="1">
      <alignment horizontal="center" vertical="center" wrapText="1"/>
    </xf>
    <xf numFmtId="0" fontId="7" fillId="0" borderId="40" xfId="0" applyFont="1" applyFill="1" applyBorder="1" applyAlignment="1" applyProtection="1">
      <alignment horizontal="center" vertical="center" wrapText="1"/>
    </xf>
    <xf numFmtId="0" fontId="7" fillId="0" borderId="58" xfId="0" quotePrefix="1" applyFont="1" applyFill="1" applyBorder="1" applyAlignment="1" applyProtection="1">
      <alignment horizontal="center" vertical="center"/>
    </xf>
    <xf numFmtId="0" fontId="7" fillId="0" borderId="59" xfId="0" quotePrefix="1" applyFont="1" applyFill="1" applyBorder="1" applyAlignment="1" applyProtection="1">
      <alignment horizontal="center" vertical="center"/>
    </xf>
    <xf numFmtId="0" fontId="7" fillId="0" borderId="60" xfId="0" quotePrefix="1" applyFont="1" applyFill="1" applyBorder="1" applyAlignment="1" applyProtection="1">
      <alignment horizontal="center" vertical="center"/>
    </xf>
    <xf numFmtId="0" fontId="7" fillId="0" borderId="61" xfId="0" applyFont="1" applyFill="1" applyBorder="1" applyAlignment="1" applyProtection="1">
      <alignment horizontal="center" vertical="center"/>
    </xf>
    <xf numFmtId="0" fontId="7" fillId="0" borderId="62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center" vertical="center"/>
    </xf>
    <xf numFmtId="0" fontId="5" fillId="0" borderId="57" xfId="0" applyFont="1" applyFill="1" applyBorder="1" applyAlignment="1" applyProtection="1">
      <alignment horizontal="center"/>
    </xf>
    <xf numFmtId="0" fontId="52" fillId="0" borderId="32" xfId="0" applyFont="1" applyBorder="1" applyAlignment="1" applyProtection="1">
      <alignment horizontal="right" vertical="top"/>
    </xf>
    <xf numFmtId="0" fontId="53" fillId="0" borderId="43" xfId="0" applyFont="1" applyFill="1" applyBorder="1" applyAlignment="1" applyProtection="1">
      <alignment horizontal="center" vertical="center" wrapText="1"/>
    </xf>
    <xf numFmtId="0" fontId="53" fillId="0" borderId="57" xfId="0" applyFont="1" applyFill="1" applyBorder="1" applyAlignment="1" applyProtection="1">
      <alignment horizontal="center" vertical="center" wrapText="1"/>
    </xf>
    <xf numFmtId="0" fontId="53" fillId="0" borderId="40" xfId="0" applyFont="1" applyFill="1" applyBorder="1" applyAlignment="1" applyProtection="1">
      <alignment horizontal="center" vertical="center" wrapText="1"/>
    </xf>
    <xf numFmtId="49" fontId="53" fillId="0" borderId="58" xfId="0" applyNumberFormat="1" applyFont="1" applyFill="1" applyBorder="1" applyAlignment="1" applyProtection="1">
      <alignment horizontal="center" vertical="center"/>
    </xf>
    <xf numFmtId="49" fontId="53" fillId="0" borderId="59" xfId="0" applyNumberFormat="1" applyFont="1" applyFill="1" applyBorder="1" applyAlignment="1" applyProtection="1">
      <alignment horizontal="center" vertical="center"/>
    </xf>
    <xf numFmtId="49" fontId="53" fillId="0" borderId="60" xfId="0" applyNumberFormat="1" applyFont="1" applyFill="1" applyBorder="1" applyAlignment="1" applyProtection="1">
      <alignment horizontal="center" vertical="center"/>
    </xf>
    <xf numFmtId="49" fontId="53" fillId="0" borderId="61" xfId="0" applyNumberFormat="1" applyFont="1" applyFill="1" applyBorder="1" applyAlignment="1" applyProtection="1">
      <alignment horizontal="center" vertical="center"/>
    </xf>
    <xf numFmtId="49" fontId="53" fillId="0" borderId="62" xfId="0" applyNumberFormat="1" applyFont="1" applyFill="1" applyBorder="1" applyAlignment="1" applyProtection="1">
      <alignment horizontal="center" vertical="center"/>
    </xf>
    <xf numFmtId="49" fontId="53" fillId="0" borderId="50" xfId="0" applyNumberFormat="1" applyFont="1" applyFill="1" applyBorder="1" applyAlignment="1" applyProtection="1">
      <alignment horizontal="center" vertical="center"/>
    </xf>
    <xf numFmtId="0" fontId="54" fillId="0" borderId="57" xfId="0" applyFont="1" applyFill="1" applyBorder="1" applyAlignment="1" applyProtection="1">
      <alignment horizontal="center"/>
    </xf>
    <xf numFmtId="0" fontId="52" fillId="0" borderId="32" xfId="0" applyFont="1" applyFill="1" applyBorder="1" applyAlignment="1" applyProtection="1">
      <alignment horizontal="right" vertical="top"/>
    </xf>
    <xf numFmtId="49" fontId="7" fillId="0" borderId="58" xfId="0" applyNumberFormat="1" applyFont="1" applyFill="1" applyBorder="1" applyAlignment="1" applyProtection="1">
      <alignment horizontal="center" vertical="center"/>
    </xf>
    <xf numFmtId="49" fontId="7" fillId="0" borderId="59" xfId="0" applyNumberFormat="1" applyFont="1" applyFill="1" applyBorder="1" applyAlignment="1" applyProtection="1">
      <alignment horizontal="center" vertical="center"/>
    </xf>
    <xf numFmtId="49" fontId="7" fillId="0" borderId="60" xfId="0" applyNumberFormat="1" applyFont="1" applyFill="1" applyBorder="1" applyAlignment="1" applyProtection="1">
      <alignment horizontal="center" vertical="center"/>
    </xf>
    <xf numFmtId="49" fontId="7" fillId="0" borderId="61" xfId="0" applyNumberFormat="1" applyFont="1" applyFill="1" applyBorder="1" applyAlignment="1" applyProtection="1">
      <alignment horizontal="center" vertical="center"/>
    </xf>
    <xf numFmtId="49" fontId="7" fillId="0" borderId="62" xfId="0" applyNumberFormat="1" applyFont="1" applyFill="1" applyBorder="1" applyAlignment="1" applyProtection="1">
      <alignment horizontal="center" vertical="center"/>
    </xf>
    <xf numFmtId="49" fontId="7" fillId="0" borderId="50" xfId="0" applyNumberFormat="1" applyFont="1" applyFill="1" applyBorder="1" applyAlignment="1" applyProtection="1">
      <alignment horizontal="center" vertical="center"/>
    </xf>
    <xf numFmtId="3" fontId="62" fillId="0" borderId="43" xfId="12" applyNumberFormat="1" applyFont="1" applyBorder="1" applyAlignment="1">
      <alignment horizontal="right"/>
    </xf>
    <xf numFmtId="0" fontId="62" fillId="0" borderId="57" xfId="12" applyFont="1" applyBorder="1" applyAlignment="1">
      <alignment horizontal="right"/>
    </xf>
    <xf numFmtId="0" fontId="62" fillId="0" borderId="40" xfId="12" applyFont="1" applyBorder="1" applyAlignment="1">
      <alignment horizontal="right"/>
    </xf>
    <xf numFmtId="3" fontId="47" fillId="0" borderId="43" xfId="9" applyNumberFormat="1" applyFont="1" applyBorder="1" applyAlignment="1">
      <alignment horizontal="center"/>
    </xf>
    <xf numFmtId="3" fontId="47" fillId="0" borderId="40" xfId="9" applyNumberFormat="1" applyFont="1" applyBorder="1" applyAlignment="1">
      <alignment horizontal="center"/>
    </xf>
    <xf numFmtId="0" fontId="41" fillId="0" borderId="0" xfId="9" applyFont="1" applyAlignment="1">
      <alignment horizontal="right"/>
    </xf>
    <xf numFmtId="0" fontId="42" fillId="0" borderId="0" xfId="9" applyFont="1" applyAlignment="1">
      <alignment horizontal="right"/>
    </xf>
    <xf numFmtId="0" fontId="42" fillId="0" borderId="0" xfId="9" applyFont="1" applyAlignment="1">
      <alignment horizontal="center" vertical="center" wrapText="1"/>
    </xf>
    <xf numFmtId="0" fontId="42" fillId="0" borderId="0" xfId="9" applyFont="1" applyAlignment="1">
      <alignment horizontal="center" vertical="center"/>
    </xf>
    <xf numFmtId="0" fontId="43" fillId="0" borderId="59" xfId="9" applyFont="1" applyBorder="1" applyAlignment="1">
      <alignment horizontal="center"/>
    </xf>
    <xf numFmtId="0" fontId="43" fillId="0" borderId="60" xfId="9" applyFont="1" applyBorder="1" applyAlignment="1">
      <alignment horizontal="center"/>
    </xf>
    <xf numFmtId="0" fontId="42" fillId="0" borderId="56" xfId="9" applyFont="1" applyBorder="1" applyAlignment="1">
      <alignment horizontal="center" vertical="center"/>
    </xf>
    <xf numFmtId="0" fontId="42" fillId="0" borderId="63" xfId="9" applyFont="1" applyBorder="1" applyAlignment="1">
      <alignment horizontal="center" vertical="center"/>
    </xf>
    <xf numFmtId="0" fontId="32" fillId="0" borderId="56" xfId="9" applyFont="1" applyBorder="1" applyAlignment="1">
      <alignment horizontal="center" wrapText="1"/>
    </xf>
    <xf numFmtId="0" fontId="32" fillId="0" borderId="46" xfId="9" applyFont="1" applyBorder="1" applyAlignment="1">
      <alignment horizontal="center" wrapText="1"/>
    </xf>
    <xf numFmtId="0" fontId="63" fillId="0" borderId="0" xfId="11" applyFont="1" applyFill="1" applyBorder="1" applyAlignment="1" applyProtection="1">
      <alignment horizontal="right" vertical="center" indent="1"/>
    </xf>
    <xf numFmtId="0" fontId="63" fillId="0" borderId="0" xfId="11" applyFont="1" applyFill="1" applyAlignment="1" applyProtection="1">
      <alignment horizontal="right" vertical="center" indent="1"/>
    </xf>
  </cellXfs>
  <cellStyles count="13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 2_2015. évi rend.táblái Bea" xfId="6"/>
    <cellStyle name="Normál 3" xfId="7"/>
    <cellStyle name="Normál 4" xfId="8"/>
    <cellStyle name="Normál_2011.dec.rend.mód." xfId="9"/>
    <cellStyle name="Normal_ered1021" xfId="10"/>
    <cellStyle name="Normál_KVRENMUNKA" xfId="11"/>
    <cellStyle name="Normál_Tartalék 2014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-SERVER\Shared%20Folders\ulesek\2013\2013_12_16\k&#246;lt.vet%20rendelet%20m&#243;dos&#237;t&#225;s%2012.16\pedagogus\kat_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agogus\kat_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rma_2008\Oracle_ba\adat_2008_vesz2fe_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-SERVER\Shared%20Folders\ulesek\2013\2013_12_16\k&#246;lt.vet%20rendelet%20m&#243;dos&#237;t&#225;s%2012.16\norma_2008\Oracle_ba\adat_2008_vesz2fe_u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ptions"/>
      <sheetName val="Munka1"/>
      <sheetName val="MEGYE"/>
      <sheetName val="T3A_1"/>
      <sheetName val="T3A_2"/>
      <sheetName val="flag_1"/>
      <sheetName val="feor_0_4"/>
      <sheetName val="feor_5_9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eder"/>
      <sheetName val="lendvai"/>
      <sheetName val="Options"/>
      <sheetName val="NATUR_ksh"/>
      <sheetName val="NATUR_select"/>
      <sheetName val="orabol"/>
      <sheetName val="vezer"/>
      <sheetName val="KSH"/>
      <sheetName val="seged"/>
      <sheetName val="s_2"/>
      <sheetName val="g_a_1"/>
      <sheetName val="g_a_2"/>
      <sheetName val="mutato_g"/>
      <sheetName val="Ft_g"/>
      <sheetName val="s_a_1"/>
      <sheetName val="s_a_2"/>
      <sheetName val="s_a_3"/>
      <sheetName val="mutato_s"/>
      <sheetName val="Ft_s"/>
      <sheetName val="k_a_1"/>
      <sheetName val="k_a_2"/>
      <sheetName val="k_a_3"/>
      <sheetName val="mutato_k"/>
      <sheetName val="FT_k"/>
      <sheetName val="GLOBÁLIS"/>
      <sheetName val="SZOCIÁLIS"/>
      <sheetName val="KÖZOKTATÁS"/>
      <sheetName val="bibi"/>
      <sheetName val="v_g"/>
      <sheetName val="v_s"/>
      <sheetName val="v_k"/>
      <sheetName val="v_ki"/>
      <sheetName val="T"/>
      <sheetName val="sum"/>
      <sheetName val="modell_min"/>
    </sheetNames>
    <sheetDataSet>
      <sheetData sheetId="0"/>
      <sheetData sheetId="1"/>
      <sheetData sheetId="2"/>
      <sheetData sheetId="3"/>
      <sheetData sheetId="4">
        <row r="16">
          <cell r="C16" t="str">
            <v>TAM_JOGC_FELD_KOD</v>
          </cell>
          <cell r="D16" t="str">
            <v>SUM(NATUR_MUT_ERT)</v>
          </cell>
        </row>
        <row r="17">
          <cell r="C17">
            <v>901010001</v>
          </cell>
          <cell r="D17">
            <v>10162047</v>
          </cell>
        </row>
        <row r="18">
          <cell r="C18">
            <v>901010002</v>
          </cell>
          <cell r="D18">
            <v>1751</v>
          </cell>
        </row>
        <row r="19">
          <cell r="C19">
            <v>901010003</v>
          </cell>
          <cell r="D19">
            <v>1025</v>
          </cell>
        </row>
        <row r="20">
          <cell r="C20">
            <v>901010004</v>
          </cell>
          <cell r="D20">
            <v>6443895</v>
          </cell>
        </row>
        <row r="21">
          <cell r="C21">
            <v>901020001</v>
          </cell>
        </row>
        <row r="22">
          <cell r="C22">
            <v>901020002</v>
          </cell>
        </row>
        <row r="23">
          <cell r="C23">
            <v>901020003</v>
          </cell>
        </row>
        <row r="24">
          <cell r="C24">
            <v>901020004</v>
          </cell>
        </row>
        <row r="25">
          <cell r="C25">
            <v>901020005</v>
          </cell>
        </row>
        <row r="26">
          <cell r="C26">
            <v>901030001</v>
          </cell>
        </row>
        <row r="27">
          <cell r="C27">
            <v>901030002</v>
          </cell>
        </row>
        <row r="28">
          <cell r="C28">
            <v>901030003</v>
          </cell>
        </row>
        <row r="29">
          <cell r="C29">
            <v>901030004</v>
          </cell>
        </row>
        <row r="30">
          <cell r="C30">
            <v>901030005</v>
          </cell>
        </row>
        <row r="31">
          <cell r="C31">
            <v>901030006</v>
          </cell>
        </row>
        <row r="32">
          <cell r="C32">
            <v>901040001</v>
          </cell>
          <cell r="D32">
            <v>10162047</v>
          </cell>
        </row>
        <row r="33">
          <cell r="C33">
            <v>901040002</v>
          </cell>
          <cell r="D33">
            <v>1910435</v>
          </cell>
        </row>
        <row r="34">
          <cell r="C34">
            <v>901050001</v>
          </cell>
          <cell r="D34">
            <v>302353</v>
          </cell>
        </row>
        <row r="35">
          <cell r="C35">
            <v>901060001</v>
          </cell>
          <cell r="D35">
            <v>1627815</v>
          </cell>
        </row>
        <row r="36">
          <cell r="C36">
            <v>901070001</v>
          </cell>
          <cell r="D36">
            <v>315125</v>
          </cell>
        </row>
        <row r="37">
          <cell r="C37">
            <v>901070002</v>
          </cell>
          <cell r="D37">
            <v>768378</v>
          </cell>
        </row>
        <row r="38">
          <cell r="C38">
            <v>901070003</v>
          </cell>
          <cell r="D38">
            <v>601375</v>
          </cell>
        </row>
        <row r="39">
          <cell r="C39">
            <v>901080001</v>
          </cell>
          <cell r="D39">
            <v>4478916337</v>
          </cell>
        </row>
        <row r="40">
          <cell r="C40">
            <v>901090001</v>
          </cell>
          <cell r="D40">
            <v>11846570</v>
          </cell>
        </row>
        <row r="41">
          <cell r="C41">
            <v>901100001</v>
          </cell>
          <cell r="D41">
            <v>10162047</v>
          </cell>
        </row>
        <row r="42">
          <cell r="C42">
            <v>901100002</v>
          </cell>
          <cell r="D42">
            <v>20</v>
          </cell>
        </row>
        <row r="43">
          <cell r="C43">
            <v>901100003</v>
          </cell>
          <cell r="D43">
            <v>10162047</v>
          </cell>
        </row>
        <row r="44">
          <cell r="C44">
            <v>901110101</v>
          </cell>
        </row>
        <row r="45">
          <cell r="C45">
            <v>901110102</v>
          </cell>
        </row>
        <row r="46">
          <cell r="C46">
            <v>901110103</v>
          </cell>
        </row>
        <row r="47">
          <cell r="C47">
            <v>901110104</v>
          </cell>
        </row>
        <row r="48">
          <cell r="C48">
            <v>901110105</v>
          </cell>
        </row>
        <row r="49">
          <cell r="C49">
            <v>901110106</v>
          </cell>
        </row>
        <row r="50">
          <cell r="C50">
            <v>901110107</v>
          </cell>
        </row>
        <row r="51">
          <cell r="C51">
            <v>901110108</v>
          </cell>
        </row>
        <row r="52">
          <cell r="C52">
            <v>901110201</v>
          </cell>
          <cell r="D52">
            <v>538</v>
          </cell>
        </row>
        <row r="53">
          <cell r="C53">
            <v>901110202</v>
          </cell>
          <cell r="D53">
            <v>11525</v>
          </cell>
        </row>
        <row r="54">
          <cell r="C54">
            <v>901110203</v>
          </cell>
          <cell r="D54">
            <v>1937</v>
          </cell>
        </row>
        <row r="55">
          <cell r="C55">
            <v>901110204</v>
          </cell>
          <cell r="D55">
            <v>30</v>
          </cell>
        </row>
        <row r="56">
          <cell r="C56">
            <v>901110205</v>
          </cell>
          <cell r="D56">
            <v>1454</v>
          </cell>
        </row>
        <row r="57">
          <cell r="C57">
            <v>901110206</v>
          </cell>
          <cell r="D57">
            <v>56</v>
          </cell>
        </row>
        <row r="58">
          <cell r="C58">
            <v>901110207</v>
          </cell>
          <cell r="D58">
            <v>192</v>
          </cell>
        </row>
        <row r="59">
          <cell r="C59">
            <v>901110208</v>
          </cell>
          <cell r="D59">
            <v>0</v>
          </cell>
        </row>
        <row r="60">
          <cell r="C60">
            <v>901110301</v>
          </cell>
          <cell r="D60">
            <v>81872</v>
          </cell>
        </row>
        <row r="61">
          <cell r="C61">
            <v>901110302</v>
          </cell>
          <cell r="D61">
            <v>4481</v>
          </cell>
        </row>
        <row r="62">
          <cell r="C62">
            <v>901110303</v>
          </cell>
          <cell r="D62">
            <v>7472</v>
          </cell>
        </row>
        <row r="63">
          <cell r="C63">
            <v>901110304</v>
          </cell>
          <cell r="D63">
            <v>2319</v>
          </cell>
        </row>
        <row r="64">
          <cell r="C64">
            <v>901110305</v>
          </cell>
          <cell r="D64">
            <v>29506</v>
          </cell>
        </row>
        <row r="65">
          <cell r="C65">
            <v>901110306</v>
          </cell>
          <cell r="D65">
            <v>1944</v>
          </cell>
        </row>
        <row r="66">
          <cell r="C66">
            <v>901110307</v>
          </cell>
          <cell r="D66">
            <v>3739</v>
          </cell>
        </row>
        <row r="67">
          <cell r="C67">
            <v>901110308</v>
          </cell>
          <cell r="D67">
            <v>10345</v>
          </cell>
        </row>
        <row r="68">
          <cell r="C68">
            <v>901110309</v>
          </cell>
          <cell r="D68">
            <v>4942</v>
          </cell>
        </row>
        <row r="69">
          <cell r="C69">
            <v>901110310</v>
          </cell>
          <cell r="D69">
            <v>33157</v>
          </cell>
        </row>
        <row r="70">
          <cell r="C70">
            <v>901110311</v>
          </cell>
          <cell r="D70">
            <v>676</v>
          </cell>
        </row>
        <row r="71">
          <cell r="C71">
            <v>901110312</v>
          </cell>
          <cell r="D71">
            <v>2123</v>
          </cell>
        </row>
        <row r="72">
          <cell r="C72">
            <v>901110313</v>
          </cell>
          <cell r="D72">
            <v>2436</v>
          </cell>
        </row>
        <row r="73">
          <cell r="C73">
            <v>901110314</v>
          </cell>
          <cell r="D73">
            <v>170</v>
          </cell>
        </row>
        <row r="74">
          <cell r="C74">
            <v>901120101</v>
          </cell>
          <cell r="D74">
            <v>5547</v>
          </cell>
        </row>
        <row r="75">
          <cell r="C75">
            <v>901120102</v>
          </cell>
          <cell r="D75">
            <v>355</v>
          </cell>
        </row>
        <row r="76">
          <cell r="C76">
            <v>901120103</v>
          </cell>
          <cell r="D76">
            <v>12822</v>
          </cell>
        </row>
        <row r="77">
          <cell r="C77">
            <v>901120104</v>
          </cell>
          <cell r="D77">
            <v>9253</v>
          </cell>
        </row>
        <row r="78">
          <cell r="C78">
            <v>901120105</v>
          </cell>
          <cell r="D78">
            <v>4478</v>
          </cell>
        </row>
        <row r="79">
          <cell r="C79">
            <v>901120201</v>
          </cell>
          <cell r="D79">
            <v>9666</v>
          </cell>
        </row>
        <row r="80">
          <cell r="C80">
            <v>901120202</v>
          </cell>
          <cell r="D80">
            <v>3931</v>
          </cell>
        </row>
        <row r="81">
          <cell r="C81">
            <v>901120203</v>
          </cell>
          <cell r="D81">
            <v>21461</v>
          </cell>
        </row>
        <row r="82">
          <cell r="C82">
            <v>901120204</v>
          </cell>
          <cell r="D82">
            <v>567</v>
          </cell>
        </row>
        <row r="83">
          <cell r="C83">
            <v>901120205</v>
          </cell>
          <cell r="D83">
            <v>1854</v>
          </cell>
        </row>
        <row r="84">
          <cell r="C84">
            <v>901120206</v>
          </cell>
          <cell r="D84">
            <v>2973</v>
          </cell>
        </row>
        <row r="85">
          <cell r="C85">
            <v>901120301</v>
          </cell>
        </row>
        <row r="86">
          <cell r="C86">
            <v>901120302</v>
          </cell>
        </row>
        <row r="87">
          <cell r="C87">
            <v>901120303</v>
          </cell>
        </row>
        <row r="88">
          <cell r="C88">
            <v>901130101</v>
          </cell>
          <cell r="D88">
            <v>3699</v>
          </cell>
        </row>
        <row r="89">
          <cell r="C89">
            <v>901140101</v>
          </cell>
          <cell r="D89">
            <v>19933</v>
          </cell>
        </row>
        <row r="90">
          <cell r="C90">
            <v>901140102</v>
          </cell>
          <cell r="D90">
            <v>418</v>
          </cell>
        </row>
        <row r="91">
          <cell r="C91">
            <v>901140103</v>
          </cell>
          <cell r="D91">
            <v>2836</v>
          </cell>
        </row>
        <row r="92">
          <cell r="C92">
            <v>901151101</v>
          </cell>
          <cell r="D92">
            <v>1870</v>
          </cell>
        </row>
        <row r="93">
          <cell r="C93">
            <v>901151102</v>
          </cell>
          <cell r="D93">
            <v>8085</v>
          </cell>
        </row>
        <row r="94">
          <cell r="C94">
            <v>901151103</v>
          </cell>
          <cell r="D94">
            <v>65384</v>
          </cell>
        </row>
        <row r="95">
          <cell r="C95">
            <v>901151104</v>
          </cell>
          <cell r="D95">
            <v>233536</v>
          </cell>
        </row>
        <row r="96">
          <cell r="C96">
            <v>901151201</v>
          </cell>
          <cell r="D96">
            <v>5218</v>
          </cell>
        </row>
        <row r="97">
          <cell r="C97">
            <v>901151202</v>
          </cell>
          <cell r="D97">
            <v>8256</v>
          </cell>
        </row>
        <row r="98">
          <cell r="C98">
            <v>901151203</v>
          </cell>
          <cell r="D98">
            <v>133294</v>
          </cell>
        </row>
        <row r="99">
          <cell r="C99">
            <v>901151204</v>
          </cell>
          <cell r="D99">
            <v>158662</v>
          </cell>
        </row>
        <row r="100">
          <cell r="C100">
            <v>901152101</v>
          </cell>
          <cell r="D100">
            <v>89404</v>
          </cell>
        </row>
        <row r="101">
          <cell r="C101">
            <v>901152102</v>
          </cell>
          <cell r="D101">
            <v>172547</v>
          </cell>
        </row>
        <row r="102">
          <cell r="C102">
            <v>901152103</v>
          </cell>
          <cell r="D102">
            <v>91500</v>
          </cell>
        </row>
        <row r="103">
          <cell r="C103">
            <v>901152104</v>
          </cell>
          <cell r="D103">
            <v>93827</v>
          </cell>
        </row>
        <row r="104">
          <cell r="C104">
            <v>901152105</v>
          </cell>
          <cell r="D104">
            <v>100173</v>
          </cell>
        </row>
        <row r="105">
          <cell r="C105">
            <v>901152106</v>
          </cell>
          <cell r="D105">
            <v>199981</v>
          </cell>
        </row>
        <row r="106">
          <cell r="C106">
            <v>901152201</v>
          </cell>
          <cell r="D106">
            <v>177350</v>
          </cell>
        </row>
        <row r="107">
          <cell r="C107">
            <v>901152202</v>
          </cell>
          <cell r="D107">
            <v>85891</v>
          </cell>
        </row>
        <row r="108">
          <cell r="C108">
            <v>901152203</v>
          </cell>
          <cell r="D108">
            <v>88629</v>
          </cell>
        </row>
        <row r="109">
          <cell r="C109">
            <v>901152204</v>
          </cell>
          <cell r="D109">
            <v>184770</v>
          </cell>
        </row>
        <row r="110">
          <cell r="C110">
            <v>901152205</v>
          </cell>
          <cell r="D110">
            <v>201467</v>
          </cell>
        </row>
        <row r="111">
          <cell r="C111">
            <v>901153101</v>
          </cell>
          <cell r="D111">
            <v>102672</v>
          </cell>
        </row>
        <row r="112">
          <cell r="C112">
            <v>901153102</v>
          </cell>
          <cell r="D112">
            <v>98765</v>
          </cell>
        </row>
        <row r="113">
          <cell r="C113">
            <v>901153103</v>
          </cell>
          <cell r="D113">
            <v>152275</v>
          </cell>
        </row>
        <row r="114">
          <cell r="C114">
            <v>901153201</v>
          </cell>
          <cell r="D114">
            <v>196586</v>
          </cell>
        </row>
        <row r="115">
          <cell r="C115">
            <v>901153202</v>
          </cell>
          <cell r="D115">
            <v>161245</v>
          </cell>
        </row>
        <row r="116">
          <cell r="C116">
            <v>901154101</v>
          </cell>
          <cell r="D116">
            <v>53050</v>
          </cell>
        </row>
        <row r="117">
          <cell r="C117">
            <v>901154102</v>
          </cell>
          <cell r="D117">
            <v>51206</v>
          </cell>
        </row>
        <row r="118">
          <cell r="C118">
            <v>901154103</v>
          </cell>
          <cell r="D118">
            <v>1514275</v>
          </cell>
        </row>
        <row r="119">
          <cell r="C119">
            <v>901154104</v>
          </cell>
          <cell r="D119">
            <v>1185743</v>
          </cell>
        </row>
        <row r="120">
          <cell r="C120">
            <v>901154201</v>
          </cell>
          <cell r="D120">
            <v>87726</v>
          </cell>
        </row>
        <row r="121">
          <cell r="C121">
            <v>901154202</v>
          </cell>
          <cell r="D121">
            <v>19653</v>
          </cell>
        </row>
        <row r="122">
          <cell r="C122">
            <v>901154203</v>
          </cell>
          <cell r="D122">
            <v>1508747</v>
          </cell>
        </row>
        <row r="123">
          <cell r="C123">
            <v>901154204</v>
          </cell>
          <cell r="D123">
            <v>1198096</v>
          </cell>
        </row>
        <row r="124">
          <cell r="C124">
            <v>901155101</v>
          </cell>
          <cell r="D124">
            <v>70437</v>
          </cell>
        </row>
        <row r="125">
          <cell r="C125">
            <v>901155102</v>
          </cell>
          <cell r="D125">
            <v>4042</v>
          </cell>
        </row>
        <row r="126">
          <cell r="C126">
            <v>901155103</v>
          </cell>
          <cell r="D126">
            <v>40967</v>
          </cell>
        </row>
        <row r="127">
          <cell r="C127">
            <v>901155104</v>
          </cell>
          <cell r="D127">
            <v>7609</v>
          </cell>
        </row>
        <row r="128">
          <cell r="C128">
            <v>901155201</v>
          </cell>
          <cell r="D128">
            <v>73999</v>
          </cell>
        </row>
        <row r="129">
          <cell r="C129">
            <v>901155202</v>
          </cell>
          <cell r="D129">
            <v>3276</v>
          </cell>
        </row>
        <row r="130">
          <cell r="C130">
            <v>901155203</v>
          </cell>
          <cell r="D130">
            <v>77275</v>
          </cell>
        </row>
        <row r="131">
          <cell r="C131">
            <v>901155204</v>
          </cell>
          <cell r="D131">
            <v>40709</v>
          </cell>
        </row>
        <row r="132">
          <cell r="C132">
            <v>901155205</v>
          </cell>
          <cell r="D132">
            <v>6508</v>
          </cell>
        </row>
        <row r="133">
          <cell r="C133">
            <v>901155206</v>
          </cell>
          <cell r="D133">
            <v>47217</v>
          </cell>
        </row>
        <row r="134">
          <cell r="C134">
            <v>901156101</v>
          </cell>
          <cell r="D134">
            <v>187</v>
          </cell>
        </row>
        <row r="135">
          <cell r="C135">
            <v>901156102</v>
          </cell>
          <cell r="D135">
            <v>1415</v>
          </cell>
        </row>
        <row r="136">
          <cell r="C136">
            <v>901156103</v>
          </cell>
          <cell r="D136">
            <v>41298</v>
          </cell>
        </row>
        <row r="137">
          <cell r="C137">
            <v>901156104</v>
          </cell>
          <cell r="D137">
            <v>42900</v>
          </cell>
        </row>
        <row r="138">
          <cell r="C138">
            <v>901156105</v>
          </cell>
          <cell r="D138">
            <v>2648</v>
          </cell>
        </row>
        <row r="139">
          <cell r="C139">
            <v>901156106</v>
          </cell>
          <cell r="D139">
            <v>430</v>
          </cell>
        </row>
        <row r="140">
          <cell r="C140">
            <v>901156107</v>
          </cell>
          <cell r="D140">
            <v>211</v>
          </cell>
        </row>
        <row r="141">
          <cell r="C141">
            <v>901156108</v>
          </cell>
          <cell r="D141">
            <v>4098</v>
          </cell>
        </row>
        <row r="142">
          <cell r="C142">
            <v>901156109</v>
          </cell>
          <cell r="D142">
            <v>2334</v>
          </cell>
        </row>
        <row r="143">
          <cell r="C143">
            <v>901156110</v>
          </cell>
          <cell r="D143">
            <v>6643</v>
          </cell>
        </row>
        <row r="144">
          <cell r="C144">
            <v>901156201</v>
          </cell>
          <cell r="D144">
            <v>297</v>
          </cell>
        </row>
        <row r="145">
          <cell r="C145">
            <v>901156202</v>
          </cell>
          <cell r="D145">
            <v>4897</v>
          </cell>
        </row>
        <row r="146">
          <cell r="C146">
            <v>901156203</v>
          </cell>
          <cell r="D146">
            <v>46357</v>
          </cell>
        </row>
        <row r="147">
          <cell r="C147">
            <v>901156204</v>
          </cell>
          <cell r="D147">
            <v>51551</v>
          </cell>
        </row>
        <row r="148">
          <cell r="C148">
            <v>901157101</v>
          </cell>
          <cell r="D148">
            <v>243724</v>
          </cell>
        </row>
        <row r="149">
          <cell r="C149">
            <v>901157102</v>
          </cell>
          <cell r="D149">
            <v>61894</v>
          </cell>
        </row>
        <row r="150">
          <cell r="C150">
            <v>901157201</v>
          </cell>
          <cell r="D150">
            <v>176780</v>
          </cell>
        </row>
        <row r="151">
          <cell r="C151">
            <v>901157202</v>
          </cell>
          <cell r="D151">
            <v>66513</v>
          </cell>
        </row>
        <row r="152">
          <cell r="C152">
            <v>901157203</v>
          </cell>
          <cell r="D152">
            <v>40630</v>
          </cell>
        </row>
        <row r="153">
          <cell r="C153">
            <v>901157204</v>
          </cell>
          <cell r="D153">
            <v>13785</v>
          </cell>
        </row>
        <row r="154">
          <cell r="C154">
            <v>901157205</v>
          </cell>
          <cell r="D154">
            <v>10623</v>
          </cell>
        </row>
        <row r="155">
          <cell r="C155">
            <v>901161101</v>
          </cell>
          <cell r="D155">
            <v>53651</v>
          </cell>
        </row>
        <row r="156">
          <cell r="C156">
            <v>901161102</v>
          </cell>
          <cell r="D156">
            <v>56121</v>
          </cell>
        </row>
        <row r="157">
          <cell r="C157">
            <v>901161103</v>
          </cell>
          <cell r="D157">
            <v>15527</v>
          </cell>
        </row>
        <row r="158">
          <cell r="C158">
            <v>901161104</v>
          </cell>
          <cell r="D158">
            <v>15511</v>
          </cell>
        </row>
        <row r="159">
          <cell r="C159">
            <v>901161105</v>
          </cell>
          <cell r="D159">
            <v>27122</v>
          </cell>
        </row>
        <row r="160">
          <cell r="C160">
            <v>901161106</v>
          </cell>
          <cell r="D160">
            <v>27252</v>
          </cell>
        </row>
        <row r="161">
          <cell r="C161">
            <v>901161107</v>
          </cell>
          <cell r="D161">
            <v>18546</v>
          </cell>
        </row>
        <row r="162">
          <cell r="C162">
            <v>901161108</v>
          </cell>
          <cell r="D162">
            <v>19648</v>
          </cell>
        </row>
        <row r="163">
          <cell r="C163">
            <v>901161109</v>
          </cell>
          <cell r="D163">
            <v>33851</v>
          </cell>
        </row>
        <row r="164">
          <cell r="C164">
            <v>901161110</v>
          </cell>
          <cell r="D164">
            <v>35055</v>
          </cell>
        </row>
        <row r="165">
          <cell r="C165">
            <v>901161111</v>
          </cell>
          <cell r="D165">
            <v>9851</v>
          </cell>
        </row>
        <row r="166">
          <cell r="C166">
            <v>901161112</v>
          </cell>
          <cell r="D166">
            <v>10472</v>
          </cell>
        </row>
        <row r="167">
          <cell r="C167">
            <v>901161113</v>
          </cell>
          <cell r="D167">
            <v>4231</v>
          </cell>
        </row>
        <row r="168">
          <cell r="C168">
            <v>901161114</v>
          </cell>
          <cell r="D168">
            <v>4314</v>
          </cell>
        </row>
        <row r="169">
          <cell r="C169">
            <v>901162101</v>
          </cell>
          <cell r="D169">
            <v>2270</v>
          </cell>
        </row>
        <row r="170">
          <cell r="C170">
            <v>901162102</v>
          </cell>
          <cell r="D170">
            <v>563</v>
          </cell>
        </row>
        <row r="171">
          <cell r="C171">
            <v>901162103</v>
          </cell>
          <cell r="D171">
            <v>2833</v>
          </cell>
        </row>
        <row r="172">
          <cell r="C172">
            <v>901162104</v>
          </cell>
          <cell r="D172">
            <v>2152</v>
          </cell>
        </row>
        <row r="173">
          <cell r="C173">
            <v>901162105</v>
          </cell>
          <cell r="D173">
            <v>642</v>
          </cell>
        </row>
        <row r="174">
          <cell r="C174">
            <v>901162106</v>
          </cell>
          <cell r="D174">
            <v>2794</v>
          </cell>
        </row>
        <row r="175">
          <cell r="C175">
            <v>901162201</v>
          </cell>
          <cell r="D175">
            <v>450</v>
          </cell>
        </row>
        <row r="176">
          <cell r="C176">
            <v>901162202</v>
          </cell>
          <cell r="D176">
            <v>860</v>
          </cell>
        </row>
        <row r="177">
          <cell r="C177">
            <v>901162301</v>
          </cell>
          <cell r="D177">
            <v>1532</v>
          </cell>
        </row>
        <row r="178">
          <cell r="C178">
            <v>901162302</v>
          </cell>
          <cell r="D178">
            <v>7063</v>
          </cell>
        </row>
        <row r="179">
          <cell r="C179">
            <v>901162303</v>
          </cell>
          <cell r="D179">
            <v>2474</v>
          </cell>
        </row>
        <row r="180">
          <cell r="C180">
            <v>901162304</v>
          </cell>
          <cell r="D180">
            <v>11069</v>
          </cell>
        </row>
        <row r="181">
          <cell r="C181">
            <v>901162305</v>
          </cell>
          <cell r="D181">
            <v>1386</v>
          </cell>
        </row>
        <row r="182">
          <cell r="C182">
            <v>901162306</v>
          </cell>
          <cell r="D182">
            <v>7317</v>
          </cell>
        </row>
        <row r="183">
          <cell r="C183">
            <v>901162307</v>
          </cell>
          <cell r="D183">
            <v>2723</v>
          </cell>
        </row>
        <row r="184">
          <cell r="C184">
            <v>901162308</v>
          </cell>
          <cell r="D184">
            <v>11426</v>
          </cell>
        </row>
        <row r="185">
          <cell r="C185">
            <v>901162401</v>
          </cell>
          <cell r="D185">
            <v>2695</v>
          </cell>
        </row>
        <row r="186">
          <cell r="C186">
            <v>901162402</v>
          </cell>
          <cell r="D186">
            <v>45961</v>
          </cell>
        </row>
        <row r="187">
          <cell r="C187">
            <v>901162403</v>
          </cell>
          <cell r="D187">
            <v>10660</v>
          </cell>
        </row>
        <row r="188">
          <cell r="C188">
            <v>901162405</v>
          </cell>
          <cell r="D188">
            <v>59316</v>
          </cell>
        </row>
        <row r="189">
          <cell r="C189">
            <v>901162501</v>
          </cell>
          <cell r="D189">
            <v>1752</v>
          </cell>
        </row>
        <row r="190">
          <cell r="C190">
            <v>901162502</v>
          </cell>
          <cell r="D190">
            <v>30450</v>
          </cell>
        </row>
        <row r="191">
          <cell r="C191">
            <v>901162503</v>
          </cell>
          <cell r="D191">
            <v>8535</v>
          </cell>
        </row>
        <row r="192">
          <cell r="C192">
            <v>901162505</v>
          </cell>
          <cell r="D192">
            <v>40737</v>
          </cell>
        </row>
        <row r="193">
          <cell r="C193">
            <v>901162601</v>
          </cell>
          <cell r="D193">
            <v>552</v>
          </cell>
        </row>
        <row r="194">
          <cell r="C194">
            <v>901162602</v>
          </cell>
          <cell r="D194">
            <v>11160</v>
          </cell>
        </row>
        <row r="195">
          <cell r="C195">
            <v>901162603</v>
          </cell>
          <cell r="D195">
            <v>2008</v>
          </cell>
        </row>
        <row r="196">
          <cell r="C196">
            <v>901162605</v>
          </cell>
          <cell r="D196">
            <v>13720</v>
          </cell>
        </row>
        <row r="197">
          <cell r="C197">
            <v>901162701</v>
          </cell>
          <cell r="D197">
            <v>1766</v>
          </cell>
        </row>
        <row r="198">
          <cell r="C198">
            <v>901162702</v>
          </cell>
          <cell r="D198">
            <v>1756</v>
          </cell>
        </row>
        <row r="199">
          <cell r="C199">
            <v>901162801</v>
          </cell>
          <cell r="D199">
            <v>2896</v>
          </cell>
        </row>
        <row r="200">
          <cell r="C200">
            <v>901162802</v>
          </cell>
          <cell r="D200">
            <v>2649</v>
          </cell>
        </row>
        <row r="201">
          <cell r="C201">
            <v>901163101</v>
          </cell>
          <cell r="D201">
            <v>18401</v>
          </cell>
        </row>
        <row r="202">
          <cell r="C202">
            <v>901163102</v>
          </cell>
          <cell r="D202">
            <v>46281</v>
          </cell>
        </row>
        <row r="203">
          <cell r="C203">
            <v>901163103</v>
          </cell>
          <cell r="D203">
            <v>675</v>
          </cell>
        </row>
        <row r="204">
          <cell r="C204">
            <v>901163104</v>
          </cell>
          <cell r="D204">
            <v>65357</v>
          </cell>
        </row>
        <row r="205">
          <cell r="C205">
            <v>901163105</v>
          </cell>
          <cell r="D205">
            <v>18096</v>
          </cell>
        </row>
        <row r="206">
          <cell r="C206">
            <v>901163106</v>
          </cell>
          <cell r="D206">
            <v>46800</v>
          </cell>
        </row>
        <row r="207">
          <cell r="C207">
            <v>901163107</v>
          </cell>
          <cell r="D207">
            <v>667</v>
          </cell>
        </row>
        <row r="208">
          <cell r="C208">
            <v>901163108</v>
          </cell>
          <cell r="D208">
            <v>65563</v>
          </cell>
        </row>
        <row r="209">
          <cell r="C209">
            <v>901163201</v>
          </cell>
          <cell r="D209">
            <v>12952</v>
          </cell>
        </row>
        <row r="210">
          <cell r="C210">
            <v>901163202</v>
          </cell>
          <cell r="D210">
            <v>28236</v>
          </cell>
        </row>
        <row r="211">
          <cell r="C211">
            <v>901163203</v>
          </cell>
          <cell r="D211">
            <v>564</v>
          </cell>
        </row>
        <row r="212">
          <cell r="C212">
            <v>901163204</v>
          </cell>
          <cell r="D212">
            <v>41752</v>
          </cell>
        </row>
        <row r="213">
          <cell r="C213">
            <v>901163205</v>
          </cell>
          <cell r="D213">
            <v>12963</v>
          </cell>
        </row>
        <row r="214">
          <cell r="C214">
            <v>901163206</v>
          </cell>
          <cell r="D214">
            <v>28658</v>
          </cell>
        </row>
        <row r="215">
          <cell r="C215">
            <v>901163207</v>
          </cell>
          <cell r="D215">
            <v>562</v>
          </cell>
        </row>
        <row r="216">
          <cell r="C216">
            <v>901163208</v>
          </cell>
          <cell r="D216">
            <v>42183</v>
          </cell>
        </row>
        <row r="217">
          <cell r="C217">
            <v>901164101</v>
          </cell>
          <cell r="D217">
            <v>14059</v>
          </cell>
        </row>
        <row r="218">
          <cell r="C218">
            <v>901164102</v>
          </cell>
          <cell r="D218">
            <v>14168</v>
          </cell>
        </row>
        <row r="219">
          <cell r="C219">
            <v>901164103</v>
          </cell>
          <cell r="D219">
            <v>28227</v>
          </cell>
        </row>
        <row r="220">
          <cell r="C220">
            <v>901164104</v>
          </cell>
          <cell r="D220">
            <v>15238</v>
          </cell>
        </row>
        <row r="221">
          <cell r="C221">
            <v>901164105</v>
          </cell>
          <cell r="D221">
            <v>14143</v>
          </cell>
        </row>
        <row r="222">
          <cell r="C222">
            <v>901164106</v>
          </cell>
          <cell r="D222">
            <v>29381</v>
          </cell>
        </row>
        <row r="223">
          <cell r="C223">
            <v>901164201</v>
          </cell>
          <cell r="D223">
            <v>12448</v>
          </cell>
        </row>
        <row r="224">
          <cell r="C224">
            <v>901164202</v>
          </cell>
          <cell r="D224">
            <v>12608</v>
          </cell>
        </row>
        <row r="225">
          <cell r="C225">
            <v>901165101</v>
          </cell>
          <cell r="D225">
            <v>250</v>
          </cell>
        </row>
        <row r="226">
          <cell r="C226">
            <v>901165102</v>
          </cell>
          <cell r="D226">
            <v>4783</v>
          </cell>
        </row>
        <row r="227">
          <cell r="C227">
            <v>901165103</v>
          </cell>
          <cell r="D227">
            <v>5033</v>
          </cell>
        </row>
        <row r="228">
          <cell r="C228">
            <v>901165104</v>
          </cell>
          <cell r="D228">
            <v>330</v>
          </cell>
        </row>
        <row r="229">
          <cell r="C229">
            <v>901165105</v>
          </cell>
          <cell r="D229">
            <v>4848</v>
          </cell>
        </row>
        <row r="230">
          <cell r="C230">
            <v>901165106</v>
          </cell>
          <cell r="D230">
            <v>5178</v>
          </cell>
        </row>
        <row r="231">
          <cell r="C231">
            <v>901165201</v>
          </cell>
          <cell r="D231">
            <v>2674</v>
          </cell>
        </row>
        <row r="232">
          <cell r="C232">
            <v>901165202</v>
          </cell>
          <cell r="D232">
            <v>2888</v>
          </cell>
        </row>
        <row r="233">
          <cell r="C233">
            <v>901165203</v>
          </cell>
          <cell r="D233">
            <v>136</v>
          </cell>
        </row>
        <row r="234">
          <cell r="C234">
            <v>901165204</v>
          </cell>
          <cell r="D234">
            <v>150</v>
          </cell>
        </row>
        <row r="235">
          <cell r="C235">
            <v>901165205</v>
          </cell>
          <cell r="D235">
            <v>2341</v>
          </cell>
        </row>
        <row r="236">
          <cell r="C236">
            <v>901165206</v>
          </cell>
          <cell r="D236">
            <v>114</v>
          </cell>
        </row>
        <row r="237">
          <cell r="C237">
            <v>901166101</v>
          </cell>
          <cell r="D237">
            <v>160570</v>
          </cell>
        </row>
        <row r="238">
          <cell r="C238">
            <v>901166102</v>
          </cell>
          <cell r="D238">
            <v>157903</v>
          </cell>
        </row>
        <row r="239">
          <cell r="C239">
            <v>901166201</v>
          </cell>
          <cell r="D239">
            <v>181077</v>
          </cell>
        </row>
        <row r="240">
          <cell r="C240">
            <v>901166202</v>
          </cell>
          <cell r="D240">
            <v>252</v>
          </cell>
        </row>
        <row r="241">
          <cell r="C241">
            <v>901166203</v>
          </cell>
          <cell r="D241">
            <v>207</v>
          </cell>
        </row>
        <row r="242">
          <cell r="C242">
            <v>901166204</v>
          </cell>
          <cell r="D242">
            <v>200</v>
          </cell>
        </row>
        <row r="243">
          <cell r="C243">
            <v>901166205</v>
          </cell>
          <cell r="D243">
            <v>659</v>
          </cell>
        </row>
        <row r="244">
          <cell r="C244">
            <v>901166301</v>
          </cell>
          <cell r="D244">
            <v>51181</v>
          </cell>
        </row>
        <row r="245">
          <cell r="C245">
            <v>901166302</v>
          </cell>
          <cell r="D245">
            <v>67611</v>
          </cell>
        </row>
        <row r="246">
          <cell r="C246">
            <v>901166303</v>
          </cell>
          <cell r="D246">
            <v>17189</v>
          </cell>
        </row>
        <row r="247">
          <cell r="C247">
            <v>901166304</v>
          </cell>
          <cell r="D247">
            <v>54651</v>
          </cell>
        </row>
        <row r="248">
          <cell r="C248">
            <v>901166305</v>
          </cell>
          <cell r="D248">
            <v>190632</v>
          </cell>
        </row>
        <row r="249">
          <cell r="C249">
            <v>901170101</v>
          </cell>
          <cell r="D249">
            <v>117138</v>
          </cell>
        </row>
        <row r="250">
          <cell r="C250">
            <v>901170102</v>
          </cell>
          <cell r="D250">
            <v>238689</v>
          </cell>
        </row>
        <row r="251">
          <cell r="C251">
            <v>901170103</v>
          </cell>
          <cell r="D251">
            <v>25101</v>
          </cell>
        </row>
        <row r="252">
          <cell r="C252">
            <v>901170104</v>
          </cell>
          <cell r="D252">
            <v>20478</v>
          </cell>
        </row>
        <row r="253">
          <cell r="C253">
            <v>901170105</v>
          </cell>
          <cell r="D253">
            <v>401406</v>
          </cell>
        </row>
        <row r="254">
          <cell r="C254">
            <v>901170106</v>
          </cell>
          <cell r="D254">
            <v>117138</v>
          </cell>
        </row>
        <row r="255">
          <cell r="C255">
            <v>901170107</v>
          </cell>
          <cell r="D255">
            <v>238689</v>
          </cell>
        </row>
        <row r="256">
          <cell r="C256">
            <v>901170108</v>
          </cell>
          <cell r="D256">
            <v>25101</v>
          </cell>
        </row>
        <row r="257">
          <cell r="C257">
            <v>901170109</v>
          </cell>
          <cell r="D257">
            <v>20478</v>
          </cell>
        </row>
        <row r="258">
          <cell r="C258">
            <v>901170110</v>
          </cell>
          <cell r="D258">
            <v>401406</v>
          </cell>
        </row>
        <row r="259">
          <cell r="C259">
            <v>901170111</v>
          </cell>
          <cell r="D259">
            <v>22322</v>
          </cell>
        </row>
        <row r="260">
          <cell r="C260">
            <v>901170201</v>
          </cell>
          <cell r="D260">
            <v>513681</v>
          </cell>
        </row>
        <row r="261">
          <cell r="C261">
            <v>901170202</v>
          </cell>
          <cell r="D261">
            <v>1198096</v>
          </cell>
        </row>
        <row r="262">
          <cell r="C262">
            <v>901170301</v>
          </cell>
          <cell r="D262">
            <v>297</v>
          </cell>
        </row>
        <row r="263">
          <cell r="C263">
            <v>901170302</v>
          </cell>
          <cell r="D263">
            <v>4897</v>
          </cell>
        </row>
        <row r="264">
          <cell r="C264">
            <v>901170303</v>
          </cell>
          <cell r="D264">
            <v>46357</v>
          </cell>
        </row>
        <row r="265">
          <cell r="C265">
            <v>901170304</v>
          </cell>
          <cell r="D265">
            <v>51551</v>
          </cell>
        </row>
        <row r="266">
          <cell r="C266">
            <v>905010101</v>
          </cell>
          <cell r="D266">
            <v>143264</v>
          </cell>
        </row>
        <row r="267">
          <cell r="C267">
            <v>905010102</v>
          </cell>
          <cell r="D267">
            <v>141941</v>
          </cell>
        </row>
        <row r="268">
          <cell r="C268">
            <v>905010201</v>
          </cell>
        </row>
        <row r="269">
          <cell r="C269">
            <v>905010301</v>
          </cell>
          <cell r="D269">
            <v>4025</v>
          </cell>
        </row>
        <row r="270">
          <cell r="C270">
            <v>905010302</v>
          </cell>
          <cell r="D270">
            <v>4424</v>
          </cell>
        </row>
        <row r="271">
          <cell r="C271">
            <v>905020201</v>
          </cell>
        </row>
        <row r="272">
          <cell r="C272">
            <v>905020301</v>
          </cell>
          <cell r="D272">
            <v>36058</v>
          </cell>
        </row>
        <row r="273">
          <cell r="C273">
            <v>905030001</v>
          </cell>
        </row>
        <row r="274">
          <cell r="C274">
            <v>905030002</v>
          </cell>
        </row>
        <row r="275">
          <cell r="C275">
            <v>905030003</v>
          </cell>
        </row>
        <row r="276">
          <cell r="C276">
            <v>905030004</v>
          </cell>
        </row>
        <row r="277">
          <cell r="C277">
            <v>905030005</v>
          </cell>
        </row>
        <row r="278">
          <cell r="C278">
            <v>905030006</v>
          </cell>
        </row>
        <row r="279">
          <cell r="C279">
            <v>905030007</v>
          </cell>
          <cell r="D279">
            <v>1</v>
          </cell>
        </row>
        <row r="280">
          <cell r="C280">
            <v>905030008</v>
          </cell>
        </row>
        <row r="281">
          <cell r="C281">
            <v>905040001</v>
          </cell>
        </row>
        <row r="282">
          <cell r="C282">
            <v>999999801</v>
          </cell>
        </row>
        <row r="283">
          <cell r="C283">
            <v>999999802</v>
          </cell>
        </row>
        <row r="284">
          <cell r="C284">
            <v>999999803</v>
          </cell>
        </row>
        <row r="285">
          <cell r="C285">
            <v>999999804</v>
          </cell>
        </row>
        <row r="286">
          <cell r="C286">
            <v>999999805</v>
          </cell>
        </row>
        <row r="287">
          <cell r="C287">
            <v>999999806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F204"/>
  <sheetViews>
    <sheetView zoomScale="120" zoomScaleNormal="120" zoomScaleSheetLayoutView="110" workbookViewId="0">
      <selection activeCell="F1" sqref="F1"/>
    </sheetView>
  </sheetViews>
  <sheetFormatPr defaultColWidth="9.33203125" defaultRowHeight="15.75"/>
  <cols>
    <col min="1" max="1" width="5.83203125" style="154" customWidth="1"/>
    <col min="2" max="2" width="52.5" style="154" customWidth="1"/>
    <col min="3" max="6" width="14" style="228" customWidth="1"/>
    <col min="7" max="16384" width="9.33203125" style="173"/>
  </cols>
  <sheetData>
    <row r="1" spans="1:6">
      <c r="C1" s="270"/>
      <c r="D1" s="270"/>
      <c r="E1" s="270"/>
      <c r="F1" s="447" t="s">
        <v>446</v>
      </c>
    </row>
    <row r="2" spans="1:6" ht="15.95" customHeight="1">
      <c r="A2" s="392" t="s">
        <v>4</v>
      </c>
      <c r="B2" s="392"/>
      <c r="C2" s="392"/>
      <c r="D2" s="392"/>
      <c r="E2" s="392"/>
      <c r="F2" s="392"/>
    </row>
    <row r="3" spans="1:6" ht="15.95" customHeight="1" thickBot="1">
      <c r="A3" s="393" t="s">
        <v>85</v>
      </c>
      <c r="B3" s="393"/>
      <c r="C3" s="395" t="s">
        <v>127</v>
      </c>
      <c r="D3" s="395"/>
      <c r="E3" s="395"/>
      <c r="F3" s="395"/>
    </row>
    <row r="4" spans="1:6" ht="38.1" customHeight="1" thickBot="1">
      <c r="A4" s="21" t="s">
        <v>50</v>
      </c>
      <c r="B4" s="22" t="s">
        <v>5</v>
      </c>
      <c r="C4" s="27" t="s">
        <v>402</v>
      </c>
      <c r="D4" s="27" t="s">
        <v>401</v>
      </c>
      <c r="E4" s="27" t="s">
        <v>405</v>
      </c>
      <c r="F4" s="27" t="s">
        <v>401</v>
      </c>
    </row>
    <row r="5" spans="1:6" s="174" customFormat="1" ht="12" customHeight="1" thickBot="1">
      <c r="A5" s="168">
        <v>1</v>
      </c>
      <c r="B5" s="169">
        <v>2</v>
      </c>
      <c r="C5" s="170">
        <v>3</v>
      </c>
      <c r="D5" s="170">
        <v>4</v>
      </c>
      <c r="E5" s="170">
        <v>5</v>
      </c>
      <c r="F5" s="170">
        <v>6</v>
      </c>
    </row>
    <row r="6" spans="1:6" s="175" customFormat="1" ht="12" customHeight="1" thickBot="1">
      <c r="A6" s="18" t="s">
        <v>6</v>
      </c>
      <c r="B6" s="19" t="s">
        <v>146</v>
      </c>
      <c r="C6" s="87">
        <f>+C7+C8+C9+C10+C11+C12</f>
        <v>454969</v>
      </c>
      <c r="D6" s="87">
        <f>+D7+D8+D9+D10+D11+D12</f>
        <v>507173</v>
      </c>
      <c r="E6" s="87">
        <f>+E7+E8+E9+E10+E11+E12</f>
        <v>14185</v>
      </c>
      <c r="F6" s="87">
        <f>+F7+F8+F9+F10+F11+F12</f>
        <v>521358</v>
      </c>
    </row>
    <row r="7" spans="1:6" s="175" customFormat="1" ht="12" customHeight="1">
      <c r="A7" s="13" t="s">
        <v>62</v>
      </c>
      <c r="B7" s="176" t="s">
        <v>147</v>
      </c>
      <c r="C7" s="90">
        <v>125345</v>
      </c>
      <c r="D7" s="90">
        <v>125345</v>
      </c>
      <c r="E7" s="90">
        <f>F7-D7</f>
        <v>956</v>
      </c>
      <c r="F7" s="90">
        <f>126301</f>
        <v>126301</v>
      </c>
    </row>
    <row r="8" spans="1:6" s="175" customFormat="1" ht="12" customHeight="1">
      <c r="A8" s="12" t="s">
        <v>63</v>
      </c>
      <c r="B8" s="177" t="s">
        <v>148</v>
      </c>
      <c r="C8" s="90">
        <v>106440</v>
      </c>
      <c r="D8" s="90">
        <v>106763</v>
      </c>
      <c r="E8" s="90">
        <f t="shared" ref="E8:E12" si="0">F8-D8</f>
        <v>2446</v>
      </c>
      <c r="F8" s="90">
        <f>109209</f>
        <v>109209</v>
      </c>
    </row>
    <row r="9" spans="1:6" s="175" customFormat="1" ht="12" customHeight="1">
      <c r="A9" s="12" t="s">
        <v>64</v>
      </c>
      <c r="B9" s="177" t="s">
        <v>149</v>
      </c>
      <c r="C9" s="90">
        <v>152266</v>
      </c>
      <c r="D9" s="90">
        <v>152566</v>
      </c>
      <c r="E9" s="90">
        <f t="shared" si="0"/>
        <v>19657</v>
      </c>
      <c r="F9" s="90">
        <f>172223</f>
        <v>172223</v>
      </c>
    </row>
    <row r="10" spans="1:6" s="175" customFormat="1" ht="12" customHeight="1">
      <c r="A10" s="12" t="s">
        <v>65</v>
      </c>
      <c r="B10" s="177" t="s">
        <v>150</v>
      </c>
      <c r="C10" s="90">
        <v>18738</v>
      </c>
      <c r="D10" s="90">
        <v>19738</v>
      </c>
      <c r="E10" s="90">
        <f t="shared" si="0"/>
        <v>-543</v>
      </c>
      <c r="F10" s="90">
        <f>19195</f>
        <v>19195</v>
      </c>
    </row>
    <row r="11" spans="1:6" s="175" customFormat="1" ht="12" customHeight="1">
      <c r="A11" s="12" t="s">
        <v>82</v>
      </c>
      <c r="B11" s="177" t="s">
        <v>151</v>
      </c>
      <c r="C11" s="90">
        <v>2180</v>
      </c>
      <c r="D11" s="90">
        <v>26300</v>
      </c>
      <c r="E11" s="90">
        <f t="shared" si="0"/>
        <v>68130</v>
      </c>
      <c r="F11" s="90">
        <f>94430</f>
        <v>94430</v>
      </c>
    </row>
    <row r="12" spans="1:6" s="175" customFormat="1" ht="12" customHeight="1" thickBot="1">
      <c r="A12" s="14" t="s">
        <v>66</v>
      </c>
      <c r="B12" s="178" t="s">
        <v>152</v>
      </c>
      <c r="C12" s="90">
        <v>50000</v>
      </c>
      <c r="D12" s="90">
        <v>76461</v>
      </c>
      <c r="E12" s="90">
        <f t="shared" si="0"/>
        <v>-76461</v>
      </c>
      <c r="F12" s="90"/>
    </row>
    <row r="13" spans="1:6" s="175" customFormat="1" ht="24" customHeight="1" thickBot="1">
      <c r="A13" s="18" t="s">
        <v>7</v>
      </c>
      <c r="B13" s="82" t="s">
        <v>441</v>
      </c>
      <c r="C13" s="87">
        <f>+C14+C15+C16+C17+C18</f>
        <v>78274</v>
      </c>
      <c r="D13" s="87">
        <f>+D14+D15+D16+D17+D18</f>
        <v>81866</v>
      </c>
      <c r="E13" s="87">
        <f>+E14+E15+E16+E17+E18</f>
        <v>520</v>
      </c>
      <c r="F13" s="87">
        <f>+F14+F15+F16+F17+F18</f>
        <v>82386</v>
      </c>
    </row>
    <row r="14" spans="1:6" s="175" customFormat="1" ht="12" customHeight="1">
      <c r="A14" s="13" t="s">
        <v>68</v>
      </c>
      <c r="B14" s="176" t="s">
        <v>154</v>
      </c>
      <c r="C14" s="90"/>
      <c r="D14" s="90">
        <v>888</v>
      </c>
      <c r="E14" s="90">
        <f>F14-D14</f>
        <v>0</v>
      </c>
      <c r="F14" s="90">
        <v>888</v>
      </c>
    </row>
    <row r="15" spans="1:6" s="175" customFormat="1" ht="12" customHeight="1">
      <c r="A15" s="12" t="s">
        <v>69</v>
      </c>
      <c r="B15" s="177" t="s">
        <v>155</v>
      </c>
      <c r="C15" s="90"/>
      <c r="D15" s="90"/>
      <c r="E15" s="90">
        <f t="shared" ref="E15:E19" si="1">F15-D15</f>
        <v>0</v>
      </c>
      <c r="F15" s="90"/>
    </row>
    <row r="16" spans="1:6" s="175" customFormat="1" ht="12" customHeight="1">
      <c r="A16" s="12" t="s">
        <v>70</v>
      </c>
      <c r="B16" s="177" t="s">
        <v>358</v>
      </c>
      <c r="C16" s="90"/>
      <c r="D16" s="90"/>
      <c r="E16" s="90">
        <f t="shared" si="1"/>
        <v>0</v>
      </c>
      <c r="F16" s="90"/>
    </row>
    <row r="17" spans="1:6" s="175" customFormat="1" ht="12" customHeight="1">
      <c r="A17" s="12" t="s">
        <v>71</v>
      </c>
      <c r="B17" s="177" t="s">
        <v>359</v>
      </c>
      <c r="C17" s="90"/>
      <c r="D17" s="90"/>
      <c r="E17" s="90">
        <f t="shared" si="1"/>
        <v>0</v>
      </c>
      <c r="F17" s="90"/>
    </row>
    <row r="18" spans="1:6" s="175" customFormat="1" ht="12" customHeight="1">
      <c r="A18" s="12" t="s">
        <v>72</v>
      </c>
      <c r="B18" s="177" t="s">
        <v>156</v>
      </c>
      <c r="C18" s="90">
        <v>78274</v>
      </c>
      <c r="D18" s="90">
        <v>80978</v>
      </c>
      <c r="E18" s="90">
        <f t="shared" si="1"/>
        <v>520</v>
      </c>
      <c r="F18" s="90">
        <f>65923+3334+779+11462</f>
        <v>81498</v>
      </c>
    </row>
    <row r="19" spans="1:6" s="175" customFormat="1" ht="12" customHeight="1" thickBot="1">
      <c r="A19" s="14" t="s">
        <v>78</v>
      </c>
      <c r="B19" s="178" t="s">
        <v>157</v>
      </c>
      <c r="C19" s="90">
        <v>9462</v>
      </c>
      <c r="D19" s="90">
        <v>9462</v>
      </c>
      <c r="E19" s="90">
        <f t="shared" si="1"/>
        <v>0</v>
      </c>
      <c r="F19" s="90">
        <v>9462</v>
      </c>
    </row>
    <row r="20" spans="1:6" s="175" customFormat="1" ht="25.5" customHeight="1" thickBot="1">
      <c r="A20" s="18" t="s">
        <v>8</v>
      </c>
      <c r="B20" s="19" t="s">
        <v>158</v>
      </c>
      <c r="C20" s="87">
        <f>+C21+C22+C23+C24+C25</f>
        <v>90505</v>
      </c>
      <c r="D20" s="87">
        <f>+D21+D22+D23+D24+D25</f>
        <v>105505</v>
      </c>
      <c r="E20" s="87">
        <f>+E21+E22+E23+E24+E25</f>
        <v>76498</v>
      </c>
      <c r="F20" s="87">
        <f>+F21+F22+F23+F24+F25</f>
        <v>182003</v>
      </c>
    </row>
    <row r="21" spans="1:6" s="175" customFormat="1" ht="12" customHeight="1">
      <c r="A21" s="13" t="s">
        <v>51</v>
      </c>
      <c r="B21" s="176" t="s">
        <v>159</v>
      </c>
      <c r="C21" s="90"/>
      <c r="D21" s="90">
        <v>15000</v>
      </c>
      <c r="E21" s="90">
        <f>F21-D21</f>
        <v>16447</v>
      </c>
      <c r="F21" s="90">
        <f>31447</f>
        <v>31447</v>
      </c>
    </row>
    <row r="22" spans="1:6" s="175" customFormat="1" ht="12" customHeight="1">
      <c r="A22" s="12" t="s">
        <v>52</v>
      </c>
      <c r="B22" s="177" t="s">
        <v>160</v>
      </c>
      <c r="C22" s="90"/>
      <c r="D22" s="90"/>
      <c r="E22" s="90">
        <f t="shared" ref="E22:E26" si="2">F22-D22</f>
        <v>0</v>
      </c>
      <c r="F22" s="90"/>
    </row>
    <row r="23" spans="1:6" s="175" customFormat="1" ht="25.5" customHeight="1">
      <c r="A23" s="12" t="s">
        <v>53</v>
      </c>
      <c r="B23" s="177" t="s">
        <v>360</v>
      </c>
      <c r="C23" s="90"/>
      <c r="D23" s="90"/>
      <c r="E23" s="90">
        <f t="shared" si="2"/>
        <v>0</v>
      </c>
      <c r="F23" s="90"/>
    </row>
    <row r="24" spans="1:6" s="175" customFormat="1" ht="26.25" customHeight="1">
      <c r="A24" s="12" t="s">
        <v>54</v>
      </c>
      <c r="B24" s="177" t="s">
        <v>361</v>
      </c>
      <c r="C24" s="90"/>
      <c r="D24" s="90"/>
      <c r="E24" s="90">
        <f t="shared" si="2"/>
        <v>300</v>
      </c>
      <c r="F24" s="90">
        <f>300</f>
        <v>300</v>
      </c>
    </row>
    <row r="25" spans="1:6" s="175" customFormat="1" ht="12" customHeight="1">
      <c r="A25" s="12" t="s">
        <v>94</v>
      </c>
      <c r="B25" s="177" t="s">
        <v>161</v>
      </c>
      <c r="C25" s="90">
        <v>90505</v>
      </c>
      <c r="D25" s="90">
        <v>90505</v>
      </c>
      <c r="E25" s="90">
        <f t="shared" si="2"/>
        <v>59751</v>
      </c>
      <c r="F25" s="90">
        <f>150256</f>
        <v>150256</v>
      </c>
    </row>
    <row r="26" spans="1:6" s="175" customFormat="1" ht="12" customHeight="1" thickBot="1">
      <c r="A26" s="14" t="s">
        <v>95</v>
      </c>
      <c r="B26" s="178" t="s">
        <v>162</v>
      </c>
      <c r="C26" s="90">
        <v>79054</v>
      </c>
      <c r="D26" s="90">
        <v>79054</v>
      </c>
      <c r="E26" s="90">
        <f t="shared" si="2"/>
        <v>-79054</v>
      </c>
      <c r="F26" s="90"/>
    </row>
    <row r="27" spans="1:6" s="175" customFormat="1" ht="12" customHeight="1" thickBot="1">
      <c r="A27" s="18" t="s">
        <v>96</v>
      </c>
      <c r="B27" s="19" t="s">
        <v>163</v>
      </c>
      <c r="C27" s="93">
        <f>+C28+C31+C32+C33</f>
        <v>414620</v>
      </c>
      <c r="D27" s="93">
        <f>+D28+D31+D32+D33</f>
        <v>414620</v>
      </c>
      <c r="E27" s="93">
        <f>+E28+E31+E32+E33</f>
        <v>180403</v>
      </c>
      <c r="F27" s="93">
        <f>+F28+F31+F32+F33</f>
        <v>595023</v>
      </c>
    </row>
    <row r="28" spans="1:6" s="175" customFormat="1" ht="12" customHeight="1">
      <c r="A28" s="13" t="s">
        <v>164</v>
      </c>
      <c r="B28" s="176" t="s">
        <v>170</v>
      </c>
      <c r="C28" s="171">
        <v>380800</v>
      </c>
      <c r="D28" s="171">
        <v>380800</v>
      </c>
      <c r="E28" s="171">
        <f>F28-D28</f>
        <v>177601</v>
      </c>
      <c r="F28" s="171">
        <f>F29+F30</f>
        <v>558401</v>
      </c>
    </row>
    <row r="29" spans="1:6" s="175" customFormat="1" ht="12" customHeight="1">
      <c r="A29" s="12" t="s">
        <v>165</v>
      </c>
      <c r="B29" s="177" t="s">
        <v>171</v>
      </c>
      <c r="C29" s="89">
        <v>40000</v>
      </c>
      <c r="D29" s="89">
        <v>40000</v>
      </c>
      <c r="E29" s="171">
        <f t="shared" ref="E29:E33" si="3">F29-D29</f>
        <v>3523</v>
      </c>
      <c r="F29" s="89">
        <v>43523</v>
      </c>
    </row>
    <row r="30" spans="1:6" s="175" customFormat="1" ht="12" customHeight="1">
      <c r="A30" s="12" t="s">
        <v>166</v>
      </c>
      <c r="B30" s="177" t="s">
        <v>172</v>
      </c>
      <c r="C30" s="89">
        <v>340800</v>
      </c>
      <c r="D30" s="89">
        <v>340800</v>
      </c>
      <c r="E30" s="171">
        <f t="shared" si="3"/>
        <v>174078</v>
      </c>
      <c r="F30" s="89">
        <v>514878</v>
      </c>
    </row>
    <row r="31" spans="1:6" s="175" customFormat="1" ht="12" customHeight="1">
      <c r="A31" s="12" t="s">
        <v>167</v>
      </c>
      <c r="B31" s="177" t="s">
        <v>173</v>
      </c>
      <c r="C31" s="89">
        <v>31000</v>
      </c>
      <c r="D31" s="89">
        <v>31000</v>
      </c>
      <c r="E31" s="171">
        <f t="shared" si="3"/>
        <v>1360</v>
      </c>
      <c r="F31" s="89">
        <v>32360</v>
      </c>
    </row>
    <row r="32" spans="1:6" s="175" customFormat="1" ht="12" customHeight="1">
      <c r="A32" s="12" t="s">
        <v>168</v>
      </c>
      <c r="B32" s="177" t="s">
        <v>174</v>
      </c>
      <c r="C32" s="89"/>
      <c r="D32" s="89"/>
      <c r="E32" s="171">
        <f t="shared" si="3"/>
        <v>800</v>
      </c>
      <c r="F32" s="89">
        <v>800</v>
      </c>
    </row>
    <row r="33" spans="1:6" s="175" customFormat="1" ht="12" customHeight="1" thickBot="1">
      <c r="A33" s="14" t="s">
        <v>169</v>
      </c>
      <c r="B33" s="178" t="s">
        <v>175</v>
      </c>
      <c r="C33" s="89">
        <v>2820</v>
      </c>
      <c r="D33" s="89">
        <v>2820</v>
      </c>
      <c r="E33" s="171">
        <f t="shared" si="3"/>
        <v>642</v>
      </c>
      <c r="F33" s="90">
        <f>2850+612</f>
        <v>3462</v>
      </c>
    </row>
    <row r="34" spans="1:6" s="175" customFormat="1" ht="12" customHeight="1" thickBot="1">
      <c r="A34" s="18" t="s">
        <v>10</v>
      </c>
      <c r="B34" s="19" t="s">
        <v>176</v>
      </c>
      <c r="C34" s="87">
        <f>SUM(C35:C44)</f>
        <v>146934</v>
      </c>
      <c r="D34" s="87">
        <f>SUM(D35:D44)</f>
        <v>149257</v>
      </c>
      <c r="E34" s="87">
        <f>SUM(E35:E44)</f>
        <v>21890</v>
      </c>
      <c r="F34" s="87">
        <f>SUM(F35:F44)</f>
        <v>171147</v>
      </c>
    </row>
    <row r="35" spans="1:6" s="175" customFormat="1" ht="12" customHeight="1">
      <c r="A35" s="13" t="s">
        <v>55</v>
      </c>
      <c r="B35" s="176" t="s">
        <v>179</v>
      </c>
      <c r="C35" s="90">
        <v>200</v>
      </c>
      <c r="D35" s="90">
        <v>200</v>
      </c>
      <c r="E35" s="90">
        <f>F35-D35</f>
        <v>16</v>
      </c>
      <c r="F35" s="90">
        <f>200+16</f>
        <v>216</v>
      </c>
    </row>
    <row r="36" spans="1:6" s="175" customFormat="1" ht="12" customHeight="1">
      <c r="A36" s="12" t="s">
        <v>56</v>
      </c>
      <c r="B36" s="177" t="s">
        <v>180</v>
      </c>
      <c r="C36" s="90">
        <v>55484</v>
      </c>
      <c r="D36" s="90">
        <v>55484</v>
      </c>
      <c r="E36" s="90">
        <f t="shared" ref="E36:E44" si="4">F36-D36</f>
        <v>2509</v>
      </c>
      <c r="F36" s="90">
        <f>52389+577+994+4033</f>
        <v>57993</v>
      </c>
    </row>
    <row r="37" spans="1:6" s="175" customFormat="1" ht="12" customHeight="1">
      <c r="A37" s="12" t="s">
        <v>57</v>
      </c>
      <c r="B37" s="177" t="s">
        <v>181</v>
      </c>
      <c r="C37" s="90">
        <v>11177</v>
      </c>
      <c r="D37" s="90">
        <v>11177</v>
      </c>
      <c r="E37" s="90">
        <f t="shared" si="4"/>
        <v>0</v>
      </c>
      <c r="F37" s="90">
        <f>4937+4088+2152</f>
        <v>11177</v>
      </c>
    </row>
    <row r="38" spans="1:6" s="175" customFormat="1" ht="12" customHeight="1">
      <c r="A38" s="12" t="s">
        <v>98</v>
      </c>
      <c r="B38" s="177" t="s">
        <v>182</v>
      </c>
      <c r="C38" s="90">
        <v>10551</v>
      </c>
      <c r="D38" s="90">
        <v>10551</v>
      </c>
      <c r="E38" s="90">
        <f t="shared" si="4"/>
        <v>484</v>
      </c>
      <c r="F38" s="90">
        <f>11035</f>
        <v>11035</v>
      </c>
    </row>
    <row r="39" spans="1:6" s="175" customFormat="1" ht="12" customHeight="1">
      <c r="A39" s="12" t="s">
        <v>99</v>
      </c>
      <c r="B39" s="177" t="s">
        <v>183</v>
      </c>
      <c r="C39" s="90">
        <v>34132</v>
      </c>
      <c r="D39" s="90">
        <v>34132</v>
      </c>
      <c r="E39" s="90">
        <f t="shared" si="4"/>
        <v>-3821</v>
      </c>
      <c r="F39" s="90">
        <f>30311</f>
        <v>30311</v>
      </c>
    </row>
    <row r="40" spans="1:6" s="175" customFormat="1" ht="12" customHeight="1">
      <c r="A40" s="12" t="s">
        <v>100</v>
      </c>
      <c r="B40" s="177" t="s">
        <v>184</v>
      </c>
      <c r="C40" s="90">
        <v>26797</v>
      </c>
      <c r="D40" s="90">
        <v>26797</v>
      </c>
      <c r="E40" s="90">
        <f t="shared" si="4"/>
        <v>-12815</v>
      </c>
      <c r="F40" s="90">
        <f>3825+654+9222+281</f>
        <v>13982</v>
      </c>
    </row>
    <row r="41" spans="1:6" s="175" customFormat="1" ht="12" customHeight="1">
      <c r="A41" s="12" t="s">
        <v>101</v>
      </c>
      <c r="B41" s="177" t="s">
        <v>185</v>
      </c>
      <c r="C41" s="90">
        <v>6358</v>
      </c>
      <c r="D41" s="90">
        <v>6358</v>
      </c>
      <c r="E41" s="90">
        <f t="shared" si="4"/>
        <v>21768</v>
      </c>
      <c r="F41" s="90">
        <f>15630+251+12245</f>
        <v>28126</v>
      </c>
    </row>
    <row r="42" spans="1:6" s="175" customFormat="1" ht="12" customHeight="1">
      <c r="A42" s="12" t="s">
        <v>102</v>
      </c>
      <c r="B42" s="177" t="s">
        <v>186</v>
      </c>
      <c r="C42" s="90">
        <v>2235</v>
      </c>
      <c r="D42" s="90">
        <v>2235</v>
      </c>
      <c r="E42" s="90">
        <f t="shared" si="4"/>
        <v>9547</v>
      </c>
      <c r="F42" s="90">
        <f>11690+85+7</f>
        <v>11782</v>
      </c>
    </row>
    <row r="43" spans="1:6" s="175" customFormat="1" ht="12" customHeight="1">
      <c r="A43" s="12" t="s">
        <v>177</v>
      </c>
      <c r="B43" s="177" t="s">
        <v>187</v>
      </c>
      <c r="C43" s="90"/>
      <c r="D43" s="90"/>
      <c r="E43" s="90">
        <f t="shared" si="4"/>
        <v>0</v>
      </c>
      <c r="F43" s="90"/>
    </row>
    <row r="44" spans="1:6" s="175" customFormat="1" ht="12" customHeight="1" thickBot="1">
      <c r="A44" s="14" t="s">
        <v>178</v>
      </c>
      <c r="B44" s="178" t="s">
        <v>188</v>
      </c>
      <c r="C44" s="90"/>
      <c r="D44" s="90">
        <v>2323</v>
      </c>
      <c r="E44" s="90">
        <f t="shared" si="4"/>
        <v>4202</v>
      </c>
      <c r="F44" s="90">
        <f>6496+29</f>
        <v>6525</v>
      </c>
    </row>
    <row r="45" spans="1:6" s="175" customFormat="1" ht="12" customHeight="1" thickBot="1">
      <c r="A45" s="18" t="s">
        <v>11</v>
      </c>
      <c r="B45" s="19" t="s">
        <v>189</v>
      </c>
      <c r="C45" s="87">
        <f>SUM(C46:C50)</f>
        <v>81876</v>
      </c>
      <c r="D45" s="87">
        <f>SUM(D46:D50)</f>
        <v>81876</v>
      </c>
      <c r="E45" s="87">
        <f>SUM(E46:E50)</f>
        <v>-69493</v>
      </c>
      <c r="F45" s="87">
        <f>SUM(F46:F50)</f>
        <v>12383</v>
      </c>
    </row>
    <row r="46" spans="1:6" s="175" customFormat="1" ht="12" customHeight="1">
      <c r="A46" s="13" t="s">
        <v>58</v>
      </c>
      <c r="B46" s="176" t="s">
        <v>193</v>
      </c>
      <c r="C46" s="222"/>
      <c r="D46" s="222"/>
      <c r="E46" s="222">
        <f>F46-D46</f>
        <v>0</v>
      </c>
      <c r="F46" s="222"/>
    </row>
    <row r="47" spans="1:6" s="175" customFormat="1" ht="12" customHeight="1">
      <c r="A47" s="12" t="s">
        <v>59</v>
      </c>
      <c r="B47" s="177" t="s">
        <v>194</v>
      </c>
      <c r="C47" s="222">
        <v>81876</v>
      </c>
      <c r="D47" s="222">
        <v>81876</v>
      </c>
      <c r="E47" s="222">
        <f t="shared" ref="E47:E50" si="5">F47-D47</f>
        <v>-69493</v>
      </c>
      <c r="F47" s="90">
        <v>12383</v>
      </c>
    </row>
    <row r="48" spans="1:6" s="175" customFormat="1" ht="12" customHeight="1">
      <c r="A48" s="12" t="s">
        <v>190</v>
      </c>
      <c r="B48" s="177" t="s">
        <v>195</v>
      </c>
      <c r="C48" s="222"/>
      <c r="D48" s="222"/>
      <c r="E48" s="222">
        <f t="shared" si="5"/>
        <v>0</v>
      </c>
      <c r="F48" s="222"/>
    </row>
    <row r="49" spans="1:6" s="175" customFormat="1" ht="12" customHeight="1">
      <c r="A49" s="12" t="s">
        <v>191</v>
      </c>
      <c r="B49" s="177" t="s">
        <v>196</v>
      </c>
      <c r="C49" s="222"/>
      <c r="D49" s="222"/>
      <c r="E49" s="222">
        <f t="shared" si="5"/>
        <v>0</v>
      </c>
      <c r="F49" s="222"/>
    </row>
    <row r="50" spans="1:6" s="175" customFormat="1" ht="12" customHeight="1" thickBot="1">
      <c r="A50" s="14" t="s">
        <v>192</v>
      </c>
      <c r="B50" s="178" t="s">
        <v>197</v>
      </c>
      <c r="C50" s="222"/>
      <c r="D50" s="222"/>
      <c r="E50" s="222">
        <f t="shared" si="5"/>
        <v>0</v>
      </c>
      <c r="F50" s="222"/>
    </row>
    <row r="51" spans="1:6" s="175" customFormat="1" ht="12" customHeight="1" thickBot="1">
      <c r="A51" s="18" t="s">
        <v>103</v>
      </c>
      <c r="B51" s="19" t="s">
        <v>198</v>
      </c>
      <c r="C51" s="87">
        <f>SUM(C52:C54)</f>
        <v>0</v>
      </c>
      <c r="D51" s="87">
        <f>SUM(D52:D54)</f>
        <v>3079</v>
      </c>
      <c r="E51" s="87">
        <f>SUM(E52:E54)</f>
        <v>2927</v>
      </c>
      <c r="F51" s="87">
        <f>SUM(F52:F54)</f>
        <v>6006</v>
      </c>
    </row>
    <row r="52" spans="1:6" s="175" customFormat="1" ht="21" customHeight="1">
      <c r="A52" s="13" t="s">
        <v>60</v>
      </c>
      <c r="B52" s="176" t="s">
        <v>199</v>
      </c>
      <c r="C52" s="90"/>
      <c r="D52" s="90"/>
      <c r="E52" s="90">
        <f>F52-D52</f>
        <v>0</v>
      </c>
      <c r="F52" s="90"/>
    </row>
    <row r="53" spans="1:6" s="175" customFormat="1" ht="12" customHeight="1">
      <c r="A53" s="12" t="s">
        <v>61</v>
      </c>
      <c r="B53" s="177" t="s">
        <v>362</v>
      </c>
      <c r="C53" s="90"/>
      <c r="D53" s="90">
        <v>300</v>
      </c>
      <c r="E53" s="90">
        <f t="shared" ref="E53:E55" si="6">F53-D53</f>
        <v>-300</v>
      </c>
      <c r="F53" s="90">
        <v>0</v>
      </c>
    </row>
    <row r="54" spans="1:6" s="175" customFormat="1" ht="12" customHeight="1">
      <c r="A54" s="12" t="s">
        <v>203</v>
      </c>
      <c r="B54" s="177" t="s">
        <v>201</v>
      </c>
      <c r="C54" s="90"/>
      <c r="D54" s="90">
        <v>2779</v>
      </c>
      <c r="E54" s="90">
        <f t="shared" si="6"/>
        <v>3227</v>
      </c>
      <c r="F54" s="90">
        <v>6006</v>
      </c>
    </row>
    <row r="55" spans="1:6" s="175" customFormat="1" ht="12" customHeight="1" thickBot="1">
      <c r="A55" s="14" t="s">
        <v>204</v>
      </c>
      <c r="B55" s="178" t="s">
        <v>202</v>
      </c>
      <c r="C55" s="90"/>
      <c r="D55" s="90"/>
      <c r="E55" s="90">
        <f t="shared" si="6"/>
        <v>0</v>
      </c>
      <c r="F55" s="90"/>
    </row>
    <row r="56" spans="1:6" s="175" customFormat="1" ht="12" customHeight="1" thickBot="1">
      <c r="A56" s="18" t="s">
        <v>13</v>
      </c>
      <c r="B56" s="82" t="s">
        <v>205</v>
      </c>
      <c r="C56" s="87">
        <f>SUM(C57:C59)</f>
        <v>28965</v>
      </c>
      <c r="D56" s="87">
        <f>SUM(D57:D59)</f>
        <v>28965</v>
      </c>
      <c r="E56" s="87">
        <f>SUM(E57:E59)</f>
        <v>-108</v>
      </c>
      <c r="F56" s="87">
        <f>SUM(F57:F59)</f>
        <v>28857</v>
      </c>
    </row>
    <row r="57" spans="1:6" s="175" customFormat="1" ht="12" customHeight="1">
      <c r="A57" s="13" t="s">
        <v>104</v>
      </c>
      <c r="B57" s="176" t="s">
        <v>207</v>
      </c>
      <c r="C57" s="92"/>
      <c r="D57" s="92"/>
      <c r="E57" s="92">
        <f>F57-D57</f>
        <v>0</v>
      </c>
      <c r="F57" s="92"/>
    </row>
    <row r="58" spans="1:6" s="175" customFormat="1" ht="12" customHeight="1">
      <c r="A58" s="12" t="s">
        <v>105</v>
      </c>
      <c r="B58" s="177" t="s">
        <v>363</v>
      </c>
      <c r="C58" s="92">
        <v>28857</v>
      </c>
      <c r="D58" s="92">
        <v>28857</v>
      </c>
      <c r="E58" s="92">
        <f t="shared" ref="E58:E60" si="7">F58-D58</f>
        <v>0</v>
      </c>
      <c r="F58" s="90">
        <v>28857</v>
      </c>
    </row>
    <row r="59" spans="1:6" s="175" customFormat="1" ht="12" customHeight="1">
      <c r="A59" s="12" t="s">
        <v>128</v>
      </c>
      <c r="B59" s="177" t="s">
        <v>208</v>
      </c>
      <c r="C59" s="92">
        <v>108</v>
      </c>
      <c r="D59" s="92">
        <v>108</v>
      </c>
      <c r="E59" s="92">
        <f t="shared" si="7"/>
        <v>-108</v>
      </c>
      <c r="F59" s="90"/>
    </row>
    <row r="60" spans="1:6" s="175" customFormat="1" ht="12" customHeight="1" thickBot="1">
      <c r="A60" s="14" t="s">
        <v>206</v>
      </c>
      <c r="B60" s="178" t="s">
        <v>209</v>
      </c>
      <c r="C60" s="92"/>
      <c r="D60" s="92"/>
      <c r="E60" s="92">
        <f t="shared" si="7"/>
        <v>0</v>
      </c>
      <c r="F60" s="92"/>
    </row>
    <row r="61" spans="1:6" s="175" customFormat="1" ht="12" customHeight="1" thickBot="1">
      <c r="A61" s="18" t="s">
        <v>14</v>
      </c>
      <c r="B61" s="19" t="s">
        <v>210</v>
      </c>
      <c r="C61" s="93">
        <f>+C6+C13+C20+C27+C34+C45+C51+C56</f>
        <v>1296143</v>
      </c>
      <c r="D61" s="93">
        <f>+D6+D13+D20+D27+D34+D45+D51+D56</f>
        <v>1372341</v>
      </c>
      <c r="E61" s="93">
        <f>+E6+E13+E20+E27+E34+E45+E51+E56</f>
        <v>226822</v>
      </c>
      <c r="F61" s="93">
        <f>+F6+F13+F20+F27+F34+F45+F51+F56</f>
        <v>1599163</v>
      </c>
    </row>
    <row r="62" spans="1:6" s="175" customFormat="1" ht="12" customHeight="1" thickBot="1">
      <c r="A62" s="179" t="s">
        <v>211</v>
      </c>
      <c r="B62" s="82" t="s">
        <v>212</v>
      </c>
      <c r="C62" s="87">
        <f>SUM(C63:C65)</f>
        <v>0</v>
      </c>
      <c r="D62" s="87">
        <f>SUM(D63:D65)</f>
        <v>0</v>
      </c>
      <c r="E62" s="87"/>
      <c r="F62" s="87">
        <f>SUM(F63:F65)</f>
        <v>0</v>
      </c>
    </row>
    <row r="63" spans="1:6" s="175" customFormat="1" ht="12" customHeight="1">
      <c r="A63" s="13" t="s">
        <v>245</v>
      </c>
      <c r="B63" s="176" t="s">
        <v>213</v>
      </c>
      <c r="C63" s="92"/>
      <c r="D63" s="92"/>
      <c r="E63" s="92"/>
      <c r="F63" s="92"/>
    </row>
    <row r="64" spans="1:6" s="175" customFormat="1" ht="12" customHeight="1">
      <c r="A64" s="12" t="s">
        <v>254</v>
      </c>
      <c r="B64" s="177" t="s">
        <v>214</v>
      </c>
      <c r="C64" s="92"/>
      <c r="D64" s="92"/>
      <c r="E64" s="92"/>
      <c r="F64" s="92"/>
    </row>
    <row r="65" spans="1:6" s="175" customFormat="1" ht="12" customHeight="1" thickBot="1">
      <c r="A65" s="16" t="s">
        <v>255</v>
      </c>
      <c r="B65" s="290" t="s">
        <v>215</v>
      </c>
      <c r="C65" s="272"/>
      <c r="D65" s="272"/>
      <c r="E65" s="272"/>
      <c r="F65" s="272"/>
    </row>
    <row r="66" spans="1:6" s="175" customFormat="1" ht="12" customHeight="1" thickBot="1">
      <c r="A66" s="179" t="s">
        <v>216</v>
      </c>
      <c r="B66" s="82" t="s">
        <v>217</v>
      </c>
      <c r="C66" s="87">
        <f>SUM(C67:C70)</f>
        <v>0</v>
      </c>
      <c r="D66" s="87">
        <f>SUM(D67:D70)</f>
        <v>0</v>
      </c>
      <c r="E66" s="87"/>
      <c r="F66" s="87">
        <f>SUM(F67:F70)</f>
        <v>0</v>
      </c>
    </row>
    <row r="67" spans="1:6" s="175" customFormat="1" ht="12" customHeight="1">
      <c r="A67" s="13" t="s">
        <v>83</v>
      </c>
      <c r="B67" s="176" t="s">
        <v>218</v>
      </c>
      <c r="C67" s="92"/>
      <c r="D67" s="92"/>
      <c r="E67" s="92"/>
      <c r="F67" s="92"/>
    </row>
    <row r="68" spans="1:6" s="175" customFormat="1" ht="12" customHeight="1">
      <c r="A68" s="12" t="s">
        <v>84</v>
      </c>
      <c r="B68" s="177" t="s">
        <v>219</v>
      </c>
      <c r="C68" s="92"/>
      <c r="D68" s="92"/>
      <c r="E68" s="92"/>
      <c r="F68" s="92"/>
    </row>
    <row r="69" spans="1:6" s="175" customFormat="1" ht="12" customHeight="1">
      <c r="A69" s="12" t="s">
        <v>246</v>
      </c>
      <c r="B69" s="177" t="s">
        <v>220</v>
      </c>
      <c r="C69" s="92"/>
      <c r="D69" s="92"/>
      <c r="E69" s="92"/>
      <c r="F69" s="92"/>
    </row>
    <row r="70" spans="1:6" s="175" customFormat="1" ht="12" customHeight="1" thickBot="1">
      <c r="A70" s="16" t="s">
        <v>247</v>
      </c>
      <c r="B70" s="271" t="s">
        <v>221</v>
      </c>
      <c r="C70" s="272"/>
      <c r="D70" s="272"/>
      <c r="E70" s="272"/>
      <c r="F70" s="272"/>
    </row>
    <row r="71" spans="1:6" s="175" customFormat="1" ht="12" customHeight="1" thickBot="1">
      <c r="A71" s="179" t="s">
        <v>222</v>
      </c>
      <c r="B71" s="82" t="s">
        <v>223</v>
      </c>
      <c r="C71" s="87">
        <f>SUM(C72:C73)</f>
        <v>501181</v>
      </c>
      <c r="D71" s="87">
        <f>SUM(D72:D73)</f>
        <v>599443</v>
      </c>
      <c r="E71" s="87">
        <f>SUM(E72:E73)</f>
        <v>82</v>
      </c>
      <c r="F71" s="87">
        <f>SUM(F72:F73)</f>
        <v>599525</v>
      </c>
    </row>
    <row r="72" spans="1:6" s="175" customFormat="1" ht="12" customHeight="1">
      <c r="A72" s="13" t="s">
        <v>248</v>
      </c>
      <c r="B72" s="176" t="s">
        <v>224</v>
      </c>
      <c r="C72" s="92">
        <v>501181</v>
      </c>
      <c r="D72" s="92">
        <v>599443</v>
      </c>
      <c r="E72" s="92">
        <f>F72-D72</f>
        <v>82</v>
      </c>
      <c r="F72" s="90">
        <v>599525</v>
      </c>
    </row>
    <row r="73" spans="1:6" s="175" customFormat="1" ht="12" customHeight="1" thickBot="1">
      <c r="A73" s="16" t="s">
        <v>249</v>
      </c>
      <c r="B73" s="271" t="s">
        <v>225</v>
      </c>
      <c r="C73" s="272"/>
      <c r="D73" s="272"/>
      <c r="E73" s="272"/>
      <c r="F73" s="272"/>
    </row>
    <row r="74" spans="1:6" s="175" customFormat="1" ht="12" customHeight="1" thickBot="1">
      <c r="A74" s="179" t="s">
        <v>226</v>
      </c>
      <c r="B74" s="82" t="s">
        <v>227</v>
      </c>
      <c r="C74" s="87">
        <f>SUM(C75:C77)</f>
        <v>0</v>
      </c>
      <c r="D74" s="87">
        <f>SUM(D75:D77)</f>
        <v>0</v>
      </c>
      <c r="E74" s="87"/>
      <c r="F74" s="87">
        <f>SUM(F75:F77)</f>
        <v>14362</v>
      </c>
    </row>
    <row r="75" spans="1:6" s="175" customFormat="1" ht="12" customHeight="1">
      <c r="A75" s="13" t="s">
        <v>250</v>
      </c>
      <c r="B75" s="176" t="s">
        <v>228</v>
      </c>
      <c r="C75" s="92"/>
      <c r="D75" s="92"/>
      <c r="E75" s="92"/>
      <c r="F75" s="92">
        <f>14362</f>
        <v>14362</v>
      </c>
    </row>
    <row r="76" spans="1:6" s="175" customFormat="1" ht="12" customHeight="1">
      <c r="A76" s="12" t="s">
        <v>251</v>
      </c>
      <c r="B76" s="177" t="s">
        <v>229</v>
      </c>
      <c r="C76" s="92"/>
      <c r="D76" s="92"/>
      <c r="E76" s="92"/>
      <c r="F76" s="92"/>
    </row>
    <row r="77" spans="1:6" s="175" customFormat="1" ht="12" customHeight="1" thickBot="1">
      <c r="A77" s="14" t="s">
        <v>252</v>
      </c>
      <c r="B77" s="178" t="s">
        <v>230</v>
      </c>
      <c r="C77" s="92"/>
      <c r="D77" s="92"/>
      <c r="E77" s="92"/>
      <c r="F77" s="92"/>
    </row>
    <row r="78" spans="1:6" s="175" customFormat="1" ht="12" customHeight="1" thickBot="1">
      <c r="A78" s="179" t="s">
        <v>231</v>
      </c>
      <c r="B78" s="82" t="s">
        <v>253</v>
      </c>
      <c r="C78" s="87">
        <f>SUM(C79:C82)</f>
        <v>0</v>
      </c>
      <c r="D78" s="87">
        <f>SUM(D79:D82)</f>
        <v>0</v>
      </c>
      <c r="E78" s="87"/>
      <c r="F78" s="87">
        <f>SUM(F79:F82)</f>
        <v>0</v>
      </c>
    </row>
    <row r="79" spans="1:6" s="175" customFormat="1" ht="12" customHeight="1">
      <c r="A79" s="181" t="s">
        <v>232</v>
      </c>
      <c r="B79" s="176" t="s">
        <v>233</v>
      </c>
      <c r="C79" s="92"/>
      <c r="D79" s="92"/>
      <c r="E79" s="92"/>
      <c r="F79" s="92"/>
    </row>
    <row r="80" spans="1:6" s="175" customFormat="1" ht="12" customHeight="1">
      <c r="A80" s="182" t="s">
        <v>234</v>
      </c>
      <c r="B80" s="177" t="s">
        <v>235</v>
      </c>
      <c r="C80" s="92"/>
      <c r="D80" s="92"/>
      <c r="E80" s="92"/>
      <c r="F80" s="92"/>
    </row>
    <row r="81" spans="1:6" s="175" customFormat="1" ht="12" customHeight="1">
      <c r="A81" s="182" t="s">
        <v>236</v>
      </c>
      <c r="B81" s="177" t="s">
        <v>237</v>
      </c>
      <c r="C81" s="92"/>
      <c r="D81" s="92"/>
      <c r="E81" s="92"/>
      <c r="F81" s="92"/>
    </row>
    <row r="82" spans="1:6" s="175" customFormat="1" ht="12" customHeight="1" thickBot="1">
      <c r="A82" s="183" t="s">
        <v>238</v>
      </c>
      <c r="B82" s="178" t="s">
        <v>239</v>
      </c>
      <c r="C82" s="92"/>
      <c r="D82" s="92"/>
      <c r="E82" s="92"/>
      <c r="F82" s="92"/>
    </row>
    <row r="83" spans="1:6" s="175" customFormat="1" ht="13.5" customHeight="1" thickBot="1">
      <c r="A83" s="179" t="s">
        <v>240</v>
      </c>
      <c r="B83" s="82" t="s">
        <v>241</v>
      </c>
      <c r="C83" s="223"/>
      <c r="D83" s="223"/>
      <c r="E83" s="223"/>
      <c r="F83" s="223"/>
    </row>
    <row r="84" spans="1:6" s="175" customFormat="1" ht="15.75" customHeight="1" thickBot="1">
      <c r="A84" s="179" t="s">
        <v>242</v>
      </c>
      <c r="B84" s="184" t="s">
        <v>243</v>
      </c>
      <c r="C84" s="93">
        <f>+C62+C66+C71+C74+C78+C83</f>
        <v>501181</v>
      </c>
      <c r="D84" s="93">
        <f>+D62+D66+D71+D74+D78+D83</f>
        <v>599443</v>
      </c>
      <c r="E84" s="93">
        <f>+E62+E66+E71+E74+E78+E83</f>
        <v>82</v>
      </c>
      <c r="F84" s="93">
        <f>+F62+F66+F71+F74+F78+F83</f>
        <v>613887</v>
      </c>
    </row>
    <row r="85" spans="1:6" s="225" customFormat="1" ht="29.25" customHeight="1" thickBot="1">
      <c r="A85" s="315" t="s">
        <v>256</v>
      </c>
      <c r="B85" s="316" t="s">
        <v>244</v>
      </c>
      <c r="C85" s="267">
        <f>+C61+C84</f>
        <v>1797324</v>
      </c>
      <c r="D85" s="267">
        <f>+D61+D84</f>
        <v>1971784</v>
      </c>
      <c r="E85" s="267">
        <f>+E61+E84</f>
        <v>226904</v>
      </c>
      <c r="F85" s="267">
        <f>F61+F84</f>
        <v>2213050</v>
      </c>
    </row>
    <row r="86" spans="1:6" ht="16.5" customHeight="1">
      <c r="A86" s="392" t="s">
        <v>34</v>
      </c>
      <c r="B86" s="392"/>
      <c r="C86" s="392"/>
      <c r="D86" s="392"/>
      <c r="E86" s="392"/>
      <c r="F86" s="392"/>
    </row>
    <row r="87" spans="1:6" s="187" customFormat="1" ht="16.5" customHeight="1" thickBot="1">
      <c r="A87" s="394" t="s">
        <v>86</v>
      </c>
      <c r="B87" s="394"/>
      <c r="C87" s="396" t="s">
        <v>127</v>
      </c>
      <c r="D87" s="396"/>
      <c r="E87" s="396"/>
      <c r="F87" s="396"/>
    </row>
    <row r="88" spans="1:6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  <c r="E88" s="28" t="s">
        <v>405</v>
      </c>
      <c r="F88" s="28" t="s">
        <v>401</v>
      </c>
    </row>
    <row r="89" spans="1:6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  <c r="E89" s="27">
        <v>5</v>
      </c>
      <c r="F89" s="27">
        <v>6</v>
      </c>
    </row>
    <row r="90" spans="1:6" ht="12" customHeight="1" thickBot="1">
      <c r="A90" s="20" t="s">
        <v>6</v>
      </c>
      <c r="B90" s="24" t="s">
        <v>259</v>
      </c>
      <c r="C90" s="86">
        <f>SUM(C91:C95)</f>
        <v>1292472</v>
      </c>
      <c r="D90" s="86">
        <f>SUM(D91:D95)</f>
        <v>1395093</v>
      </c>
      <c r="E90" s="86">
        <f>SUM(E91:E95)</f>
        <v>-5858</v>
      </c>
      <c r="F90" s="86">
        <f>SUM(F91:F95)</f>
        <v>1389235</v>
      </c>
    </row>
    <row r="91" spans="1:6" ht="12" customHeight="1" thickBot="1">
      <c r="A91" s="15" t="s">
        <v>62</v>
      </c>
      <c r="B91" s="8" t="s">
        <v>36</v>
      </c>
      <c r="C91" s="88">
        <v>332360</v>
      </c>
      <c r="D91" s="88">
        <v>346570</v>
      </c>
      <c r="E91" s="88">
        <f>F91-D91</f>
        <v>-1973</v>
      </c>
      <c r="F91" s="282">
        <f>82922+127960+102245+31470</f>
        <v>344597</v>
      </c>
    </row>
    <row r="92" spans="1:6" ht="12" customHeight="1" thickBot="1">
      <c r="A92" s="12" t="s">
        <v>63</v>
      </c>
      <c r="B92" s="6" t="s">
        <v>106</v>
      </c>
      <c r="C92" s="89">
        <v>89597</v>
      </c>
      <c r="D92" s="89">
        <v>93404</v>
      </c>
      <c r="E92" s="88">
        <f t="shared" ref="E92:E105" si="8">F92-D92</f>
        <v>805</v>
      </c>
      <c r="F92" s="283">
        <f>21689+35072+28150+9298</f>
        <v>94209</v>
      </c>
    </row>
    <row r="93" spans="1:6" ht="12" customHeight="1" thickBot="1">
      <c r="A93" s="12" t="s">
        <v>64</v>
      </c>
      <c r="B93" s="6" t="s">
        <v>81</v>
      </c>
      <c r="C93" s="89">
        <v>618869</v>
      </c>
      <c r="D93" s="89">
        <v>656636</v>
      </c>
      <c r="E93" s="88">
        <f t="shared" si="8"/>
        <v>1004</v>
      </c>
      <c r="F93" s="283">
        <f>398099+35618+188277+35646</f>
        <v>657640</v>
      </c>
    </row>
    <row r="94" spans="1:6" ht="12" customHeight="1" thickBot="1">
      <c r="A94" s="12" t="s">
        <v>65</v>
      </c>
      <c r="B94" s="9" t="s">
        <v>107</v>
      </c>
      <c r="C94" s="89">
        <v>13161</v>
      </c>
      <c r="D94" s="89">
        <v>14616</v>
      </c>
      <c r="E94" s="88">
        <f t="shared" si="8"/>
        <v>0</v>
      </c>
      <c r="F94" s="283">
        <f>10495+4121</f>
        <v>14616</v>
      </c>
    </row>
    <row r="95" spans="1:6" ht="12" customHeight="1" thickBot="1">
      <c r="A95" s="12" t="s">
        <v>73</v>
      </c>
      <c r="B95" s="17" t="s">
        <v>108</v>
      </c>
      <c r="C95" s="89">
        <v>238485</v>
      </c>
      <c r="D95" s="89">
        <v>283867</v>
      </c>
      <c r="E95" s="88">
        <f t="shared" si="8"/>
        <v>-5694</v>
      </c>
      <c r="F95" s="283">
        <f>277628+402+143</f>
        <v>278173</v>
      </c>
    </row>
    <row r="96" spans="1:6" ht="12" customHeight="1" thickBot="1">
      <c r="A96" s="12" t="s">
        <v>66</v>
      </c>
      <c r="B96" s="6" t="s">
        <v>260</v>
      </c>
      <c r="C96" s="89">
        <v>9100</v>
      </c>
      <c r="D96" s="89">
        <v>20548</v>
      </c>
      <c r="E96" s="88">
        <f t="shared" si="8"/>
        <v>424</v>
      </c>
      <c r="F96" s="283">
        <f>20972</f>
        <v>20972</v>
      </c>
    </row>
    <row r="97" spans="1:6" ht="12" customHeight="1" thickBot="1">
      <c r="A97" s="12" t="s">
        <v>67</v>
      </c>
      <c r="B97" s="47" t="s">
        <v>261</v>
      </c>
      <c r="C97" s="89"/>
      <c r="D97" s="89"/>
      <c r="E97" s="88">
        <f t="shared" si="8"/>
        <v>0</v>
      </c>
      <c r="F97" s="283"/>
    </row>
    <row r="98" spans="1:6" ht="22.5" customHeight="1" thickBot="1">
      <c r="A98" s="12" t="s">
        <v>74</v>
      </c>
      <c r="B98" s="48" t="s">
        <v>262</v>
      </c>
      <c r="C98" s="89"/>
      <c r="D98" s="89"/>
      <c r="E98" s="88">
        <f t="shared" si="8"/>
        <v>0</v>
      </c>
      <c r="F98" s="283"/>
    </row>
    <row r="99" spans="1:6" ht="12" customHeight="1" thickBot="1">
      <c r="A99" s="12" t="s">
        <v>75</v>
      </c>
      <c r="B99" s="48" t="s">
        <v>410</v>
      </c>
      <c r="C99" s="89"/>
      <c r="D99" s="89"/>
      <c r="E99" s="88">
        <f t="shared" si="8"/>
        <v>0</v>
      </c>
      <c r="F99" s="283"/>
    </row>
    <row r="100" spans="1:6" ht="12" customHeight="1" thickBot="1">
      <c r="A100" s="12" t="s">
        <v>76</v>
      </c>
      <c r="B100" s="47" t="s">
        <v>264</v>
      </c>
      <c r="C100" s="89">
        <v>158219</v>
      </c>
      <c r="D100" s="89">
        <v>179356</v>
      </c>
      <c r="E100" s="88">
        <f t="shared" si="8"/>
        <v>-6635</v>
      </c>
      <c r="F100" s="283">
        <f>172721</f>
        <v>172721</v>
      </c>
    </row>
    <row r="101" spans="1:6" ht="12" customHeight="1" thickBot="1">
      <c r="A101" s="12" t="s">
        <v>77</v>
      </c>
      <c r="B101" s="47" t="s">
        <v>265</v>
      </c>
      <c r="C101" s="89"/>
      <c r="D101" s="89"/>
      <c r="E101" s="88">
        <f t="shared" si="8"/>
        <v>0</v>
      </c>
      <c r="F101" s="283"/>
    </row>
    <row r="102" spans="1:6" ht="23.25" customHeight="1" thickBot="1">
      <c r="A102" s="12" t="s">
        <v>79</v>
      </c>
      <c r="B102" s="48" t="s">
        <v>266</v>
      </c>
      <c r="C102" s="89"/>
      <c r="D102" s="89"/>
      <c r="E102" s="88">
        <f t="shared" si="8"/>
        <v>21120</v>
      </c>
      <c r="F102" s="283">
        <f>21120</f>
        <v>21120</v>
      </c>
    </row>
    <row r="103" spans="1:6" ht="12" customHeight="1" thickBot="1">
      <c r="A103" s="11" t="s">
        <v>109</v>
      </c>
      <c r="B103" s="49" t="s">
        <v>267</v>
      </c>
      <c r="C103" s="89"/>
      <c r="D103" s="89"/>
      <c r="E103" s="88">
        <f t="shared" si="8"/>
        <v>0</v>
      </c>
      <c r="F103" s="283"/>
    </row>
    <row r="104" spans="1:6" ht="12" customHeight="1" thickBot="1">
      <c r="A104" s="12" t="s">
        <v>257</v>
      </c>
      <c r="B104" s="49" t="s">
        <v>268</v>
      </c>
      <c r="C104" s="89"/>
      <c r="D104" s="89"/>
      <c r="E104" s="88">
        <f t="shared" si="8"/>
        <v>0</v>
      </c>
      <c r="F104" s="283"/>
    </row>
    <row r="105" spans="1:6" ht="12" customHeight="1" thickBot="1">
      <c r="A105" s="16" t="s">
        <v>258</v>
      </c>
      <c r="B105" s="50" t="s">
        <v>269</v>
      </c>
      <c r="C105" s="95">
        <v>71166</v>
      </c>
      <c r="D105" s="95">
        <v>83963</v>
      </c>
      <c r="E105" s="88">
        <f t="shared" si="8"/>
        <v>-20746</v>
      </c>
      <c r="F105" s="284">
        <f>62815+402</f>
        <v>63217</v>
      </c>
    </row>
    <row r="106" spans="1:6" ht="12" customHeight="1" thickBot="1">
      <c r="A106" s="18" t="s">
        <v>7</v>
      </c>
      <c r="B106" s="23" t="s">
        <v>270</v>
      </c>
      <c r="C106" s="87">
        <f>+C107+C109+C111</f>
        <v>168483</v>
      </c>
      <c r="D106" s="87">
        <f>+D107+D109+D111</f>
        <v>252408</v>
      </c>
      <c r="E106" s="285">
        <f>+E107+E109+E111</f>
        <v>61582</v>
      </c>
      <c r="F106" s="285">
        <f>+F107+F109+F111</f>
        <v>313990</v>
      </c>
    </row>
    <row r="107" spans="1:6" ht="12" customHeight="1">
      <c r="A107" s="13" t="s">
        <v>68</v>
      </c>
      <c r="B107" s="6" t="s">
        <v>126</v>
      </c>
      <c r="C107" s="90">
        <v>138016</v>
      </c>
      <c r="D107" s="90">
        <v>217441</v>
      </c>
      <c r="E107" s="90">
        <f>F107-D107</f>
        <v>-83827</v>
      </c>
      <c r="F107" s="282">
        <f>120250+10709+1642+1013</f>
        <v>133614</v>
      </c>
    </row>
    <row r="108" spans="1:6" ht="12" customHeight="1">
      <c r="A108" s="13" t="s">
        <v>69</v>
      </c>
      <c r="B108" s="10" t="s">
        <v>274</v>
      </c>
      <c r="C108" s="90">
        <v>79054</v>
      </c>
      <c r="D108" s="90">
        <v>79054</v>
      </c>
      <c r="E108" s="90">
        <f t="shared" ref="E108:E119" si="9">F108-D108</f>
        <v>-79054</v>
      </c>
      <c r="F108" s="283"/>
    </row>
    <row r="109" spans="1:6" ht="12" customHeight="1">
      <c r="A109" s="13" t="s">
        <v>70</v>
      </c>
      <c r="B109" s="10" t="s">
        <v>110</v>
      </c>
      <c r="C109" s="90">
        <v>16650</v>
      </c>
      <c r="D109" s="90">
        <v>16650</v>
      </c>
      <c r="E109" s="90">
        <f t="shared" si="9"/>
        <v>146519</v>
      </c>
      <c r="F109" s="283">
        <f>158698+4471</f>
        <v>163169</v>
      </c>
    </row>
    <row r="110" spans="1:6" ht="12" customHeight="1">
      <c r="A110" s="13" t="s">
        <v>71</v>
      </c>
      <c r="B110" s="10" t="s">
        <v>275</v>
      </c>
      <c r="C110" s="90"/>
      <c r="D110" s="90"/>
      <c r="E110" s="90">
        <f t="shared" si="9"/>
        <v>0</v>
      </c>
      <c r="F110" s="283"/>
    </row>
    <row r="111" spans="1:6" ht="12" customHeight="1">
      <c r="A111" s="13" t="s">
        <v>72</v>
      </c>
      <c r="B111" s="84" t="s">
        <v>129</v>
      </c>
      <c r="C111" s="90">
        <v>13817</v>
      </c>
      <c r="D111" s="90">
        <v>18317</v>
      </c>
      <c r="E111" s="90">
        <f t="shared" si="9"/>
        <v>-1110</v>
      </c>
      <c r="F111" s="283">
        <f>17207</f>
        <v>17207</v>
      </c>
    </row>
    <row r="112" spans="1:6" ht="12" customHeight="1">
      <c r="A112" s="13" t="s">
        <v>78</v>
      </c>
      <c r="B112" s="83" t="s">
        <v>364</v>
      </c>
      <c r="C112" s="90"/>
      <c r="D112" s="90"/>
      <c r="E112" s="90">
        <f t="shared" si="9"/>
        <v>0</v>
      </c>
      <c r="F112" s="283"/>
    </row>
    <row r="113" spans="1:6" ht="12" customHeight="1">
      <c r="A113" s="13" t="s">
        <v>80</v>
      </c>
      <c r="B113" s="172" t="s">
        <v>280</v>
      </c>
      <c r="C113" s="90"/>
      <c r="D113" s="90"/>
      <c r="E113" s="90">
        <f t="shared" si="9"/>
        <v>0</v>
      </c>
      <c r="F113" s="283"/>
    </row>
    <row r="114" spans="1:6" ht="22.5">
      <c r="A114" s="13" t="s">
        <v>111</v>
      </c>
      <c r="B114" s="48" t="s">
        <v>263</v>
      </c>
      <c r="C114" s="90"/>
      <c r="D114" s="90"/>
      <c r="E114" s="90">
        <f t="shared" si="9"/>
        <v>0</v>
      </c>
      <c r="F114" s="283"/>
    </row>
    <row r="115" spans="1:6" ht="12" customHeight="1">
      <c r="A115" s="13" t="s">
        <v>112</v>
      </c>
      <c r="B115" s="48" t="s">
        <v>279</v>
      </c>
      <c r="C115" s="90">
        <v>10000</v>
      </c>
      <c r="D115" s="90">
        <v>10000</v>
      </c>
      <c r="E115" s="90">
        <f t="shared" si="9"/>
        <v>-810</v>
      </c>
      <c r="F115" s="283">
        <v>9190</v>
      </c>
    </row>
    <row r="116" spans="1:6" ht="12" customHeight="1">
      <c r="A116" s="13" t="s">
        <v>113</v>
      </c>
      <c r="B116" s="48" t="s">
        <v>278</v>
      </c>
      <c r="C116" s="90"/>
      <c r="D116" s="90"/>
      <c r="E116" s="90">
        <f t="shared" si="9"/>
        <v>0</v>
      </c>
      <c r="F116" s="283"/>
    </row>
    <row r="117" spans="1:6" ht="12" customHeight="1">
      <c r="A117" s="13" t="s">
        <v>271</v>
      </c>
      <c r="B117" s="48" t="s">
        <v>266</v>
      </c>
      <c r="C117" s="90"/>
      <c r="D117" s="90">
        <v>300</v>
      </c>
      <c r="E117" s="90">
        <f t="shared" si="9"/>
        <v>-300</v>
      </c>
      <c r="F117" s="283"/>
    </row>
    <row r="118" spans="1:6" ht="12" customHeight="1">
      <c r="A118" s="13" t="s">
        <v>272</v>
      </c>
      <c r="B118" s="48" t="s">
        <v>277</v>
      </c>
      <c r="C118" s="90"/>
      <c r="D118" s="90"/>
      <c r="E118" s="90">
        <f t="shared" si="9"/>
        <v>0</v>
      </c>
      <c r="F118" s="283"/>
    </row>
    <row r="119" spans="1:6" ht="23.25" thickBot="1">
      <c r="A119" s="11" t="s">
        <v>273</v>
      </c>
      <c r="B119" s="48" t="s">
        <v>276</v>
      </c>
      <c r="C119" s="90">
        <v>3817</v>
      </c>
      <c r="D119" s="90">
        <v>8017</v>
      </c>
      <c r="E119" s="90">
        <f t="shared" si="9"/>
        <v>0</v>
      </c>
      <c r="F119" s="284">
        <v>8017</v>
      </c>
    </row>
    <row r="120" spans="1:6" ht="12" customHeight="1" thickBot="1">
      <c r="A120" s="18" t="s">
        <v>8</v>
      </c>
      <c r="B120" s="44" t="s">
        <v>281</v>
      </c>
      <c r="C120" s="87">
        <f>+C121+C122</f>
        <v>336369</v>
      </c>
      <c r="D120" s="87">
        <f>+D121+D122</f>
        <v>324283</v>
      </c>
      <c r="E120" s="285">
        <f>+E121+E122</f>
        <v>171772</v>
      </c>
      <c r="F120" s="285">
        <f>F121+F122</f>
        <v>496055</v>
      </c>
    </row>
    <row r="121" spans="1:6" ht="12" customHeight="1">
      <c r="A121" s="13" t="s">
        <v>51</v>
      </c>
      <c r="B121" s="7" t="s">
        <v>44</v>
      </c>
      <c r="C121" s="90">
        <v>5000</v>
      </c>
      <c r="D121" s="90">
        <v>65079</v>
      </c>
      <c r="E121" s="90">
        <f>F121-D121</f>
        <v>174449</v>
      </c>
      <c r="F121" s="282">
        <v>239528</v>
      </c>
    </row>
    <row r="122" spans="1:6" ht="12" customHeight="1" thickBot="1">
      <c r="A122" s="14" t="s">
        <v>52</v>
      </c>
      <c r="B122" s="10" t="s">
        <v>45</v>
      </c>
      <c r="C122" s="90">
        <v>331369</v>
      </c>
      <c r="D122" s="90">
        <v>259204</v>
      </c>
      <c r="E122" s="90">
        <f>F122-D122</f>
        <v>-2677</v>
      </c>
      <c r="F122" s="286">
        <f>256527</f>
        <v>256527</v>
      </c>
    </row>
    <row r="123" spans="1:6" ht="12" customHeight="1" thickBot="1">
      <c r="A123" s="18" t="s">
        <v>9</v>
      </c>
      <c r="B123" s="44" t="s">
        <v>282</v>
      </c>
      <c r="C123" s="87">
        <f>+C90+C106+C120</f>
        <v>1797324</v>
      </c>
      <c r="D123" s="87">
        <f>+D90+D106+D120</f>
        <v>1971784</v>
      </c>
      <c r="E123" s="87">
        <f>+E90+E106+E120</f>
        <v>227496</v>
      </c>
      <c r="F123" s="87">
        <f>+F90+F106+F120</f>
        <v>2199280</v>
      </c>
    </row>
    <row r="124" spans="1:6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  <c r="E124" s="87"/>
      <c r="F124" s="87">
        <f>+F125+F126+F127</f>
        <v>0</v>
      </c>
    </row>
    <row r="125" spans="1:6" ht="12" customHeight="1">
      <c r="A125" s="13" t="s">
        <v>55</v>
      </c>
      <c r="B125" s="7" t="s">
        <v>284</v>
      </c>
      <c r="C125" s="80"/>
      <c r="D125" s="80"/>
      <c r="E125" s="80"/>
      <c r="F125" s="80"/>
    </row>
    <row r="126" spans="1:6" ht="12" customHeight="1">
      <c r="A126" s="13" t="s">
        <v>56</v>
      </c>
      <c r="B126" s="7" t="s">
        <v>285</v>
      </c>
      <c r="C126" s="80"/>
      <c r="D126" s="80"/>
      <c r="E126" s="80"/>
      <c r="F126" s="80"/>
    </row>
    <row r="127" spans="1:6" ht="12" customHeight="1" thickBot="1">
      <c r="A127" s="11" t="s">
        <v>57</v>
      </c>
      <c r="B127" s="5" t="s">
        <v>286</v>
      </c>
      <c r="C127" s="80"/>
      <c r="D127" s="80"/>
      <c r="E127" s="80"/>
      <c r="F127" s="80"/>
    </row>
    <row r="128" spans="1:6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  <c r="E128" s="87"/>
      <c r="F128" s="87">
        <f>+F129+F130+F131+F132</f>
        <v>0</v>
      </c>
    </row>
    <row r="129" spans="1:6" ht="12" customHeight="1">
      <c r="A129" s="13" t="s">
        <v>58</v>
      </c>
      <c r="B129" s="7" t="s">
        <v>287</v>
      </c>
      <c r="C129" s="80"/>
      <c r="D129" s="80"/>
      <c r="E129" s="80"/>
      <c r="F129" s="80"/>
    </row>
    <row r="130" spans="1:6" ht="12" customHeight="1">
      <c r="A130" s="13" t="s">
        <v>59</v>
      </c>
      <c r="B130" s="7" t="s">
        <v>288</v>
      </c>
      <c r="C130" s="80"/>
      <c r="D130" s="80"/>
      <c r="E130" s="80"/>
      <c r="F130" s="80"/>
    </row>
    <row r="131" spans="1:6" ht="12" customHeight="1">
      <c r="A131" s="13" t="s">
        <v>190</v>
      </c>
      <c r="B131" s="7" t="s">
        <v>289</v>
      </c>
      <c r="C131" s="80"/>
      <c r="D131" s="80"/>
      <c r="E131" s="80"/>
      <c r="F131" s="80"/>
    </row>
    <row r="132" spans="1:6" ht="12" customHeight="1" thickBot="1">
      <c r="A132" s="11" t="s">
        <v>191</v>
      </c>
      <c r="B132" s="5" t="s">
        <v>290</v>
      </c>
      <c r="C132" s="80"/>
      <c r="D132" s="80"/>
      <c r="E132" s="80"/>
      <c r="F132" s="80"/>
    </row>
    <row r="133" spans="1:6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  <c r="E133" s="93">
        <f>+E134+E135+E136+E137</f>
        <v>13770</v>
      </c>
      <c r="F133" s="93">
        <f>+F134+F135+F136+F137</f>
        <v>13770</v>
      </c>
    </row>
    <row r="134" spans="1:6" ht="12" customHeight="1">
      <c r="A134" s="13" t="s">
        <v>60</v>
      </c>
      <c r="B134" s="7" t="s">
        <v>292</v>
      </c>
      <c r="C134" s="80"/>
      <c r="D134" s="80"/>
      <c r="E134" s="80">
        <f>F134-D134</f>
        <v>13770</v>
      </c>
      <c r="F134" s="80">
        <v>13770</v>
      </c>
    </row>
    <row r="135" spans="1:6" ht="12" customHeight="1">
      <c r="A135" s="13" t="s">
        <v>61</v>
      </c>
      <c r="B135" s="7" t="s">
        <v>302</v>
      </c>
      <c r="C135" s="80"/>
      <c r="D135" s="80"/>
      <c r="E135" s="80">
        <f t="shared" ref="E135:E137" si="10">F135-D135</f>
        <v>0</v>
      </c>
      <c r="F135" s="80"/>
    </row>
    <row r="136" spans="1:6" ht="12" customHeight="1">
      <c r="A136" s="13" t="s">
        <v>203</v>
      </c>
      <c r="B136" s="7" t="s">
        <v>293</v>
      </c>
      <c r="C136" s="80"/>
      <c r="D136" s="80"/>
      <c r="E136" s="80">
        <f t="shared" si="10"/>
        <v>0</v>
      </c>
      <c r="F136" s="80"/>
    </row>
    <row r="137" spans="1:6" ht="12" customHeight="1" thickBot="1">
      <c r="A137" s="11" t="s">
        <v>204</v>
      </c>
      <c r="B137" s="5" t="s">
        <v>294</v>
      </c>
      <c r="C137" s="80"/>
      <c r="D137" s="80"/>
      <c r="E137" s="80">
        <f t="shared" si="10"/>
        <v>0</v>
      </c>
      <c r="F137" s="80"/>
    </row>
    <row r="138" spans="1:6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  <c r="E138" s="96"/>
      <c r="F138" s="96">
        <f>+F139+F140+F141+F142</f>
        <v>0</v>
      </c>
    </row>
    <row r="139" spans="1:6" ht="12" customHeight="1">
      <c r="A139" s="13" t="s">
        <v>104</v>
      </c>
      <c r="B139" s="7" t="s">
        <v>296</v>
      </c>
      <c r="C139" s="80"/>
      <c r="D139" s="80"/>
      <c r="E139" s="80"/>
      <c r="F139" s="80"/>
    </row>
    <row r="140" spans="1:6" ht="12" customHeight="1">
      <c r="A140" s="13" t="s">
        <v>105</v>
      </c>
      <c r="B140" s="7" t="s">
        <v>297</v>
      </c>
      <c r="C140" s="80"/>
      <c r="D140" s="80"/>
      <c r="E140" s="80"/>
      <c r="F140" s="80"/>
    </row>
    <row r="141" spans="1:6" ht="12" customHeight="1">
      <c r="A141" s="13" t="s">
        <v>128</v>
      </c>
      <c r="B141" s="7" t="s">
        <v>298</v>
      </c>
      <c r="C141" s="80"/>
      <c r="D141" s="80"/>
      <c r="E141" s="80"/>
      <c r="F141" s="80"/>
    </row>
    <row r="142" spans="1:6" ht="12" customHeight="1" thickBot="1">
      <c r="A142" s="13" t="s">
        <v>206</v>
      </c>
      <c r="B142" s="7" t="s">
        <v>299</v>
      </c>
      <c r="C142" s="80"/>
      <c r="D142" s="80"/>
      <c r="E142" s="80"/>
      <c r="F142" s="80"/>
    </row>
    <row r="143" spans="1:6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E143" s="188"/>
      <c r="F143" s="188">
        <f>+F124+F128+F133+F138</f>
        <v>13770</v>
      </c>
    </row>
    <row r="144" spans="1:6" s="225" customFormat="1" ht="12.95" customHeight="1" thickBot="1">
      <c r="A144" s="226" t="s">
        <v>15</v>
      </c>
      <c r="B144" s="227" t="s">
        <v>301</v>
      </c>
      <c r="C144" s="268">
        <f>+C123+C143</f>
        <v>1797324</v>
      </c>
      <c r="D144" s="268">
        <f>+D123+D143</f>
        <v>1971784</v>
      </c>
      <c r="E144" s="268">
        <f>+E123+E143</f>
        <v>227496</v>
      </c>
      <c r="F144" s="268">
        <f>F123+F143</f>
        <v>2213050</v>
      </c>
    </row>
    <row r="145" spans="1:6" s="225" customFormat="1" ht="12.95" customHeight="1">
      <c r="A145" s="288"/>
      <c r="B145" s="289"/>
      <c r="C145" s="287"/>
      <c r="D145" s="287"/>
      <c r="E145" s="287"/>
      <c r="F145" s="287"/>
    </row>
    <row r="146" spans="1:6">
      <c r="A146" s="313" t="s">
        <v>303</v>
      </c>
      <c r="B146" s="313"/>
      <c r="C146" s="313"/>
      <c r="D146" s="280"/>
      <c r="E146" s="280"/>
      <c r="F146" s="191"/>
    </row>
    <row r="147" spans="1:6" ht="15" customHeight="1" thickBot="1">
      <c r="A147" s="393" t="s">
        <v>87</v>
      </c>
      <c r="B147" s="393"/>
      <c r="C147" s="395" t="s">
        <v>127</v>
      </c>
      <c r="D147" s="395"/>
      <c r="E147" s="395"/>
      <c r="F147" s="395"/>
    </row>
    <row r="148" spans="1:6" ht="25.5" customHeight="1" thickBot="1">
      <c r="A148" s="18">
        <v>1</v>
      </c>
      <c r="B148" s="23" t="s">
        <v>304</v>
      </c>
      <c r="C148" s="87">
        <f>+C61-C123</f>
        <v>-501181</v>
      </c>
      <c r="D148" s="87">
        <f>+D61-D123</f>
        <v>-599443</v>
      </c>
      <c r="E148" s="87"/>
      <c r="F148" s="87">
        <f>+F61-F123</f>
        <v>-600117</v>
      </c>
    </row>
    <row r="149" spans="1:6" ht="25.5" customHeight="1" thickBot="1">
      <c r="A149" s="18" t="s">
        <v>7</v>
      </c>
      <c r="B149" s="23" t="s">
        <v>305</v>
      </c>
      <c r="C149" s="87">
        <f>+C84-C143</f>
        <v>501181</v>
      </c>
      <c r="D149" s="87">
        <f>+D84-D143</f>
        <v>599443</v>
      </c>
      <c r="E149" s="87"/>
      <c r="F149" s="87">
        <f>+F84-F143</f>
        <v>600117</v>
      </c>
    </row>
    <row r="150" spans="1:6">
      <c r="C150" s="269"/>
      <c r="D150" s="269"/>
      <c r="E150" s="269"/>
      <c r="F150" s="269"/>
    </row>
    <row r="151" spans="1:6" ht="14.25" customHeight="1">
      <c r="C151" s="270"/>
      <c r="D151" s="270"/>
      <c r="E151" s="270"/>
      <c r="F151" s="270"/>
    </row>
    <row r="152" spans="1:6">
      <c r="C152" s="270"/>
      <c r="D152" s="270"/>
      <c r="E152" s="270"/>
      <c r="F152" s="270"/>
    </row>
    <row r="153" spans="1:6">
      <c r="C153" s="270"/>
      <c r="D153" s="270"/>
      <c r="E153" s="270"/>
      <c r="F153" s="270"/>
    </row>
    <row r="154" spans="1:6">
      <c r="C154" s="270"/>
      <c r="D154" s="270"/>
      <c r="E154" s="270"/>
      <c r="F154" s="270"/>
    </row>
    <row r="155" spans="1:6">
      <c r="C155" s="270"/>
      <c r="D155" s="270"/>
      <c r="E155" s="270"/>
      <c r="F155" s="270"/>
    </row>
    <row r="156" spans="1:6">
      <c r="C156" s="270"/>
      <c r="D156" s="270"/>
      <c r="E156" s="270"/>
      <c r="F156" s="270"/>
    </row>
    <row r="157" spans="1:6">
      <c r="C157" s="270"/>
      <c r="D157" s="270"/>
      <c r="E157" s="270"/>
      <c r="F157" s="270"/>
    </row>
    <row r="158" spans="1:6">
      <c r="C158" s="270"/>
      <c r="D158" s="270"/>
      <c r="E158" s="270"/>
      <c r="F158" s="270"/>
    </row>
    <row r="159" spans="1:6">
      <c r="C159" s="270"/>
      <c r="D159" s="270"/>
      <c r="E159" s="270"/>
      <c r="F159" s="270"/>
    </row>
    <row r="160" spans="1:6">
      <c r="C160" s="270"/>
      <c r="D160" s="270"/>
      <c r="E160" s="270"/>
      <c r="F160" s="270"/>
    </row>
    <row r="161" spans="3:6">
      <c r="C161" s="270"/>
      <c r="D161" s="270"/>
      <c r="E161" s="270"/>
      <c r="F161" s="270"/>
    </row>
    <row r="162" spans="3:6">
      <c r="C162" s="270"/>
      <c r="D162" s="270"/>
      <c r="E162" s="270"/>
      <c r="F162" s="270"/>
    </row>
    <row r="163" spans="3:6">
      <c r="C163" s="270"/>
      <c r="D163" s="270"/>
      <c r="E163" s="270"/>
      <c r="F163" s="270"/>
    </row>
    <row r="164" spans="3:6">
      <c r="C164" s="270"/>
      <c r="D164" s="270"/>
      <c r="E164" s="270"/>
      <c r="F164" s="270"/>
    </row>
    <row r="165" spans="3:6">
      <c r="C165" s="270"/>
      <c r="D165" s="270"/>
      <c r="E165" s="270"/>
      <c r="F165" s="270"/>
    </row>
    <row r="166" spans="3:6">
      <c r="C166" s="270"/>
      <c r="D166" s="270"/>
      <c r="E166" s="270"/>
      <c r="F166" s="270"/>
    </row>
    <row r="167" spans="3:6">
      <c r="C167" s="270"/>
      <c r="D167" s="270"/>
      <c r="E167" s="270"/>
      <c r="F167" s="270"/>
    </row>
    <row r="168" spans="3:6">
      <c r="C168" s="270"/>
      <c r="D168" s="270"/>
      <c r="E168" s="270"/>
      <c r="F168" s="270"/>
    </row>
    <row r="169" spans="3:6">
      <c r="C169" s="270"/>
      <c r="D169" s="270"/>
      <c r="E169" s="270"/>
      <c r="F169" s="270"/>
    </row>
    <row r="170" spans="3:6">
      <c r="C170" s="270"/>
      <c r="D170" s="270"/>
      <c r="E170" s="270"/>
      <c r="F170" s="270"/>
    </row>
    <row r="171" spans="3:6">
      <c r="C171" s="270"/>
      <c r="D171" s="270"/>
      <c r="E171" s="270"/>
      <c r="F171" s="270"/>
    </row>
    <row r="172" spans="3:6">
      <c r="C172" s="270"/>
      <c r="D172" s="270"/>
      <c r="E172" s="270"/>
      <c r="F172" s="270"/>
    </row>
    <row r="173" spans="3:6">
      <c r="C173" s="270"/>
      <c r="D173" s="270"/>
      <c r="E173" s="270"/>
      <c r="F173" s="270"/>
    </row>
    <row r="174" spans="3:6">
      <c r="C174" s="270"/>
      <c r="D174" s="270"/>
      <c r="E174" s="270"/>
      <c r="F174" s="270"/>
    </row>
    <row r="175" spans="3:6">
      <c r="C175" s="270"/>
      <c r="D175" s="270"/>
      <c r="E175" s="270"/>
      <c r="F175" s="270"/>
    </row>
    <row r="176" spans="3:6">
      <c r="C176" s="270"/>
      <c r="D176" s="270"/>
      <c r="E176" s="270"/>
      <c r="F176" s="270"/>
    </row>
    <row r="177" spans="3:6">
      <c r="C177" s="270"/>
      <c r="D177" s="270"/>
      <c r="E177" s="270"/>
      <c r="F177" s="270"/>
    </row>
    <row r="178" spans="3:6">
      <c r="C178" s="270"/>
      <c r="D178" s="270"/>
      <c r="E178" s="270"/>
      <c r="F178" s="270"/>
    </row>
    <row r="179" spans="3:6">
      <c r="C179" s="270"/>
      <c r="D179" s="270"/>
      <c r="E179" s="270"/>
      <c r="F179" s="270"/>
    </row>
    <row r="180" spans="3:6">
      <c r="C180" s="270"/>
      <c r="D180" s="270"/>
      <c r="E180" s="270"/>
      <c r="F180" s="270"/>
    </row>
    <row r="181" spans="3:6">
      <c r="C181" s="270"/>
      <c r="D181" s="270"/>
      <c r="E181" s="270"/>
      <c r="F181" s="270"/>
    </row>
    <row r="182" spans="3:6">
      <c r="C182" s="270"/>
      <c r="D182" s="270"/>
      <c r="E182" s="270"/>
      <c r="F182" s="270"/>
    </row>
    <row r="183" spans="3:6">
      <c r="C183" s="270"/>
      <c r="D183" s="270"/>
      <c r="E183" s="270"/>
      <c r="F183" s="270"/>
    </row>
    <row r="184" spans="3:6">
      <c r="C184" s="270"/>
      <c r="D184" s="270"/>
      <c r="E184" s="270"/>
      <c r="F184" s="270"/>
    </row>
    <row r="185" spans="3:6">
      <c r="C185" s="270"/>
      <c r="D185" s="270"/>
      <c r="E185" s="270"/>
      <c r="F185" s="270"/>
    </row>
    <row r="186" spans="3:6">
      <c r="C186" s="270"/>
      <c r="D186" s="270"/>
      <c r="E186" s="270"/>
      <c r="F186" s="270"/>
    </row>
    <row r="187" spans="3:6">
      <c r="C187" s="270"/>
      <c r="D187" s="270"/>
      <c r="E187" s="270"/>
      <c r="F187" s="270"/>
    </row>
    <row r="188" spans="3:6">
      <c r="C188" s="270"/>
      <c r="D188" s="270"/>
      <c r="E188" s="270"/>
      <c r="F188" s="270"/>
    </row>
    <row r="189" spans="3:6">
      <c r="C189" s="270"/>
      <c r="D189" s="270"/>
      <c r="E189" s="270"/>
      <c r="F189" s="270"/>
    </row>
    <row r="190" spans="3:6">
      <c r="C190" s="270"/>
      <c r="D190" s="270"/>
      <c r="E190" s="270"/>
      <c r="F190" s="270"/>
    </row>
    <row r="191" spans="3:6">
      <c r="C191" s="270"/>
      <c r="D191" s="270"/>
      <c r="E191" s="270"/>
      <c r="F191" s="270"/>
    </row>
    <row r="192" spans="3:6">
      <c r="C192" s="270"/>
      <c r="D192" s="270"/>
      <c r="E192" s="270"/>
      <c r="F192" s="270"/>
    </row>
    <row r="193" spans="3:6">
      <c r="C193" s="270"/>
      <c r="D193" s="270"/>
      <c r="E193" s="270"/>
      <c r="F193" s="270"/>
    </row>
    <row r="194" spans="3:6">
      <c r="C194" s="270"/>
      <c r="D194" s="270"/>
      <c r="E194" s="270"/>
      <c r="F194" s="270"/>
    </row>
    <row r="195" spans="3:6">
      <c r="C195" s="270"/>
      <c r="D195" s="270"/>
      <c r="E195" s="270"/>
      <c r="F195" s="270"/>
    </row>
    <row r="196" spans="3:6">
      <c r="C196" s="270"/>
      <c r="D196" s="270"/>
      <c r="E196" s="270"/>
      <c r="F196" s="270"/>
    </row>
    <row r="197" spans="3:6">
      <c r="C197" s="270"/>
      <c r="D197" s="270"/>
      <c r="E197" s="270"/>
      <c r="F197" s="270"/>
    </row>
    <row r="198" spans="3:6">
      <c r="C198" s="270"/>
      <c r="D198" s="270"/>
      <c r="E198" s="270"/>
      <c r="F198" s="270"/>
    </row>
    <row r="199" spans="3:6">
      <c r="C199" s="270"/>
      <c r="D199" s="270"/>
      <c r="E199" s="270"/>
      <c r="F199" s="270"/>
    </row>
    <row r="200" spans="3:6">
      <c r="C200" s="270"/>
      <c r="D200" s="270"/>
      <c r="E200" s="270"/>
      <c r="F200" s="270"/>
    </row>
    <row r="201" spans="3:6">
      <c r="C201" s="270"/>
      <c r="D201" s="270"/>
      <c r="E201" s="270"/>
      <c r="F201" s="270"/>
    </row>
    <row r="202" spans="3:6">
      <c r="C202" s="270"/>
      <c r="D202" s="270"/>
      <c r="E202" s="270"/>
      <c r="F202" s="270"/>
    </row>
    <row r="203" spans="3:6">
      <c r="C203" s="270"/>
      <c r="D203" s="270"/>
      <c r="E203" s="270"/>
      <c r="F203" s="270"/>
    </row>
    <row r="204" spans="3:6">
      <c r="C204" s="270"/>
      <c r="D204" s="270"/>
      <c r="E204" s="270"/>
      <c r="F204" s="270"/>
    </row>
  </sheetData>
  <mergeCells count="8">
    <mergeCell ref="A2:F2"/>
    <mergeCell ref="A3:B3"/>
    <mergeCell ref="A87:B87"/>
    <mergeCell ref="A147:B147"/>
    <mergeCell ref="C3:F3"/>
    <mergeCell ref="C87:F87"/>
    <mergeCell ref="C147:F147"/>
    <mergeCell ref="A86:F86"/>
  </mergeCells>
  <phoneticPr fontId="0" type="noConversion"/>
  <printOptions horizontalCentered="1"/>
  <pageMargins left="0.59055118110236227" right="0.59055118110236227" top="1.2598425196850394" bottom="0.47244094488188981" header="0.59055118110236227" footer="0.59055118110236227"/>
  <pageSetup paperSize="9" scale="83" fitToHeight="2" orientation="portrait" r:id="rId1"/>
  <headerFooter alignWithMargins="0">
    <oddHeader>&amp;C&amp;"Times New Roman CE,Félkövér"&amp;12
Csorna Város Önkormányzata
2015. ÉVI KÖLTSÉGVETÉSÉNEK ÖSSZEVONT MÉRLEGE&amp;10
&amp;R&amp;"Times New Roman CE,Félkövér dőlt"&amp;11 1.1. melléklet a 7/2015. (II. 18.)önkormányzati rendelethez</oddHeader>
  </headerFooter>
  <rowBreaks count="2" manualBreakCount="2">
    <brk id="70" max="5" man="1"/>
    <brk id="85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8"/>
  <sheetViews>
    <sheetView zoomScaleNormal="100" zoomScaleSheetLayoutView="100" workbookViewId="0">
      <selection activeCell="F126" sqref="F126"/>
    </sheetView>
  </sheetViews>
  <sheetFormatPr defaultColWidth="9.33203125"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427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365</v>
      </c>
      <c r="C3" s="410">
        <v>2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507173</v>
      </c>
      <c r="E8" s="87"/>
      <c r="F8" s="87">
        <f>+F9+F10+F11+F12+F13+F14</f>
        <v>521358</v>
      </c>
    </row>
    <row r="9" spans="1:6" s="39" customFormat="1" ht="12" customHeight="1">
      <c r="A9" s="194" t="s">
        <v>62</v>
      </c>
      <c r="B9" s="176" t="s">
        <v>147</v>
      </c>
      <c r="C9" s="90">
        <v>125345</v>
      </c>
      <c r="D9" s="90">
        <v>125345</v>
      </c>
      <c r="E9" s="90"/>
      <c r="F9" s="90">
        <v>126301</v>
      </c>
    </row>
    <row r="10" spans="1:6" s="40" customFormat="1" ht="12" customHeight="1">
      <c r="A10" s="195" t="s">
        <v>63</v>
      </c>
      <c r="B10" s="177" t="s">
        <v>148</v>
      </c>
      <c r="C10" s="89">
        <v>106440</v>
      </c>
      <c r="D10" s="89">
        <v>106763</v>
      </c>
      <c r="E10" s="89"/>
      <c r="F10" s="90">
        <v>109209</v>
      </c>
    </row>
    <row r="11" spans="1:6" s="40" customFormat="1" ht="12" customHeight="1">
      <c r="A11" s="195" t="s">
        <v>64</v>
      </c>
      <c r="B11" s="177" t="s">
        <v>149</v>
      </c>
      <c r="C11" s="89">
        <v>152266</v>
      </c>
      <c r="D11" s="89">
        <v>152566</v>
      </c>
      <c r="E11" s="89"/>
      <c r="F11" s="90">
        <v>172223</v>
      </c>
    </row>
    <row r="12" spans="1:6" s="40" customFormat="1" ht="12" customHeight="1">
      <c r="A12" s="195" t="s">
        <v>65</v>
      </c>
      <c r="B12" s="177">
        <v>0</v>
      </c>
      <c r="C12" s="89">
        <v>18738</v>
      </c>
      <c r="D12" s="89">
        <v>19738</v>
      </c>
      <c r="E12" s="89"/>
      <c r="F12" s="90">
        <v>19195</v>
      </c>
    </row>
    <row r="13" spans="1:6" s="40" customFormat="1" ht="12" customHeight="1">
      <c r="A13" s="195" t="s">
        <v>82</v>
      </c>
      <c r="B13" s="177" t="s">
        <v>151</v>
      </c>
      <c r="C13" s="230">
        <v>2180</v>
      </c>
      <c r="D13" s="230">
        <v>26300</v>
      </c>
      <c r="E13" s="230"/>
      <c r="F13" s="90">
        <v>94430</v>
      </c>
    </row>
    <row r="14" spans="1:6" s="39" customFormat="1" ht="12" customHeight="1" thickBot="1">
      <c r="A14" s="196" t="s">
        <v>66</v>
      </c>
      <c r="B14" s="178" t="s">
        <v>152</v>
      </c>
      <c r="C14" s="229">
        <v>50000</v>
      </c>
      <c r="D14" s="229">
        <v>76461</v>
      </c>
      <c r="E14" s="229"/>
      <c r="F14" s="90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65478</v>
      </c>
      <c r="D15" s="87">
        <f>+D16+D17+D18+D19+D20</f>
        <v>69070</v>
      </c>
      <c r="E15" s="87"/>
      <c r="F15" s="87">
        <f>+F16+F17+F18+F19+F20</f>
        <v>66811</v>
      </c>
    </row>
    <row r="16" spans="1:6" s="39" customFormat="1" ht="12" customHeight="1">
      <c r="A16" s="194" t="s">
        <v>68</v>
      </c>
      <c r="B16" s="176" t="s">
        <v>154</v>
      </c>
      <c r="C16" s="90"/>
      <c r="D16" s="90">
        <v>888</v>
      </c>
      <c r="E16" s="90"/>
      <c r="F16" s="90">
        <v>888</v>
      </c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65478</v>
      </c>
      <c r="D20" s="89">
        <v>68182</v>
      </c>
      <c r="E20" s="89"/>
      <c r="F20" s="90">
        <v>65923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90505</v>
      </c>
      <c r="D22" s="87">
        <f>+D23+D24+D25+D26+D27</f>
        <v>105505</v>
      </c>
      <c r="E22" s="87"/>
      <c r="F22" s="87">
        <f>+F23+F24+F25+F26+F27</f>
        <v>181703</v>
      </c>
    </row>
    <row r="23" spans="1:6" s="40" customFormat="1" ht="12" customHeight="1">
      <c r="A23" s="194" t="s">
        <v>51</v>
      </c>
      <c r="B23" s="176" t="s">
        <v>159</v>
      </c>
      <c r="C23" s="90"/>
      <c r="D23" s="90">
        <v>15000</v>
      </c>
      <c r="E23" s="90"/>
      <c r="F23" s="90">
        <v>31447</v>
      </c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>
        <v>90505</v>
      </c>
      <c r="D27" s="89">
        <v>90505</v>
      </c>
      <c r="E27" s="89"/>
      <c r="F27" s="90">
        <v>150256</v>
      </c>
    </row>
    <row r="28" spans="1:6" s="40" customFormat="1" ht="12" customHeight="1" thickBot="1">
      <c r="A28" s="196" t="s">
        <v>95</v>
      </c>
      <c r="B28" s="178" t="s">
        <v>162</v>
      </c>
      <c r="C28" s="91">
        <v>79054</v>
      </c>
      <c r="D28" s="91">
        <v>79054</v>
      </c>
      <c r="E28" s="91"/>
      <c r="F28" s="90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/>
      <c r="F29" s="93">
        <f>+F30+F33+F34+F35</f>
        <v>594411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380800</v>
      </c>
      <c r="D30" s="171">
        <f>+D31+D32</f>
        <v>380800</v>
      </c>
      <c r="E30" s="171"/>
      <c r="F30" s="90">
        <v>558401</v>
      </c>
    </row>
    <row r="31" spans="1:6" s="40" customFormat="1" ht="12" customHeight="1">
      <c r="A31" s="195" t="s">
        <v>165</v>
      </c>
      <c r="B31" s="177" t="s">
        <v>171</v>
      </c>
      <c r="C31" s="89">
        <v>40000</v>
      </c>
      <c r="D31" s="89">
        <v>40000</v>
      </c>
      <c r="E31" s="89"/>
      <c r="F31" s="90">
        <v>43523</v>
      </c>
    </row>
    <row r="32" spans="1:6" s="40" customFormat="1" ht="12" customHeight="1">
      <c r="A32" s="195" t="s">
        <v>166</v>
      </c>
      <c r="B32" s="177" t="s">
        <v>172</v>
      </c>
      <c r="C32" s="89">
        <v>340800</v>
      </c>
      <c r="D32" s="89">
        <v>340800</v>
      </c>
      <c r="E32" s="89"/>
      <c r="F32" s="90">
        <v>514878</v>
      </c>
    </row>
    <row r="33" spans="1:6" s="40" customFormat="1" ht="12" customHeight="1">
      <c r="A33" s="195" t="s">
        <v>167</v>
      </c>
      <c r="B33" s="177" t="s">
        <v>173</v>
      </c>
      <c r="C33" s="89">
        <v>31000</v>
      </c>
      <c r="D33" s="89">
        <v>31000</v>
      </c>
      <c r="E33" s="89"/>
      <c r="F33" s="90">
        <v>32360</v>
      </c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90">
        <v>800</v>
      </c>
    </row>
    <row r="35" spans="1:6" s="40" customFormat="1" ht="12" customHeight="1" thickBot="1">
      <c r="A35" s="196" t="s">
        <v>169</v>
      </c>
      <c r="B35" s="178" t="s">
        <v>175</v>
      </c>
      <c r="C35" s="91">
        <v>2120</v>
      </c>
      <c r="D35" s="91">
        <v>2120</v>
      </c>
      <c r="E35" s="91"/>
      <c r="F35" s="90">
        <v>2850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81226</v>
      </c>
      <c r="D36" s="87">
        <f>SUM(D37:D46)</f>
        <v>82569</v>
      </c>
      <c r="E36" s="87"/>
      <c r="F36" s="87">
        <f>SUM(F37:F46)</f>
        <v>100581</v>
      </c>
    </row>
    <row r="37" spans="1:6" s="40" customFormat="1" ht="12" customHeight="1">
      <c r="A37" s="194" t="s">
        <v>55</v>
      </c>
      <c r="B37" s="176" t="s">
        <v>179</v>
      </c>
      <c r="C37" s="90">
        <v>200</v>
      </c>
      <c r="D37" s="90">
        <v>200</v>
      </c>
      <c r="E37" s="90"/>
      <c r="F37" s="90">
        <v>200</v>
      </c>
    </row>
    <row r="38" spans="1:6" s="40" customFormat="1" ht="12" customHeight="1">
      <c r="A38" s="195" t="s">
        <v>56</v>
      </c>
      <c r="B38" s="177" t="s">
        <v>180</v>
      </c>
      <c r="C38" s="89">
        <v>50326</v>
      </c>
      <c r="D38" s="89">
        <v>50326</v>
      </c>
      <c r="E38" s="89"/>
      <c r="F38" s="90">
        <f>52389-502</f>
        <v>51887</v>
      </c>
    </row>
    <row r="39" spans="1:6" s="40" customFormat="1" ht="12" customHeight="1">
      <c r="A39" s="195" t="s">
        <v>57</v>
      </c>
      <c r="B39" s="177" t="s">
        <v>181</v>
      </c>
      <c r="C39" s="89">
        <v>2711</v>
      </c>
      <c r="D39" s="89">
        <v>2711</v>
      </c>
      <c r="E39" s="89"/>
      <c r="F39" s="90">
        <f>4937-2119</f>
        <v>2818</v>
      </c>
    </row>
    <row r="40" spans="1:6" s="40" customFormat="1" ht="12" customHeight="1">
      <c r="A40" s="195" t="s">
        <v>98</v>
      </c>
      <c r="B40" s="177" t="s">
        <v>182</v>
      </c>
      <c r="C40" s="89">
        <v>10431</v>
      </c>
      <c r="D40" s="89">
        <v>10431</v>
      </c>
      <c r="E40" s="89"/>
      <c r="F40" s="90">
        <f>11035-120</f>
        <v>10915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90"/>
    </row>
    <row r="42" spans="1:6" s="40" customFormat="1" ht="12" customHeight="1">
      <c r="A42" s="195" t="s">
        <v>100</v>
      </c>
      <c r="B42" s="177" t="s">
        <v>184</v>
      </c>
      <c r="C42" s="89">
        <v>15408</v>
      </c>
      <c r="D42" s="89">
        <v>15408</v>
      </c>
      <c r="E42" s="89"/>
      <c r="F42" s="90">
        <f>3825-841</f>
        <v>2984</v>
      </c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90">
        <f>15630-184</f>
        <v>15446</v>
      </c>
    </row>
    <row r="44" spans="1:6" s="40" customFormat="1" ht="12" customHeight="1">
      <c r="A44" s="195" t="s">
        <v>102</v>
      </c>
      <c r="B44" s="177" t="s">
        <v>186</v>
      </c>
      <c r="C44" s="89">
        <v>2150</v>
      </c>
      <c r="D44" s="89">
        <v>2150</v>
      </c>
      <c r="E44" s="89"/>
      <c r="F44" s="90">
        <v>11690</v>
      </c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0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>
        <f>2323-980</f>
        <v>1343</v>
      </c>
      <c r="E46" s="165"/>
      <c r="F46" s="90">
        <f>6496-1855</f>
        <v>4641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/>
      <c r="F47" s="87">
        <f>SUM(F48:F52)</f>
        <v>12383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>
        <v>81876</v>
      </c>
      <c r="D49" s="92">
        <v>81876</v>
      </c>
      <c r="E49" s="92"/>
      <c r="F49" s="90">
        <v>12383</v>
      </c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>
        <v>0</v>
      </c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/>
      <c r="F58" s="87">
        <f>SUM(F59:F61)</f>
        <v>28857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>
        <v>28857</v>
      </c>
      <c r="D60" s="92">
        <v>28857</v>
      </c>
      <c r="E60" s="92"/>
      <c r="F60" s="90">
        <v>28857</v>
      </c>
    </row>
    <row r="61" spans="1:6" s="40" customFormat="1" ht="12" customHeight="1">
      <c r="A61" s="195" t="s">
        <v>128</v>
      </c>
      <c r="B61" s="177" t="s">
        <v>208</v>
      </c>
      <c r="C61" s="92">
        <v>108</v>
      </c>
      <c r="D61" s="92">
        <v>108</v>
      </c>
      <c r="E61" s="92"/>
      <c r="F61" s="90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1216939</v>
      </c>
      <c r="D63" s="93">
        <f>+D8+D15+D22+D29+D36+D47+D53+D58</f>
        <v>1289078</v>
      </c>
      <c r="E63" s="93"/>
      <c r="F63" s="93">
        <f>+F8+F15+F22+F29+F36+F47+F53+F58</f>
        <v>1506104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644538</v>
      </c>
      <c r="E73" s="87"/>
      <c r="F73" s="87">
        <f>SUM(F74:F75)</f>
        <v>584388</v>
      </c>
    </row>
    <row r="74" spans="1:6" s="40" customFormat="1" ht="12" customHeight="1">
      <c r="A74" s="194" t="s">
        <v>248</v>
      </c>
      <c r="B74" s="176" t="s">
        <v>224</v>
      </c>
      <c r="C74" s="92">
        <v>501181</v>
      </c>
      <c r="D74" s="92">
        <v>644538</v>
      </c>
      <c r="E74" s="92"/>
      <c r="F74" s="90">
        <v>584388</v>
      </c>
    </row>
    <row r="75" spans="1:6" s="40" customFormat="1" ht="12" customHeight="1" thickBot="1">
      <c r="A75" s="205" t="s">
        <v>249</v>
      </c>
      <c r="B75" s="271" t="s">
        <v>225</v>
      </c>
      <c r="C75" s="272"/>
      <c r="D75" s="272"/>
      <c r="E75" s="272"/>
      <c r="F75" s="27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14362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>
        <v>14362</v>
      </c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644538</v>
      </c>
      <c r="E86" s="93"/>
      <c r="F86" s="93">
        <f>+F64+F68+F73+F76+F80+F85</f>
        <v>598750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1718120</v>
      </c>
      <c r="D87" s="93">
        <f>+D63+D86</f>
        <v>1933616</v>
      </c>
      <c r="E87" s="93"/>
      <c r="F87" s="93">
        <f>+F63+F86</f>
        <v>2104854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651291</v>
      </c>
      <c r="D91" s="86">
        <f>SUM(D92:D96)</f>
        <v>736761</v>
      </c>
      <c r="E91" s="86">
        <f>SUM(E92:E96)</f>
        <v>0</v>
      </c>
      <c r="F91" s="285">
        <f>SUM(F92:F96)</f>
        <v>716189</v>
      </c>
    </row>
    <row r="92" spans="1:6" ht="12" customHeight="1">
      <c r="A92" s="203" t="s">
        <v>62</v>
      </c>
      <c r="B92" s="8" t="s">
        <v>36</v>
      </c>
      <c r="C92" s="88">
        <v>75644</v>
      </c>
      <c r="D92" s="88">
        <v>78780</v>
      </c>
      <c r="E92" s="88"/>
      <c r="F92" s="90">
        <f>82263-4475+659</f>
        <v>78447</v>
      </c>
    </row>
    <row r="93" spans="1:6" ht="12" customHeight="1">
      <c r="A93" s="195" t="s">
        <v>63</v>
      </c>
      <c r="B93" s="6" t="s">
        <v>106</v>
      </c>
      <c r="C93" s="89">
        <v>19836</v>
      </c>
      <c r="D93" s="89">
        <v>20676</v>
      </c>
      <c r="E93" s="89"/>
      <c r="F93" s="90">
        <f>21689-1469</f>
        <v>20220</v>
      </c>
    </row>
    <row r="94" spans="1:6" ht="12" customHeight="1">
      <c r="A94" s="195" t="s">
        <v>64</v>
      </c>
      <c r="B94" s="6" t="s">
        <v>81</v>
      </c>
      <c r="C94" s="91">
        <v>351929</v>
      </c>
      <c r="D94" s="91">
        <v>372949</v>
      </c>
      <c r="E94" s="91"/>
      <c r="F94" s="90">
        <f>398754-28327-194-659+4</f>
        <v>369578</v>
      </c>
    </row>
    <row r="95" spans="1:6" ht="12" customHeight="1">
      <c r="A95" s="195" t="s">
        <v>65</v>
      </c>
      <c r="B95" s="9" t="s">
        <v>107</v>
      </c>
      <c r="C95" s="91"/>
      <c r="D95" s="91"/>
      <c r="E95" s="91"/>
      <c r="F95" s="90">
        <f>10495-10330-165</f>
        <v>0</v>
      </c>
    </row>
    <row r="96" spans="1:6" ht="12" customHeight="1">
      <c r="A96" s="195" t="s">
        <v>73</v>
      </c>
      <c r="B96" s="17" t="s">
        <v>108</v>
      </c>
      <c r="C96" s="91">
        <f>SUM(C97:C106)</f>
        <v>203882</v>
      </c>
      <c r="D96" s="91">
        <v>264356</v>
      </c>
      <c r="E96" s="91"/>
      <c r="F96" s="90">
        <f>277628-29684</f>
        <v>247944</v>
      </c>
    </row>
    <row r="97" spans="1:6" ht="12" customHeight="1">
      <c r="A97" s="195" t="s">
        <v>66</v>
      </c>
      <c r="B97" s="6" t="s">
        <v>260</v>
      </c>
      <c r="C97" s="91">
        <v>9100</v>
      </c>
      <c r="D97" s="91">
        <v>20548</v>
      </c>
      <c r="E97" s="91"/>
      <c r="F97" s="90">
        <v>20972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0"/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0"/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0"/>
    </row>
    <row r="101" spans="1:6" ht="12" customHeight="1">
      <c r="A101" s="195" t="s">
        <v>76</v>
      </c>
      <c r="B101" s="47" t="s">
        <v>264</v>
      </c>
      <c r="C101" s="91">
        <v>149500</v>
      </c>
      <c r="D101" s="91">
        <v>191563</v>
      </c>
      <c r="E101" s="91"/>
      <c r="F101" s="90">
        <f>172721</f>
        <v>172721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0"/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0">
        <v>21120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0"/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0"/>
    </row>
    <row r="106" spans="1:6" ht="12" customHeight="1" thickBot="1">
      <c r="A106" s="205" t="s">
        <v>258</v>
      </c>
      <c r="B106" s="50" t="s">
        <v>269</v>
      </c>
      <c r="C106" s="95">
        <v>45282</v>
      </c>
      <c r="D106" s="95">
        <v>52245</v>
      </c>
      <c r="E106" s="95"/>
      <c r="F106" s="90">
        <f>62815-29684</f>
        <v>33131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f>+D108+D110+D112</f>
        <v>228731</v>
      </c>
      <c r="E107" s="87"/>
      <c r="F107" s="87">
        <f>+F108+F110+F112</f>
        <v>295691</v>
      </c>
    </row>
    <row r="108" spans="1:6" ht="12" customHeight="1">
      <c r="A108" s="194" t="s">
        <v>68</v>
      </c>
      <c r="B108" s="6" t="s">
        <v>126</v>
      </c>
      <c r="C108" s="90">
        <v>127729</v>
      </c>
      <c r="D108" s="90">
        <v>207154</v>
      </c>
      <c r="E108" s="90"/>
      <c r="F108" s="90">
        <f>120250-464</f>
        <v>119786</v>
      </c>
    </row>
    <row r="109" spans="1:6" ht="12" customHeight="1">
      <c r="A109" s="194" t="s">
        <v>69</v>
      </c>
      <c r="B109" s="10" t="s">
        <v>274</v>
      </c>
      <c r="C109" s="90">
        <v>79054</v>
      </c>
      <c r="D109" s="90">
        <v>79054</v>
      </c>
      <c r="E109" s="90"/>
      <c r="F109" s="90"/>
    </row>
    <row r="110" spans="1:6" ht="12" customHeight="1">
      <c r="A110" s="194" t="s">
        <v>70</v>
      </c>
      <c r="B110" s="10" t="s">
        <v>110</v>
      </c>
      <c r="C110" s="89">
        <v>7760</v>
      </c>
      <c r="D110" s="89">
        <v>7760</v>
      </c>
      <c r="E110" s="89"/>
      <c r="F110" s="90">
        <f>158698</f>
        <v>158698</v>
      </c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90"/>
    </row>
    <row r="112" spans="1:6" ht="12" customHeight="1">
      <c r="A112" s="194" t="s">
        <v>72</v>
      </c>
      <c r="B112" s="84" t="s">
        <v>129</v>
      </c>
      <c r="C112" s="80">
        <v>13817</v>
      </c>
      <c r="D112" s="80">
        <v>13817</v>
      </c>
      <c r="E112" s="80"/>
      <c r="F112" s="90">
        <v>17207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9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9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90"/>
    </row>
    <row r="116" spans="1:6" ht="12" customHeight="1">
      <c r="A116" s="194" t="s">
        <v>112</v>
      </c>
      <c r="B116" s="48" t="s">
        <v>279</v>
      </c>
      <c r="C116" s="80">
        <v>10000</v>
      </c>
      <c r="D116" s="80">
        <v>10000</v>
      </c>
      <c r="E116" s="80"/>
      <c r="F116" s="90">
        <v>9190</v>
      </c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9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9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90"/>
    </row>
    <row r="120" spans="1:6" ht="12" customHeight="1" thickBot="1">
      <c r="A120" s="204" t="s">
        <v>273</v>
      </c>
      <c r="B120" s="48" t="s">
        <v>276</v>
      </c>
      <c r="C120" s="81">
        <v>3817</v>
      </c>
      <c r="D120" s="81">
        <v>3817</v>
      </c>
      <c r="E120" s="81"/>
      <c r="F120" s="90">
        <v>8017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329969</v>
      </c>
      <c r="D121" s="87">
        <f>D122+D123</f>
        <v>308142</v>
      </c>
      <c r="E121" s="87">
        <f>E122+E123</f>
        <v>0</v>
      </c>
      <c r="F121" s="87">
        <f>+F122+F123</f>
        <v>496055</v>
      </c>
    </row>
    <row r="122" spans="1:6" ht="12" customHeight="1">
      <c r="A122" s="194" t="s">
        <v>51</v>
      </c>
      <c r="B122" s="7" t="s">
        <v>44</v>
      </c>
      <c r="C122" s="90">
        <v>5000</v>
      </c>
      <c r="D122" s="90">
        <v>51615</v>
      </c>
      <c r="E122" s="90"/>
      <c r="F122" s="90">
        <v>239528</v>
      </c>
    </row>
    <row r="123" spans="1:6" ht="12" customHeight="1" thickBot="1">
      <c r="A123" s="196" t="s">
        <v>52</v>
      </c>
      <c r="B123" s="10" t="s">
        <v>45</v>
      </c>
      <c r="C123" s="91">
        <v>324969</v>
      </c>
      <c r="D123" s="91">
        <v>256527</v>
      </c>
      <c r="E123" s="91"/>
      <c r="F123" s="90">
        <v>256527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1130566</v>
      </c>
      <c r="D124" s="87">
        <v>1262449</v>
      </c>
      <c r="E124" s="87">
        <f>+E91+E107+E121</f>
        <v>0</v>
      </c>
      <c r="F124" s="87">
        <f>+F91+F107+F121</f>
        <v>1507935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3">
        <f>+F135+F136+F137+F138</f>
        <v>13770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>
        <v>13770</v>
      </c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188">
        <f>+F125+F129+F134+F139</f>
        <v>13770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1130566</v>
      </c>
      <c r="D145" s="188">
        <f>+D124+D144</f>
        <v>1262449</v>
      </c>
      <c r="E145" s="188">
        <f t="shared" ref="E145:F145" si="0">+E124+E144</f>
        <v>0</v>
      </c>
      <c r="F145" s="188">
        <f t="shared" si="0"/>
        <v>1521705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>
        <v>12</v>
      </c>
      <c r="D147" s="42">
        <v>12</v>
      </c>
      <c r="E147" s="42"/>
      <c r="F147" s="42">
        <v>12</v>
      </c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157" zoomScaleNormal="100" zoomScaleSheetLayoutView="100" workbookViewId="0">
      <selection activeCell="F149" sqref="F149:F151"/>
    </sheetView>
  </sheetViews>
  <sheetFormatPr defaultColWidth="9.33203125"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423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366</v>
      </c>
      <c r="C3" s="410">
        <v>3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0</v>
      </c>
      <c r="D15" s="87"/>
      <c r="E15" s="87"/>
      <c r="F15" s="87">
        <f>+F16+F17+F18+F19+F20</f>
        <v>0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/>
      <c r="D20" s="89"/>
      <c r="E20" s="89"/>
      <c r="F20" s="89"/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3278</v>
      </c>
      <c r="D36" s="87">
        <f>SUM(D37:D46)</f>
        <v>3278</v>
      </c>
      <c r="E36" s="87"/>
      <c r="F36" s="87">
        <f>SUM(F37:F46)</f>
        <v>3278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>
        <v>86</v>
      </c>
      <c r="D38" s="89">
        <v>86</v>
      </c>
      <c r="E38" s="89"/>
      <c r="F38" s="89">
        <f t="shared" ref="F38:F43" si="0">D38+E38</f>
        <v>86</v>
      </c>
    </row>
    <row r="39" spans="1:6" s="40" customFormat="1" ht="12" customHeight="1">
      <c r="A39" s="195" t="s">
        <v>57</v>
      </c>
      <c r="B39" s="177" t="s">
        <v>181</v>
      </c>
      <c r="C39" s="89">
        <v>2226</v>
      </c>
      <c r="D39" s="89">
        <v>2226</v>
      </c>
      <c r="E39" s="89"/>
      <c r="F39" s="89">
        <f t="shared" si="0"/>
        <v>2226</v>
      </c>
    </row>
    <row r="40" spans="1:6" s="40" customFormat="1" ht="12" customHeight="1">
      <c r="A40" s="195" t="s">
        <v>98</v>
      </c>
      <c r="B40" s="177" t="s">
        <v>182</v>
      </c>
      <c r="C40" s="89">
        <v>120</v>
      </c>
      <c r="D40" s="89">
        <v>120</v>
      </c>
      <c r="E40" s="89"/>
      <c r="F40" s="89">
        <f t="shared" si="0"/>
        <v>120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>
        <f t="shared" si="0"/>
        <v>0</v>
      </c>
    </row>
    <row r="42" spans="1:6" s="40" customFormat="1" ht="12" customHeight="1">
      <c r="A42" s="195" t="s">
        <v>100</v>
      </c>
      <c r="B42" s="177" t="s">
        <v>184</v>
      </c>
      <c r="C42" s="89">
        <v>657</v>
      </c>
      <c r="D42" s="89">
        <v>657</v>
      </c>
      <c r="E42" s="89"/>
      <c r="F42" s="89">
        <f t="shared" si="0"/>
        <v>657</v>
      </c>
    </row>
    <row r="43" spans="1:6" s="40" customFormat="1" ht="12" customHeight="1">
      <c r="A43" s="195" t="s">
        <v>101</v>
      </c>
      <c r="B43" s="177" t="s">
        <v>185</v>
      </c>
      <c r="C43" s="89">
        <v>189</v>
      </c>
      <c r="D43" s="89">
        <v>189</v>
      </c>
      <c r="E43" s="89"/>
      <c r="F43" s="89">
        <f t="shared" si="0"/>
        <v>189</v>
      </c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3278</v>
      </c>
      <c r="D63" s="93">
        <f>+D8+D15+D22+D29+D36+D47+D53+D58</f>
        <v>3278</v>
      </c>
      <c r="E63" s="93"/>
      <c r="F63" s="93">
        <f>+F8+F15+F22+F29+F36+F47+F53+F58</f>
        <v>3278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3278</v>
      </c>
      <c r="D87" s="93">
        <f>+D63+D86</f>
        <v>3278</v>
      </c>
      <c r="E87" s="93"/>
      <c r="F87" s="93">
        <f>+F63+F86</f>
        <v>3278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57671</v>
      </c>
      <c r="D91" s="86">
        <f>SUM(D92:D96)</f>
        <v>64960</v>
      </c>
      <c r="E91" s="86">
        <f>SUM(E92:E96)</f>
        <v>0</v>
      </c>
      <c r="F91" s="86">
        <f>SUM(F92:F96)</f>
        <v>64960</v>
      </c>
    </row>
    <row r="92" spans="1:6" ht="12" customHeight="1">
      <c r="A92" s="203" t="s">
        <v>62</v>
      </c>
      <c r="B92" s="8" t="s">
        <v>36</v>
      </c>
      <c r="C92" s="88">
        <v>3183</v>
      </c>
      <c r="D92" s="88">
        <v>3183</v>
      </c>
      <c r="E92" s="88"/>
      <c r="F92" s="89">
        <f t="shared" ref="F92:F106" si="1">D92+E92</f>
        <v>3183</v>
      </c>
    </row>
    <row r="93" spans="1:6" ht="12" customHeight="1">
      <c r="A93" s="195" t="s">
        <v>63</v>
      </c>
      <c r="B93" s="6" t="s">
        <v>106</v>
      </c>
      <c r="C93" s="89">
        <v>1013</v>
      </c>
      <c r="D93" s="89">
        <v>1013</v>
      </c>
      <c r="E93" s="89"/>
      <c r="F93" s="89">
        <f t="shared" si="1"/>
        <v>1013</v>
      </c>
    </row>
    <row r="94" spans="1:6" ht="12" customHeight="1">
      <c r="A94" s="195" t="s">
        <v>64</v>
      </c>
      <c r="B94" s="6" t="s">
        <v>81</v>
      </c>
      <c r="C94" s="91">
        <v>17261</v>
      </c>
      <c r="D94" s="91">
        <v>17261</v>
      </c>
      <c r="E94" s="91"/>
      <c r="F94" s="89">
        <f t="shared" si="1"/>
        <v>17261</v>
      </c>
    </row>
    <row r="95" spans="1:6" ht="12" customHeight="1">
      <c r="A95" s="195" t="s">
        <v>65</v>
      </c>
      <c r="B95" s="9" t="s">
        <v>107</v>
      </c>
      <c r="C95" s="91">
        <v>8875</v>
      </c>
      <c r="D95" s="91">
        <v>10330</v>
      </c>
      <c r="E95" s="91"/>
      <c r="F95" s="89">
        <f t="shared" si="1"/>
        <v>10330</v>
      </c>
    </row>
    <row r="96" spans="1:6" ht="12" customHeight="1">
      <c r="A96" s="195" t="s">
        <v>73</v>
      </c>
      <c r="B96" s="17" t="s">
        <v>108</v>
      </c>
      <c r="C96" s="91">
        <f>SUM(C97:C106)</f>
        <v>27339</v>
      </c>
      <c r="D96" s="91">
        <v>33173</v>
      </c>
      <c r="E96" s="91"/>
      <c r="F96" s="89">
        <f t="shared" si="1"/>
        <v>33173</v>
      </c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89">
        <f t="shared" si="1"/>
        <v>0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89">
        <f t="shared" si="1"/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89">
        <f t="shared" si="1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89">
        <f t="shared" si="1"/>
        <v>0</v>
      </c>
    </row>
    <row r="101" spans="1:6" ht="12" customHeight="1">
      <c r="A101" s="195" t="s">
        <v>76</v>
      </c>
      <c r="B101" s="47" t="s">
        <v>264</v>
      </c>
      <c r="C101" s="91">
        <v>1455</v>
      </c>
      <c r="D101" s="91">
        <v>0</v>
      </c>
      <c r="E101" s="91"/>
      <c r="F101" s="89">
        <f t="shared" si="1"/>
        <v>0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89">
        <f t="shared" si="1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89">
        <f t="shared" si="1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89">
        <f t="shared" si="1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89">
        <f t="shared" si="1"/>
        <v>0</v>
      </c>
    </row>
    <row r="106" spans="1:6" ht="12" customHeight="1" thickBot="1">
      <c r="A106" s="205" t="s">
        <v>258</v>
      </c>
      <c r="B106" s="50" t="s">
        <v>269</v>
      </c>
      <c r="C106" s="95">
        <v>25884</v>
      </c>
      <c r="D106" s="95">
        <v>31718</v>
      </c>
      <c r="E106" s="95"/>
      <c r="F106" s="89">
        <f t="shared" si="1"/>
        <v>31718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>
        <v>4200</v>
      </c>
      <c r="E107" s="87"/>
      <c r="F107" s="87">
        <f>D107+E107</f>
        <v>4200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>
        <v>4200</v>
      </c>
      <c r="E112" s="80"/>
      <c r="F112" s="80">
        <f>D112+E112</f>
        <v>4200</v>
      </c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>
        <v>4200</v>
      </c>
      <c r="E120" s="81"/>
      <c r="F120" s="81">
        <v>4200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6400</v>
      </c>
      <c r="D121" s="87">
        <f>+D122+D123</f>
        <v>6400</v>
      </c>
      <c r="E121" s="87">
        <f>+E122+E123</f>
        <v>0</v>
      </c>
      <c r="F121" s="87">
        <f>+F122+F123</f>
        <v>6400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>
        <v>6400</v>
      </c>
      <c r="D123" s="91">
        <v>6400</v>
      </c>
      <c r="E123" s="91"/>
      <c r="F123" s="91">
        <v>6400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64071</v>
      </c>
      <c r="D124" s="87">
        <f>+D91+D107+D121</f>
        <v>75560</v>
      </c>
      <c r="E124" s="87">
        <f>+E91+E107+E121</f>
        <v>0</v>
      </c>
      <c r="F124" s="87">
        <f>+F91+F107+F121</f>
        <v>75560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64071</v>
      </c>
      <c r="D145" s="188">
        <f>+D124+D144</f>
        <v>75560</v>
      </c>
      <c r="E145" s="188">
        <f>+E124+E144</f>
        <v>0</v>
      </c>
      <c r="F145" s="188">
        <f>+F124+F144</f>
        <v>75560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20"/>
  </sheetPr>
  <dimension ref="A1:N148"/>
  <sheetViews>
    <sheetView view="pageLayout" topLeftCell="A124" zoomScaleNormal="100" zoomScaleSheetLayoutView="100" workbookViewId="0">
      <selection activeCell="B2" sqref="B2"/>
    </sheetView>
  </sheetViews>
  <sheetFormatPr defaultColWidth="9.33203125"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424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367</v>
      </c>
      <c r="C3" s="410">
        <v>4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64"/>
      <c r="B7" s="65" t="s">
        <v>41</v>
      </c>
      <c r="C7" s="142"/>
      <c r="D7" s="142"/>
      <c r="E7" s="142"/>
      <c r="F7" s="142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/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89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89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89"/>
    </row>
    <row r="13" spans="1:6" s="40" customFormat="1" ht="12" customHeight="1">
      <c r="A13" s="195" t="s">
        <v>82</v>
      </c>
      <c r="B13" s="177" t="s">
        <v>151</v>
      </c>
      <c r="C13" s="220"/>
      <c r="D13" s="220"/>
      <c r="E13" s="220"/>
      <c r="F13" s="220"/>
    </row>
    <row r="14" spans="1:6" s="39" customFormat="1" ht="12" customHeight="1" thickBot="1">
      <c r="A14" s="196" t="s">
        <v>66</v>
      </c>
      <c r="B14" s="178" t="s">
        <v>152</v>
      </c>
      <c r="C14" s="221"/>
      <c r="D14" s="221"/>
      <c r="E14" s="221"/>
      <c r="F14" s="221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2238</v>
      </c>
      <c r="D15" s="87">
        <f>+D16+D17+D18+D19+D20</f>
        <v>2238</v>
      </c>
      <c r="E15" s="87"/>
      <c r="F15" s="87">
        <f>+F16+F17+F18+F19+F20</f>
        <v>2238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>
        <v>2238</v>
      </c>
      <c r="D20" s="89">
        <v>2238</v>
      </c>
      <c r="E20" s="89"/>
      <c r="F20" s="89">
        <v>2238</v>
      </c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/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419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89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1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/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>
        <f>+C31+C32</f>
        <v>0</v>
      </c>
      <c r="D30" s="171"/>
      <c r="E30" s="171"/>
      <c r="F30" s="171">
        <f>+F31+F32</f>
        <v>0</v>
      </c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89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89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89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89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1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0</v>
      </c>
      <c r="D36" s="87"/>
      <c r="E36" s="87"/>
      <c r="F36" s="87">
        <f>SUM(F37:F46)</f>
        <v>0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/>
      <c r="D38" s="89"/>
      <c r="E38" s="89"/>
      <c r="F38" s="89"/>
    </row>
    <row r="39" spans="1:6" s="40" customFormat="1" ht="12" customHeight="1">
      <c r="A39" s="195" t="s">
        <v>57</v>
      </c>
      <c r="B39" s="177" t="s">
        <v>181</v>
      </c>
      <c r="C39" s="89"/>
      <c r="D39" s="89"/>
      <c r="E39" s="89"/>
      <c r="F39" s="89"/>
    </row>
    <row r="40" spans="1:6" s="40" customFormat="1" ht="12" customHeight="1">
      <c r="A40" s="195" t="s">
        <v>98</v>
      </c>
      <c r="B40" s="177" t="s">
        <v>182</v>
      </c>
      <c r="C40" s="89"/>
      <c r="D40" s="89"/>
      <c r="E40" s="89"/>
      <c r="F40" s="89"/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89"/>
    </row>
    <row r="42" spans="1:6" s="40" customFormat="1" ht="12" customHeight="1">
      <c r="A42" s="195" t="s">
        <v>100</v>
      </c>
      <c r="B42" s="177" t="s">
        <v>184</v>
      </c>
      <c r="C42" s="89"/>
      <c r="D42" s="89"/>
      <c r="E42" s="89"/>
      <c r="F42" s="89"/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89"/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89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2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165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/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2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/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/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2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2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2238</v>
      </c>
      <c r="D63" s="93">
        <f>+D8+D15+D22+D29+D36+D47+D53+D58</f>
        <v>2238</v>
      </c>
      <c r="E63" s="93"/>
      <c r="F63" s="93">
        <f>+F8+F15+F22+F29+F36+F47+F53+F58</f>
        <v>2238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/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/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/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2"/>
    </row>
    <row r="75" spans="1:6" s="40" customFormat="1" ht="12" customHeight="1" thickBot="1">
      <c r="A75" s="196" t="s">
        <v>249</v>
      </c>
      <c r="B75" s="178" t="s">
        <v>225</v>
      </c>
      <c r="C75" s="92"/>
      <c r="D75" s="92"/>
      <c r="E75" s="92"/>
      <c r="F75" s="9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/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/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/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2238</v>
      </c>
      <c r="D87" s="93">
        <f>+D63+D86</f>
        <v>2238</v>
      </c>
      <c r="E87" s="93"/>
      <c r="F87" s="93">
        <f>+F63+F86</f>
        <v>2238</v>
      </c>
    </row>
    <row r="88" spans="1:6" s="40" customFormat="1" ht="15" customHeight="1">
      <c r="A88" s="69"/>
      <c r="B88" s="70"/>
      <c r="C88" s="147"/>
      <c r="D88" s="147"/>
      <c r="E88" s="147"/>
      <c r="F88" s="147"/>
    </row>
    <row r="89" spans="1:6" ht="13.5" thickBot="1">
      <c r="A89" s="202"/>
      <c r="B89" s="72"/>
      <c r="C89" s="148"/>
      <c r="D89" s="148"/>
      <c r="E89" s="148"/>
      <c r="F89" s="148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359</v>
      </c>
      <c r="D91" s="86">
        <f>SUM(D92:D96)</f>
        <v>359</v>
      </c>
      <c r="E91" s="86"/>
      <c r="F91" s="86">
        <f>SUM(F92:F96)</f>
        <v>359</v>
      </c>
    </row>
    <row r="92" spans="1:6" ht="12" customHeight="1">
      <c r="A92" s="203" t="s">
        <v>62</v>
      </c>
      <c r="B92" s="8" t="s">
        <v>36</v>
      </c>
      <c r="C92" s="88"/>
      <c r="D92" s="88"/>
      <c r="E92" s="88"/>
      <c r="F92" s="88"/>
    </row>
    <row r="93" spans="1:6" ht="12" customHeight="1">
      <c r="A93" s="195" t="s">
        <v>63</v>
      </c>
      <c r="B93" s="6" t="s">
        <v>106</v>
      </c>
      <c r="C93" s="89"/>
      <c r="D93" s="89"/>
      <c r="E93" s="89"/>
      <c r="F93" s="89"/>
    </row>
    <row r="94" spans="1:6" ht="12" customHeight="1">
      <c r="A94" s="195" t="s">
        <v>64</v>
      </c>
      <c r="B94" s="6" t="s">
        <v>81</v>
      </c>
      <c r="C94" s="91">
        <v>194</v>
      </c>
      <c r="D94" s="91">
        <v>194</v>
      </c>
      <c r="E94" s="91"/>
      <c r="F94" s="91">
        <v>194</v>
      </c>
    </row>
    <row r="95" spans="1:6" ht="12" customHeight="1">
      <c r="A95" s="195" t="s">
        <v>65</v>
      </c>
      <c r="B95" s="9" t="s">
        <v>107</v>
      </c>
      <c r="C95" s="91">
        <v>165</v>
      </c>
      <c r="D95" s="91">
        <v>165</v>
      </c>
      <c r="E95" s="91"/>
      <c r="F95" s="91">
        <v>165</v>
      </c>
    </row>
    <row r="96" spans="1:6" ht="12" customHeight="1">
      <c r="A96" s="195" t="s">
        <v>73</v>
      </c>
      <c r="B96" s="17" t="s">
        <v>108</v>
      </c>
      <c r="C96" s="91"/>
      <c r="D96" s="91"/>
      <c r="E96" s="91"/>
      <c r="F96" s="91"/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91"/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1"/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1"/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1"/>
    </row>
    <row r="101" spans="1:6" ht="12" customHeight="1">
      <c r="A101" s="195" t="s">
        <v>76</v>
      </c>
      <c r="B101" s="47" t="s">
        <v>264</v>
      </c>
      <c r="C101" s="91"/>
      <c r="D101" s="91"/>
      <c r="E101" s="91"/>
      <c r="F101" s="91"/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1"/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1"/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1"/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1"/>
    </row>
    <row r="106" spans="1:6" ht="12" customHeight="1" thickBot="1">
      <c r="A106" s="205" t="s">
        <v>258</v>
      </c>
      <c r="B106" s="50" t="s">
        <v>269</v>
      </c>
      <c r="C106" s="95"/>
      <c r="D106" s="95"/>
      <c r="E106" s="95"/>
      <c r="F106" s="95"/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/>
      <c r="E107" s="87"/>
      <c r="F107" s="87">
        <f>+F108+F110+F112</f>
        <v>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89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8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80"/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8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8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8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8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8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8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80"/>
    </row>
    <row r="120" spans="1:6" ht="12" customHeight="1" thickBot="1">
      <c r="A120" s="204" t="s">
        <v>273</v>
      </c>
      <c r="B120" s="48" t="s">
        <v>276</v>
      </c>
      <c r="C120" s="81"/>
      <c r="D120" s="81"/>
      <c r="E120" s="81"/>
      <c r="F120" s="81"/>
    </row>
    <row r="121" spans="1:6" ht="12" customHeight="1" thickBot="1">
      <c r="A121" s="25" t="s">
        <v>8</v>
      </c>
      <c r="B121" s="44" t="s">
        <v>281</v>
      </c>
      <c r="C121" s="87">
        <f>+C122+C123</f>
        <v>0</v>
      </c>
      <c r="D121" s="87"/>
      <c r="E121" s="87"/>
      <c r="F121" s="87">
        <f>+F122+F123</f>
        <v>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/>
      <c r="D123" s="91"/>
      <c r="E123" s="91"/>
      <c r="F123" s="91"/>
    </row>
    <row r="124" spans="1:6" ht="12" customHeight="1" thickBot="1">
      <c r="A124" s="25" t="s">
        <v>9</v>
      </c>
      <c r="B124" s="44" t="s">
        <v>282</v>
      </c>
      <c r="C124" s="87">
        <f>+C91+C107+C121</f>
        <v>359</v>
      </c>
      <c r="D124" s="87">
        <f>+D91+D107+D121</f>
        <v>359</v>
      </c>
      <c r="E124" s="87"/>
      <c r="F124" s="87">
        <f>+F91+F107+F121</f>
        <v>359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/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/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/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/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/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359</v>
      </c>
      <c r="D145" s="188">
        <f>+D124+D144</f>
        <v>359</v>
      </c>
      <c r="E145" s="188"/>
      <c r="F145" s="188">
        <f>+F124+F144</f>
        <v>359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4">
    <mergeCell ref="C2:F2"/>
    <mergeCell ref="C3:F3"/>
    <mergeCell ref="C4:F4"/>
    <mergeCell ref="A90:F90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8"/>
  <sheetViews>
    <sheetView view="pageLayout" zoomScaleNormal="100" zoomScaleSheetLayoutView="100" workbookViewId="0">
      <selection activeCell="F55" sqref="F55"/>
    </sheetView>
  </sheetViews>
  <sheetFormatPr defaultColWidth="9.33203125"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427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366</v>
      </c>
      <c r="C3" s="410">
        <v>2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383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>
        <f>+D9+D10+D11+D12+D13+D14</f>
        <v>0</v>
      </c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90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90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90"/>
    </row>
    <row r="13" spans="1:6" s="40" customFormat="1" ht="12" customHeight="1">
      <c r="A13" s="195" t="s">
        <v>82</v>
      </c>
      <c r="B13" s="177" t="s">
        <v>151</v>
      </c>
      <c r="C13" s="230"/>
      <c r="D13" s="230"/>
      <c r="E13" s="230"/>
      <c r="F13" s="90"/>
    </row>
    <row r="14" spans="1:6" s="39" customFormat="1" ht="12" customHeight="1" thickBot="1">
      <c r="A14" s="196" t="s">
        <v>66</v>
      </c>
      <c r="B14" s="178" t="s">
        <v>152</v>
      </c>
      <c r="C14" s="229"/>
      <c r="D14" s="229"/>
      <c r="E14" s="229"/>
      <c r="F14" s="90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0</v>
      </c>
      <c r="D15" s="87">
        <f>+D16+D17+D18+D19+D20</f>
        <v>0</v>
      </c>
      <c r="E15" s="87"/>
      <c r="F15" s="87">
        <f>+F16+F17+F18+F19+F20</f>
        <v>0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/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89"/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89"/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89"/>
      <c r="F19" s="89"/>
    </row>
    <row r="20" spans="1:6" s="39" customFormat="1" ht="12" customHeight="1">
      <c r="A20" s="195" t="s">
        <v>72</v>
      </c>
      <c r="B20" s="177" t="s">
        <v>156</v>
      </c>
      <c r="C20" s="89"/>
      <c r="D20" s="89"/>
      <c r="E20" s="89"/>
      <c r="F20" s="90"/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1"/>
      <c r="F21" s="91"/>
    </row>
    <row r="22" spans="1:6" s="40" customFormat="1" ht="12" customHeight="1" thickBot="1">
      <c r="A22" s="25" t="s">
        <v>8</v>
      </c>
      <c r="B22" s="19" t="s">
        <v>442</v>
      </c>
      <c r="C22" s="87">
        <f>+C23+C24+C25+C26+C27</f>
        <v>0</v>
      </c>
      <c r="D22" s="87">
        <f>+D23+D24+D25+D26+D27</f>
        <v>0</v>
      </c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90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0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>
        <f>+D30+D33+D34+D35</f>
        <v>0</v>
      </c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/>
      <c r="D30" s="171"/>
      <c r="E30" s="171"/>
      <c r="F30" s="90"/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90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90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90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90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0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3278</v>
      </c>
      <c r="D36" s="87">
        <f>SUM(D37:D46)</f>
        <v>4258</v>
      </c>
      <c r="E36" s="87"/>
      <c r="F36" s="87">
        <f>SUM(F37:F46)</f>
        <v>5621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>
        <f>86</f>
        <v>86</v>
      </c>
      <c r="D38" s="89">
        <f>86</f>
        <v>86</v>
      </c>
      <c r="E38" s="89">
        <f>89+327</f>
        <v>416</v>
      </c>
      <c r="F38" s="90">
        <f>D38+E38</f>
        <v>502</v>
      </c>
    </row>
    <row r="39" spans="1:6" s="40" customFormat="1" ht="12" customHeight="1">
      <c r="A39" s="195" t="s">
        <v>57</v>
      </c>
      <c r="B39" s="177" t="s">
        <v>181</v>
      </c>
      <c r="C39" s="89">
        <f>1311+598+317</f>
        <v>2226</v>
      </c>
      <c r="D39" s="89">
        <f>1311+598+317</f>
        <v>2226</v>
      </c>
      <c r="E39" s="89">
        <f>-107</f>
        <v>-107</v>
      </c>
      <c r="F39" s="90">
        <f t="shared" ref="F39:F46" si="0">D39+E39</f>
        <v>2119</v>
      </c>
    </row>
    <row r="40" spans="1:6" s="40" customFormat="1" ht="12" customHeight="1">
      <c r="A40" s="195" t="s">
        <v>98</v>
      </c>
      <c r="B40" s="177" t="s">
        <v>182</v>
      </c>
      <c r="C40" s="89">
        <f>120</f>
        <v>120</v>
      </c>
      <c r="D40" s="89">
        <f>120</f>
        <v>120</v>
      </c>
      <c r="E40" s="89"/>
      <c r="F40" s="90">
        <f t="shared" si="0"/>
        <v>120</v>
      </c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90">
        <f t="shared" si="0"/>
        <v>0</v>
      </c>
    </row>
    <row r="42" spans="1:6" s="40" customFormat="1" ht="12" customHeight="1">
      <c r="A42" s="195" t="s">
        <v>100</v>
      </c>
      <c r="B42" s="177" t="s">
        <v>184</v>
      </c>
      <c r="C42" s="89">
        <f>410+247</f>
        <v>657</v>
      </c>
      <c r="D42" s="89">
        <f>410+247</f>
        <v>657</v>
      </c>
      <c r="E42" s="89">
        <f>-5+189</f>
        <v>184</v>
      </c>
      <c r="F42" s="90">
        <f t="shared" si="0"/>
        <v>841</v>
      </c>
    </row>
    <row r="43" spans="1:6" s="40" customFormat="1" ht="12" customHeight="1">
      <c r="A43" s="195" t="s">
        <v>101</v>
      </c>
      <c r="B43" s="177" t="s">
        <v>185</v>
      </c>
      <c r="C43" s="89">
        <f>189</f>
        <v>189</v>
      </c>
      <c r="D43" s="89">
        <f>189</f>
        <v>189</v>
      </c>
      <c r="E43" s="89">
        <f>-5</f>
        <v>-5</v>
      </c>
      <c r="F43" s="90">
        <f t="shared" si="0"/>
        <v>184</v>
      </c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90">
        <f t="shared" si="0"/>
        <v>0</v>
      </c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0">
        <f t="shared" si="0"/>
        <v>0</v>
      </c>
    </row>
    <row r="46" spans="1:6" s="40" customFormat="1" ht="12" customHeight="1" thickBot="1">
      <c r="A46" s="196" t="s">
        <v>178</v>
      </c>
      <c r="B46" s="178" t="s">
        <v>188</v>
      </c>
      <c r="C46" s="165"/>
      <c r="D46" s="165">
        <f>603+377</f>
        <v>980</v>
      </c>
      <c r="E46" s="165">
        <f>68+107+700</f>
        <v>875</v>
      </c>
      <c r="F46" s="90">
        <f t="shared" si="0"/>
        <v>1855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>
        <f>SUM(D48:D52)</f>
        <v>0</v>
      </c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0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6006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>
        <f>E54+D54</f>
        <v>0</v>
      </c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90">
        <f t="shared" ref="F55:F57" si="1">E55+D55</f>
        <v>0</v>
      </c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>
        <v>5995</v>
      </c>
      <c r="F56" s="90">
        <v>6006</v>
      </c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0">
        <f t="shared" si="1"/>
        <v>0</v>
      </c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>
        <f>SUM(D59:D61)</f>
        <v>0</v>
      </c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0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0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3278</v>
      </c>
      <c r="D63" s="93">
        <f>+D8+D15+D22+D29+D36+D47+D53+D58</f>
        <v>4258</v>
      </c>
      <c r="E63" s="93"/>
      <c r="F63" s="93">
        <f>+F8+F15+F22+F29+F36+F47+F53+F58</f>
        <v>11627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>
        <f>SUM(D74:D75)</f>
        <v>0</v>
      </c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0"/>
    </row>
    <row r="75" spans="1:6" s="40" customFormat="1" ht="12" customHeight="1" thickBot="1">
      <c r="A75" s="205" t="s">
        <v>249</v>
      </c>
      <c r="B75" s="271" t="s">
        <v>225</v>
      </c>
      <c r="C75" s="272"/>
      <c r="D75" s="272"/>
      <c r="E75" s="272"/>
      <c r="F75" s="27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>
        <f>+D64+D68+D73+D76+D80+D85</f>
        <v>0</v>
      </c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3278</v>
      </c>
      <c r="D87" s="93">
        <f>+D63+D86</f>
        <v>4258</v>
      </c>
      <c r="E87" s="93"/>
      <c r="F87" s="93">
        <f>+F63+F86</f>
        <v>11627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57671</v>
      </c>
      <c r="D91" s="86">
        <f>SUM(D92:D96)</f>
        <v>69096</v>
      </c>
      <c r="E91" s="86">
        <f>SUM(E92:E96)</f>
        <v>5189</v>
      </c>
      <c r="F91" s="285">
        <f>SUM(F92:F96)</f>
        <v>74285</v>
      </c>
    </row>
    <row r="92" spans="1:6" ht="12" customHeight="1">
      <c r="A92" s="203" t="s">
        <v>62</v>
      </c>
      <c r="B92" s="8" t="s">
        <v>36</v>
      </c>
      <c r="C92" s="88">
        <f>1932+500+639+112</f>
        <v>3183</v>
      </c>
      <c r="D92" s="88">
        <f>1932+800+639+112</f>
        <v>3483</v>
      </c>
      <c r="E92" s="88">
        <f>118+874</f>
        <v>992</v>
      </c>
      <c r="F92" s="90">
        <f>E92+D92</f>
        <v>4475</v>
      </c>
    </row>
    <row r="93" spans="1:6" ht="12" customHeight="1">
      <c r="A93" s="195" t="s">
        <v>63</v>
      </c>
      <c r="B93" s="6" t="s">
        <v>106</v>
      </c>
      <c r="C93" s="89">
        <f>470+358+155+30</f>
        <v>1013</v>
      </c>
      <c r="D93" s="89">
        <f>470+358+155+30</f>
        <v>1013</v>
      </c>
      <c r="E93" s="89">
        <f>84+371+1</f>
        <v>456</v>
      </c>
      <c r="F93" s="90">
        <f t="shared" ref="F93:F95" si="2">E93+D93</f>
        <v>1469</v>
      </c>
    </row>
    <row r="94" spans="1:6" ht="12" customHeight="1">
      <c r="A94" s="195" t="s">
        <v>64</v>
      </c>
      <c r="B94" s="6" t="s">
        <v>81</v>
      </c>
      <c r="C94" s="91">
        <f>7815+354+254+5947+7516-4625</f>
        <v>17261</v>
      </c>
      <c r="D94" s="91">
        <f>7815+7729+254+5947+7516-4625</f>
        <v>24636</v>
      </c>
      <c r="E94" s="91">
        <f>2200+370-3723+476+4368</f>
        <v>3691</v>
      </c>
      <c r="F94" s="90">
        <f t="shared" si="2"/>
        <v>28327</v>
      </c>
    </row>
    <row r="95" spans="1:6" ht="12" customHeight="1">
      <c r="A95" s="195" t="s">
        <v>65</v>
      </c>
      <c r="B95" s="9" t="s">
        <v>107</v>
      </c>
      <c r="C95" s="91">
        <f>600+860+4765+2500+150</f>
        <v>8875</v>
      </c>
      <c r="D95" s="91">
        <f>600+860+4765+2500+1605</f>
        <v>10330</v>
      </c>
      <c r="E95" s="91"/>
      <c r="F95" s="90">
        <f t="shared" si="2"/>
        <v>10330</v>
      </c>
    </row>
    <row r="96" spans="1:6" ht="12" customHeight="1">
      <c r="A96" s="195" t="s">
        <v>73</v>
      </c>
      <c r="B96" s="17" t="s">
        <v>108</v>
      </c>
      <c r="C96" s="91">
        <f>150+1455+2250+180+22500+804</f>
        <v>27339</v>
      </c>
      <c r="D96" s="91">
        <f>150+3450+230+25000+804</f>
        <v>29634</v>
      </c>
      <c r="E96" s="91">
        <v>50</v>
      </c>
      <c r="F96" s="90">
        <f>F97+F98+F99+F100+F101+F102+F103+F104+F105+F106</f>
        <v>29684</v>
      </c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90">
        <f>E97+D97</f>
        <v>0</v>
      </c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0">
        <f t="shared" ref="F98:F106" si="3">E98+D98</f>
        <v>0</v>
      </c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0">
        <f t="shared" si="3"/>
        <v>0</v>
      </c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0">
        <f t="shared" si="3"/>
        <v>0</v>
      </c>
    </row>
    <row r="101" spans="1:6" ht="12" customHeight="1">
      <c r="A101" s="195" t="s">
        <v>76</v>
      </c>
      <c r="B101" s="47" t="s">
        <v>264</v>
      </c>
      <c r="C101" s="91">
        <v>1455</v>
      </c>
      <c r="D101" s="91"/>
      <c r="E101" s="91"/>
      <c r="F101" s="90">
        <f t="shared" si="3"/>
        <v>0</v>
      </c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0">
        <f t="shared" si="3"/>
        <v>0</v>
      </c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0">
        <f t="shared" si="3"/>
        <v>0</v>
      </c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0">
        <f t="shared" si="3"/>
        <v>0</v>
      </c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0">
        <f t="shared" si="3"/>
        <v>0</v>
      </c>
    </row>
    <row r="106" spans="1:6" ht="12" customHeight="1" thickBot="1">
      <c r="A106" s="205" t="s">
        <v>258</v>
      </c>
      <c r="B106" s="50" t="s">
        <v>269</v>
      </c>
      <c r="C106" s="95">
        <f>150+2250+180+22500+804</f>
        <v>25884</v>
      </c>
      <c r="D106" s="95">
        <f>150+3450+230+25000+804</f>
        <v>29634</v>
      </c>
      <c r="E106" s="95">
        <v>50</v>
      </c>
      <c r="F106" s="90">
        <f t="shared" si="3"/>
        <v>29684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>
        <f>+D108+D110+D112</f>
        <v>0</v>
      </c>
      <c r="E107" s="87"/>
      <c r="F107" s="87">
        <f>+F108+F110+F112</f>
        <v>464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>
        <f>72+392</f>
        <v>464</v>
      </c>
      <c r="F108" s="90">
        <f>D108+E108</f>
        <v>464</v>
      </c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90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9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90"/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9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9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9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9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9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9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90"/>
    </row>
    <row r="120" spans="1:6" ht="12" customHeight="1" thickBot="1">
      <c r="A120" s="204" t="s">
        <v>273</v>
      </c>
      <c r="B120" s="48" t="s">
        <v>276</v>
      </c>
      <c r="C120" s="81"/>
      <c r="D120" s="81"/>
      <c r="E120" s="81"/>
      <c r="F120" s="90"/>
    </row>
    <row r="121" spans="1:6" ht="12" customHeight="1" thickBot="1">
      <c r="A121" s="25" t="s">
        <v>8</v>
      </c>
      <c r="B121" s="44" t="s">
        <v>281</v>
      </c>
      <c r="C121" s="87">
        <f>+C122+C123</f>
        <v>6400</v>
      </c>
      <c r="D121" s="87">
        <f>+D122+D123</f>
        <v>2200</v>
      </c>
      <c r="E121" s="87"/>
      <c r="F121" s="87">
        <f>+F122+F123</f>
        <v>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>
        <v>6400</v>
      </c>
      <c r="D123" s="91">
        <v>2200</v>
      </c>
      <c r="E123" s="91"/>
      <c r="F123" s="90"/>
    </row>
    <row r="124" spans="1:6" ht="12" customHeight="1" thickBot="1">
      <c r="A124" s="25" t="s">
        <v>9</v>
      </c>
      <c r="B124" s="44" t="s">
        <v>282</v>
      </c>
      <c r="C124" s="87">
        <f>+C91+C107+C121</f>
        <v>64071</v>
      </c>
      <c r="D124" s="87">
        <f>D91:E91+D107:E107+D121:E121</f>
        <v>71296</v>
      </c>
      <c r="E124" s="87">
        <f t="shared" ref="E124:F124" si="4">E91:F91+E107:F107+E121:F121</f>
        <v>5189</v>
      </c>
      <c r="F124" s="87">
        <f t="shared" si="4"/>
        <v>74749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64071</v>
      </c>
      <c r="D145" s="188">
        <f>+D124+D144</f>
        <v>71296</v>
      </c>
      <c r="E145" s="188">
        <f>+E124+E144</f>
        <v>5189</v>
      </c>
      <c r="F145" s="188">
        <f>+F124+F144</f>
        <v>74749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C2:F2"/>
    <mergeCell ref="C3:F3"/>
    <mergeCell ref="C4:F4"/>
    <mergeCell ref="A7:F7"/>
    <mergeCell ref="A90:F90"/>
  </mergeCells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8"/>
  <sheetViews>
    <sheetView view="pageLayout" zoomScaleNormal="100" zoomScaleSheetLayoutView="100" workbookViewId="0">
      <selection activeCell="E84" sqref="E84"/>
    </sheetView>
  </sheetViews>
  <sheetFormatPr defaultColWidth="9.33203125" defaultRowHeight="12.75"/>
  <cols>
    <col min="1" max="1" width="14.33203125" style="159" customWidth="1"/>
    <col min="2" max="2" width="67.83203125" style="160" customWidth="1"/>
    <col min="3" max="6" width="11.83203125" style="161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427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443</v>
      </c>
      <c r="C3" s="410">
        <v>2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383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0</v>
      </c>
      <c r="D8" s="87">
        <f>+D9+D10+D11+D12+D13+D14</f>
        <v>0</v>
      </c>
      <c r="E8" s="87"/>
      <c r="F8" s="87">
        <f>+F9+F10+F11+F12+F13+F14</f>
        <v>0</v>
      </c>
    </row>
    <row r="9" spans="1:6" s="39" customFormat="1" ht="12" customHeight="1">
      <c r="A9" s="194" t="s">
        <v>62</v>
      </c>
      <c r="B9" s="176" t="s">
        <v>147</v>
      </c>
      <c r="C9" s="90"/>
      <c r="D9" s="90"/>
      <c r="E9" s="90"/>
      <c r="F9" s="90"/>
    </row>
    <row r="10" spans="1:6" s="40" customFormat="1" ht="12" customHeight="1">
      <c r="A10" s="195" t="s">
        <v>63</v>
      </c>
      <c r="B10" s="177" t="s">
        <v>148</v>
      </c>
      <c r="C10" s="89"/>
      <c r="D10" s="89"/>
      <c r="E10" s="89"/>
      <c r="F10" s="90"/>
    </row>
    <row r="11" spans="1:6" s="40" customFormat="1" ht="12" customHeight="1">
      <c r="A11" s="195" t="s">
        <v>64</v>
      </c>
      <c r="B11" s="177" t="s">
        <v>149</v>
      </c>
      <c r="C11" s="89"/>
      <c r="D11" s="89"/>
      <c r="E11" s="89"/>
      <c r="F11" s="90"/>
    </row>
    <row r="12" spans="1:6" s="40" customFormat="1" ht="12" customHeight="1">
      <c r="A12" s="195" t="s">
        <v>65</v>
      </c>
      <c r="B12" s="177">
        <v>0</v>
      </c>
      <c r="C12" s="89"/>
      <c r="D12" s="89"/>
      <c r="E12" s="89"/>
      <c r="F12" s="90"/>
    </row>
    <row r="13" spans="1:6" s="40" customFormat="1" ht="12" customHeight="1">
      <c r="A13" s="195" t="s">
        <v>82</v>
      </c>
      <c r="B13" s="177" t="s">
        <v>151</v>
      </c>
      <c r="C13" s="230"/>
      <c r="D13" s="230"/>
      <c r="E13" s="230"/>
      <c r="F13" s="90"/>
    </row>
    <row r="14" spans="1:6" s="39" customFormat="1" ht="12" customHeight="1" thickBot="1">
      <c r="A14" s="196" t="s">
        <v>66</v>
      </c>
      <c r="B14" s="178" t="s">
        <v>152</v>
      </c>
      <c r="C14" s="229"/>
      <c r="D14" s="229"/>
      <c r="E14" s="229"/>
      <c r="F14" s="90"/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2238</v>
      </c>
      <c r="D15" s="87">
        <f>+D16+D17+D18+D19+D20</f>
        <v>2238</v>
      </c>
      <c r="E15" s="87">
        <f>+E16+E17+E18+E19+E20</f>
        <v>-2238</v>
      </c>
      <c r="F15" s="87">
        <f>+F16+F17+F18+F19+F20</f>
        <v>0</v>
      </c>
    </row>
    <row r="16" spans="1:6" s="39" customFormat="1" ht="12" customHeight="1">
      <c r="A16" s="194" t="s">
        <v>68</v>
      </c>
      <c r="B16" s="176" t="s">
        <v>154</v>
      </c>
      <c r="C16" s="90"/>
      <c r="D16" s="90"/>
      <c r="E16" s="90">
        <f>F16-D16</f>
        <v>0</v>
      </c>
      <c r="F16" s="90"/>
    </row>
    <row r="17" spans="1:6" s="39" customFormat="1" ht="12" customHeight="1">
      <c r="A17" s="195" t="s">
        <v>69</v>
      </c>
      <c r="B17" s="177" t="s">
        <v>155</v>
      </c>
      <c r="C17" s="89"/>
      <c r="D17" s="89"/>
      <c r="E17" s="90">
        <f t="shared" ref="E17:E21" si="0">F17-D17</f>
        <v>0</v>
      </c>
      <c r="F17" s="89"/>
    </row>
    <row r="18" spans="1:6" s="39" customFormat="1" ht="12" customHeight="1">
      <c r="A18" s="195" t="s">
        <v>70</v>
      </c>
      <c r="B18" s="177" t="s">
        <v>358</v>
      </c>
      <c r="C18" s="89"/>
      <c r="D18" s="89"/>
      <c r="E18" s="90">
        <f t="shared" si="0"/>
        <v>0</v>
      </c>
      <c r="F18" s="89"/>
    </row>
    <row r="19" spans="1:6" s="39" customFormat="1" ht="12" customHeight="1">
      <c r="A19" s="195" t="s">
        <v>71</v>
      </c>
      <c r="B19" s="177" t="s">
        <v>359</v>
      </c>
      <c r="C19" s="89"/>
      <c r="D19" s="89"/>
      <c r="E19" s="90">
        <f t="shared" si="0"/>
        <v>0</v>
      </c>
      <c r="F19" s="89"/>
    </row>
    <row r="20" spans="1:6" s="39" customFormat="1" ht="12" customHeight="1">
      <c r="A20" s="195" t="s">
        <v>72</v>
      </c>
      <c r="B20" s="177" t="s">
        <v>156</v>
      </c>
      <c r="C20" s="89">
        <v>2238</v>
      </c>
      <c r="D20" s="89">
        <v>2238</v>
      </c>
      <c r="E20" s="90">
        <f t="shared" si="0"/>
        <v>-2238</v>
      </c>
      <c r="F20" s="90"/>
    </row>
    <row r="21" spans="1:6" s="40" customFormat="1" ht="12" customHeight="1" thickBot="1">
      <c r="A21" s="196" t="s">
        <v>78</v>
      </c>
      <c r="B21" s="178" t="s">
        <v>157</v>
      </c>
      <c r="C21" s="91"/>
      <c r="D21" s="91"/>
      <c r="E21" s="90">
        <f t="shared" si="0"/>
        <v>0</v>
      </c>
      <c r="F21" s="91"/>
    </row>
    <row r="22" spans="1:6" s="40" customFormat="1" ht="12" customHeight="1" thickBot="1">
      <c r="A22" s="25" t="s">
        <v>8</v>
      </c>
      <c r="B22" s="19">
        <v>89436</v>
      </c>
      <c r="C22" s="87">
        <f>+C23+C24+C25+C26+C27</f>
        <v>0</v>
      </c>
      <c r="D22" s="87">
        <f>+D23+D24+D25+D26+D27</f>
        <v>0</v>
      </c>
      <c r="E22" s="87"/>
      <c r="F22" s="87">
        <f>+F23+F24+F25+F26+F27</f>
        <v>0</v>
      </c>
    </row>
    <row r="23" spans="1:6" s="40" customFormat="1" ht="12" customHeight="1">
      <c r="A23" s="194" t="s">
        <v>51</v>
      </c>
      <c r="B23" s="176" t="s">
        <v>159</v>
      </c>
      <c r="C23" s="90"/>
      <c r="D23" s="90"/>
      <c r="E23" s="90"/>
      <c r="F23" s="90"/>
    </row>
    <row r="24" spans="1:6" s="39" customFormat="1" ht="12" customHeight="1">
      <c r="A24" s="195" t="s">
        <v>52</v>
      </c>
      <c r="B24" s="177" t="s">
        <v>160</v>
      </c>
      <c r="C24" s="89"/>
      <c r="D24" s="89"/>
      <c r="E24" s="89"/>
      <c r="F24" s="89"/>
    </row>
    <row r="25" spans="1:6" s="40" customFormat="1" ht="12" customHeight="1">
      <c r="A25" s="195" t="s">
        <v>53</v>
      </c>
      <c r="B25" s="177" t="s">
        <v>360</v>
      </c>
      <c r="C25" s="89"/>
      <c r="D25" s="89"/>
      <c r="E25" s="89"/>
      <c r="F25" s="89"/>
    </row>
    <row r="26" spans="1:6" s="40" customFormat="1" ht="12" customHeight="1">
      <c r="A26" s="195" t="s">
        <v>54</v>
      </c>
      <c r="B26" s="177" t="s">
        <v>361</v>
      </c>
      <c r="C26" s="89"/>
      <c r="D26" s="89"/>
      <c r="E26" s="89"/>
      <c r="F26" s="89"/>
    </row>
    <row r="27" spans="1:6" s="40" customFormat="1" ht="12" customHeight="1">
      <c r="A27" s="195" t="s">
        <v>94</v>
      </c>
      <c r="B27" s="177" t="s">
        <v>161</v>
      </c>
      <c r="C27" s="89"/>
      <c r="D27" s="89"/>
      <c r="E27" s="89"/>
      <c r="F27" s="90"/>
    </row>
    <row r="28" spans="1:6" s="40" customFormat="1" ht="12" customHeight="1" thickBot="1">
      <c r="A28" s="196" t="s">
        <v>95</v>
      </c>
      <c r="B28" s="178" t="s">
        <v>162</v>
      </c>
      <c r="C28" s="91"/>
      <c r="D28" s="91"/>
      <c r="E28" s="91"/>
      <c r="F28" s="90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0</v>
      </c>
      <c r="D29" s="93">
        <f>+D30+D33+D34+D35</f>
        <v>0</v>
      </c>
      <c r="E29" s="93"/>
      <c r="F29" s="93">
        <f>+F30+F33+F34+F35</f>
        <v>0</v>
      </c>
    </row>
    <row r="30" spans="1:6" s="40" customFormat="1" ht="12" customHeight="1">
      <c r="A30" s="194" t="s">
        <v>164</v>
      </c>
      <c r="B30" s="176" t="s">
        <v>170</v>
      </c>
      <c r="C30" s="171"/>
      <c r="D30" s="171"/>
      <c r="E30" s="171"/>
      <c r="F30" s="90"/>
    </row>
    <row r="31" spans="1:6" s="40" customFormat="1" ht="12" customHeight="1">
      <c r="A31" s="195" t="s">
        <v>165</v>
      </c>
      <c r="B31" s="177" t="s">
        <v>171</v>
      </c>
      <c r="C31" s="89"/>
      <c r="D31" s="89"/>
      <c r="E31" s="89"/>
      <c r="F31" s="90"/>
    </row>
    <row r="32" spans="1:6" s="40" customFormat="1" ht="12" customHeight="1">
      <c r="A32" s="195" t="s">
        <v>166</v>
      </c>
      <c r="B32" s="177" t="s">
        <v>172</v>
      </c>
      <c r="C32" s="89"/>
      <c r="D32" s="89"/>
      <c r="E32" s="89"/>
      <c r="F32" s="90"/>
    </row>
    <row r="33" spans="1:6" s="40" customFormat="1" ht="12" customHeight="1">
      <c r="A33" s="195" t="s">
        <v>167</v>
      </c>
      <c r="B33" s="177" t="s">
        <v>173</v>
      </c>
      <c r="C33" s="89"/>
      <c r="D33" s="89"/>
      <c r="E33" s="89"/>
      <c r="F33" s="90"/>
    </row>
    <row r="34" spans="1:6" s="40" customFormat="1" ht="12" customHeight="1">
      <c r="A34" s="195" t="s">
        <v>168</v>
      </c>
      <c r="B34" s="177" t="s">
        <v>174</v>
      </c>
      <c r="C34" s="89"/>
      <c r="D34" s="89"/>
      <c r="E34" s="89"/>
      <c r="F34" s="90"/>
    </row>
    <row r="35" spans="1:6" s="40" customFormat="1" ht="12" customHeight="1" thickBot="1">
      <c r="A35" s="196" t="s">
        <v>169</v>
      </c>
      <c r="B35" s="178" t="s">
        <v>175</v>
      </c>
      <c r="C35" s="91"/>
      <c r="D35" s="91"/>
      <c r="E35" s="91"/>
      <c r="F35" s="90"/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0</v>
      </c>
      <c r="D36" s="87">
        <f>SUM(D37:D46)</f>
        <v>0</v>
      </c>
      <c r="E36" s="87"/>
      <c r="F36" s="87">
        <f>SUM(F37:F46)</f>
        <v>0</v>
      </c>
    </row>
    <row r="37" spans="1:6" s="40" customFormat="1" ht="12" customHeight="1">
      <c r="A37" s="194" t="s">
        <v>55</v>
      </c>
      <c r="B37" s="176" t="s">
        <v>179</v>
      </c>
      <c r="C37" s="90"/>
      <c r="D37" s="90"/>
      <c r="E37" s="90"/>
      <c r="F37" s="90"/>
    </row>
    <row r="38" spans="1:6" s="40" customFormat="1" ht="12" customHeight="1">
      <c r="A38" s="195" t="s">
        <v>56</v>
      </c>
      <c r="B38" s="177" t="s">
        <v>180</v>
      </c>
      <c r="C38" s="89"/>
      <c r="D38" s="89"/>
      <c r="E38" s="89"/>
      <c r="F38" s="90"/>
    </row>
    <row r="39" spans="1:6" s="40" customFormat="1" ht="12" customHeight="1">
      <c r="A39" s="195" t="s">
        <v>57</v>
      </c>
      <c r="B39" s="177" t="s">
        <v>181</v>
      </c>
      <c r="C39" s="89"/>
      <c r="D39" s="89"/>
      <c r="E39" s="89"/>
      <c r="F39" s="90"/>
    </row>
    <row r="40" spans="1:6" s="40" customFormat="1" ht="12" customHeight="1">
      <c r="A40" s="195" t="s">
        <v>98</v>
      </c>
      <c r="B40" s="177" t="s">
        <v>182</v>
      </c>
      <c r="C40" s="89"/>
      <c r="D40" s="89"/>
      <c r="E40" s="89"/>
      <c r="F40" s="90"/>
    </row>
    <row r="41" spans="1:6" s="40" customFormat="1" ht="12" customHeight="1">
      <c r="A41" s="195" t="s">
        <v>99</v>
      </c>
      <c r="B41" s="177" t="s">
        <v>183</v>
      </c>
      <c r="C41" s="89"/>
      <c r="D41" s="89"/>
      <c r="E41" s="89"/>
      <c r="F41" s="90"/>
    </row>
    <row r="42" spans="1:6" s="40" customFormat="1" ht="12" customHeight="1">
      <c r="A42" s="195" t="s">
        <v>100</v>
      </c>
      <c r="B42" s="177" t="s">
        <v>184</v>
      </c>
      <c r="C42" s="89"/>
      <c r="D42" s="89"/>
      <c r="E42" s="89"/>
      <c r="F42" s="90"/>
    </row>
    <row r="43" spans="1:6" s="40" customFormat="1" ht="12" customHeight="1">
      <c r="A43" s="195" t="s">
        <v>101</v>
      </c>
      <c r="B43" s="177" t="s">
        <v>185</v>
      </c>
      <c r="C43" s="89"/>
      <c r="D43" s="89"/>
      <c r="E43" s="89"/>
      <c r="F43" s="90"/>
    </row>
    <row r="44" spans="1:6" s="40" customFormat="1" ht="12" customHeight="1">
      <c r="A44" s="195" t="s">
        <v>102</v>
      </c>
      <c r="B44" s="177" t="s">
        <v>186</v>
      </c>
      <c r="C44" s="89"/>
      <c r="D44" s="89"/>
      <c r="E44" s="89"/>
      <c r="F44" s="90"/>
    </row>
    <row r="45" spans="1:6" s="40" customFormat="1" ht="12" customHeight="1">
      <c r="A45" s="195" t="s">
        <v>177</v>
      </c>
      <c r="B45" s="177" t="s">
        <v>187</v>
      </c>
      <c r="C45" s="92"/>
      <c r="D45" s="92"/>
      <c r="E45" s="92"/>
      <c r="F45" s="90"/>
    </row>
    <row r="46" spans="1:6" s="40" customFormat="1" ht="12" customHeight="1" thickBot="1">
      <c r="A46" s="196" t="s">
        <v>178</v>
      </c>
      <c r="B46" s="178" t="s">
        <v>188</v>
      </c>
      <c r="C46" s="165"/>
      <c r="D46" s="165"/>
      <c r="E46" s="165"/>
      <c r="F46" s="90"/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0</v>
      </c>
      <c r="D47" s="87">
        <f>SUM(D48:D52)</f>
        <v>0</v>
      </c>
      <c r="E47" s="87"/>
      <c r="F47" s="87">
        <f>SUM(F48:F52)</f>
        <v>0</v>
      </c>
    </row>
    <row r="48" spans="1:6" s="40" customFormat="1" ht="12" customHeight="1">
      <c r="A48" s="194" t="s">
        <v>58</v>
      </c>
      <c r="B48" s="176" t="s">
        <v>193</v>
      </c>
      <c r="C48" s="222"/>
      <c r="D48" s="222"/>
      <c r="E48" s="222"/>
      <c r="F48" s="222"/>
    </row>
    <row r="49" spans="1:6" s="40" customFormat="1" ht="12" customHeight="1">
      <c r="A49" s="195" t="s">
        <v>59</v>
      </c>
      <c r="B49" s="177" t="s">
        <v>194</v>
      </c>
      <c r="C49" s="92"/>
      <c r="D49" s="92"/>
      <c r="E49" s="92"/>
      <c r="F49" s="90"/>
    </row>
    <row r="50" spans="1:6" s="40" customFormat="1" ht="12" customHeight="1">
      <c r="A50" s="195" t="s">
        <v>190</v>
      </c>
      <c r="B50" s="177" t="s">
        <v>195</v>
      </c>
      <c r="C50" s="92"/>
      <c r="D50" s="92"/>
      <c r="E50" s="92"/>
      <c r="F50" s="92"/>
    </row>
    <row r="51" spans="1:6" s="40" customFormat="1" ht="12" customHeight="1">
      <c r="A51" s="195" t="s">
        <v>191</v>
      </c>
      <c r="B51" s="177" t="s">
        <v>196</v>
      </c>
      <c r="C51" s="92"/>
      <c r="D51" s="92"/>
      <c r="E51" s="92"/>
      <c r="F51" s="92"/>
    </row>
    <row r="52" spans="1:6" s="40" customFormat="1" ht="12" customHeight="1" thickBot="1">
      <c r="A52" s="196" t="s">
        <v>192</v>
      </c>
      <c r="B52" s="178" t="s">
        <v>197</v>
      </c>
      <c r="C52" s="165"/>
      <c r="D52" s="165"/>
      <c r="E52" s="165"/>
      <c r="F52" s="165"/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/>
      <c r="F53" s="87">
        <f>SUM(F54:F56)</f>
        <v>0</v>
      </c>
    </row>
    <row r="54" spans="1:6" s="40" customFormat="1" ht="12" customHeight="1">
      <c r="A54" s="194" t="s">
        <v>60</v>
      </c>
      <c r="B54" s="176" t="s">
        <v>199</v>
      </c>
      <c r="C54" s="90"/>
      <c r="D54" s="90"/>
      <c r="E54" s="90"/>
      <c r="F54" s="90"/>
    </row>
    <row r="55" spans="1:6" s="40" customFormat="1" ht="12" customHeight="1">
      <c r="A55" s="195" t="s">
        <v>61</v>
      </c>
      <c r="B55" s="177" t="s">
        <v>362</v>
      </c>
      <c r="C55" s="89"/>
      <c r="D55" s="89"/>
      <c r="E55" s="89"/>
      <c r="F55" s="89"/>
    </row>
    <row r="56" spans="1:6" s="40" customFormat="1" ht="12" customHeight="1">
      <c r="A56" s="195" t="s">
        <v>203</v>
      </c>
      <c r="B56" s="177" t="s">
        <v>201</v>
      </c>
      <c r="C56" s="89"/>
      <c r="D56" s="89"/>
      <c r="E56" s="89"/>
      <c r="F56" s="89"/>
    </row>
    <row r="57" spans="1:6" s="40" customFormat="1" ht="12" customHeight="1" thickBot="1">
      <c r="A57" s="196" t="s">
        <v>204</v>
      </c>
      <c r="B57" s="178" t="s">
        <v>202</v>
      </c>
      <c r="C57" s="91"/>
      <c r="D57" s="91"/>
      <c r="E57" s="91"/>
      <c r="F57" s="91"/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0</v>
      </c>
      <c r="D58" s="87">
        <f>SUM(D59:D61)</f>
        <v>0</v>
      </c>
      <c r="E58" s="87"/>
      <c r="F58" s="87">
        <f>SUM(F59:F61)</f>
        <v>0</v>
      </c>
    </row>
    <row r="59" spans="1:6" s="40" customFormat="1" ht="12" customHeight="1">
      <c r="A59" s="194" t="s">
        <v>104</v>
      </c>
      <c r="B59" s="176" t="s">
        <v>207</v>
      </c>
      <c r="C59" s="92"/>
      <c r="D59" s="92"/>
      <c r="E59" s="92"/>
      <c r="F59" s="92"/>
    </row>
    <row r="60" spans="1:6" s="40" customFormat="1" ht="12" customHeight="1">
      <c r="A60" s="195" t="s">
        <v>105</v>
      </c>
      <c r="B60" s="177" t="s">
        <v>363</v>
      </c>
      <c r="C60" s="92"/>
      <c r="D60" s="92"/>
      <c r="E60" s="92"/>
      <c r="F60" s="90"/>
    </row>
    <row r="61" spans="1:6" s="40" customFormat="1" ht="12" customHeight="1">
      <c r="A61" s="195" t="s">
        <v>128</v>
      </c>
      <c r="B61" s="177" t="s">
        <v>208</v>
      </c>
      <c r="C61" s="92"/>
      <c r="D61" s="92"/>
      <c r="E61" s="92"/>
      <c r="F61" s="90"/>
    </row>
    <row r="62" spans="1:6" s="40" customFormat="1" ht="12" customHeight="1" thickBot="1">
      <c r="A62" s="196" t="s">
        <v>206</v>
      </c>
      <c r="B62" s="178" t="s">
        <v>209</v>
      </c>
      <c r="C62" s="92"/>
      <c r="D62" s="92"/>
      <c r="E62" s="92"/>
      <c r="F62" s="92"/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2238</v>
      </c>
      <c r="D63" s="93">
        <f>+D8+D15+D22+D29+D36+D47+D53+D58</f>
        <v>2238</v>
      </c>
      <c r="E63" s="93">
        <f>+E8+E15+E22+E29+E36+E47+E53+E58</f>
        <v>-2238</v>
      </c>
      <c r="F63" s="93">
        <f>+F8+F15+F22+F29+F36+F47+F53+F58</f>
        <v>0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87"/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2"/>
      <c r="D65" s="92"/>
      <c r="E65" s="92"/>
      <c r="F65" s="92"/>
    </row>
    <row r="66" spans="1:6" s="40" customFormat="1" ht="12" customHeight="1">
      <c r="A66" s="195" t="s">
        <v>254</v>
      </c>
      <c r="B66" s="177" t="s">
        <v>214</v>
      </c>
      <c r="C66" s="92"/>
      <c r="D66" s="92"/>
      <c r="E66" s="92"/>
      <c r="F66" s="92"/>
    </row>
    <row r="67" spans="1:6" s="40" customFormat="1" ht="12" customHeight="1" thickBot="1">
      <c r="A67" s="196" t="s">
        <v>255</v>
      </c>
      <c r="B67" s="180" t="s">
        <v>215</v>
      </c>
      <c r="C67" s="92"/>
      <c r="D67" s="92"/>
      <c r="E67" s="92"/>
      <c r="F67" s="92"/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/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2"/>
      <c r="D69" s="92"/>
      <c r="E69" s="92"/>
      <c r="F69" s="92"/>
    </row>
    <row r="70" spans="1:6" s="40" customFormat="1" ht="12" customHeight="1">
      <c r="A70" s="195" t="s">
        <v>84</v>
      </c>
      <c r="B70" s="177" t="s">
        <v>219</v>
      </c>
      <c r="C70" s="92"/>
      <c r="D70" s="92"/>
      <c r="E70" s="92"/>
      <c r="F70" s="92"/>
    </row>
    <row r="71" spans="1:6" s="40" customFormat="1" ht="12" customHeight="1">
      <c r="A71" s="195" t="s">
        <v>246</v>
      </c>
      <c r="B71" s="177" t="s">
        <v>220</v>
      </c>
      <c r="C71" s="92"/>
      <c r="D71" s="92"/>
      <c r="E71" s="92"/>
      <c r="F71" s="92"/>
    </row>
    <row r="72" spans="1:6" s="40" customFormat="1" ht="12" customHeight="1" thickBot="1">
      <c r="A72" s="196" t="s">
        <v>247</v>
      </c>
      <c r="B72" s="178" t="s">
        <v>221</v>
      </c>
      <c r="C72" s="92"/>
      <c r="D72" s="92"/>
      <c r="E72" s="92"/>
      <c r="F72" s="92"/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0</v>
      </c>
      <c r="D73" s="87">
        <f>SUM(D74:D75)</f>
        <v>0</v>
      </c>
      <c r="E73" s="87"/>
      <c r="F73" s="87">
        <f>SUM(F74:F75)</f>
        <v>0</v>
      </c>
    </row>
    <row r="74" spans="1:6" s="40" customFormat="1" ht="12" customHeight="1">
      <c r="A74" s="194" t="s">
        <v>248</v>
      </c>
      <c r="B74" s="176" t="s">
        <v>224</v>
      </c>
      <c r="C74" s="92"/>
      <c r="D74" s="92"/>
      <c r="E74" s="92"/>
      <c r="F74" s="90"/>
    </row>
    <row r="75" spans="1:6" s="40" customFormat="1" ht="12" customHeight="1" thickBot="1">
      <c r="A75" s="205" t="s">
        <v>249</v>
      </c>
      <c r="B75" s="271" t="s">
        <v>225</v>
      </c>
      <c r="C75" s="272"/>
      <c r="D75" s="272"/>
      <c r="E75" s="272"/>
      <c r="F75" s="272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87"/>
      <c r="F76" s="87">
        <f>SUM(F77:F79)</f>
        <v>0</v>
      </c>
    </row>
    <row r="77" spans="1:6" s="40" customFormat="1" ht="12" customHeight="1">
      <c r="A77" s="194" t="s">
        <v>250</v>
      </c>
      <c r="B77" s="176" t="s">
        <v>228</v>
      </c>
      <c r="C77" s="92"/>
      <c r="D77" s="92"/>
      <c r="E77" s="92"/>
      <c r="F77" s="92"/>
    </row>
    <row r="78" spans="1:6" s="40" customFormat="1" ht="12" customHeight="1">
      <c r="A78" s="195" t="s">
        <v>251</v>
      </c>
      <c r="B78" s="177" t="s">
        <v>229</v>
      </c>
      <c r="C78" s="92"/>
      <c r="D78" s="92"/>
      <c r="E78" s="92"/>
      <c r="F78" s="92"/>
    </row>
    <row r="79" spans="1:6" s="40" customFormat="1" ht="12" customHeight="1" thickBot="1">
      <c r="A79" s="196" t="s">
        <v>252</v>
      </c>
      <c r="B79" s="178" t="s">
        <v>230</v>
      </c>
      <c r="C79" s="92"/>
      <c r="D79" s="92"/>
      <c r="E79" s="92"/>
      <c r="F79" s="92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87"/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2"/>
      <c r="D81" s="92"/>
      <c r="E81" s="92"/>
      <c r="F81" s="92"/>
    </row>
    <row r="82" spans="1:6" s="40" customFormat="1" ht="12" customHeight="1">
      <c r="A82" s="199" t="s">
        <v>234</v>
      </c>
      <c r="B82" s="177" t="s">
        <v>235</v>
      </c>
      <c r="C82" s="92"/>
      <c r="D82" s="92"/>
      <c r="E82" s="92"/>
      <c r="F82" s="92"/>
    </row>
    <row r="83" spans="1:6" s="40" customFormat="1" ht="12" customHeight="1">
      <c r="A83" s="199" t="s">
        <v>236</v>
      </c>
      <c r="B83" s="177" t="s">
        <v>237</v>
      </c>
      <c r="C83" s="92"/>
      <c r="D83" s="92"/>
      <c r="E83" s="92"/>
      <c r="F83" s="92"/>
    </row>
    <row r="84" spans="1:6" s="39" customFormat="1" ht="12" customHeight="1" thickBot="1">
      <c r="A84" s="200" t="s">
        <v>238</v>
      </c>
      <c r="B84" s="178" t="s">
        <v>239</v>
      </c>
      <c r="C84" s="92"/>
      <c r="D84" s="92"/>
      <c r="E84" s="92"/>
      <c r="F84" s="92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223"/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0</v>
      </c>
      <c r="D86" s="93">
        <f>+D64+D68+D73+D76+D80+D85</f>
        <v>0</v>
      </c>
      <c r="E86" s="93"/>
      <c r="F86" s="93">
        <f>+F64+F68+F73+F76+F80+F85</f>
        <v>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2238</v>
      </c>
      <c r="D87" s="93">
        <f>+D63+D86</f>
        <v>2238</v>
      </c>
      <c r="E87" s="93">
        <f t="shared" ref="E87:F87" si="1">+E63+E86</f>
        <v>-2238</v>
      </c>
      <c r="F87" s="93">
        <f t="shared" si="1"/>
        <v>0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6">
        <f>SUM(C92:C96)</f>
        <v>359</v>
      </c>
      <c r="D91" s="86">
        <f>SUM(D92:D96)</f>
        <v>359</v>
      </c>
      <c r="E91" s="86">
        <f>SUM(E92:E96)</f>
        <v>0</v>
      </c>
      <c r="F91" s="285">
        <f>SUM(F92:F96)</f>
        <v>359</v>
      </c>
    </row>
    <row r="92" spans="1:6" ht="12" customHeight="1">
      <c r="A92" s="203" t="s">
        <v>62</v>
      </c>
      <c r="B92" s="8" t="s">
        <v>36</v>
      </c>
      <c r="C92" s="88"/>
      <c r="D92" s="88"/>
      <c r="E92" s="88"/>
      <c r="F92" s="90"/>
    </row>
    <row r="93" spans="1:6" ht="12" customHeight="1">
      <c r="A93" s="195" t="s">
        <v>63</v>
      </c>
      <c r="B93" s="6" t="s">
        <v>106</v>
      </c>
      <c r="C93" s="89"/>
      <c r="D93" s="89"/>
      <c r="E93" s="89"/>
      <c r="F93" s="90"/>
    </row>
    <row r="94" spans="1:6" ht="12" customHeight="1">
      <c r="A94" s="195" t="s">
        <v>64</v>
      </c>
      <c r="B94" s="6" t="s">
        <v>81</v>
      </c>
      <c r="C94" s="91">
        <v>194</v>
      </c>
      <c r="D94" s="91">
        <v>194</v>
      </c>
      <c r="E94" s="91"/>
      <c r="F94" s="90">
        <v>194</v>
      </c>
    </row>
    <row r="95" spans="1:6" ht="12" customHeight="1">
      <c r="A95" s="195" t="s">
        <v>65</v>
      </c>
      <c r="B95" s="9" t="s">
        <v>107</v>
      </c>
      <c r="C95" s="91">
        <v>165</v>
      </c>
      <c r="D95" s="91">
        <v>165</v>
      </c>
      <c r="E95" s="91"/>
      <c r="F95" s="90">
        <v>165</v>
      </c>
    </row>
    <row r="96" spans="1:6" ht="12" customHeight="1">
      <c r="A96" s="195" t="s">
        <v>73</v>
      </c>
      <c r="B96" s="17" t="s">
        <v>108</v>
      </c>
      <c r="C96" s="91"/>
      <c r="D96" s="91"/>
      <c r="E96" s="91"/>
      <c r="F96" s="90"/>
    </row>
    <row r="97" spans="1:6" ht="12" customHeight="1">
      <c r="A97" s="195" t="s">
        <v>66</v>
      </c>
      <c r="B97" s="6" t="s">
        <v>260</v>
      </c>
      <c r="C97" s="91"/>
      <c r="D97" s="91"/>
      <c r="E97" s="91"/>
      <c r="F97" s="90"/>
    </row>
    <row r="98" spans="1:6" ht="12" customHeight="1">
      <c r="A98" s="195" t="s">
        <v>67</v>
      </c>
      <c r="B98" s="47" t="s">
        <v>261</v>
      </c>
      <c r="C98" s="91"/>
      <c r="D98" s="91"/>
      <c r="E98" s="91"/>
      <c r="F98" s="90"/>
    </row>
    <row r="99" spans="1:6" ht="12" customHeight="1">
      <c r="A99" s="195" t="s">
        <v>74</v>
      </c>
      <c r="B99" s="48" t="s">
        <v>262</v>
      </c>
      <c r="C99" s="91"/>
      <c r="D99" s="91"/>
      <c r="E99" s="91"/>
      <c r="F99" s="90"/>
    </row>
    <row r="100" spans="1:6" ht="12" customHeight="1">
      <c r="A100" s="195" t="s">
        <v>75</v>
      </c>
      <c r="B100" s="48" t="s">
        <v>263</v>
      </c>
      <c r="C100" s="91"/>
      <c r="D100" s="91"/>
      <c r="E100" s="91"/>
      <c r="F100" s="90"/>
    </row>
    <row r="101" spans="1:6" ht="12" customHeight="1">
      <c r="A101" s="195" t="s">
        <v>76</v>
      </c>
      <c r="B101" s="47" t="s">
        <v>264</v>
      </c>
      <c r="C101" s="91"/>
      <c r="D101" s="91"/>
      <c r="E101" s="91"/>
      <c r="F101" s="90"/>
    </row>
    <row r="102" spans="1:6" ht="12" customHeight="1">
      <c r="A102" s="195" t="s">
        <v>77</v>
      </c>
      <c r="B102" s="47" t="s">
        <v>265</v>
      </c>
      <c r="C102" s="91"/>
      <c r="D102" s="91"/>
      <c r="E102" s="91"/>
      <c r="F102" s="90"/>
    </row>
    <row r="103" spans="1:6" ht="12" customHeight="1">
      <c r="A103" s="195" t="s">
        <v>79</v>
      </c>
      <c r="B103" s="48" t="s">
        <v>266</v>
      </c>
      <c r="C103" s="91"/>
      <c r="D103" s="91"/>
      <c r="E103" s="91"/>
      <c r="F103" s="90"/>
    </row>
    <row r="104" spans="1:6" ht="12" customHeight="1">
      <c r="A104" s="204" t="s">
        <v>109</v>
      </c>
      <c r="B104" s="49" t="s">
        <v>267</v>
      </c>
      <c r="C104" s="91"/>
      <c r="D104" s="91"/>
      <c r="E104" s="91"/>
      <c r="F104" s="90"/>
    </row>
    <row r="105" spans="1:6" ht="12" customHeight="1">
      <c r="A105" s="195" t="s">
        <v>257</v>
      </c>
      <c r="B105" s="49" t="s">
        <v>268</v>
      </c>
      <c r="C105" s="91"/>
      <c r="D105" s="91"/>
      <c r="E105" s="91"/>
      <c r="F105" s="90"/>
    </row>
    <row r="106" spans="1:6" ht="12" customHeight="1" thickBot="1">
      <c r="A106" s="205" t="s">
        <v>258</v>
      </c>
      <c r="B106" s="50" t="s">
        <v>269</v>
      </c>
      <c r="C106" s="95"/>
      <c r="D106" s="95"/>
      <c r="E106" s="95"/>
      <c r="F106" s="90"/>
    </row>
    <row r="107" spans="1:6" ht="12" customHeight="1" thickBot="1">
      <c r="A107" s="25" t="s">
        <v>7</v>
      </c>
      <c r="B107" s="23" t="s">
        <v>270</v>
      </c>
      <c r="C107" s="87">
        <f>+C108+C110+C112</f>
        <v>0</v>
      </c>
      <c r="D107" s="87">
        <f>+D108+D110+D112</f>
        <v>0</v>
      </c>
      <c r="E107" s="87"/>
      <c r="F107" s="87">
        <f>+F108+F110+F112</f>
        <v>0</v>
      </c>
    </row>
    <row r="108" spans="1:6" ht="12" customHeight="1">
      <c r="A108" s="194" t="s">
        <v>68</v>
      </c>
      <c r="B108" s="6" t="s">
        <v>126</v>
      </c>
      <c r="C108" s="90"/>
      <c r="D108" s="90"/>
      <c r="E108" s="90"/>
      <c r="F108" s="90"/>
    </row>
    <row r="109" spans="1:6" ht="12" customHeight="1">
      <c r="A109" s="194" t="s">
        <v>69</v>
      </c>
      <c r="B109" s="10" t="s">
        <v>274</v>
      </c>
      <c r="C109" s="90"/>
      <c r="D109" s="90"/>
      <c r="E109" s="90"/>
      <c r="F109" s="90"/>
    </row>
    <row r="110" spans="1:6" ht="12" customHeight="1">
      <c r="A110" s="194" t="s">
        <v>70</v>
      </c>
      <c r="B110" s="10" t="s">
        <v>110</v>
      </c>
      <c r="C110" s="89"/>
      <c r="D110" s="89"/>
      <c r="E110" s="89"/>
      <c r="F110" s="90"/>
    </row>
    <row r="111" spans="1:6" ht="12" customHeight="1">
      <c r="A111" s="194" t="s">
        <v>71</v>
      </c>
      <c r="B111" s="10" t="s">
        <v>275</v>
      </c>
      <c r="C111" s="80"/>
      <c r="D111" s="80"/>
      <c r="E111" s="80"/>
      <c r="F111" s="90"/>
    </row>
    <row r="112" spans="1:6" ht="12" customHeight="1">
      <c r="A112" s="194" t="s">
        <v>72</v>
      </c>
      <c r="B112" s="84" t="s">
        <v>129</v>
      </c>
      <c r="C112" s="80"/>
      <c r="D112" s="80"/>
      <c r="E112" s="80"/>
      <c r="F112" s="90"/>
    </row>
    <row r="113" spans="1:6" ht="12" customHeight="1">
      <c r="A113" s="194" t="s">
        <v>78</v>
      </c>
      <c r="B113" s="83" t="s">
        <v>364</v>
      </c>
      <c r="C113" s="80"/>
      <c r="D113" s="80"/>
      <c r="E113" s="80"/>
      <c r="F113" s="90"/>
    </row>
    <row r="114" spans="1:6" ht="12" customHeight="1">
      <c r="A114" s="194" t="s">
        <v>80</v>
      </c>
      <c r="B114" s="172" t="s">
        <v>280</v>
      </c>
      <c r="C114" s="80"/>
      <c r="D114" s="80"/>
      <c r="E114" s="80"/>
      <c r="F114" s="90"/>
    </row>
    <row r="115" spans="1:6" ht="12" customHeight="1">
      <c r="A115" s="194" t="s">
        <v>111</v>
      </c>
      <c r="B115" s="48" t="s">
        <v>263</v>
      </c>
      <c r="C115" s="80"/>
      <c r="D115" s="80"/>
      <c r="E115" s="80"/>
      <c r="F115" s="90"/>
    </row>
    <row r="116" spans="1:6" ht="12" customHeight="1">
      <c r="A116" s="194" t="s">
        <v>112</v>
      </c>
      <c r="B116" s="48" t="s">
        <v>279</v>
      </c>
      <c r="C116" s="80"/>
      <c r="D116" s="80"/>
      <c r="E116" s="80"/>
      <c r="F116" s="90"/>
    </row>
    <row r="117" spans="1:6" ht="12" customHeight="1">
      <c r="A117" s="194" t="s">
        <v>113</v>
      </c>
      <c r="B117" s="48" t="s">
        <v>278</v>
      </c>
      <c r="C117" s="80"/>
      <c r="D117" s="80"/>
      <c r="E117" s="80"/>
      <c r="F117" s="90"/>
    </row>
    <row r="118" spans="1:6" ht="12" customHeight="1">
      <c r="A118" s="194" t="s">
        <v>271</v>
      </c>
      <c r="B118" s="48" t="s">
        <v>266</v>
      </c>
      <c r="C118" s="80"/>
      <c r="D118" s="80"/>
      <c r="E118" s="80"/>
      <c r="F118" s="90"/>
    </row>
    <row r="119" spans="1:6" ht="12" customHeight="1">
      <c r="A119" s="194" t="s">
        <v>272</v>
      </c>
      <c r="B119" s="48" t="s">
        <v>277</v>
      </c>
      <c r="C119" s="80"/>
      <c r="D119" s="80"/>
      <c r="E119" s="80"/>
      <c r="F119" s="90"/>
    </row>
    <row r="120" spans="1:6" ht="12" customHeight="1" thickBot="1">
      <c r="A120" s="204" t="s">
        <v>273</v>
      </c>
      <c r="B120" s="48" t="s">
        <v>276</v>
      </c>
      <c r="C120" s="81"/>
      <c r="D120" s="81"/>
      <c r="E120" s="81"/>
      <c r="F120" s="90"/>
    </row>
    <row r="121" spans="1:6" ht="12" customHeight="1" thickBot="1">
      <c r="A121" s="25" t="s">
        <v>8</v>
      </c>
      <c r="B121" s="44" t="s">
        <v>281</v>
      </c>
      <c r="C121" s="87">
        <f>+C122+C123</f>
        <v>0</v>
      </c>
      <c r="D121" s="87"/>
      <c r="E121" s="87">
        <f>E122+E123</f>
        <v>0</v>
      </c>
      <c r="F121" s="87">
        <f>+F122+F123</f>
        <v>0</v>
      </c>
    </row>
    <row r="122" spans="1:6" ht="12" customHeight="1">
      <c r="A122" s="194" t="s">
        <v>51</v>
      </c>
      <c r="B122" s="7" t="s">
        <v>44</v>
      </c>
      <c r="C122" s="90"/>
      <c r="D122" s="90"/>
      <c r="E122" s="90"/>
      <c r="F122" s="90"/>
    </row>
    <row r="123" spans="1:6" ht="12" customHeight="1" thickBot="1">
      <c r="A123" s="196" t="s">
        <v>52</v>
      </c>
      <c r="B123" s="10" t="s">
        <v>45</v>
      </c>
      <c r="C123" s="91"/>
      <c r="D123" s="91"/>
      <c r="E123" s="91"/>
      <c r="F123" s="90"/>
    </row>
    <row r="124" spans="1:6" ht="12" customHeight="1" thickBot="1">
      <c r="A124" s="25" t="s">
        <v>9</v>
      </c>
      <c r="B124" s="44" t="s">
        <v>282</v>
      </c>
      <c r="C124" s="87">
        <f>+C91+C107+C121</f>
        <v>359</v>
      </c>
      <c r="D124" s="87">
        <f>+D91+D107+D121</f>
        <v>359</v>
      </c>
      <c r="E124" s="87">
        <f>+E91+E107+E121</f>
        <v>0</v>
      </c>
      <c r="F124" s="87">
        <f>+F91+F107+F121</f>
        <v>359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87"/>
      <c r="F125" s="87">
        <f>+F126+F127+F128</f>
        <v>0</v>
      </c>
    </row>
    <row r="126" spans="1:6" s="41" customFormat="1" ht="12" customHeight="1">
      <c r="A126" s="194" t="s">
        <v>55</v>
      </c>
      <c r="B126" s="7" t="s">
        <v>284</v>
      </c>
      <c r="C126" s="80"/>
      <c r="D126" s="80"/>
      <c r="E126" s="80"/>
      <c r="F126" s="80"/>
    </row>
    <row r="127" spans="1:6" ht="12" customHeight="1">
      <c r="A127" s="194" t="s">
        <v>56</v>
      </c>
      <c r="B127" s="7" t="s">
        <v>285</v>
      </c>
      <c r="C127" s="80"/>
      <c r="D127" s="80"/>
      <c r="E127" s="80"/>
      <c r="F127" s="80"/>
    </row>
    <row r="128" spans="1:6" ht="12" customHeight="1" thickBot="1">
      <c r="A128" s="204" t="s">
        <v>57</v>
      </c>
      <c r="B128" s="5" t="s">
        <v>286</v>
      </c>
      <c r="C128" s="80"/>
      <c r="D128" s="80"/>
      <c r="E128" s="80"/>
      <c r="F128" s="80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/>
      <c r="F129" s="87">
        <f>+F130+F131+F132+F133</f>
        <v>0</v>
      </c>
    </row>
    <row r="130" spans="1:14" ht="12" customHeight="1">
      <c r="A130" s="194" t="s">
        <v>58</v>
      </c>
      <c r="B130" s="7" t="s">
        <v>287</v>
      </c>
      <c r="C130" s="80"/>
      <c r="D130" s="80"/>
      <c r="E130" s="80"/>
      <c r="F130" s="80"/>
    </row>
    <row r="131" spans="1:14" ht="12" customHeight="1">
      <c r="A131" s="194" t="s">
        <v>59</v>
      </c>
      <c r="B131" s="7" t="s">
        <v>288</v>
      </c>
      <c r="C131" s="80"/>
      <c r="D131" s="80"/>
      <c r="E131" s="80"/>
      <c r="F131" s="80"/>
    </row>
    <row r="132" spans="1:14" ht="12" customHeight="1">
      <c r="A132" s="194" t="s">
        <v>190</v>
      </c>
      <c r="B132" s="7" t="s">
        <v>289</v>
      </c>
      <c r="C132" s="80"/>
      <c r="D132" s="80"/>
      <c r="E132" s="80"/>
      <c r="F132" s="80"/>
    </row>
    <row r="133" spans="1:14" s="41" customFormat="1" ht="12" customHeight="1" thickBot="1">
      <c r="A133" s="204" t="s">
        <v>191</v>
      </c>
      <c r="B133" s="5" t="s">
        <v>290</v>
      </c>
      <c r="C133" s="80"/>
      <c r="D133" s="80"/>
      <c r="E133" s="80"/>
      <c r="F133" s="80"/>
    </row>
    <row r="134" spans="1:14" ht="12" customHeight="1" thickBot="1">
      <c r="A134" s="25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  <c r="E134" s="93"/>
      <c r="F134" s="93">
        <f>+F135+F136+F137+F138</f>
        <v>0</v>
      </c>
      <c r="N134" s="79"/>
    </row>
    <row r="135" spans="1:14">
      <c r="A135" s="194" t="s">
        <v>60</v>
      </c>
      <c r="B135" s="7" t="s">
        <v>292</v>
      </c>
      <c r="C135" s="80"/>
      <c r="D135" s="80"/>
      <c r="E135" s="80"/>
      <c r="F135" s="80"/>
    </row>
    <row r="136" spans="1:14" ht="12" customHeight="1">
      <c r="A136" s="194" t="s">
        <v>61</v>
      </c>
      <c r="B136" s="7" t="s">
        <v>302</v>
      </c>
      <c r="C136" s="80"/>
      <c r="D136" s="80"/>
      <c r="E136" s="80"/>
      <c r="F136" s="80"/>
    </row>
    <row r="137" spans="1:14" s="41" customFormat="1" ht="12" customHeight="1">
      <c r="A137" s="194" t="s">
        <v>203</v>
      </c>
      <c r="B137" s="7" t="s">
        <v>293</v>
      </c>
      <c r="C137" s="80"/>
      <c r="D137" s="80"/>
      <c r="E137" s="80"/>
      <c r="F137" s="80"/>
    </row>
    <row r="138" spans="1:14" s="41" customFormat="1" ht="12" customHeight="1" thickBot="1">
      <c r="A138" s="204" t="s">
        <v>204</v>
      </c>
      <c r="B138" s="5" t="s">
        <v>294</v>
      </c>
      <c r="C138" s="80"/>
      <c r="D138" s="80"/>
      <c r="E138" s="80"/>
      <c r="F138" s="80"/>
    </row>
    <row r="139" spans="1:14" s="41" customFormat="1" ht="12" customHeight="1" thickBot="1">
      <c r="A139" s="25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  <c r="E139" s="96"/>
      <c r="F139" s="96">
        <f>+F140+F141+F142+F143</f>
        <v>0</v>
      </c>
    </row>
    <row r="140" spans="1:14" s="41" customFormat="1" ht="12" customHeight="1">
      <c r="A140" s="194" t="s">
        <v>104</v>
      </c>
      <c r="B140" s="7" t="s">
        <v>296</v>
      </c>
      <c r="C140" s="80"/>
      <c r="D140" s="80"/>
      <c r="E140" s="80"/>
      <c r="F140" s="80"/>
    </row>
    <row r="141" spans="1:14" s="41" customFormat="1" ht="12" customHeight="1">
      <c r="A141" s="194" t="s">
        <v>105</v>
      </c>
      <c r="B141" s="7" t="s">
        <v>297</v>
      </c>
      <c r="C141" s="80"/>
      <c r="D141" s="80"/>
      <c r="E141" s="80"/>
      <c r="F141" s="80"/>
    </row>
    <row r="142" spans="1:14" s="41" customFormat="1" ht="12" customHeight="1">
      <c r="A142" s="194" t="s">
        <v>128</v>
      </c>
      <c r="B142" s="7" t="s">
        <v>298</v>
      </c>
      <c r="C142" s="80"/>
      <c r="D142" s="80"/>
      <c r="E142" s="80"/>
      <c r="F142" s="80"/>
    </row>
    <row r="143" spans="1:14" ht="12.75" customHeight="1" thickBot="1">
      <c r="A143" s="194" t="s">
        <v>206</v>
      </c>
      <c r="B143" s="7" t="s">
        <v>299</v>
      </c>
      <c r="C143" s="80"/>
      <c r="D143" s="80"/>
      <c r="E143" s="80"/>
      <c r="F143" s="80"/>
    </row>
    <row r="144" spans="1:14" ht="12" customHeight="1" thickBot="1">
      <c r="A144" s="25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E144" s="188"/>
      <c r="F144" s="188">
        <f>+F125+F129+F134+F139</f>
        <v>0</v>
      </c>
    </row>
    <row r="145" spans="1:6" ht="15" customHeight="1" thickBot="1">
      <c r="A145" s="206" t="s">
        <v>15</v>
      </c>
      <c r="B145" s="153" t="s">
        <v>301</v>
      </c>
      <c r="C145" s="188">
        <f>+C124+C144</f>
        <v>359</v>
      </c>
      <c r="D145" s="188">
        <f>+D124+D144</f>
        <v>359</v>
      </c>
      <c r="E145" s="188">
        <f t="shared" ref="E145:F145" si="2">+E124+E144</f>
        <v>0</v>
      </c>
      <c r="F145" s="188">
        <f t="shared" si="2"/>
        <v>359</v>
      </c>
    </row>
    <row r="146" spans="1:6" ht="13.5" thickBot="1">
      <c r="A146" s="156"/>
      <c r="B146" s="157"/>
      <c r="C146" s="158"/>
      <c r="D146" s="158"/>
      <c r="E146" s="158"/>
      <c r="F146" s="158"/>
    </row>
    <row r="147" spans="1:6" ht="15" customHeight="1" thickBot="1">
      <c r="A147" s="76" t="s">
        <v>121</v>
      </c>
      <c r="B147" s="77"/>
      <c r="C147" s="42"/>
      <c r="D147" s="42"/>
      <c r="E147" s="42"/>
      <c r="F147" s="42"/>
    </row>
    <row r="148" spans="1:6" ht="14.25" customHeight="1" thickBot="1">
      <c r="A148" s="76" t="s">
        <v>122</v>
      </c>
      <c r="B148" s="77"/>
      <c r="C148" s="42"/>
      <c r="D148" s="42"/>
      <c r="E148" s="42"/>
      <c r="F148" s="42"/>
    </row>
  </sheetData>
  <sheetProtection formatCells="0"/>
  <mergeCells count="5">
    <mergeCell ref="C2:F2"/>
    <mergeCell ref="C3:F3"/>
    <mergeCell ref="C4:F4"/>
    <mergeCell ref="A7:F7"/>
    <mergeCell ref="A90:F90"/>
  </mergeCells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I57"/>
  <sheetViews>
    <sheetView workbookViewId="0">
      <selection activeCell="D39" sqref="D39"/>
    </sheetView>
  </sheetViews>
  <sheetFormatPr defaultRowHeight="12.75"/>
  <cols>
    <col min="1" max="1" width="6.6640625" customWidth="1"/>
    <col min="2" max="2" width="48.6640625" customWidth="1"/>
    <col min="3" max="3" width="13.83203125" customWidth="1"/>
    <col min="4" max="4" width="12.6640625" customWidth="1"/>
    <col min="5" max="5" width="10.5" customWidth="1"/>
    <col min="6" max="6" width="12.83203125" customWidth="1"/>
  </cols>
  <sheetData>
    <row r="1" spans="1:6" ht="13.5" thickBot="1">
      <c r="A1" s="318"/>
      <c r="B1" s="319"/>
      <c r="C1" s="414" t="s">
        <v>428</v>
      </c>
      <c r="D1" s="414"/>
      <c r="E1" s="414"/>
      <c r="F1" s="414"/>
    </row>
    <row r="2" spans="1:6" ht="27.75" customHeight="1">
      <c r="A2" s="320" t="s">
        <v>411</v>
      </c>
      <c r="B2" s="321" t="s">
        <v>412</v>
      </c>
      <c r="C2" s="418" t="s">
        <v>413</v>
      </c>
      <c r="D2" s="419"/>
      <c r="E2" s="419"/>
      <c r="F2" s="420"/>
    </row>
    <row r="3" spans="1:6" ht="23.25" customHeight="1" thickBot="1">
      <c r="A3" s="322" t="s">
        <v>119</v>
      </c>
      <c r="B3" s="323" t="s">
        <v>336</v>
      </c>
      <c r="C3" s="421" t="s">
        <v>38</v>
      </c>
      <c r="D3" s="422"/>
      <c r="E3" s="422"/>
      <c r="F3" s="423"/>
    </row>
    <row r="4" spans="1:6" ht="13.5" thickBot="1">
      <c r="A4" s="324"/>
      <c r="B4" s="324"/>
      <c r="C4" s="424" t="s">
        <v>39</v>
      </c>
      <c r="D4" s="424"/>
      <c r="E4" s="424"/>
      <c r="F4" s="424"/>
    </row>
    <row r="5" spans="1:6" ht="20.25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customHeight="1" thickBot="1">
      <c r="A7" s="415" t="s">
        <v>41</v>
      </c>
      <c r="B7" s="416"/>
      <c r="C7" s="416"/>
      <c r="D7" s="416"/>
      <c r="E7" s="416"/>
      <c r="F7" s="417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>
        <f>SUM(E9:E18)</f>
        <v>88</v>
      </c>
      <c r="F8" s="332">
        <f>SUM(F9:F18)</f>
        <v>5671</v>
      </c>
    </row>
    <row r="9" spans="1:6" ht="13.5" thickBot="1">
      <c r="A9" s="333" t="s">
        <v>62</v>
      </c>
      <c r="B9" s="334" t="s">
        <v>179</v>
      </c>
      <c r="C9" s="335"/>
      <c r="D9" s="335">
        <v>0</v>
      </c>
      <c r="E9" s="335">
        <f>F9-D9</f>
        <v>16</v>
      </c>
      <c r="F9" s="335">
        <v>16</v>
      </c>
    </row>
    <row r="10" spans="1:6" ht="13.5" thickBot="1">
      <c r="A10" s="336" t="s">
        <v>63</v>
      </c>
      <c r="B10" s="337" t="s">
        <v>180</v>
      </c>
      <c r="C10" s="338">
        <v>505</v>
      </c>
      <c r="D10" s="338">
        <v>505</v>
      </c>
      <c r="E10" s="335">
        <f t="shared" ref="E10:E18" si="0">F10-D10</f>
        <v>72</v>
      </c>
      <c r="F10" s="338">
        <v>577</v>
      </c>
    </row>
    <row r="11" spans="1:6" ht="13.5" thickBot="1">
      <c r="A11" s="336" t="s">
        <v>64</v>
      </c>
      <c r="B11" s="337" t="s">
        <v>181</v>
      </c>
      <c r="C11" s="338">
        <v>4088</v>
      </c>
      <c r="D11" s="338">
        <v>4088</v>
      </c>
      <c r="E11" s="335">
        <f t="shared" si="0"/>
        <v>0</v>
      </c>
      <c r="F11" s="338">
        <v>4088</v>
      </c>
    </row>
    <row r="12" spans="1:6" ht="13.5" thickBot="1">
      <c r="A12" s="336" t="s">
        <v>65</v>
      </c>
      <c r="B12" s="337" t="s">
        <v>182</v>
      </c>
      <c r="C12" s="338"/>
      <c r="D12" s="338"/>
      <c r="E12" s="335">
        <f t="shared" si="0"/>
        <v>0</v>
      </c>
      <c r="F12" s="338"/>
    </row>
    <row r="13" spans="1:6" ht="13.5" thickBot="1">
      <c r="A13" s="336" t="s">
        <v>82</v>
      </c>
      <c r="B13" s="337" t="s">
        <v>183</v>
      </c>
      <c r="C13" s="338"/>
      <c r="D13" s="338"/>
      <c r="E13" s="335">
        <f t="shared" si="0"/>
        <v>0</v>
      </c>
      <c r="F13" s="338"/>
    </row>
    <row r="14" spans="1:6" ht="13.5" thickBot="1">
      <c r="A14" s="336" t="s">
        <v>66</v>
      </c>
      <c r="B14" s="337" t="s">
        <v>338</v>
      </c>
      <c r="C14" s="338">
        <v>654</v>
      </c>
      <c r="D14" s="338">
        <v>654</v>
      </c>
      <c r="E14" s="335">
        <f t="shared" si="0"/>
        <v>0</v>
      </c>
      <c r="F14" s="338">
        <v>654</v>
      </c>
    </row>
    <row r="15" spans="1:6" ht="13.5" thickBot="1">
      <c r="A15" s="336" t="s">
        <v>67</v>
      </c>
      <c r="B15" s="339" t="s">
        <v>339</v>
      </c>
      <c r="C15" s="338">
        <v>251</v>
      </c>
      <c r="D15" s="338">
        <v>251</v>
      </c>
      <c r="E15" s="335">
        <f t="shared" si="0"/>
        <v>0</v>
      </c>
      <c r="F15" s="338">
        <v>251</v>
      </c>
    </row>
    <row r="16" spans="1:6" ht="13.5" thickBot="1">
      <c r="A16" s="336" t="s">
        <v>74</v>
      </c>
      <c r="B16" s="337" t="s">
        <v>186</v>
      </c>
      <c r="C16" s="340">
        <v>85</v>
      </c>
      <c r="D16" s="340">
        <v>85</v>
      </c>
      <c r="E16" s="335">
        <f t="shared" si="0"/>
        <v>0</v>
      </c>
      <c r="F16" s="340">
        <v>85</v>
      </c>
    </row>
    <row r="17" spans="1:6" ht="13.5" thickBot="1">
      <c r="A17" s="336" t="s">
        <v>75</v>
      </c>
      <c r="B17" s="337" t="s">
        <v>187</v>
      </c>
      <c r="C17" s="338"/>
      <c r="D17" s="338"/>
      <c r="E17" s="335">
        <f t="shared" si="0"/>
        <v>0</v>
      </c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35">
        <f t="shared" si="0"/>
        <v>0</v>
      </c>
      <c r="F18" s="341"/>
    </row>
    <row r="19" spans="1:6" ht="13.5" thickBot="1">
      <c r="A19" s="328" t="s">
        <v>7</v>
      </c>
      <c r="B19" s="331" t="s">
        <v>340</v>
      </c>
      <c r="C19" s="332">
        <f>SUM(C20:C22)</f>
        <v>3334</v>
      </c>
      <c r="D19" s="332">
        <f>SUM(D20:D22)</f>
        <v>3334</v>
      </c>
      <c r="E19" s="332"/>
      <c r="F19" s="332">
        <f>SUM(F20:F22)</f>
        <v>3334</v>
      </c>
    </row>
    <row r="20" spans="1:6">
      <c r="A20" s="336" t="s">
        <v>68</v>
      </c>
      <c r="B20" s="342" t="s">
        <v>154</v>
      </c>
      <c r="C20" s="338"/>
      <c r="D20" s="338"/>
      <c r="E20" s="338">
        <f>F20-D20</f>
        <v>0</v>
      </c>
      <c r="F20" s="338"/>
    </row>
    <row r="21" spans="1:6">
      <c r="A21" s="336" t="s">
        <v>69</v>
      </c>
      <c r="B21" s="337" t="s">
        <v>341</v>
      </c>
      <c r="C21" s="338"/>
      <c r="D21" s="338"/>
      <c r="E21" s="338">
        <f t="shared" ref="E21:E23" si="1">F21-D21</f>
        <v>0</v>
      </c>
      <c r="F21" s="338"/>
    </row>
    <row r="22" spans="1:6">
      <c r="A22" s="336" t="s">
        <v>70</v>
      </c>
      <c r="B22" s="337" t="s">
        <v>414</v>
      </c>
      <c r="C22" s="338">
        <v>3334</v>
      </c>
      <c r="D22" s="338">
        <v>3334</v>
      </c>
      <c r="E22" s="338">
        <f t="shared" si="1"/>
        <v>0</v>
      </c>
      <c r="F22" s="338">
        <v>3334</v>
      </c>
    </row>
    <row r="23" spans="1:6" ht="13.5" thickBot="1">
      <c r="A23" s="336" t="s">
        <v>71</v>
      </c>
      <c r="B23" s="337" t="s">
        <v>0</v>
      </c>
      <c r="C23" s="338"/>
      <c r="D23" s="338"/>
      <c r="E23" s="338">
        <f t="shared" si="1"/>
        <v>0</v>
      </c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>
        <f>F24-D24</f>
        <v>-88</v>
      </c>
      <c r="F24" s="345">
        <v>612</v>
      </c>
    </row>
    <row r="25" spans="1:6" ht="13.5" thickBot="1">
      <c r="A25" s="343" t="s">
        <v>9</v>
      </c>
      <c r="B25" s="344" t="s">
        <v>342</v>
      </c>
      <c r="C25" s="332">
        <f>+C26+C27</f>
        <v>0</v>
      </c>
      <c r="D25" s="332">
        <f>+D26+D27</f>
        <v>300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>
        <v>300</v>
      </c>
      <c r="E26" s="348"/>
      <c r="F26" s="348">
        <v>300</v>
      </c>
    </row>
    <row r="27" spans="1:6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9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9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9" ht="13.5" thickBot="1">
      <c r="A35" s="328" t="s">
        <v>13</v>
      </c>
      <c r="B35" s="344" t="s">
        <v>347</v>
      </c>
      <c r="C35" s="355">
        <f>+C8+C19+C24+C25+C29+C33+C34</f>
        <v>9617</v>
      </c>
      <c r="D35" s="355">
        <f>+D8+D19+D24+D25+D29+D33+D34</f>
        <v>9917</v>
      </c>
      <c r="E35" s="355">
        <f>+E8+E19+E24+E25+E29+E33+E34</f>
        <v>0</v>
      </c>
      <c r="F35" s="355">
        <f>+F8+F19+F24+F25+F29+F33+F34</f>
        <v>9917</v>
      </c>
    </row>
    <row r="36" spans="1:9" ht="13.5" thickBot="1">
      <c r="A36" s="356" t="s">
        <v>14</v>
      </c>
      <c r="B36" s="344" t="s">
        <v>348</v>
      </c>
      <c r="C36" s="355">
        <f>+C37+C38+C39</f>
        <v>199202</v>
      </c>
      <c r="D36" s="355">
        <f>D37+D38+D39</f>
        <v>218594</v>
      </c>
      <c r="E36" s="355">
        <f>E37+E38+E39</f>
        <v>-10158</v>
      </c>
      <c r="F36" s="355">
        <f>F37+F38+F39</f>
        <v>208436</v>
      </c>
    </row>
    <row r="37" spans="1:9" ht="13.5" thickBot="1">
      <c r="A37" s="346" t="s">
        <v>349</v>
      </c>
      <c r="B37" s="347" t="s">
        <v>135</v>
      </c>
      <c r="C37" s="348"/>
      <c r="D37" s="348">
        <v>5956</v>
      </c>
      <c r="E37" s="378">
        <f>F37-D37</f>
        <v>0</v>
      </c>
      <c r="F37" s="348">
        <v>5956</v>
      </c>
    </row>
    <row r="38" spans="1:9" ht="13.5" thickBot="1">
      <c r="A38" s="346" t="s">
        <v>350</v>
      </c>
      <c r="B38" s="349" t="s">
        <v>1</v>
      </c>
      <c r="C38" s="350"/>
      <c r="D38" s="350"/>
      <c r="E38" s="378">
        <f t="shared" ref="E38:E39" si="2">F38-D38</f>
        <v>0</v>
      </c>
      <c r="F38" s="350"/>
    </row>
    <row r="39" spans="1:9" ht="13.5" thickBot="1">
      <c r="A39" s="336" t="s">
        <v>351</v>
      </c>
      <c r="B39" s="353" t="s">
        <v>352</v>
      </c>
      <c r="C39" s="352">
        <v>199202</v>
      </c>
      <c r="D39" s="352">
        <v>212638</v>
      </c>
      <c r="E39" s="378">
        <f t="shared" si="2"/>
        <v>-10158</v>
      </c>
      <c r="F39" s="352">
        <v>202480</v>
      </c>
    </row>
    <row r="40" spans="1:9" ht="13.5" thickBot="1">
      <c r="A40" s="356" t="s">
        <v>15</v>
      </c>
      <c r="B40" s="357" t="s">
        <v>353</v>
      </c>
      <c r="C40" s="358">
        <f>+C35+C36</f>
        <v>208819</v>
      </c>
      <c r="D40" s="358">
        <f>D35+D36</f>
        <v>228511</v>
      </c>
      <c r="E40" s="358">
        <f>E35+E36</f>
        <v>-10158</v>
      </c>
      <c r="F40" s="358">
        <f>F35+F36</f>
        <v>218353</v>
      </c>
    </row>
    <row r="41" spans="1:9" ht="13.5" thickBot="1">
      <c r="A41" s="359"/>
      <c r="B41" s="359"/>
      <c r="C41" s="359"/>
      <c r="D41" s="359"/>
      <c r="E41" s="359"/>
      <c r="F41" s="359"/>
    </row>
    <row r="42" spans="1:9" ht="13.5" thickBot="1">
      <c r="A42" s="415" t="s">
        <v>42</v>
      </c>
      <c r="B42" s="416"/>
      <c r="C42" s="416"/>
      <c r="D42" s="417"/>
      <c r="E42" s="359"/>
      <c r="F42" s="359"/>
    </row>
    <row r="43" spans="1:9" ht="13.5" thickBot="1">
      <c r="A43" s="343" t="s">
        <v>6</v>
      </c>
      <c r="B43" s="344" t="s">
        <v>354</v>
      </c>
      <c r="C43" s="332">
        <f>SUM(C44:C48)</f>
        <v>191349</v>
      </c>
      <c r="D43" s="332">
        <v>204056</v>
      </c>
      <c r="E43" s="332">
        <f>E44+E45+E46+E47+E48</f>
        <v>-883</v>
      </c>
      <c r="F43" s="332">
        <f>SUM(F44:F48)</f>
        <v>203173</v>
      </c>
    </row>
    <row r="44" spans="1:9" ht="13.5" thickBot="1">
      <c r="A44" s="336" t="s">
        <v>62</v>
      </c>
      <c r="B44" s="342" t="s">
        <v>36</v>
      </c>
      <c r="C44" s="348">
        <v>120151</v>
      </c>
      <c r="D44" s="348">
        <v>127703</v>
      </c>
      <c r="E44" s="379">
        <f>F44-D44</f>
        <v>257</v>
      </c>
      <c r="F44" s="348">
        <f>127703+257</f>
        <v>127960</v>
      </c>
    </row>
    <row r="45" spans="1:9" ht="13.5" thickBot="1">
      <c r="A45" s="336" t="s">
        <v>63</v>
      </c>
      <c r="B45" s="337" t="s">
        <v>106</v>
      </c>
      <c r="C45" s="360">
        <v>33034</v>
      </c>
      <c r="D45" s="360">
        <v>35072</v>
      </c>
      <c r="E45" s="379">
        <f t="shared" ref="E45:E48" si="3">F45-D45</f>
        <v>0</v>
      </c>
      <c r="F45" s="360">
        <v>35072</v>
      </c>
    </row>
    <row r="46" spans="1:9" ht="13.5" thickBot="1">
      <c r="A46" s="336" t="s">
        <v>64</v>
      </c>
      <c r="B46" s="337" t="s">
        <v>81</v>
      </c>
      <c r="C46" s="360">
        <v>34043</v>
      </c>
      <c r="D46" s="360">
        <v>36860</v>
      </c>
      <c r="E46" s="379">
        <f t="shared" si="3"/>
        <v>-1242</v>
      </c>
      <c r="F46" s="360">
        <f>35875-257</f>
        <v>35618</v>
      </c>
    </row>
    <row r="47" spans="1:9" ht="13.5" thickBot="1">
      <c r="A47" s="336" t="s">
        <v>65</v>
      </c>
      <c r="B47" s="337" t="s">
        <v>107</v>
      </c>
      <c r="C47" s="360">
        <v>4121</v>
      </c>
      <c r="D47" s="360">
        <v>4121</v>
      </c>
      <c r="E47" s="379">
        <f t="shared" si="3"/>
        <v>0</v>
      </c>
      <c r="F47" s="360">
        <v>4121</v>
      </c>
    </row>
    <row r="48" spans="1:9" ht="13.5" thickBot="1">
      <c r="A48" s="336" t="s">
        <v>82</v>
      </c>
      <c r="B48" s="337" t="s">
        <v>108</v>
      </c>
      <c r="C48" s="360"/>
      <c r="D48" s="360">
        <v>300</v>
      </c>
      <c r="E48" s="379">
        <f t="shared" si="3"/>
        <v>102</v>
      </c>
      <c r="F48" s="360">
        <v>402</v>
      </c>
      <c r="I48" s="381"/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24455</v>
      </c>
      <c r="E49" s="332">
        <f>SUM(E50:E52)</f>
        <v>-9275</v>
      </c>
      <c r="F49" s="332">
        <f>SUM(F50:F52)</f>
        <v>15180</v>
      </c>
    </row>
    <row r="50" spans="1:6" ht="13.5" thickBot="1">
      <c r="A50" s="336" t="s">
        <v>68</v>
      </c>
      <c r="B50" s="342" t="s">
        <v>126</v>
      </c>
      <c r="C50" s="348">
        <v>8580</v>
      </c>
      <c r="D50" s="348">
        <v>15565</v>
      </c>
      <c r="E50" s="380">
        <f>F50-D50</f>
        <v>-4856</v>
      </c>
      <c r="F50" s="348">
        <v>10709</v>
      </c>
    </row>
    <row r="51" spans="1:6" ht="13.5" thickBot="1">
      <c r="A51" s="336" t="s">
        <v>69</v>
      </c>
      <c r="B51" s="337" t="s">
        <v>110</v>
      </c>
      <c r="C51" s="360">
        <v>8890</v>
      </c>
      <c r="D51" s="360">
        <v>8890</v>
      </c>
      <c r="E51" s="380">
        <f t="shared" ref="E51:E53" si="4">F51-D51</f>
        <v>-4419</v>
      </c>
      <c r="F51" s="360">
        <v>4471</v>
      </c>
    </row>
    <row r="52" spans="1:6" ht="13.5" thickBot="1">
      <c r="A52" s="336" t="s">
        <v>70</v>
      </c>
      <c r="B52" s="337" t="s">
        <v>43</v>
      </c>
      <c r="C52" s="360"/>
      <c r="D52" s="360"/>
      <c r="E52" s="380">
        <f t="shared" si="4"/>
        <v>0</v>
      </c>
      <c r="F52" s="360"/>
    </row>
    <row r="53" spans="1:6" ht="13.5" thickBot="1">
      <c r="A53" s="336" t="s">
        <v>71</v>
      </c>
      <c r="B53" s="337" t="s">
        <v>2</v>
      </c>
      <c r="C53" s="360"/>
      <c r="D53" s="360"/>
      <c r="E53" s="380">
        <f t="shared" si="4"/>
        <v>0</v>
      </c>
      <c r="F53" s="360"/>
    </row>
    <row r="54" spans="1:6" ht="13.5" thickBot="1">
      <c r="A54" s="343" t="s">
        <v>8</v>
      </c>
      <c r="B54" s="361" t="s">
        <v>356</v>
      </c>
      <c r="C54" s="362">
        <f>+C43+C49</f>
        <v>208819</v>
      </c>
      <c r="D54" s="362">
        <f>+D43+D49</f>
        <v>228511</v>
      </c>
      <c r="E54" s="362">
        <f>+E43+E49</f>
        <v>-10158</v>
      </c>
      <c r="F54" s="362">
        <f>+F43+F49</f>
        <v>218353</v>
      </c>
    </row>
    <row r="55" spans="1:6" ht="13.5" thickBot="1">
      <c r="A55" s="363"/>
      <c r="B55" s="364"/>
      <c r="C55" s="365"/>
      <c r="D55" s="365"/>
      <c r="E55" s="365"/>
      <c r="F55" s="365"/>
    </row>
    <row r="56" spans="1:6" ht="13.5" thickBot="1">
      <c r="A56" s="366" t="s">
        <v>121</v>
      </c>
      <c r="B56" s="367"/>
      <c r="C56" s="368">
        <v>37</v>
      </c>
      <c r="D56" s="368">
        <v>37</v>
      </c>
      <c r="E56" s="368"/>
      <c r="F56" s="368">
        <v>37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C1:F1"/>
    <mergeCell ref="A42:D42"/>
    <mergeCell ref="C2:F2"/>
    <mergeCell ref="C3:F3"/>
    <mergeCell ref="C4:F4"/>
    <mergeCell ref="A7:F7"/>
  </mergeCells>
  <pageMargins left="0.19" right="0.22" top="0.3" bottom="0.25" header="0.17" footer="0.17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90099"/>
  </sheetPr>
  <dimension ref="A1:E57"/>
  <sheetViews>
    <sheetView topLeftCell="A34" workbookViewId="0">
      <selection activeCell="B26" sqref="B26"/>
    </sheetView>
  </sheetViews>
  <sheetFormatPr defaultRowHeight="12.75"/>
  <cols>
    <col min="1" max="1" width="8.33203125" customWidth="1"/>
    <col min="2" max="2" width="32" customWidth="1"/>
    <col min="3" max="3" width="22.83203125" customWidth="1"/>
    <col min="4" max="4" width="25.1640625" customWidth="1"/>
    <col min="5" max="5" width="19.83203125" customWidth="1"/>
  </cols>
  <sheetData>
    <row r="1" spans="1:5" ht="13.5" thickBot="1">
      <c r="A1" s="369"/>
      <c r="B1" s="370"/>
      <c r="C1" s="425" t="s">
        <v>425</v>
      </c>
      <c r="D1" s="425"/>
      <c r="E1" s="425"/>
    </row>
    <row r="2" spans="1:5" ht="29.25">
      <c r="A2" s="320" t="s">
        <v>411</v>
      </c>
      <c r="B2" s="321" t="s">
        <v>412</v>
      </c>
      <c r="C2" s="418" t="s">
        <v>413</v>
      </c>
      <c r="D2" s="419"/>
      <c r="E2" s="420"/>
    </row>
    <row r="3" spans="1:5" ht="20.25" thickBot="1">
      <c r="A3" s="322" t="s">
        <v>119</v>
      </c>
      <c r="B3" s="323" t="s">
        <v>415</v>
      </c>
      <c r="C3" s="421" t="s">
        <v>413</v>
      </c>
      <c r="D3" s="422"/>
      <c r="E3" s="423"/>
    </row>
    <row r="4" spans="1:5" ht="13.5" thickBot="1">
      <c r="A4" s="371"/>
      <c r="B4" s="371"/>
      <c r="C4" s="424" t="s">
        <v>39</v>
      </c>
      <c r="D4" s="424"/>
      <c r="E4" s="424"/>
    </row>
    <row r="5" spans="1:5" ht="13.5" thickBot="1">
      <c r="A5" s="325" t="s">
        <v>120</v>
      </c>
      <c r="B5" s="326" t="s">
        <v>40</v>
      </c>
      <c r="C5" s="327" t="s">
        <v>402</v>
      </c>
      <c r="D5" s="327"/>
      <c r="E5" s="327" t="s">
        <v>401</v>
      </c>
    </row>
    <row r="6" spans="1:5" ht="13.5" thickBot="1">
      <c r="A6" s="328">
        <v>1</v>
      </c>
      <c r="B6" s="329">
        <v>2</v>
      </c>
      <c r="C6" s="330">
        <v>3</v>
      </c>
      <c r="D6" s="330"/>
      <c r="E6" s="330">
        <v>4</v>
      </c>
    </row>
    <row r="7" spans="1:5" ht="13.5" thickBot="1">
      <c r="A7" s="415" t="s">
        <v>41</v>
      </c>
      <c r="B7" s="416"/>
      <c r="C7" s="416"/>
      <c r="D7" s="416"/>
      <c r="E7" s="417"/>
    </row>
    <row r="8" spans="1:5" ht="13.5" thickBot="1">
      <c r="A8" s="328" t="s">
        <v>6</v>
      </c>
      <c r="B8" s="331" t="s">
        <v>337</v>
      </c>
      <c r="C8" s="332">
        <f>SUM(C9:C18)</f>
        <v>0</v>
      </c>
      <c r="D8" s="332"/>
      <c r="E8" s="332">
        <f>SUM(E9:E18)</f>
        <v>0</v>
      </c>
    </row>
    <row r="9" spans="1:5">
      <c r="A9" s="333" t="s">
        <v>62</v>
      </c>
      <c r="B9" s="334" t="s">
        <v>179</v>
      </c>
      <c r="C9" s="335"/>
      <c r="D9" s="335"/>
      <c r="E9" s="335"/>
    </row>
    <row r="10" spans="1:5">
      <c r="A10" s="336" t="s">
        <v>63</v>
      </c>
      <c r="B10" s="337" t="s">
        <v>180</v>
      </c>
      <c r="C10" s="338"/>
      <c r="D10" s="338"/>
      <c r="E10" s="338"/>
    </row>
    <row r="11" spans="1:5">
      <c r="A11" s="336" t="s">
        <v>64</v>
      </c>
      <c r="B11" s="337" t="s">
        <v>181</v>
      </c>
      <c r="C11" s="338"/>
      <c r="D11" s="338"/>
      <c r="E11" s="338"/>
    </row>
    <row r="12" spans="1:5">
      <c r="A12" s="336" t="s">
        <v>65</v>
      </c>
      <c r="B12" s="337" t="s">
        <v>182</v>
      </c>
      <c r="C12" s="338"/>
      <c r="D12" s="338"/>
      <c r="E12" s="338"/>
    </row>
    <row r="13" spans="1:5">
      <c r="A13" s="336" t="s">
        <v>82</v>
      </c>
      <c r="B13" s="337" t="s">
        <v>183</v>
      </c>
      <c r="C13" s="338"/>
      <c r="D13" s="338"/>
      <c r="E13" s="338"/>
    </row>
    <row r="14" spans="1:5">
      <c r="A14" s="336" t="s">
        <v>66</v>
      </c>
      <c r="B14" s="337" t="s">
        <v>338</v>
      </c>
      <c r="C14" s="338"/>
      <c r="D14" s="338"/>
      <c r="E14" s="338"/>
    </row>
    <row r="15" spans="1:5">
      <c r="A15" s="336" t="s">
        <v>67</v>
      </c>
      <c r="B15" s="339" t="s">
        <v>339</v>
      </c>
      <c r="C15" s="338"/>
      <c r="D15" s="338"/>
      <c r="E15" s="338"/>
    </row>
    <row r="16" spans="1:5">
      <c r="A16" s="336" t="s">
        <v>74</v>
      </c>
      <c r="B16" s="337" t="s">
        <v>186</v>
      </c>
      <c r="C16" s="340"/>
      <c r="D16" s="340"/>
      <c r="E16" s="340"/>
    </row>
    <row r="17" spans="1:5">
      <c r="A17" s="336" t="s">
        <v>75</v>
      </c>
      <c r="B17" s="337" t="s">
        <v>187</v>
      </c>
      <c r="C17" s="338"/>
      <c r="D17" s="338"/>
      <c r="E17" s="338"/>
    </row>
    <row r="18" spans="1:5" ht="13.5" thickBot="1">
      <c r="A18" s="336" t="s">
        <v>76</v>
      </c>
      <c r="B18" s="339" t="s">
        <v>188</v>
      </c>
      <c r="C18" s="341"/>
      <c r="D18" s="341"/>
      <c r="E18" s="341"/>
    </row>
    <row r="19" spans="1:5" ht="20.25" thickBot="1">
      <c r="A19" s="328" t="s">
        <v>7</v>
      </c>
      <c r="B19" s="331" t="s">
        <v>340</v>
      </c>
      <c r="C19" s="332">
        <f>SUM(C20:C22)</f>
        <v>3334</v>
      </c>
      <c r="D19" s="332"/>
      <c r="E19" s="332">
        <f>SUM(E20:E22)</f>
        <v>3334</v>
      </c>
    </row>
    <row r="20" spans="1:5">
      <c r="A20" s="336" t="s">
        <v>68</v>
      </c>
      <c r="B20" s="342" t="s">
        <v>154</v>
      </c>
      <c r="C20" s="338"/>
      <c r="D20" s="338"/>
      <c r="E20" s="338"/>
    </row>
    <row r="21" spans="1:5" ht="16.5">
      <c r="A21" s="336" t="s">
        <v>69</v>
      </c>
      <c r="B21" s="337" t="s">
        <v>341</v>
      </c>
      <c r="C21" s="338"/>
      <c r="D21" s="338"/>
      <c r="E21" s="338"/>
    </row>
    <row r="22" spans="1:5" ht="16.5">
      <c r="A22" s="336" t="s">
        <v>70</v>
      </c>
      <c r="B22" s="337" t="s">
        <v>414</v>
      </c>
      <c r="C22" s="338">
        <v>3334</v>
      </c>
      <c r="D22" s="338"/>
      <c r="E22" s="338">
        <v>3334</v>
      </c>
    </row>
    <row r="23" spans="1:5" ht="13.5" thickBot="1">
      <c r="A23" s="336" t="s">
        <v>71</v>
      </c>
      <c r="B23" s="337" t="s">
        <v>0</v>
      </c>
      <c r="C23" s="338"/>
      <c r="D23" s="338"/>
      <c r="E23" s="338"/>
    </row>
    <row r="24" spans="1:5" ht="13.5" thickBot="1">
      <c r="A24" s="343" t="s">
        <v>8</v>
      </c>
      <c r="B24" s="344" t="s">
        <v>97</v>
      </c>
      <c r="C24" s="345"/>
      <c r="D24" s="345"/>
      <c r="E24" s="345"/>
    </row>
    <row r="25" spans="1:5" ht="20.25" thickBot="1">
      <c r="A25" s="343" t="s">
        <v>9</v>
      </c>
      <c r="B25" s="344" t="s">
        <v>342</v>
      </c>
      <c r="C25" s="332">
        <f>+C26+C27</f>
        <v>0</v>
      </c>
      <c r="D25" s="332"/>
      <c r="E25" s="332">
        <f>+E26+E27</f>
        <v>0</v>
      </c>
    </row>
    <row r="26" spans="1:5" ht="16.5">
      <c r="A26" s="346" t="s">
        <v>164</v>
      </c>
      <c r="B26" s="347" t="s">
        <v>341</v>
      </c>
      <c r="C26" s="348"/>
      <c r="D26" s="348"/>
      <c r="E26" s="348"/>
    </row>
    <row r="27" spans="1:5" ht="16.5">
      <c r="A27" s="346" t="s">
        <v>167</v>
      </c>
      <c r="B27" s="349" t="s">
        <v>343</v>
      </c>
      <c r="C27" s="350"/>
      <c r="D27" s="350"/>
      <c r="E27" s="350"/>
    </row>
    <row r="28" spans="1:5" ht="13.5" thickBot="1">
      <c r="A28" s="336" t="s">
        <v>168</v>
      </c>
      <c r="B28" s="351" t="s">
        <v>344</v>
      </c>
      <c r="C28" s="352"/>
      <c r="D28" s="352"/>
      <c r="E28" s="352"/>
    </row>
    <row r="29" spans="1:5" ht="13.5" thickBot="1">
      <c r="A29" s="343" t="s">
        <v>10</v>
      </c>
      <c r="B29" s="344" t="s">
        <v>345</v>
      </c>
      <c r="C29" s="332">
        <f>+C30+C31+C32</f>
        <v>0</v>
      </c>
      <c r="D29" s="332"/>
      <c r="E29" s="332">
        <f>+E30+E31+E32</f>
        <v>0</v>
      </c>
    </row>
    <row r="30" spans="1:5">
      <c r="A30" s="346" t="s">
        <v>55</v>
      </c>
      <c r="B30" s="347" t="s">
        <v>193</v>
      </c>
      <c r="C30" s="348"/>
      <c r="D30" s="348"/>
      <c r="E30" s="348"/>
    </row>
    <row r="31" spans="1:5">
      <c r="A31" s="346" t="s">
        <v>56</v>
      </c>
      <c r="B31" s="349" t="s">
        <v>194</v>
      </c>
      <c r="C31" s="350"/>
      <c r="D31" s="350"/>
      <c r="E31" s="350"/>
    </row>
    <row r="32" spans="1:5" ht="13.5" thickBot="1">
      <c r="A32" s="336" t="s">
        <v>57</v>
      </c>
      <c r="B32" s="353" t="s">
        <v>195</v>
      </c>
      <c r="C32" s="352"/>
      <c r="D32" s="352"/>
      <c r="E32" s="352"/>
    </row>
    <row r="33" spans="1:5" ht="13.5" thickBot="1">
      <c r="A33" s="343" t="s">
        <v>11</v>
      </c>
      <c r="B33" s="344" t="s">
        <v>308</v>
      </c>
      <c r="C33" s="345"/>
      <c r="D33" s="345"/>
      <c r="E33" s="345"/>
    </row>
    <row r="34" spans="1:5" ht="13.5" thickBot="1">
      <c r="A34" s="343" t="s">
        <v>12</v>
      </c>
      <c r="B34" s="344" t="s">
        <v>346</v>
      </c>
      <c r="C34" s="354"/>
      <c r="D34" s="354"/>
      <c r="E34" s="354"/>
    </row>
    <row r="35" spans="1:5" ht="13.5" thickBot="1">
      <c r="A35" s="328" t="s">
        <v>13</v>
      </c>
      <c r="B35" s="344" t="s">
        <v>347</v>
      </c>
      <c r="C35" s="355">
        <f>+C8+C19+C24+C25+C29+C33+C34</f>
        <v>3334</v>
      </c>
      <c r="D35" s="355"/>
      <c r="E35" s="355">
        <f>+E8+E19+E24+E25+E29+E33+E34</f>
        <v>3334</v>
      </c>
    </row>
    <row r="36" spans="1:5" ht="13.5" thickBot="1">
      <c r="A36" s="372" t="s">
        <v>14</v>
      </c>
      <c r="B36" s="344" t="s">
        <v>348</v>
      </c>
      <c r="C36" s="355">
        <f>+C37+C38+C39</f>
        <v>0</v>
      </c>
      <c r="D36" s="355"/>
      <c r="E36" s="355">
        <f>+E37+E38+E39</f>
        <v>0</v>
      </c>
    </row>
    <row r="37" spans="1:5">
      <c r="A37" s="346" t="s">
        <v>349</v>
      </c>
      <c r="B37" s="347" t="s">
        <v>135</v>
      </c>
      <c r="C37" s="348"/>
      <c r="D37" s="348"/>
      <c r="E37" s="348"/>
    </row>
    <row r="38" spans="1:5">
      <c r="A38" s="346" t="s">
        <v>350</v>
      </c>
      <c r="B38" s="349" t="s">
        <v>1</v>
      </c>
      <c r="C38" s="350"/>
      <c r="D38" s="350"/>
      <c r="E38" s="350"/>
    </row>
    <row r="39" spans="1:5" ht="17.25" thickBot="1">
      <c r="A39" s="336" t="s">
        <v>351</v>
      </c>
      <c r="B39" s="353" t="s">
        <v>352</v>
      </c>
      <c r="C39" s="352"/>
      <c r="D39" s="352"/>
      <c r="E39" s="352"/>
    </row>
    <row r="40" spans="1:5" ht="13.5" thickBot="1">
      <c r="A40" s="372" t="s">
        <v>15</v>
      </c>
      <c r="B40" s="373" t="s">
        <v>353</v>
      </c>
      <c r="C40" s="358">
        <f>+C35+C36</f>
        <v>3334</v>
      </c>
      <c r="D40" s="358"/>
      <c r="E40" s="358">
        <f>+E35+E36</f>
        <v>3334</v>
      </c>
    </row>
    <row r="41" spans="1:5" ht="13.5" thickBot="1">
      <c r="A41" s="359"/>
      <c r="B41" s="359"/>
      <c r="C41" s="359"/>
      <c r="D41" s="359"/>
      <c r="E41" s="359"/>
    </row>
    <row r="42" spans="1:5" ht="13.5" thickBot="1">
      <c r="A42" s="415" t="s">
        <v>42</v>
      </c>
      <c r="B42" s="416"/>
      <c r="C42" s="416"/>
      <c r="D42" s="417"/>
      <c r="E42" s="359"/>
    </row>
    <row r="43" spans="1:5" ht="13.5" thickBot="1">
      <c r="A43" s="343" t="s">
        <v>6</v>
      </c>
      <c r="B43" s="344" t="s">
        <v>354</v>
      </c>
      <c r="C43" s="332">
        <f>SUM(C44:C48)</f>
        <v>3334</v>
      </c>
      <c r="D43" s="332"/>
      <c r="E43" s="332">
        <f>SUM(E44:E48)</f>
        <v>3334</v>
      </c>
    </row>
    <row r="44" spans="1:5">
      <c r="A44" s="336" t="s">
        <v>62</v>
      </c>
      <c r="B44" s="342" t="s">
        <v>36</v>
      </c>
      <c r="C44" s="348">
        <v>2291</v>
      </c>
      <c r="D44" s="348"/>
      <c r="E44" s="348">
        <v>2291</v>
      </c>
    </row>
    <row r="45" spans="1:5" ht="16.5">
      <c r="A45" s="336" t="s">
        <v>63</v>
      </c>
      <c r="B45" s="337" t="s">
        <v>106</v>
      </c>
      <c r="C45" s="360">
        <v>618</v>
      </c>
      <c r="D45" s="360"/>
      <c r="E45" s="360">
        <v>618</v>
      </c>
    </row>
    <row r="46" spans="1:5">
      <c r="A46" s="336" t="s">
        <v>64</v>
      </c>
      <c r="B46" s="337" t="s">
        <v>81</v>
      </c>
      <c r="C46" s="360">
        <v>425</v>
      </c>
      <c r="D46" s="360"/>
      <c r="E46" s="360">
        <v>425</v>
      </c>
    </row>
    <row r="47" spans="1:5">
      <c r="A47" s="336" t="s">
        <v>65</v>
      </c>
      <c r="B47" s="337" t="s">
        <v>107</v>
      </c>
      <c r="C47" s="360"/>
      <c r="D47" s="360"/>
      <c r="E47" s="360"/>
    </row>
    <row r="48" spans="1:5" ht="13.5" thickBot="1">
      <c r="A48" s="336" t="s">
        <v>82</v>
      </c>
      <c r="B48" s="337" t="s">
        <v>108</v>
      </c>
      <c r="C48" s="360"/>
      <c r="D48" s="360"/>
      <c r="E48" s="360"/>
    </row>
    <row r="49" spans="1:5" ht="13.5" thickBot="1">
      <c r="A49" s="343" t="s">
        <v>7</v>
      </c>
      <c r="B49" s="344" t="s">
        <v>355</v>
      </c>
      <c r="C49" s="332">
        <f>SUM(C50:C52)</f>
        <v>0</v>
      </c>
      <c r="D49" s="332"/>
      <c r="E49" s="332">
        <f>SUM(E50:E52)</f>
        <v>0</v>
      </c>
    </row>
    <row r="50" spans="1:5">
      <c r="A50" s="336" t="s">
        <v>68</v>
      </c>
      <c r="B50" s="342" t="s">
        <v>126</v>
      </c>
      <c r="C50" s="348"/>
      <c r="D50" s="348"/>
      <c r="E50" s="348"/>
    </row>
    <row r="51" spans="1:5">
      <c r="A51" s="336" t="s">
        <v>69</v>
      </c>
      <c r="B51" s="337" t="s">
        <v>110</v>
      </c>
      <c r="C51" s="360"/>
      <c r="D51" s="360"/>
      <c r="E51" s="360"/>
    </row>
    <row r="52" spans="1:5">
      <c r="A52" s="336" t="s">
        <v>70</v>
      </c>
      <c r="B52" s="337" t="s">
        <v>43</v>
      </c>
      <c r="C52" s="360"/>
      <c r="D52" s="360"/>
      <c r="E52" s="360"/>
    </row>
    <row r="53" spans="1:5" ht="17.25" thickBot="1">
      <c r="A53" s="336" t="s">
        <v>71</v>
      </c>
      <c r="B53" s="337" t="s">
        <v>2</v>
      </c>
      <c r="C53" s="360"/>
      <c r="D53" s="360"/>
      <c r="E53" s="360"/>
    </row>
    <row r="54" spans="1:5" ht="13.5" thickBot="1">
      <c r="A54" s="343" t="s">
        <v>8</v>
      </c>
      <c r="B54" s="361" t="s">
        <v>356</v>
      </c>
      <c r="C54" s="362">
        <f>+C43+C49</f>
        <v>3334</v>
      </c>
      <c r="D54" s="362"/>
      <c r="E54" s="362">
        <f>+E43+E49</f>
        <v>3334</v>
      </c>
    </row>
    <row r="55" spans="1:5" ht="13.5" thickBot="1">
      <c r="A55" s="374"/>
      <c r="B55" s="375"/>
      <c r="C55" s="376"/>
      <c r="D55" s="376"/>
      <c r="E55" s="376"/>
    </row>
    <row r="56" spans="1:5" ht="13.5" thickBot="1">
      <c r="A56" s="366" t="s">
        <v>121</v>
      </c>
      <c r="B56" s="367"/>
      <c r="C56" s="368">
        <v>1</v>
      </c>
      <c r="D56" s="368"/>
      <c r="E56" s="368">
        <v>1</v>
      </c>
    </row>
    <row r="57" spans="1:5" ht="13.5" thickBot="1">
      <c r="A57" s="366" t="s">
        <v>122</v>
      </c>
      <c r="B57" s="367"/>
      <c r="C57" s="368"/>
      <c r="D57" s="368"/>
      <c r="E57" s="368"/>
    </row>
  </sheetData>
  <mergeCells count="6">
    <mergeCell ref="C1:E1"/>
    <mergeCell ref="A42:D42"/>
    <mergeCell ref="C2:E2"/>
    <mergeCell ref="C3:E3"/>
    <mergeCell ref="C4:E4"/>
    <mergeCell ref="A7:E7"/>
  </mergeCells>
  <pageMargins left="0.22" right="0.22" top="0.22" bottom="0.2" header="0.17" footer="0.16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F57"/>
  <sheetViews>
    <sheetView workbookViewId="0">
      <selection activeCell="F47" sqref="F47"/>
    </sheetView>
  </sheetViews>
  <sheetFormatPr defaultRowHeight="12.75"/>
  <cols>
    <col min="1" max="1" width="7.1640625" customWidth="1"/>
    <col min="2" max="2" width="41.1640625" customWidth="1"/>
    <col min="3" max="3" width="9.1640625" bestFit="1" customWidth="1"/>
    <col min="4" max="4" width="14.33203125" customWidth="1"/>
    <col min="5" max="5" width="13.6640625" customWidth="1"/>
    <col min="6" max="6" width="18.33203125" customWidth="1"/>
  </cols>
  <sheetData>
    <row r="1" spans="1:6" ht="13.5" thickBot="1">
      <c r="A1" s="318"/>
      <c r="B1" s="319"/>
      <c r="C1" s="414" t="s">
        <v>429</v>
      </c>
      <c r="D1" s="414"/>
      <c r="E1" s="414"/>
      <c r="F1" s="414"/>
    </row>
    <row r="2" spans="1:6" ht="20.25" customHeight="1">
      <c r="A2" s="320" t="s">
        <v>411</v>
      </c>
      <c r="B2" s="321" t="s">
        <v>412</v>
      </c>
      <c r="C2" s="418" t="s">
        <v>413</v>
      </c>
      <c r="D2" s="419"/>
      <c r="E2" s="419"/>
      <c r="F2" s="420"/>
    </row>
    <row r="3" spans="1:6" ht="12.75" customHeight="1" thickBot="1">
      <c r="A3" s="322" t="s">
        <v>119</v>
      </c>
      <c r="B3" s="323" t="s">
        <v>416</v>
      </c>
      <c r="C3" s="421" t="s">
        <v>417</v>
      </c>
      <c r="D3" s="422"/>
      <c r="E3" s="422"/>
      <c r="F3" s="423"/>
    </row>
    <row r="4" spans="1:6" ht="13.5" thickBot="1">
      <c r="A4" s="324"/>
      <c r="B4" s="324"/>
      <c r="C4" s="424" t="s">
        <v>39</v>
      </c>
      <c r="D4" s="424"/>
      <c r="E4" s="424"/>
      <c r="F4" s="424"/>
    </row>
    <row r="5" spans="1:6" ht="26.25" customHeight="1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405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5" t="s">
        <v>41</v>
      </c>
      <c r="B7" s="416"/>
      <c r="C7" s="416"/>
      <c r="D7" s="416"/>
      <c r="E7" s="416"/>
      <c r="F7" s="417"/>
    </row>
    <row r="8" spans="1:6" ht="13.5" thickBot="1">
      <c r="A8" s="328" t="s">
        <v>6</v>
      </c>
      <c r="B8" s="331" t="s">
        <v>337</v>
      </c>
      <c r="C8" s="332">
        <f>SUM(C9:C18)</f>
        <v>5583</v>
      </c>
      <c r="D8" s="332">
        <f>SUM(D9:D18)</f>
        <v>5583</v>
      </c>
      <c r="E8" s="332"/>
      <c r="F8" s="332">
        <f>SUM(F9:F18)</f>
        <v>5671</v>
      </c>
    </row>
    <row r="9" spans="1:6">
      <c r="A9" s="333" t="s">
        <v>62</v>
      </c>
      <c r="B9" s="334" t="s">
        <v>179</v>
      </c>
      <c r="C9" s="335"/>
      <c r="D9" s="335"/>
      <c r="E9" s="335"/>
      <c r="F9" s="335">
        <v>16</v>
      </c>
    </row>
    <row r="10" spans="1:6">
      <c r="A10" s="336" t="s">
        <v>63</v>
      </c>
      <c r="B10" s="337" t="s">
        <v>180</v>
      </c>
      <c r="C10" s="338">
        <v>505</v>
      </c>
      <c r="D10" s="338">
        <v>505</v>
      </c>
      <c r="E10" s="338"/>
      <c r="F10" s="338">
        <v>577</v>
      </c>
    </row>
    <row r="11" spans="1:6">
      <c r="A11" s="336" t="s">
        <v>64</v>
      </c>
      <c r="B11" s="337" t="s">
        <v>181</v>
      </c>
      <c r="C11" s="338">
        <v>4088</v>
      </c>
      <c r="D11" s="338">
        <v>4088</v>
      </c>
      <c r="E11" s="338"/>
      <c r="F11" s="338">
        <v>4088</v>
      </c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654</v>
      </c>
      <c r="D14" s="338">
        <v>654</v>
      </c>
      <c r="E14" s="338"/>
      <c r="F14" s="338">
        <v>654</v>
      </c>
    </row>
    <row r="15" spans="1:6">
      <c r="A15" s="336" t="s">
        <v>67</v>
      </c>
      <c r="B15" s="339" t="s">
        <v>339</v>
      </c>
      <c r="C15" s="338">
        <v>251</v>
      </c>
      <c r="D15" s="338">
        <v>251</v>
      </c>
      <c r="E15" s="338"/>
      <c r="F15" s="338">
        <v>251</v>
      </c>
    </row>
    <row r="16" spans="1:6">
      <c r="A16" s="336" t="s">
        <v>74</v>
      </c>
      <c r="B16" s="337" t="s">
        <v>186</v>
      </c>
      <c r="C16" s="340">
        <v>85</v>
      </c>
      <c r="D16" s="340">
        <v>85</v>
      </c>
      <c r="E16" s="340"/>
      <c r="F16" s="340">
        <v>85</v>
      </c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0</v>
      </c>
      <c r="D19" s="332">
        <f>SUM(D20:D22)</f>
        <v>0</v>
      </c>
      <c r="E19" s="332"/>
      <c r="F19" s="332">
        <f>SUM(F20:F22)</f>
        <v>0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/>
      <c r="D22" s="338"/>
      <c r="E22" s="338"/>
      <c r="F22" s="338"/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>
        <v>700</v>
      </c>
      <c r="D24" s="345">
        <v>700</v>
      </c>
      <c r="E24" s="345"/>
      <c r="F24" s="345">
        <v>612</v>
      </c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300</v>
      </c>
      <c r="E25" s="332"/>
      <c r="F25" s="332">
        <f>+F26+F27</f>
        <v>300</v>
      </c>
    </row>
    <row r="26" spans="1:6">
      <c r="A26" s="346" t="s">
        <v>164</v>
      </c>
      <c r="B26" s="347" t="s">
        <v>341</v>
      </c>
      <c r="C26" s="348"/>
      <c r="D26" s="348">
        <v>300</v>
      </c>
      <c r="E26" s="348"/>
      <c r="F26" s="348">
        <v>300</v>
      </c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6283</v>
      </c>
      <c r="D35" s="355">
        <f>+D8+D19+D24+D25+D29+D33+D34</f>
        <v>6583</v>
      </c>
      <c r="E35" s="355"/>
      <c r="F35" s="355">
        <f>+F8+F19+F24+F25+F29+F33+F34</f>
        <v>6583</v>
      </c>
    </row>
    <row r="36" spans="1:6" ht="13.5" thickBot="1">
      <c r="A36" s="356" t="s">
        <v>14</v>
      </c>
      <c r="B36" s="344" t="s">
        <v>348</v>
      </c>
      <c r="C36" s="355">
        <f>+C37+C38+C39</f>
        <v>199202</v>
      </c>
      <c r="D36" s="355">
        <f>+D37+D38+D39</f>
        <v>218594</v>
      </c>
      <c r="E36" s="355">
        <f>SUM(E37:E39)</f>
        <v>0</v>
      </c>
      <c r="F36" s="355">
        <f>SUM(F37:F39)</f>
        <v>208436</v>
      </c>
    </row>
    <row r="37" spans="1:6">
      <c r="A37" s="346" t="s">
        <v>349</v>
      </c>
      <c r="B37" s="347" t="s">
        <v>135</v>
      </c>
      <c r="C37" s="348"/>
      <c r="D37" s="348"/>
      <c r="E37" s="348"/>
      <c r="F37" s="348">
        <v>5956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3.5" thickBot="1">
      <c r="A39" s="336" t="s">
        <v>351</v>
      </c>
      <c r="B39" s="353" t="s">
        <v>352</v>
      </c>
      <c r="C39" s="352">
        <v>199202</v>
      </c>
      <c r="D39" s="352">
        <v>218594</v>
      </c>
      <c r="E39" s="352"/>
      <c r="F39" s="352">
        <v>202480</v>
      </c>
    </row>
    <row r="40" spans="1:6" ht="13.5" thickBot="1">
      <c r="A40" s="356" t="s">
        <v>15</v>
      </c>
      <c r="B40" s="357" t="s">
        <v>353</v>
      </c>
      <c r="C40" s="358">
        <f>+C35+C36</f>
        <v>205485</v>
      </c>
      <c r="D40" s="358">
        <f>+D35+D36</f>
        <v>225177</v>
      </c>
      <c r="E40" s="358">
        <f>+E35+E36</f>
        <v>0</v>
      </c>
      <c r="F40" s="358">
        <f>+F35+F36</f>
        <v>215019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15" t="s">
        <v>42</v>
      </c>
      <c r="B42" s="416"/>
      <c r="C42" s="416"/>
      <c r="D42" s="417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188015</v>
      </c>
      <c r="D43" s="332">
        <v>200722</v>
      </c>
      <c r="E43" s="332"/>
      <c r="F43" s="332">
        <f>F44+F45+F46+F47+F48</f>
        <v>199839</v>
      </c>
    </row>
    <row r="44" spans="1:6">
      <c r="A44" s="336" t="s">
        <v>62</v>
      </c>
      <c r="B44" s="342" t="s">
        <v>36</v>
      </c>
      <c r="C44" s="348">
        <v>117860</v>
      </c>
      <c r="D44" s="348">
        <v>122412</v>
      </c>
      <c r="E44" s="348"/>
      <c r="F44" s="348">
        <f>125412+257</f>
        <v>125669</v>
      </c>
    </row>
    <row r="45" spans="1:6">
      <c r="A45" s="336" t="s">
        <v>63</v>
      </c>
      <c r="B45" s="337" t="s">
        <v>106</v>
      </c>
      <c r="C45" s="360">
        <v>32416</v>
      </c>
      <c r="D45" s="360">
        <v>34454</v>
      </c>
      <c r="E45" s="360"/>
      <c r="F45" s="360">
        <f>35072-618</f>
        <v>34454</v>
      </c>
    </row>
    <row r="46" spans="1:6">
      <c r="A46" s="336" t="s">
        <v>64</v>
      </c>
      <c r="B46" s="337" t="s">
        <v>81</v>
      </c>
      <c r="C46" s="360">
        <v>33618</v>
      </c>
      <c r="D46" s="360">
        <v>36435</v>
      </c>
      <c r="E46" s="360"/>
      <c r="F46" s="360">
        <f>35875-425-257</f>
        <v>35193</v>
      </c>
    </row>
    <row r="47" spans="1:6">
      <c r="A47" s="336" t="s">
        <v>65</v>
      </c>
      <c r="B47" s="337" t="s">
        <v>107</v>
      </c>
      <c r="C47" s="360">
        <v>4121</v>
      </c>
      <c r="D47" s="360">
        <v>4121</v>
      </c>
      <c r="E47" s="360"/>
      <c r="F47" s="360">
        <v>4121</v>
      </c>
    </row>
    <row r="48" spans="1:6" ht="13.5" thickBot="1">
      <c r="A48" s="336" t="s">
        <v>82</v>
      </c>
      <c r="B48" s="337" t="s">
        <v>108</v>
      </c>
      <c r="C48" s="360"/>
      <c r="D48" s="360">
        <v>300</v>
      </c>
      <c r="E48" s="360"/>
      <c r="F48" s="360">
        <v>402</v>
      </c>
    </row>
    <row r="49" spans="1:6" ht="13.5" thickBot="1">
      <c r="A49" s="343" t="s">
        <v>7</v>
      </c>
      <c r="B49" s="344" t="s">
        <v>355</v>
      </c>
      <c r="C49" s="332">
        <f>SUM(C50:C52)</f>
        <v>17470</v>
      </c>
      <c r="D49" s="332">
        <f>SUM(D50:D52)</f>
        <v>24455</v>
      </c>
      <c r="E49" s="332">
        <f>SUM(E50:E52)</f>
        <v>0</v>
      </c>
      <c r="F49" s="332">
        <f>SUM(F50:F52)</f>
        <v>15180</v>
      </c>
    </row>
    <row r="50" spans="1:6">
      <c r="A50" s="336" t="s">
        <v>68</v>
      </c>
      <c r="B50" s="342" t="s">
        <v>126</v>
      </c>
      <c r="C50" s="348">
        <v>8580</v>
      </c>
      <c r="D50" s="348">
        <v>15565</v>
      </c>
      <c r="E50" s="348"/>
      <c r="F50" s="348">
        <v>10709</v>
      </c>
    </row>
    <row r="51" spans="1:6">
      <c r="A51" s="336" t="s">
        <v>69</v>
      </c>
      <c r="B51" s="337" t="s">
        <v>110</v>
      </c>
      <c r="C51" s="360"/>
      <c r="D51" s="360">
        <v>8890</v>
      </c>
      <c r="E51" s="360"/>
      <c r="F51" s="360">
        <v>4471</v>
      </c>
    </row>
    <row r="52" spans="1:6">
      <c r="A52" s="336" t="s">
        <v>70</v>
      </c>
      <c r="B52" s="337" t="s">
        <v>43</v>
      </c>
      <c r="C52" s="360">
        <v>8890</v>
      </c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205485</v>
      </c>
      <c r="D54" s="362">
        <f>+D43+D49</f>
        <v>225177</v>
      </c>
      <c r="E54" s="362">
        <f>E43+E49</f>
        <v>0</v>
      </c>
      <c r="F54" s="362">
        <f>F43+F49</f>
        <v>215019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36</v>
      </c>
      <c r="D56" s="368">
        <v>36</v>
      </c>
      <c r="E56" s="368"/>
      <c r="F56" s="368">
        <v>36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C1:F1"/>
    <mergeCell ref="A42:D42"/>
    <mergeCell ref="C2:F2"/>
    <mergeCell ref="C3:F3"/>
    <mergeCell ref="C4:F4"/>
    <mergeCell ref="A7:F7"/>
  </mergeCells>
  <pageMargins left="0.23" right="0.23" top="0.23" bottom="0.19" header="0.16" footer="0.16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F57"/>
  <sheetViews>
    <sheetView workbookViewId="0">
      <selection activeCell="D26" sqref="D26"/>
    </sheetView>
  </sheetViews>
  <sheetFormatPr defaultRowHeight="12.75"/>
  <cols>
    <col min="1" max="1" width="7.1640625" customWidth="1"/>
    <col min="2" max="2" width="41.1640625" customWidth="1"/>
    <col min="3" max="3" width="9.1640625" bestFit="1" customWidth="1"/>
    <col min="4" max="4" width="14.33203125" customWidth="1"/>
    <col min="5" max="5" width="13.6640625" customWidth="1"/>
    <col min="6" max="6" width="18.33203125" customWidth="1"/>
  </cols>
  <sheetData>
    <row r="1" spans="1:6" ht="13.5" thickBot="1">
      <c r="A1" s="318"/>
      <c r="B1" s="319"/>
      <c r="C1" s="414" t="s">
        <v>429</v>
      </c>
      <c r="D1" s="414"/>
      <c r="E1" s="414"/>
      <c r="F1" s="414"/>
    </row>
    <row r="2" spans="1:6" ht="20.25" customHeight="1">
      <c r="A2" s="320" t="s">
        <v>411</v>
      </c>
      <c r="B2" s="321" t="s">
        <v>412</v>
      </c>
      <c r="C2" s="418" t="s">
        <v>413</v>
      </c>
      <c r="D2" s="419"/>
      <c r="E2" s="419"/>
      <c r="F2" s="420"/>
    </row>
    <row r="3" spans="1:6" ht="12.75" customHeight="1" thickBot="1">
      <c r="A3" s="322" t="s">
        <v>119</v>
      </c>
      <c r="B3" s="323" t="s">
        <v>444</v>
      </c>
      <c r="C3" s="421" t="s">
        <v>417</v>
      </c>
      <c r="D3" s="422"/>
      <c r="E3" s="422"/>
      <c r="F3" s="423"/>
    </row>
    <row r="4" spans="1:6" ht="13.5" thickBot="1">
      <c r="A4" s="324"/>
      <c r="B4" s="324"/>
      <c r="C4" s="424" t="s">
        <v>39</v>
      </c>
      <c r="D4" s="424"/>
      <c r="E4" s="424"/>
      <c r="F4" s="424"/>
    </row>
    <row r="5" spans="1:6" ht="26.25" customHeight="1" thickBot="1">
      <c r="A5" s="382" t="s">
        <v>120</v>
      </c>
      <c r="B5" s="326" t="s">
        <v>40</v>
      </c>
      <c r="C5" s="327" t="s">
        <v>402</v>
      </c>
      <c r="D5" s="327" t="s">
        <v>401</v>
      </c>
      <c r="E5" s="327" t="s">
        <v>405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5" t="s">
        <v>41</v>
      </c>
      <c r="B7" s="416"/>
      <c r="C7" s="416"/>
      <c r="D7" s="416"/>
      <c r="E7" s="416"/>
      <c r="F7" s="417"/>
    </row>
    <row r="8" spans="1:6" ht="13.5" thickBot="1">
      <c r="A8" s="328" t="s">
        <v>6</v>
      </c>
      <c r="B8" s="331" t="s">
        <v>337</v>
      </c>
      <c r="C8" s="332">
        <f>SUM(C9:C18)</f>
        <v>0</v>
      </c>
      <c r="D8" s="332">
        <f>SUM(D9:D18)</f>
        <v>0</v>
      </c>
      <c r="E8" s="332"/>
      <c r="F8" s="332">
        <f>SUM(F9:F18)</f>
        <v>0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/>
      <c r="D10" s="338"/>
      <c r="E10" s="338"/>
      <c r="F10" s="338"/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/>
      <c r="D14" s="338"/>
      <c r="E14" s="338"/>
      <c r="F14" s="338"/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3334</v>
      </c>
      <c r="D19" s="332">
        <f>SUM(D20:D22)</f>
        <v>3334</v>
      </c>
      <c r="E19" s="332"/>
      <c r="F19" s="332">
        <f>SUM(F20:F22)</f>
        <v>3334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3334</v>
      </c>
      <c r="D22" s="338">
        <v>3334</v>
      </c>
      <c r="E22" s="338"/>
      <c r="F22" s="338">
        <v>3334</v>
      </c>
    </row>
    <row r="23" spans="1:6" ht="13.5" thickBot="1">
      <c r="A23" s="336" t="s">
        <v>71</v>
      </c>
      <c r="B23" s="337" t="s">
        <v>0</v>
      </c>
      <c r="C23" s="338"/>
      <c r="D23" s="338"/>
      <c r="E23" s="338"/>
      <c r="F23" s="338"/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3334</v>
      </c>
      <c r="D35" s="355">
        <f>+D8+D19+D24+D25+D29+D33+D34</f>
        <v>3334</v>
      </c>
      <c r="E35" s="355"/>
      <c r="F35" s="355">
        <f>+F8+F19+F24+F25+F29+F33+F34</f>
        <v>3334</v>
      </c>
    </row>
    <row r="36" spans="1:6" ht="13.5" thickBot="1">
      <c r="A36" s="356" t="s">
        <v>14</v>
      </c>
      <c r="B36" s="344" t="s">
        <v>348</v>
      </c>
      <c r="C36" s="355">
        <f>+C37+C38+C39</f>
        <v>0</v>
      </c>
      <c r="D36" s="355">
        <f>+D37+D38+D39</f>
        <v>0</v>
      </c>
      <c r="E36" s="355">
        <f>SUM(E37:E39)</f>
        <v>0</v>
      </c>
      <c r="F36" s="355">
        <f>SUM(F37:F39)</f>
        <v>0</v>
      </c>
    </row>
    <row r="37" spans="1:6">
      <c r="A37" s="346" t="s">
        <v>349</v>
      </c>
      <c r="B37" s="347" t="s">
        <v>135</v>
      </c>
      <c r="C37" s="348"/>
      <c r="D37" s="348"/>
      <c r="E37" s="348"/>
      <c r="F37" s="348"/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3.5" thickBot="1">
      <c r="A39" s="336" t="s">
        <v>351</v>
      </c>
      <c r="B39" s="353" t="s">
        <v>352</v>
      </c>
      <c r="C39" s="352"/>
      <c r="D39" s="352"/>
      <c r="E39" s="352"/>
      <c r="F39" s="352">
        <f>SUM(D39+E39)</f>
        <v>0</v>
      </c>
    </row>
    <row r="40" spans="1:6" ht="13.5" thickBot="1">
      <c r="A40" s="356" t="s">
        <v>15</v>
      </c>
      <c r="B40" s="357" t="s">
        <v>353</v>
      </c>
      <c r="C40" s="358">
        <f>+C35+C36</f>
        <v>3334</v>
      </c>
      <c r="D40" s="358">
        <f>+D35+D36</f>
        <v>3334</v>
      </c>
      <c r="E40" s="358">
        <f>+E35+E36</f>
        <v>0</v>
      </c>
      <c r="F40" s="358">
        <f>+F35+F36</f>
        <v>3334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15" t="s">
        <v>42</v>
      </c>
      <c r="B42" s="416"/>
      <c r="C42" s="416"/>
      <c r="D42" s="417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3334</v>
      </c>
      <c r="D43" s="332">
        <f>D44+D45+D46+D47+D48</f>
        <v>3334</v>
      </c>
      <c r="E43" s="332"/>
      <c r="F43" s="332">
        <f>F44+F45+F46+F47+F48</f>
        <v>3334</v>
      </c>
    </row>
    <row r="44" spans="1:6">
      <c r="A44" s="336" t="s">
        <v>62</v>
      </c>
      <c r="B44" s="342" t="s">
        <v>36</v>
      </c>
      <c r="C44" s="348">
        <f>120151-117860</f>
        <v>2291</v>
      </c>
      <c r="D44" s="348">
        <v>2291</v>
      </c>
      <c r="E44" s="348"/>
      <c r="F44" s="348">
        <v>2291</v>
      </c>
    </row>
    <row r="45" spans="1:6">
      <c r="A45" s="336" t="s">
        <v>63</v>
      </c>
      <c r="B45" s="337" t="s">
        <v>106</v>
      </c>
      <c r="C45" s="360">
        <f>33034-32416</f>
        <v>618</v>
      </c>
      <c r="D45" s="360">
        <f>35072-34454</f>
        <v>618</v>
      </c>
      <c r="E45" s="360"/>
      <c r="F45" s="360">
        <v>618</v>
      </c>
    </row>
    <row r="46" spans="1:6">
      <c r="A46" s="336" t="s">
        <v>64</v>
      </c>
      <c r="B46" s="337" t="s">
        <v>81</v>
      </c>
      <c r="C46" s="360">
        <f>34043-33618</f>
        <v>425</v>
      </c>
      <c r="D46" s="360">
        <f>36860-36435</f>
        <v>425</v>
      </c>
      <c r="E46" s="360"/>
      <c r="F46" s="360">
        <v>425</v>
      </c>
    </row>
    <row r="47" spans="1:6">
      <c r="A47" s="336" t="s">
        <v>65</v>
      </c>
      <c r="B47" s="337" t="s">
        <v>107</v>
      </c>
      <c r="C47" s="360">
        <v>0</v>
      </c>
      <c r="D47" s="360">
        <v>0</v>
      </c>
      <c r="E47" s="360"/>
      <c r="F47" s="360">
        <v>0</v>
      </c>
    </row>
    <row r="48" spans="1:6" ht="13.5" thickBot="1">
      <c r="A48" s="336" t="s">
        <v>82</v>
      </c>
      <c r="B48" s="337" t="s">
        <v>108</v>
      </c>
      <c r="C48" s="360"/>
      <c r="D48" s="360">
        <v>0</v>
      </c>
      <c r="E48" s="360"/>
      <c r="F48" s="360">
        <v>0</v>
      </c>
    </row>
    <row r="49" spans="1:6" ht="13.5" thickBot="1">
      <c r="A49" s="343" t="s">
        <v>7</v>
      </c>
      <c r="B49" s="344" t="s">
        <v>355</v>
      </c>
      <c r="C49" s="332">
        <f>SUM(C50:C52)</f>
        <v>0</v>
      </c>
      <c r="D49" s="332">
        <f>SUM(D50:D52)</f>
        <v>0</v>
      </c>
      <c r="E49" s="332">
        <f>SUM(E50:E52)</f>
        <v>0</v>
      </c>
      <c r="F49" s="332">
        <f>SUM(F50:F52)</f>
        <v>0</v>
      </c>
    </row>
    <row r="50" spans="1:6">
      <c r="A50" s="336" t="s">
        <v>68</v>
      </c>
      <c r="B50" s="342" t="s">
        <v>126</v>
      </c>
      <c r="C50" s="348">
        <v>0</v>
      </c>
      <c r="D50" s="348">
        <v>0</v>
      </c>
      <c r="E50" s="348"/>
      <c r="F50" s="348">
        <f>SUM(D50+E50)</f>
        <v>0</v>
      </c>
    </row>
    <row r="51" spans="1:6">
      <c r="A51" s="336" t="s">
        <v>69</v>
      </c>
      <c r="B51" s="337" t="s">
        <v>110</v>
      </c>
      <c r="C51" s="360"/>
      <c r="D51" s="360">
        <v>0</v>
      </c>
      <c r="E51" s="360"/>
      <c r="F51" s="360">
        <v>0</v>
      </c>
    </row>
    <row r="52" spans="1:6">
      <c r="A52" s="336" t="s">
        <v>70</v>
      </c>
      <c r="B52" s="337" t="s">
        <v>43</v>
      </c>
      <c r="C52" s="360">
        <v>0</v>
      </c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3334</v>
      </c>
      <c r="D54" s="362">
        <f>+D43+D49</f>
        <v>3334</v>
      </c>
      <c r="E54" s="362">
        <f>E43+E49</f>
        <v>0</v>
      </c>
      <c r="F54" s="362">
        <f>+F43+F49</f>
        <v>3334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1</v>
      </c>
      <c r="D56" s="368">
        <v>1</v>
      </c>
      <c r="E56" s="368"/>
      <c r="F56" s="368">
        <v>1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A42:D42"/>
    <mergeCell ref="C1:F1"/>
    <mergeCell ref="C2:F2"/>
    <mergeCell ref="C3:F3"/>
    <mergeCell ref="C4:F4"/>
    <mergeCell ref="A7:F7"/>
  </mergeCells>
  <pageMargins left="0.23" right="0.23" top="0.23" bottom="0.19" header="0.16" footer="0.16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zoomScaleNormal="100" zoomScaleSheetLayoutView="100" workbookViewId="0">
      <selection activeCell="D36" sqref="D36:E36"/>
    </sheetView>
  </sheetViews>
  <sheetFormatPr defaultColWidth="9.33203125"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430</v>
      </c>
    </row>
    <row r="2" spans="1:6" s="215" customFormat="1" ht="25.5" customHeight="1">
      <c r="A2" s="166" t="s">
        <v>406</v>
      </c>
      <c r="B2" s="291" t="s">
        <v>369</v>
      </c>
      <c r="C2" s="426" t="s">
        <v>46</v>
      </c>
      <c r="D2" s="427"/>
      <c r="E2" s="427"/>
      <c r="F2" s="428"/>
    </row>
    <row r="3" spans="1:6" s="215" customFormat="1" ht="24.75" thickBot="1">
      <c r="A3" s="207" t="s">
        <v>119</v>
      </c>
      <c r="B3" s="141" t="s">
        <v>336</v>
      </c>
      <c r="C3" s="429" t="s">
        <v>38</v>
      </c>
      <c r="D3" s="430"/>
      <c r="E3" s="430"/>
      <c r="F3" s="431"/>
    </row>
    <row r="4" spans="1:6" s="216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49244</v>
      </c>
      <c r="E8" s="106">
        <f>SUM(E9:E18)</f>
        <v>5716</v>
      </c>
      <c r="F8" s="106">
        <f>SUM(F9:F18)</f>
        <v>54960</v>
      </c>
    </row>
    <row r="9" spans="1:6" s="152" customFormat="1" ht="12" customHeight="1" thickBot="1">
      <c r="A9" s="208" t="s">
        <v>62</v>
      </c>
      <c r="B9" s="8" t="s">
        <v>179</v>
      </c>
      <c r="C9" s="143"/>
      <c r="D9" s="143"/>
      <c r="E9" s="143">
        <f>F9-D9</f>
        <v>0</v>
      </c>
      <c r="F9" s="143"/>
    </row>
    <row r="10" spans="1:6" s="152" customFormat="1" ht="12" customHeight="1" thickBot="1">
      <c r="A10" s="209" t="s">
        <v>63</v>
      </c>
      <c r="B10" s="6" t="s">
        <v>180</v>
      </c>
      <c r="C10" s="104">
        <v>534</v>
      </c>
      <c r="D10" s="104">
        <v>534</v>
      </c>
      <c r="E10" s="143">
        <f t="shared" ref="E10:E18" si="0">F10-D10</f>
        <v>460</v>
      </c>
      <c r="F10" s="104">
        <v>994</v>
      </c>
    </row>
    <row r="11" spans="1:6" s="152" customFormat="1" ht="12" customHeight="1" thickBot="1">
      <c r="A11" s="209" t="s">
        <v>64</v>
      </c>
      <c r="B11" s="6" t="s">
        <v>181</v>
      </c>
      <c r="C11" s="104">
        <v>2152</v>
      </c>
      <c r="D11" s="104">
        <v>2152</v>
      </c>
      <c r="E11" s="143">
        <f t="shared" si="0"/>
        <v>0</v>
      </c>
      <c r="F11" s="104">
        <v>2152</v>
      </c>
    </row>
    <row r="12" spans="1:6" s="152" customFormat="1" ht="12" customHeight="1" thickBot="1">
      <c r="A12" s="209" t="s">
        <v>65</v>
      </c>
      <c r="B12" s="6" t="s">
        <v>182</v>
      </c>
      <c r="C12" s="104"/>
      <c r="D12" s="104"/>
      <c r="E12" s="143">
        <f t="shared" si="0"/>
        <v>0</v>
      </c>
      <c r="F12" s="104"/>
    </row>
    <row r="13" spans="1:6" s="152" customFormat="1" ht="12" customHeight="1" thickBot="1">
      <c r="A13" s="209" t="s">
        <v>82</v>
      </c>
      <c r="B13" s="6" t="s">
        <v>183</v>
      </c>
      <c r="C13" s="104">
        <v>34132</v>
      </c>
      <c r="D13" s="104">
        <v>30843</v>
      </c>
      <c r="E13" s="143">
        <f t="shared" si="0"/>
        <v>-532</v>
      </c>
      <c r="F13" s="104">
        <v>30311</v>
      </c>
    </row>
    <row r="14" spans="1:6" s="152" customFormat="1" ht="12" customHeight="1" thickBot="1">
      <c r="A14" s="209" t="s">
        <v>66</v>
      </c>
      <c r="B14" s="6" t="s">
        <v>338</v>
      </c>
      <c r="C14" s="104">
        <v>9797</v>
      </c>
      <c r="D14" s="104">
        <v>9797</v>
      </c>
      <c r="E14" s="143">
        <f t="shared" si="0"/>
        <v>-575</v>
      </c>
      <c r="F14" s="104">
        <v>9222</v>
      </c>
    </row>
    <row r="15" spans="1:6" s="152" customFormat="1" ht="12" customHeight="1" thickBot="1">
      <c r="A15" s="209" t="s">
        <v>67</v>
      </c>
      <c r="B15" s="5" t="s">
        <v>339</v>
      </c>
      <c r="C15" s="104">
        <v>5918</v>
      </c>
      <c r="D15" s="104">
        <v>5918</v>
      </c>
      <c r="E15" s="143">
        <f t="shared" si="0"/>
        <v>6327</v>
      </c>
      <c r="F15" s="104">
        <v>12245</v>
      </c>
    </row>
    <row r="16" spans="1:6" s="152" customFormat="1" ht="12" customHeight="1" thickBot="1">
      <c r="A16" s="209" t="s">
        <v>74</v>
      </c>
      <c r="B16" s="6" t="s">
        <v>186</v>
      </c>
      <c r="C16" s="144"/>
      <c r="D16" s="144"/>
      <c r="E16" s="143">
        <f t="shared" si="0"/>
        <v>7</v>
      </c>
      <c r="F16" s="144">
        <v>7</v>
      </c>
    </row>
    <row r="17" spans="1:6" s="218" customFormat="1" ht="12" customHeight="1" thickBot="1">
      <c r="A17" s="209" t="s">
        <v>75</v>
      </c>
      <c r="B17" s="6" t="s">
        <v>187</v>
      </c>
      <c r="C17" s="104"/>
      <c r="D17" s="104"/>
      <c r="E17" s="143">
        <f t="shared" si="0"/>
        <v>0</v>
      </c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43">
        <f t="shared" si="0"/>
        <v>29</v>
      </c>
      <c r="F18" s="105">
        <v>29</v>
      </c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779</v>
      </c>
      <c r="E19" s="106">
        <f>SUM(E20:E22)</f>
        <v>0</v>
      </c>
      <c r="F19" s="106">
        <f>SUM(F20:F22)</f>
        <v>779</v>
      </c>
    </row>
    <row r="20" spans="1:6" s="218" customFormat="1" ht="12" customHeight="1">
      <c r="A20" s="209" t="s">
        <v>68</v>
      </c>
      <c r="B20" s="7" t="s">
        <v>154</v>
      </c>
      <c r="C20" s="104"/>
      <c r="D20" s="104"/>
      <c r="E20" s="104">
        <f>F20-D20</f>
        <v>0</v>
      </c>
      <c r="F20" s="104"/>
    </row>
    <row r="21" spans="1:6" s="218" customFormat="1" ht="12" customHeight="1">
      <c r="A21" s="209" t="s">
        <v>69</v>
      </c>
      <c r="B21" s="6" t="s">
        <v>341</v>
      </c>
      <c r="C21" s="104"/>
      <c r="D21" s="104"/>
      <c r="E21" s="104">
        <f t="shared" ref="E21:E23" si="1">F21-D21</f>
        <v>0</v>
      </c>
      <c r="F21" s="104"/>
    </row>
    <row r="22" spans="1:6" s="218" customFormat="1" ht="12" customHeight="1">
      <c r="A22" s="209" t="s">
        <v>70</v>
      </c>
      <c r="B22" s="6" t="s">
        <v>414</v>
      </c>
      <c r="C22" s="104"/>
      <c r="D22" s="104">
        <v>779</v>
      </c>
      <c r="E22" s="104">
        <f t="shared" si="1"/>
        <v>0</v>
      </c>
      <c r="F22" s="104">
        <v>779</v>
      </c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4">
        <f t="shared" si="1"/>
        <v>0</v>
      </c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31"/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>+E26+E27</f>
        <v>0</v>
      </c>
      <c r="F25" s="106">
        <f>+F26+F27</f>
        <v>0</v>
      </c>
    </row>
    <row r="26" spans="1:6" s="218" customFormat="1" ht="12" customHeight="1">
      <c r="A26" s="210" t="s">
        <v>164</v>
      </c>
      <c r="B26" s="211" t="s">
        <v>341</v>
      </c>
      <c r="C26" s="33"/>
      <c r="D26" s="33"/>
      <c r="E26" s="33"/>
      <c r="F26" s="33"/>
    </row>
    <row r="27" spans="1:6" s="218" customFormat="1" ht="12" customHeight="1">
      <c r="A27" s="210" t="s">
        <v>167</v>
      </c>
      <c r="B27" s="212" t="s">
        <v>343</v>
      </c>
      <c r="C27" s="107"/>
      <c r="D27" s="107"/>
      <c r="E27" s="107"/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36"/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>+E30+E31+E32</f>
        <v>0</v>
      </c>
      <c r="F29" s="106">
        <f>+F30+F31+F32</f>
        <v>0</v>
      </c>
    </row>
    <row r="30" spans="1:6" s="218" customFormat="1" ht="12" customHeight="1">
      <c r="A30" s="210" t="s">
        <v>55</v>
      </c>
      <c r="B30" s="211" t="s">
        <v>193</v>
      </c>
      <c r="C30" s="33"/>
      <c r="D30" s="33"/>
      <c r="E30" s="33"/>
      <c r="F30" s="33"/>
    </row>
    <row r="31" spans="1:6" s="218" customFormat="1" ht="12" customHeight="1">
      <c r="A31" s="210" t="s">
        <v>56</v>
      </c>
      <c r="B31" s="212" t="s">
        <v>194</v>
      </c>
      <c r="C31" s="107"/>
      <c r="D31" s="107"/>
      <c r="E31" s="107"/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36"/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31"/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45"/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50023</v>
      </c>
      <c r="E35" s="146">
        <f>+E8+E19+E24+E25+E29+E33+E34</f>
        <v>5716</v>
      </c>
      <c r="F35" s="146">
        <f>+F8+F19+F24+F25+F29+F33+F34</f>
        <v>55739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f>D37+D38+D39</f>
        <v>284432</v>
      </c>
      <c r="E36" s="146">
        <f>E37+E38+E39</f>
        <v>-19714</v>
      </c>
      <c r="F36" s="146">
        <f>+F37+F38+F39</f>
        <v>264718</v>
      </c>
    </row>
    <row r="37" spans="1:6" s="152" customFormat="1" ht="12" customHeight="1">
      <c r="A37" s="210" t="s">
        <v>349</v>
      </c>
      <c r="B37" s="211" t="s">
        <v>135</v>
      </c>
      <c r="C37" s="33"/>
      <c r="D37" s="33">
        <v>78</v>
      </c>
      <c r="E37" s="33">
        <f>F37-D37</f>
        <v>0</v>
      </c>
      <c r="F37" s="33">
        <v>78</v>
      </c>
    </row>
    <row r="38" spans="1:6" s="152" customFormat="1" ht="12" customHeight="1">
      <c r="A38" s="210" t="s">
        <v>350</v>
      </c>
      <c r="B38" s="212" t="s">
        <v>1</v>
      </c>
      <c r="C38" s="107"/>
      <c r="D38" s="107"/>
      <c r="E38" s="33">
        <f t="shared" ref="E38:E39" si="2">F38-D38</f>
        <v>0</v>
      </c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284354</v>
      </c>
      <c r="E39" s="33">
        <f t="shared" si="2"/>
        <v>-19714</v>
      </c>
      <c r="F39" s="104">
        <v>264640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334455</v>
      </c>
      <c r="E40" s="149">
        <f>+E35+E36</f>
        <v>-13998</v>
      </c>
      <c r="F40" s="149">
        <f>+F35+F36</f>
        <v>320457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404" t="s">
        <v>42</v>
      </c>
      <c r="B43" s="405"/>
      <c r="C43" s="405"/>
      <c r="D43" s="405"/>
      <c r="E43" s="405"/>
      <c r="F43" s="406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332813</v>
      </c>
      <c r="E44" s="106">
        <f>SUM(E45:E49)</f>
        <v>-13998</v>
      </c>
      <c r="F44" s="106">
        <f>SUM(F45:F49)</f>
        <v>318815</v>
      </c>
    </row>
    <row r="45" spans="1:6" ht="12" customHeight="1">
      <c r="A45" s="209" t="s">
        <v>62</v>
      </c>
      <c r="B45" s="7" t="s">
        <v>36</v>
      </c>
      <c r="C45" s="33">
        <v>102134</v>
      </c>
      <c r="D45" s="33">
        <v>103100</v>
      </c>
      <c r="E45" s="33">
        <f>'3.3.1 sz. mell Óvoda köt.'!E45</f>
        <v>-855</v>
      </c>
      <c r="F45" s="33">
        <v>102245</v>
      </c>
    </row>
    <row r="46" spans="1:6" ht="12" customHeight="1">
      <c r="A46" s="209" t="s">
        <v>63</v>
      </c>
      <c r="B46" s="6" t="s">
        <v>106</v>
      </c>
      <c r="C46" s="35">
        <v>27371</v>
      </c>
      <c r="D46" s="35">
        <v>27486</v>
      </c>
      <c r="E46" s="33">
        <f>'3.3.1 sz. mell Óvoda köt.'!E46</f>
        <v>664</v>
      </c>
      <c r="F46" s="33">
        <v>28150</v>
      </c>
    </row>
    <row r="47" spans="1:6" ht="12" customHeight="1">
      <c r="A47" s="209" t="s">
        <v>64</v>
      </c>
      <c r="B47" s="6" t="s">
        <v>81</v>
      </c>
      <c r="C47" s="35">
        <v>191871</v>
      </c>
      <c r="D47" s="35">
        <v>202057</v>
      </c>
      <c r="E47" s="33">
        <f>'3.3.1 sz. mell Óvoda köt.'!E47</f>
        <v>-13780</v>
      </c>
      <c r="F47" s="33">
        <v>188277</v>
      </c>
    </row>
    <row r="48" spans="1:6" ht="12" customHeight="1">
      <c r="A48" s="209" t="s">
        <v>65</v>
      </c>
      <c r="B48" s="6" t="s">
        <v>107</v>
      </c>
      <c r="C48" s="35"/>
      <c r="D48" s="35"/>
      <c r="E48" s="33">
        <f>'3.3.1 sz. mell Óvoda köt.'!E48</f>
        <v>0</v>
      </c>
      <c r="F48" s="35"/>
    </row>
    <row r="49" spans="1:6" ht="12" customHeight="1" thickBot="1">
      <c r="A49" s="209" t="s">
        <v>82</v>
      </c>
      <c r="B49" s="6" t="s">
        <v>108</v>
      </c>
      <c r="C49" s="35"/>
      <c r="D49" s="35">
        <v>170</v>
      </c>
      <c r="E49" s="33">
        <f>'3.3.1 sz. mell Óvoda köt.'!E49</f>
        <v>-27</v>
      </c>
      <c r="F49" s="35">
        <v>143</v>
      </c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1642</v>
      </c>
      <c r="E50" s="377"/>
      <c r="F50" s="106">
        <f>SUM(F51:F53)</f>
        <v>1642</v>
      </c>
    </row>
    <row r="51" spans="1:6" s="219" customFormat="1" ht="12" customHeight="1">
      <c r="A51" s="209" t="s">
        <v>68</v>
      </c>
      <c r="B51" s="7" t="s">
        <v>126</v>
      </c>
      <c r="C51" s="33">
        <v>1033</v>
      </c>
      <c r="D51" s="33">
        <v>1642</v>
      </c>
      <c r="E51" s="33"/>
      <c r="F51" s="33">
        <v>1642</v>
      </c>
    </row>
    <row r="52" spans="1:6" ht="12" customHeight="1">
      <c r="A52" s="209" t="s">
        <v>69</v>
      </c>
      <c r="B52" s="6" t="s">
        <v>110</v>
      </c>
      <c r="C52" s="35"/>
      <c r="D52" s="35"/>
      <c r="E52" s="33">
        <f>'3.3.1 sz. mell Óvoda köt.'!E52</f>
        <v>0</v>
      </c>
      <c r="F52" s="35"/>
    </row>
    <row r="53" spans="1:6" ht="12" customHeight="1">
      <c r="A53" s="209" t="s">
        <v>70</v>
      </c>
      <c r="B53" s="6" t="s">
        <v>43</v>
      </c>
      <c r="C53" s="35"/>
      <c r="D53" s="35"/>
      <c r="E53" s="33">
        <f>'3.3.1 sz. mell Óvoda köt.'!E53</f>
        <v>0</v>
      </c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107">
        <f>'3.3.1 sz. mell Óvoda köt.'!E54</f>
        <v>0</v>
      </c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334455</v>
      </c>
      <c r="E55" s="150">
        <f>+E44+E50</f>
        <v>-13998</v>
      </c>
      <c r="F55" s="150">
        <f>+F44+F50</f>
        <v>320457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0"/>
  <sheetViews>
    <sheetView view="pageBreakPreview" zoomScaleNormal="120" zoomScaleSheetLayoutView="100" workbookViewId="0">
      <selection activeCell="D1" sqref="D1"/>
    </sheetView>
  </sheetViews>
  <sheetFormatPr defaultColWidth="9.33203125" defaultRowHeight="15.75"/>
  <cols>
    <col min="1" max="1" width="9.5" style="154" customWidth="1"/>
    <col min="2" max="2" width="72.8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>
      <c r="D1" s="448" t="s">
        <v>447</v>
      </c>
    </row>
    <row r="2" spans="1:4" ht="15.95" customHeight="1">
      <c r="A2" s="392" t="s">
        <v>4</v>
      </c>
      <c r="B2" s="392"/>
      <c r="C2" s="392"/>
      <c r="D2" s="392"/>
    </row>
    <row r="3" spans="1:4" ht="15.95" customHeight="1" thickBot="1">
      <c r="A3" s="393" t="s">
        <v>85</v>
      </c>
      <c r="B3" s="393"/>
      <c r="C3" s="395" t="s">
        <v>127</v>
      </c>
      <c r="D3" s="395"/>
    </row>
    <row r="4" spans="1:4" ht="38.1" customHeight="1" thickBot="1">
      <c r="A4" s="21" t="s">
        <v>50</v>
      </c>
      <c r="B4" s="22" t="s">
        <v>5</v>
      </c>
      <c r="C4" s="28" t="s">
        <v>402</v>
      </c>
      <c r="D4" s="28" t="s">
        <v>401</v>
      </c>
    </row>
    <row r="5" spans="1:4" s="174" customFormat="1" ht="12" customHeight="1" thickBot="1">
      <c r="A5" s="168">
        <v>1</v>
      </c>
      <c r="B5" s="169">
        <v>2</v>
      </c>
      <c r="C5" s="170">
        <v>3</v>
      </c>
      <c r="D5" s="170">
        <v>4</v>
      </c>
    </row>
    <row r="6" spans="1:4" s="175" customFormat="1" ht="12" customHeight="1" thickBot="1">
      <c r="A6" s="18" t="s">
        <v>6</v>
      </c>
      <c r="B6" s="19" t="s">
        <v>146</v>
      </c>
      <c r="C6" s="87">
        <f>+C7+C8+C9+C10+C11+C12</f>
        <v>454969</v>
      </c>
      <c r="D6" s="87">
        <f>+D7+D8+D9+D10+D11+D12</f>
        <v>521358</v>
      </c>
    </row>
    <row r="7" spans="1:4" s="175" customFormat="1" ht="12" customHeight="1">
      <c r="A7" s="13" t="s">
        <v>62</v>
      </c>
      <c r="B7" s="176" t="s">
        <v>147</v>
      </c>
      <c r="C7" s="90">
        <f>125345</f>
        <v>125345</v>
      </c>
      <c r="D7" s="90">
        <v>126301</v>
      </c>
    </row>
    <row r="8" spans="1:4" s="175" customFormat="1" ht="12" customHeight="1">
      <c r="A8" s="12" t="s">
        <v>63</v>
      </c>
      <c r="B8" s="177" t="s">
        <v>148</v>
      </c>
      <c r="C8" s="89">
        <v>106440</v>
      </c>
      <c r="D8" s="89">
        <v>109209</v>
      </c>
    </row>
    <row r="9" spans="1:4" s="175" customFormat="1" ht="12" customHeight="1">
      <c r="A9" s="12" t="s">
        <v>64</v>
      </c>
      <c r="B9" s="177" t="s">
        <v>149</v>
      </c>
      <c r="C9" s="89">
        <v>152266</v>
      </c>
      <c r="D9" s="89">
        <v>172223</v>
      </c>
    </row>
    <row r="10" spans="1:4" s="175" customFormat="1" ht="12" customHeight="1">
      <c r="A10" s="12" t="s">
        <v>65</v>
      </c>
      <c r="B10" s="177" t="s">
        <v>150</v>
      </c>
      <c r="C10" s="89">
        <v>18738</v>
      </c>
      <c r="D10" s="89">
        <v>19195</v>
      </c>
    </row>
    <row r="11" spans="1:4" s="175" customFormat="1" ht="12" customHeight="1">
      <c r="A11" s="12" t="s">
        <v>82</v>
      </c>
      <c r="B11" s="177" t="s">
        <v>151</v>
      </c>
      <c r="C11" s="89">
        <v>2180</v>
      </c>
      <c r="D11" s="89">
        <v>94430</v>
      </c>
    </row>
    <row r="12" spans="1:4" s="175" customFormat="1" ht="12" customHeight="1" thickBot="1">
      <c r="A12" s="14" t="s">
        <v>66</v>
      </c>
      <c r="B12" s="178" t="s">
        <v>152</v>
      </c>
      <c r="C12" s="89">
        <v>50000</v>
      </c>
      <c r="D12" s="89">
        <v>0</v>
      </c>
    </row>
    <row r="13" spans="1:4" s="175" customFormat="1" ht="12" customHeight="1" thickBot="1">
      <c r="A13" s="18" t="s">
        <v>7</v>
      </c>
      <c r="B13" s="82" t="s">
        <v>441</v>
      </c>
      <c r="C13" s="87">
        <f>+C14+C15+C16+C17+C18</f>
        <v>74940</v>
      </c>
      <c r="D13" s="87">
        <f>+D14+D15+D16+D17+D18</f>
        <v>79052</v>
      </c>
    </row>
    <row r="14" spans="1:4" s="175" customFormat="1" ht="12" customHeight="1">
      <c r="A14" s="13" t="s">
        <v>68</v>
      </c>
      <c r="B14" s="176" t="s">
        <v>154</v>
      </c>
      <c r="C14" s="90"/>
      <c r="D14" s="90">
        <v>888</v>
      </c>
    </row>
    <row r="15" spans="1:4" s="175" customFormat="1" ht="12" customHeight="1">
      <c r="A15" s="12" t="s">
        <v>69</v>
      </c>
      <c r="B15" s="177" t="s">
        <v>155</v>
      </c>
      <c r="C15" s="89"/>
      <c r="D15" s="89"/>
    </row>
    <row r="16" spans="1:4" s="175" customFormat="1" ht="12" customHeight="1">
      <c r="A16" s="12" t="s">
        <v>70</v>
      </c>
      <c r="B16" s="177" t="s">
        <v>358</v>
      </c>
      <c r="C16" s="89"/>
      <c r="D16" s="89"/>
    </row>
    <row r="17" spans="1:4" s="175" customFormat="1" ht="12" customHeight="1">
      <c r="A17" s="12" t="s">
        <v>71</v>
      </c>
      <c r="B17" s="177" t="s">
        <v>359</v>
      </c>
      <c r="C17" s="89"/>
      <c r="D17" s="89"/>
    </row>
    <row r="18" spans="1:4" s="175" customFormat="1" ht="12" customHeight="1">
      <c r="A18" s="12" t="s">
        <v>72</v>
      </c>
      <c r="B18" s="177" t="s">
        <v>156</v>
      </c>
      <c r="C18" s="89">
        <f>65478+9462</f>
        <v>74940</v>
      </c>
      <c r="D18" s="89">
        <f>65923+779+11462</f>
        <v>78164</v>
      </c>
    </row>
    <row r="19" spans="1:4" s="175" customFormat="1" ht="12" customHeight="1" thickBot="1">
      <c r="A19" s="14" t="s">
        <v>78</v>
      </c>
      <c r="B19" s="178" t="s">
        <v>157</v>
      </c>
      <c r="C19" s="91">
        <v>9462</v>
      </c>
      <c r="D19" s="91">
        <v>9462</v>
      </c>
    </row>
    <row r="20" spans="1:4" s="175" customFormat="1" ht="12" customHeight="1" thickBot="1">
      <c r="A20" s="18" t="s">
        <v>8</v>
      </c>
      <c r="B20" s="19" t="s">
        <v>158</v>
      </c>
      <c r="C20" s="87">
        <f>+C21+C22+C23+C24+C25</f>
        <v>90505</v>
      </c>
      <c r="D20" s="87">
        <f>+D21+D22+D23+D24+D25</f>
        <v>181703</v>
      </c>
    </row>
    <row r="21" spans="1:4" s="175" customFormat="1" ht="12" customHeight="1">
      <c r="A21" s="13" t="s">
        <v>51</v>
      </c>
      <c r="B21" s="176" t="s">
        <v>159</v>
      </c>
      <c r="C21" s="90"/>
      <c r="D21" s="90">
        <v>31447</v>
      </c>
    </row>
    <row r="22" spans="1:4" s="175" customFormat="1" ht="12" customHeight="1">
      <c r="A22" s="12" t="s">
        <v>52</v>
      </c>
      <c r="B22" s="177" t="s">
        <v>160</v>
      </c>
      <c r="C22" s="89"/>
      <c r="D22" s="89"/>
    </row>
    <row r="23" spans="1:4" s="175" customFormat="1" ht="12" customHeight="1">
      <c r="A23" s="12" t="s">
        <v>53</v>
      </c>
      <c r="B23" s="177" t="s">
        <v>360</v>
      </c>
      <c r="C23" s="89"/>
      <c r="D23" s="89"/>
    </row>
    <row r="24" spans="1:4" s="175" customFormat="1" ht="12" customHeight="1">
      <c r="A24" s="12" t="s">
        <v>54</v>
      </c>
      <c r="B24" s="177" t="s">
        <v>361</v>
      </c>
      <c r="C24" s="89"/>
      <c r="D24" s="89"/>
    </row>
    <row r="25" spans="1:4" s="175" customFormat="1" ht="12" customHeight="1">
      <c r="A25" s="12" t="s">
        <v>94</v>
      </c>
      <c r="B25" s="177" t="s">
        <v>161</v>
      </c>
      <c r="C25" s="89">
        <v>90505</v>
      </c>
      <c r="D25" s="89">
        <v>150256</v>
      </c>
    </row>
    <row r="26" spans="1:4" s="175" customFormat="1" ht="12" customHeight="1" thickBot="1">
      <c r="A26" s="14" t="s">
        <v>95</v>
      </c>
      <c r="B26" s="178" t="s">
        <v>162</v>
      </c>
      <c r="C26" s="91">
        <v>79054</v>
      </c>
      <c r="D26" s="91">
        <v>0</v>
      </c>
    </row>
    <row r="27" spans="1:4" s="175" customFormat="1" ht="12" customHeight="1" thickBot="1">
      <c r="A27" s="18" t="s">
        <v>96</v>
      </c>
      <c r="B27" s="19" t="s">
        <v>163</v>
      </c>
      <c r="C27" s="93">
        <f>+C28+C31+C32+C33</f>
        <v>413920</v>
      </c>
      <c r="D27" s="93">
        <f>+D28+D31+D32+D33</f>
        <v>594411</v>
      </c>
    </row>
    <row r="28" spans="1:4" s="175" customFormat="1" ht="12" customHeight="1">
      <c r="A28" s="13" t="s">
        <v>164</v>
      </c>
      <c r="B28" s="176" t="s">
        <v>170</v>
      </c>
      <c r="C28" s="171">
        <f>+C29+C30</f>
        <v>380800</v>
      </c>
      <c r="D28" s="171">
        <f>+D29+D30</f>
        <v>558401</v>
      </c>
    </row>
    <row r="29" spans="1:4" s="175" customFormat="1" ht="12" customHeight="1">
      <c r="A29" s="12" t="s">
        <v>165</v>
      </c>
      <c r="B29" s="177" t="s">
        <v>171</v>
      </c>
      <c r="C29" s="89">
        <v>40000</v>
      </c>
      <c r="D29" s="89">
        <v>43523</v>
      </c>
    </row>
    <row r="30" spans="1:4" s="175" customFormat="1" ht="12" customHeight="1">
      <c r="A30" s="12" t="s">
        <v>166</v>
      </c>
      <c r="B30" s="177" t="s">
        <v>172</v>
      </c>
      <c r="C30" s="89">
        <v>340800</v>
      </c>
      <c r="D30" s="89">
        <v>514878</v>
      </c>
    </row>
    <row r="31" spans="1:4" s="175" customFormat="1" ht="12" customHeight="1">
      <c r="A31" s="12" t="s">
        <v>167</v>
      </c>
      <c r="B31" s="177" t="s">
        <v>173</v>
      </c>
      <c r="C31" s="89">
        <v>31000</v>
      </c>
      <c r="D31" s="89">
        <v>32360</v>
      </c>
    </row>
    <row r="32" spans="1:4" s="175" customFormat="1" ht="12" customHeight="1">
      <c r="A32" s="12" t="s">
        <v>168</v>
      </c>
      <c r="B32" s="177" t="s">
        <v>174</v>
      </c>
      <c r="C32" s="89"/>
      <c r="D32" s="89">
        <v>800</v>
      </c>
    </row>
    <row r="33" spans="1:4" s="175" customFormat="1" ht="12" customHeight="1" thickBot="1">
      <c r="A33" s="14" t="s">
        <v>169</v>
      </c>
      <c r="B33" s="178" t="s">
        <v>175</v>
      </c>
      <c r="C33" s="91">
        <v>2120</v>
      </c>
      <c r="D33" s="91">
        <v>2850</v>
      </c>
    </row>
    <row r="34" spans="1:4" s="175" customFormat="1" ht="12" customHeight="1" thickBot="1">
      <c r="A34" s="18" t="s">
        <v>10</v>
      </c>
      <c r="B34" s="19" t="s">
        <v>176</v>
      </c>
      <c r="C34" s="87">
        <f>SUM(C35:C44)</f>
        <v>138073</v>
      </c>
      <c r="D34" s="87">
        <f>SUM(D35:D44)</f>
        <v>159855</v>
      </c>
    </row>
    <row r="35" spans="1:4" s="175" customFormat="1" ht="12" customHeight="1">
      <c r="A35" s="13" t="s">
        <v>55</v>
      </c>
      <c r="B35" s="176" t="s">
        <v>179</v>
      </c>
      <c r="C35" s="90">
        <v>200</v>
      </c>
      <c r="D35" s="90">
        <v>200</v>
      </c>
    </row>
    <row r="36" spans="1:4" s="175" customFormat="1" ht="12" customHeight="1">
      <c r="A36" s="12" t="s">
        <v>56</v>
      </c>
      <c r="B36" s="177" t="s">
        <v>180</v>
      </c>
      <c r="C36" s="89">
        <f>50326+534+4033</f>
        <v>54893</v>
      </c>
      <c r="D36" s="89">
        <f>51887+994+4033</f>
        <v>56914</v>
      </c>
    </row>
    <row r="37" spans="1:4" s="175" customFormat="1" ht="12" customHeight="1">
      <c r="A37" s="12" t="s">
        <v>57</v>
      </c>
      <c r="B37" s="177" t="s">
        <v>181</v>
      </c>
      <c r="C37" s="89">
        <f>2711+2152</f>
        <v>4863</v>
      </c>
      <c r="D37" s="89">
        <f>2818+2152</f>
        <v>4970</v>
      </c>
    </row>
    <row r="38" spans="1:4" s="175" customFormat="1" ht="12" customHeight="1">
      <c r="A38" s="12" t="s">
        <v>98</v>
      </c>
      <c r="B38" s="177" t="s">
        <v>182</v>
      </c>
      <c r="C38" s="89">
        <v>10431</v>
      </c>
      <c r="D38" s="89">
        <v>10915</v>
      </c>
    </row>
    <row r="39" spans="1:4" s="175" customFormat="1" ht="12" customHeight="1">
      <c r="A39" s="12" t="s">
        <v>99</v>
      </c>
      <c r="B39" s="177" t="s">
        <v>183</v>
      </c>
      <c r="C39" s="89">
        <v>34132</v>
      </c>
      <c r="D39" s="89">
        <v>30311</v>
      </c>
    </row>
    <row r="40" spans="1:4" s="175" customFormat="1" ht="12" customHeight="1">
      <c r="A40" s="12" t="s">
        <v>100</v>
      </c>
      <c r="B40" s="177" t="s">
        <v>184</v>
      </c>
      <c r="C40" s="89">
        <f>15408+9797+281</f>
        <v>25486</v>
      </c>
      <c r="D40" s="89">
        <f>2984+9222+281</f>
        <v>12487</v>
      </c>
    </row>
    <row r="41" spans="1:4" s="175" customFormat="1" ht="12" customHeight="1">
      <c r="A41" s="12" t="s">
        <v>101</v>
      </c>
      <c r="B41" s="177" t="s">
        <v>185</v>
      </c>
      <c r="C41" s="89">
        <v>5918</v>
      </c>
      <c r="D41" s="89">
        <f>15446+12245</f>
        <v>27691</v>
      </c>
    </row>
    <row r="42" spans="1:4" s="175" customFormat="1" ht="12" customHeight="1">
      <c r="A42" s="12" t="s">
        <v>102</v>
      </c>
      <c r="B42" s="177" t="s">
        <v>186</v>
      </c>
      <c r="C42" s="89">
        <v>2150</v>
      </c>
      <c r="D42" s="89">
        <f>11690+7</f>
        <v>11697</v>
      </c>
    </row>
    <row r="43" spans="1:4" s="175" customFormat="1" ht="12" customHeight="1">
      <c r="A43" s="12" t="s">
        <v>177</v>
      </c>
      <c r="B43" s="177" t="s">
        <v>187</v>
      </c>
      <c r="C43" s="92"/>
      <c r="D43" s="92"/>
    </row>
    <row r="44" spans="1:4" s="175" customFormat="1" ht="12" customHeight="1" thickBot="1">
      <c r="A44" s="14" t="s">
        <v>178</v>
      </c>
      <c r="B44" s="178" t="s">
        <v>188</v>
      </c>
      <c r="C44" s="165"/>
      <c r="D44" s="165">
        <f>4641+29</f>
        <v>4670</v>
      </c>
    </row>
    <row r="45" spans="1:4" s="175" customFormat="1" ht="12" customHeight="1" thickBot="1">
      <c r="A45" s="18" t="s">
        <v>11</v>
      </c>
      <c r="B45" s="19" t="s">
        <v>189</v>
      </c>
      <c r="C45" s="87">
        <f>SUM(C46:C50)</f>
        <v>81876</v>
      </c>
      <c r="D45" s="87">
        <f>SUM(D46:D50)</f>
        <v>12383</v>
      </c>
    </row>
    <row r="46" spans="1:4" s="175" customFormat="1" ht="12" customHeight="1">
      <c r="A46" s="13" t="s">
        <v>58</v>
      </c>
      <c r="B46" s="176" t="s">
        <v>193</v>
      </c>
      <c r="C46" s="222"/>
      <c r="D46" s="222"/>
    </row>
    <row r="47" spans="1:4" s="175" customFormat="1" ht="12" customHeight="1">
      <c r="A47" s="12" t="s">
        <v>59</v>
      </c>
      <c r="B47" s="177" t="s">
        <v>194</v>
      </c>
      <c r="C47" s="92">
        <v>81876</v>
      </c>
      <c r="D47" s="92">
        <v>12383</v>
      </c>
    </row>
    <row r="48" spans="1:4" s="175" customFormat="1" ht="12" customHeight="1">
      <c r="A48" s="12" t="s">
        <v>190</v>
      </c>
      <c r="B48" s="177" t="s">
        <v>195</v>
      </c>
      <c r="C48" s="92"/>
      <c r="D48" s="92"/>
    </row>
    <row r="49" spans="1:4" s="175" customFormat="1" ht="12" customHeight="1">
      <c r="A49" s="12" t="s">
        <v>191</v>
      </c>
      <c r="B49" s="177" t="s">
        <v>196</v>
      </c>
      <c r="C49" s="92"/>
      <c r="D49" s="92"/>
    </row>
    <row r="50" spans="1:4" s="175" customFormat="1" ht="12" customHeight="1" thickBot="1">
      <c r="A50" s="14" t="s">
        <v>192</v>
      </c>
      <c r="B50" s="178" t="s">
        <v>197</v>
      </c>
      <c r="C50" s="165"/>
      <c r="D50" s="165"/>
    </row>
    <row r="51" spans="1:4" s="175" customFormat="1" ht="12" customHeight="1" thickBot="1">
      <c r="A51" s="18" t="s">
        <v>103</v>
      </c>
      <c r="B51" s="19" t="s">
        <v>198</v>
      </c>
      <c r="C51" s="87">
        <f>SUM(C52:C54)</f>
        <v>0</v>
      </c>
      <c r="D51" s="87">
        <f>SUM(D52:D54)</f>
        <v>0</v>
      </c>
    </row>
    <row r="52" spans="1:4" s="175" customFormat="1" ht="12" customHeight="1">
      <c r="A52" s="13" t="s">
        <v>60</v>
      </c>
      <c r="B52" s="176" t="s">
        <v>199</v>
      </c>
      <c r="C52" s="90"/>
      <c r="D52" s="90"/>
    </row>
    <row r="53" spans="1:4" s="175" customFormat="1" ht="12" customHeight="1">
      <c r="A53" s="12" t="s">
        <v>61</v>
      </c>
      <c r="B53" s="177" t="s">
        <v>200</v>
      </c>
      <c r="C53" s="89"/>
      <c r="D53" s="89">
        <v>0</v>
      </c>
    </row>
    <row r="54" spans="1:4" s="175" customFormat="1" ht="12" customHeight="1">
      <c r="A54" s="12" t="s">
        <v>203</v>
      </c>
      <c r="B54" s="177" t="s">
        <v>201</v>
      </c>
      <c r="C54" s="89"/>
      <c r="D54" s="89">
        <v>0</v>
      </c>
    </row>
    <row r="55" spans="1:4" s="175" customFormat="1" ht="12" customHeight="1" thickBot="1">
      <c r="A55" s="14" t="s">
        <v>204</v>
      </c>
      <c r="B55" s="178" t="s">
        <v>202</v>
      </c>
      <c r="C55" s="91"/>
      <c r="D55" s="91"/>
    </row>
    <row r="56" spans="1:4" s="175" customFormat="1" ht="12" customHeight="1" thickBot="1">
      <c r="A56" s="18" t="s">
        <v>13</v>
      </c>
      <c r="B56" s="82" t="s">
        <v>205</v>
      </c>
      <c r="C56" s="87">
        <f>SUM(C57:C59)</f>
        <v>28965</v>
      </c>
      <c r="D56" s="87">
        <f>SUM(D57:D59)</f>
        <v>28857</v>
      </c>
    </row>
    <row r="57" spans="1:4" s="175" customFormat="1" ht="12" customHeight="1">
      <c r="A57" s="13" t="s">
        <v>104</v>
      </c>
      <c r="B57" s="176" t="s">
        <v>207</v>
      </c>
      <c r="C57" s="92"/>
      <c r="D57" s="92"/>
    </row>
    <row r="58" spans="1:4" s="175" customFormat="1" ht="12" customHeight="1">
      <c r="A58" s="12" t="s">
        <v>105</v>
      </c>
      <c r="B58" s="177" t="s">
        <v>363</v>
      </c>
      <c r="C58" s="92">
        <v>28857</v>
      </c>
      <c r="D58" s="92">
        <v>28857</v>
      </c>
    </row>
    <row r="59" spans="1:4" s="175" customFormat="1" ht="12" customHeight="1">
      <c r="A59" s="12" t="s">
        <v>128</v>
      </c>
      <c r="B59" s="177" t="s">
        <v>208</v>
      </c>
      <c r="C59" s="92">
        <v>108</v>
      </c>
      <c r="D59" s="92">
        <v>0</v>
      </c>
    </row>
    <row r="60" spans="1:4" s="175" customFormat="1" ht="12" customHeight="1" thickBot="1">
      <c r="A60" s="14" t="s">
        <v>206</v>
      </c>
      <c r="B60" s="178" t="s">
        <v>209</v>
      </c>
      <c r="C60" s="92"/>
      <c r="D60" s="92"/>
    </row>
    <row r="61" spans="1:4" s="175" customFormat="1" ht="12" customHeight="1" thickBot="1">
      <c r="A61" s="18" t="s">
        <v>14</v>
      </c>
      <c r="B61" s="19" t="s">
        <v>210</v>
      </c>
      <c r="C61" s="93">
        <f>+C6+C13+C20+C27+C34+C45+C51+C56</f>
        <v>1283248</v>
      </c>
      <c r="D61" s="93">
        <f>+D6+D13+D20+D27+D34+D45+D51+D56</f>
        <v>1577619</v>
      </c>
    </row>
    <row r="62" spans="1:4" s="175" customFormat="1" ht="12" customHeight="1" thickBot="1">
      <c r="A62" s="179" t="s">
        <v>211</v>
      </c>
      <c r="B62" s="82" t="s">
        <v>212</v>
      </c>
      <c r="C62" s="87">
        <f>SUM(C63:C65)</f>
        <v>0</v>
      </c>
      <c r="D62" s="87">
        <f>SUM(D63:D65)</f>
        <v>0</v>
      </c>
    </row>
    <row r="63" spans="1:4" s="175" customFormat="1" ht="12" customHeight="1">
      <c r="A63" s="13" t="s">
        <v>245</v>
      </c>
      <c r="B63" s="176" t="s">
        <v>213</v>
      </c>
      <c r="C63" s="92"/>
      <c r="D63" s="92"/>
    </row>
    <row r="64" spans="1:4" s="175" customFormat="1" ht="12" customHeight="1">
      <c r="A64" s="12" t="s">
        <v>254</v>
      </c>
      <c r="B64" s="177" t="s">
        <v>214</v>
      </c>
      <c r="C64" s="92"/>
      <c r="D64" s="92"/>
    </row>
    <row r="65" spans="1:4" s="175" customFormat="1" ht="12" customHeight="1" thickBot="1">
      <c r="A65" s="14" t="s">
        <v>255</v>
      </c>
      <c r="B65" s="180" t="s">
        <v>215</v>
      </c>
      <c r="C65" s="92"/>
      <c r="D65" s="92"/>
    </row>
    <row r="66" spans="1:4" s="175" customFormat="1" ht="12" customHeight="1" thickBot="1">
      <c r="A66" s="179" t="s">
        <v>216</v>
      </c>
      <c r="B66" s="82" t="s">
        <v>217</v>
      </c>
      <c r="C66" s="87">
        <f>SUM(C67:C70)</f>
        <v>0</v>
      </c>
      <c r="D66" s="87">
        <f>SUM(D67:D70)</f>
        <v>0</v>
      </c>
    </row>
    <row r="67" spans="1:4" s="175" customFormat="1" ht="12" customHeight="1">
      <c r="A67" s="13" t="s">
        <v>83</v>
      </c>
      <c r="B67" s="176" t="s">
        <v>218</v>
      </c>
      <c r="C67" s="92"/>
      <c r="D67" s="92"/>
    </row>
    <row r="68" spans="1:4" s="175" customFormat="1" ht="12" customHeight="1">
      <c r="A68" s="12" t="s">
        <v>84</v>
      </c>
      <c r="B68" s="177" t="s">
        <v>219</v>
      </c>
      <c r="C68" s="92"/>
      <c r="D68" s="92"/>
    </row>
    <row r="69" spans="1:4" s="175" customFormat="1" ht="12" customHeight="1">
      <c r="A69" s="12" t="s">
        <v>246</v>
      </c>
      <c r="B69" s="177" t="s">
        <v>220</v>
      </c>
      <c r="C69" s="92"/>
      <c r="D69" s="92"/>
    </row>
    <row r="70" spans="1:4" s="175" customFormat="1" ht="12" customHeight="1" thickBot="1">
      <c r="A70" s="14" t="s">
        <v>247</v>
      </c>
      <c r="B70" s="178" t="s">
        <v>221</v>
      </c>
      <c r="C70" s="92"/>
      <c r="D70" s="92"/>
    </row>
    <row r="71" spans="1:4" s="175" customFormat="1" ht="12" customHeight="1" thickBot="1">
      <c r="A71" s="179" t="s">
        <v>222</v>
      </c>
      <c r="B71" s="82" t="s">
        <v>223</v>
      </c>
      <c r="C71" s="87">
        <f>SUM(C72:C73)</f>
        <v>501181</v>
      </c>
      <c r="D71" s="87">
        <f>SUM(D72:D73)</f>
        <v>593569</v>
      </c>
    </row>
    <row r="72" spans="1:4" s="175" customFormat="1" ht="12" customHeight="1">
      <c r="A72" s="13" t="s">
        <v>248</v>
      </c>
      <c r="B72" s="176" t="s">
        <v>224</v>
      </c>
      <c r="C72" s="92">
        <v>501181</v>
      </c>
      <c r="D72" s="92">
        <f>584388+78+9103</f>
        <v>593569</v>
      </c>
    </row>
    <row r="73" spans="1:4" s="175" customFormat="1" ht="12" customHeight="1" thickBot="1">
      <c r="A73" s="14" t="s">
        <v>249</v>
      </c>
      <c r="B73" s="178" t="s">
        <v>225</v>
      </c>
      <c r="C73" s="92"/>
      <c r="D73" s="92"/>
    </row>
    <row r="74" spans="1:4" s="175" customFormat="1" ht="12" customHeight="1" thickBot="1">
      <c r="A74" s="179" t="s">
        <v>226</v>
      </c>
      <c r="B74" s="82" t="s">
        <v>227</v>
      </c>
      <c r="C74" s="87">
        <f>SUM(C75:C77)</f>
        <v>0</v>
      </c>
      <c r="D74" s="87">
        <f>SUM(D75:D77)</f>
        <v>14362</v>
      </c>
    </row>
    <row r="75" spans="1:4" s="175" customFormat="1" ht="12" customHeight="1">
      <c r="A75" s="13" t="s">
        <v>250</v>
      </c>
      <c r="B75" s="176" t="s">
        <v>228</v>
      </c>
      <c r="C75" s="92"/>
      <c r="D75" s="92">
        <v>14362</v>
      </c>
    </row>
    <row r="76" spans="1:4" s="175" customFormat="1" ht="12" customHeight="1">
      <c r="A76" s="12" t="s">
        <v>251</v>
      </c>
      <c r="B76" s="177" t="s">
        <v>229</v>
      </c>
      <c r="C76" s="92"/>
      <c r="D76" s="92"/>
    </row>
    <row r="77" spans="1:4" s="175" customFormat="1" ht="12" customHeight="1" thickBot="1">
      <c r="A77" s="14" t="s">
        <v>252</v>
      </c>
      <c r="B77" s="178" t="s">
        <v>230</v>
      </c>
      <c r="C77" s="92"/>
      <c r="D77" s="92"/>
    </row>
    <row r="78" spans="1:4" s="175" customFormat="1" ht="12" customHeight="1" thickBot="1">
      <c r="A78" s="179" t="s">
        <v>231</v>
      </c>
      <c r="B78" s="82" t="s">
        <v>253</v>
      </c>
      <c r="C78" s="87">
        <f>SUM(C79:C82)</f>
        <v>0</v>
      </c>
      <c r="D78" s="87">
        <f>SUM(D79:D82)</f>
        <v>0</v>
      </c>
    </row>
    <row r="79" spans="1:4" s="175" customFormat="1" ht="12" customHeight="1">
      <c r="A79" s="181" t="s">
        <v>232</v>
      </c>
      <c r="B79" s="176" t="s">
        <v>233</v>
      </c>
      <c r="C79" s="92"/>
      <c r="D79" s="92"/>
    </row>
    <row r="80" spans="1:4" s="175" customFormat="1" ht="12" customHeight="1">
      <c r="A80" s="182" t="s">
        <v>234</v>
      </c>
      <c r="B80" s="177" t="s">
        <v>235</v>
      </c>
      <c r="C80" s="92"/>
      <c r="D80" s="92"/>
    </row>
    <row r="81" spans="1:4" s="175" customFormat="1" ht="12" customHeight="1">
      <c r="A81" s="182" t="s">
        <v>236</v>
      </c>
      <c r="B81" s="177" t="s">
        <v>237</v>
      </c>
      <c r="C81" s="92"/>
      <c r="D81" s="92"/>
    </row>
    <row r="82" spans="1:4" s="175" customFormat="1" ht="12" customHeight="1" thickBot="1">
      <c r="A82" s="183" t="s">
        <v>238</v>
      </c>
      <c r="B82" s="178" t="s">
        <v>239</v>
      </c>
      <c r="C82" s="92"/>
      <c r="D82" s="92"/>
    </row>
    <row r="83" spans="1:4" s="175" customFormat="1" ht="13.5" customHeight="1" thickBot="1">
      <c r="A83" s="179" t="s">
        <v>240</v>
      </c>
      <c r="B83" s="82" t="s">
        <v>241</v>
      </c>
      <c r="C83" s="223"/>
      <c r="D83" s="223"/>
    </row>
    <row r="84" spans="1:4" s="175" customFormat="1" ht="15.75" customHeight="1" thickBot="1">
      <c r="A84" s="179" t="s">
        <v>242</v>
      </c>
      <c r="B84" s="184" t="s">
        <v>243</v>
      </c>
      <c r="C84" s="93">
        <f>+C62+C66+C71+C74+C78+C83</f>
        <v>501181</v>
      </c>
      <c r="D84" s="93">
        <f>+D62+D66+D71+D74+D78+D83</f>
        <v>607931</v>
      </c>
    </row>
    <row r="85" spans="1:4" s="175" customFormat="1" ht="16.5" customHeight="1" thickBot="1">
      <c r="A85" s="185" t="s">
        <v>256</v>
      </c>
      <c r="B85" s="186" t="s">
        <v>244</v>
      </c>
      <c r="C85" s="93">
        <f>+C61+C84</f>
        <v>1784429</v>
      </c>
      <c r="D85" s="93">
        <f>+D61+D84</f>
        <v>2185550</v>
      </c>
    </row>
    <row r="86" spans="1:4" s="175" customFormat="1" ht="83.25" customHeight="1">
      <c r="A86" s="3"/>
      <c r="B86" s="4"/>
      <c r="C86" s="94"/>
      <c r="D86" s="94"/>
    </row>
    <row r="87" spans="1:4" ht="16.5" customHeight="1">
      <c r="A87" s="392" t="s">
        <v>34</v>
      </c>
      <c r="B87" s="392"/>
      <c r="C87" s="392"/>
      <c r="D87" s="392"/>
    </row>
    <row r="88" spans="1:4" s="187" customFormat="1" ht="16.5" customHeight="1" thickBot="1">
      <c r="A88" s="394" t="s">
        <v>86</v>
      </c>
      <c r="B88" s="394"/>
      <c r="C88" s="396" t="s">
        <v>127</v>
      </c>
      <c r="D88" s="396"/>
    </row>
    <row r="89" spans="1:4" ht="38.1" customHeight="1" thickBot="1">
      <c r="A89" s="21" t="s">
        <v>50</v>
      </c>
      <c r="B89" s="22" t="s">
        <v>35</v>
      </c>
      <c r="C89" s="28" t="s">
        <v>402</v>
      </c>
      <c r="D89" s="28" t="s">
        <v>401</v>
      </c>
    </row>
    <row r="90" spans="1:4" s="174" customFormat="1" ht="12" customHeight="1" thickBot="1">
      <c r="A90" s="25">
        <v>1</v>
      </c>
      <c r="B90" s="26">
        <v>2</v>
      </c>
      <c r="C90" s="27">
        <v>3</v>
      </c>
      <c r="D90" s="27">
        <v>4</v>
      </c>
    </row>
    <row r="91" spans="1:4" ht="12" customHeight="1" thickBot="1">
      <c r="A91" s="20" t="s">
        <v>6</v>
      </c>
      <c r="B91" s="24" t="s">
        <v>259</v>
      </c>
      <c r="C91" s="86">
        <f>SUM(C92:C96)</f>
        <v>1043093</v>
      </c>
      <c r="D91" s="86">
        <f>SUM(D92:D96)</f>
        <v>1111418</v>
      </c>
    </row>
    <row r="92" spans="1:4" ht="12" customHeight="1">
      <c r="A92" s="15" t="s">
        <v>62</v>
      </c>
      <c r="B92" s="8" t="s">
        <v>36</v>
      </c>
      <c r="C92" s="88">
        <f>75644+102134+31248</f>
        <v>209026</v>
      </c>
      <c r="D92" s="88">
        <f>78447+102245+31470</f>
        <v>212162</v>
      </c>
    </row>
    <row r="93" spans="1:4" ht="12" customHeight="1">
      <c r="A93" s="12" t="s">
        <v>63</v>
      </c>
      <c r="B93" s="6" t="s">
        <v>106</v>
      </c>
      <c r="C93" s="89">
        <f>19836+27371+8343</f>
        <v>55550</v>
      </c>
      <c r="D93" s="89">
        <f>20220+28150+9298</f>
        <v>57668</v>
      </c>
    </row>
    <row r="94" spans="1:4" ht="12" customHeight="1">
      <c r="A94" s="12" t="s">
        <v>64</v>
      </c>
      <c r="B94" s="6" t="s">
        <v>81</v>
      </c>
      <c r="C94" s="91">
        <f>351929+191871+23571</f>
        <v>567371</v>
      </c>
      <c r="D94" s="91">
        <f>369578+188277+35646</f>
        <v>593501</v>
      </c>
    </row>
    <row r="95" spans="1:4" ht="12" customHeight="1">
      <c r="A95" s="12" t="s">
        <v>65</v>
      </c>
      <c r="B95" s="9" t="s">
        <v>107</v>
      </c>
      <c r="C95" s="91"/>
      <c r="D95" s="91"/>
    </row>
    <row r="96" spans="1:4" ht="12" customHeight="1">
      <c r="A96" s="12" t="s">
        <v>73</v>
      </c>
      <c r="B96" s="17" t="s">
        <v>108</v>
      </c>
      <c r="C96" s="91">
        <f>203882+7264</f>
        <v>211146</v>
      </c>
      <c r="D96" s="91">
        <f>247944+143</f>
        <v>248087</v>
      </c>
    </row>
    <row r="97" spans="1:4" ht="12" customHeight="1">
      <c r="A97" s="12" t="s">
        <v>66</v>
      </c>
      <c r="B97" s="6" t="s">
        <v>260</v>
      </c>
      <c r="C97" s="91">
        <v>9100</v>
      </c>
      <c r="D97" s="91">
        <v>20972</v>
      </c>
    </row>
    <row r="98" spans="1:4" ht="12" customHeight="1">
      <c r="A98" s="12" t="s">
        <v>67</v>
      </c>
      <c r="B98" s="47" t="s">
        <v>261</v>
      </c>
      <c r="C98" s="91"/>
      <c r="D98" s="91"/>
    </row>
    <row r="99" spans="1:4" ht="12" customHeight="1">
      <c r="A99" s="12" t="s">
        <v>74</v>
      </c>
      <c r="B99" s="48" t="s">
        <v>262</v>
      </c>
      <c r="C99" s="91"/>
      <c r="D99" s="91"/>
    </row>
    <row r="100" spans="1:4" ht="12" customHeight="1">
      <c r="A100" s="12" t="s">
        <v>75</v>
      </c>
      <c r="B100" s="48" t="s">
        <v>263</v>
      </c>
      <c r="C100" s="91"/>
      <c r="D100" s="91"/>
    </row>
    <row r="101" spans="1:4" ht="12" customHeight="1">
      <c r="A101" s="12" t="s">
        <v>76</v>
      </c>
      <c r="B101" s="47" t="s">
        <v>264</v>
      </c>
      <c r="C101" s="91">
        <v>149500</v>
      </c>
      <c r="D101" s="91">
        <v>172721</v>
      </c>
    </row>
    <row r="102" spans="1:4" ht="12" customHeight="1">
      <c r="A102" s="12" t="s">
        <v>77</v>
      </c>
      <c r="B102" s="47" t="s">
        <v>265</v>
      </c>
      <c r="C102" s="91"/>
      <c r="D102" s="91"/>
    </row>
    <row r="103" spans="1:4" ht="12" customHeight="1">
      <c r="A103" s="12" t="s">
        <v>79</v>
      </c>
      <c r="B103" s="48" t="s">
        <v>266</v>
      </c>
      <c r="C103" s="91"/>
      <c r="D103" s="91">
        <v>21120</v>
      </c>
    </row>
    <row r="104" spans="1:4" ht="12" customHeight="1">
      <c r="A104" s="11" t="s">
        <v>109</v>
      </c>
      <c r="B104" s="49" t="s">
        <v>267</v>
      </c>
      <c r="C104" s="91"/>
      <c r="D104" s="91"/>
    </row>
    <row r="105" spans="1:4" ht="12" customHeight="1">
      <c r="A105" s="12" t="s">
        <v>257</v>
      </c>
      <c r="B105" s="49" t="s">
        <v>268</v>
      </c>
      <c r="C105" s="91"/>
      <c r="D105" s="91"/>
    </row>
    <row r="106" spans="1:4" ht="12" customHeight="1" thickBot="1">
      <c r="A106" s="16" t="s">
        <v>258</v>
      </c>
      <c r="B106" s="50" t="s">
        <v>269</v>
      </c>
      <c r="C106" s="95">
        <f>45282+7264</f>
        <v>52546</v>
      </c>
      <c r="D106" s="95">
        <f>33131+143</f>
        <v>33274</v>
      </c>
    </row>
    <row r="107" spans="1:4" ht="12" customHeight="1" thickBot="1">
      <c r="A107" s="18" t="s">
        <v>7</v>
      </c>
      <c r="B107" s="23" t="s">
        <v>270</v>
      </c>
      <c r="C107" s="87">
        <f>+C108+C110+C112</f>
        <v>151013</v>
      </c>
      <c r="D107" s="87">
        <f>+D108+D110+D112</f>
        <v>298346</v>
      </c>
    </row>
    <row r="108" spans="1:4" ht="12" customHeight="1">
      <c r="A108" s="13" t="s">
        <v>68</v>
      </c>
      <c r="B108" s="6" t="s">
        <v>126</v>
      </c>
      <c r="C108" s="90">
        <f>127729+1033+674</f>
        <v>129436</v>
      </c>
      <c r="D108" s="90">
        <f>119786+1642+1013</f>
        <v>122441</v>
      </c>
    </row>
    <row r="109" spans="1:4" ht="12" customHeight="1">
      <c r="A109" s="13" t="s">
        <v>69</v>
      </c>
      <c r="B109" s="10" t="s">
        <v>274</v>
      </c>
      <c r="C109" s="90">
        <v>79054</v>
      </c>
      <c r="D109" s="90">
        <v>0</v>
      </c>
    </row>
    <row r="110" spans="1:4" ht="12" customHeight="1">
      <c r="A110" s="13" t="s">
        <v>70</v>
      </c>
      <c r="B110" s="10" t="s">
        <v>110</v>
      </c>
      <c r="C110" s="89">
        <v>7760</v>
      </c>
      <c r="D110" s="89">
        <v>158698</v>
      </c>
    </row>
    <row r="111" spans="1:4" ht="12" customHeight="1">
      <c r="A111" s="13" t="s">
        <v>71</v>
      </c>
      <c r="B111" s="10" t="s">
        <v>275</v>
      </c>
      <c r="C111" s="80"/>
      <c r="D111" s="80"/>
    </row>
    <row r="112" spans="1:4" ht="12" customHeight="1">
      <c r="A112" s="13" t="s">
        <v>72</v>
      </c>
      <c r="B112" s="84" t="s">
        <v>129</v>
      </c>
      <c r="C112" s="80">
        <f>SUM(C113:C120)</f>
        <v>13817</v>
      </c>
      <c r="D112" s="80">
        <v>17207</v>
      </c>
    </row>
    <row r="113" spans="1:4" ht="12" customHeight="1">
      <c r="A113" s="13" t="s">
        <v>78</v>
      </c>
      <c r="B113" s="83" t="s">
        <v>364</v>
      </c>
      <c r="C113" s="80"/>
      <c r="D113" s="80"/>
    </row>
    <row r="114" spans="1:4" ht="12" customHeight="1">
      <c r="A114" s="13" t="s">
        <v>80</v>
      </c>
      <c r="B114" s="172" t="s">
        <v>280</v>
      </c>
      <c r="C114" s="80"/>
      <c r="D114" s="80"/>
    </row>
    <row r="115" spans="1:4">
      <c r="A115" s="13" t="s">
        <v>111</v>
      </c>
      <c r="B115" s="48" t="s">
        <v>263</v>
      </c>
      <c r="C115" s="80"/>
      <c r="D115" s="80"/>
    </row>
    <row r="116" spans="1:4" ht="12" customHeight="1">
      <c r="A116" s="13" t="s">
        <v>112</v>
      </c>
      <c r="B116" s="48" t="s">
        <v>279</v>
      </c>
      <c r="C116" s="80">
        <v>10000</v>
      </c>
      <c r="D116" s="80">
        <v>9190</v>
      </c>
    </row>
    <row r="117" spans="1:4" ht="12" customHeight="1">
      <c r="A117" s="13" t="s">
        <v>113</v>
      </c>
      <c r="B117" s="48" t="s">
        <v>278</v>
      </c>
      <c r="C117" s="80"/>
      <c r="D117" s="80"/>
    </row>
    <row r="118" spans="1:4" ht="12" customHeight="1">
      <c r="A118" s="13" t="s">
        <v>271</v>
      </c>
      <c r="B118" s="48" t="s">
        <v>266</v>
      </c>
      <c r="C118" s="80"/>
      <c r="D118" s="80"/>
    </row>
    <row r="119" spans="1:4" ht="12" customHeight="1">
      <c r="A119" s="13" t="s">
        <v>272</v>
      </c>
      <c r="B119" s="48" t="s">
        <v>277</v>
      </c>
      <c r="C119" s="80"/>
      <c r="D119" s="80"/>
    </row>
    <row r="120" spans="1:4" ht="16.5" thickBot="1">
      <c r="A120" s="11" t="s">
        <v>273</v>
      </c>
      <c r="B120" s="48" t="s">
        <v>276</v>
      </c>
      <c r="C120" s="81">
        <v>3817</v>
      </c>
      <c r="D120" s="81">
        <v>8017</v>
      </c>
    </row>
    <row r="121" spans="1:4" ht="12" customHeight="1" thickBot="1">
      <c r="A121" s="18" t="s">
        <v>8</v>
      </c>
      <c r="B121" s="44" t="s">
        <v>281</v>
      </c>
      <c r="C121" s="87">
        <f>+C122+C123</f>
        <v>329969</v>
      </c>
      <c r="D121" s="87">
        <f>+D122+D123</f>
        <v>496055</v>
      </c>
    </row>
    <row r="122" spans="1:4" ht="12" customHeight="1">
      <c r="A122" s="13" t="s">
        <v>51</v>
      </c>
      <c r="B122" s="7" t="s">
        <v>44</v>
      </c>
      <c r="C122" s="90">
        <v>5000</v>
      </c>
      <c r="D122" s="90">
        <v>239528</v>
      </c>
    </row>
    <row r="123" spans="1:4" ht="12" customHeight="1" thickBot="1">
      <c r="A123" s="14" t="s">
        <v>52</v>
      </c>
      <c r="B123" s="10" t="s">
        <v>45</v>
      </c>
      <c r="C123" s="91">
        <v>324969</v>
      </c>
      <c r="D123" s="90">
        <v>256527</v>
      </c>
    </row>
    <row r="124" spans="1:4" ht="12" customHeight="1" thickBot="1">
      <c r="A124" s="18" t="s">
        <v>9</v>
      </c>
      <c r="B124" s="44" t="s">
        <v>282</v>
      </c>
      <c r="C124" s="87">
        <f>+C91+C107+C121</f>
        <v>1524075</v>
      </c>
      <c r="D124" s="87">
        <f>+D91+D107+D121</f>
        <v>1905819</v>
      </c>
    </row>
    <row r="125" spans="1:4" ht="12" customHeight="1" thickBot="1">
      <c r="A125" s="18" t="s">
        <v>10</v>
      </c>
      <c r="B125" s="44" t="s">
        <v>283</v>
      </c>
      <c r="C125" s="87">
        <f>+C126+C127+C128</f>
        <v>0</v>
      </c>
      <c r="D125" s="87">
        <f>+D126+D127+D128</f>
        <v>0</v>
      </c>
    </row>
    <row r="126" spans="1:4" ht="12" customHeight="1">
      <c r="A126" s="13" t="s">
        <v>55</v>
      </c>
      <c r="B126" s="7" t="s">
        <v>284</v>
      </c>
      <c r="C126" s="80"/>
      <c r="D126" s="80"/>
    </row>
    <row r="127" spans="1:4" ht="12" customHeight="1">
      <c r="A127" s="13" t="s">
        <v>56</v>
      </c>
      <c r="B127" s="7" t="s">
        <v>285</v>
      </c>
      <c r="C127" s="80"/>
      <c r="D127" s="80"/>
    </row>
    <row r="128" spans="1:4" ht="12" customHeight="1" thickBot="1">
      <c r="A128" s="11" t="s">
        <v>57</v>
      </c>
      <c r="B128" s="5" t="s">
        <v>286</v>
      </c>
      <c r="C128" s="80"/>
      <c r="D128" s="80"/>
    </row>
    <row r="129" spans="1:10" ht="12" customHeight="1" thickBot="1">
      <c r="A129" s="18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</row>
    <row r="130" spans="1:10" ht="12" customHeight="1">
      <c r="A130" s="13" t="s">
        <v>58</v>
      </c>
      <c r="B130" s="7" t="s">
        <v>287</v>
      </c>
      <c r="C130" s="80"/>
      <c r="D130" s="80"/>
    </row>
    <row r="131" spans="1:10" ht="12" customHeight="1">
      <c r="A131" s="13" t="s">
        <v>59</v>
      </c>
      <c r="B131" s="7" t="s">
        <v>288</v>
      </c>
      <c r="C131" s="80"/>
      <c r="D131" s="80"/>
    </row>
    <row r="132" spans="1:10" ht="12" customHeight="1">
      <c r="A132" s="13" t="s">
        <v>190</v>
      </c>
      <c r="B132" s="7" t="s">
        <v>289</v>
      </c>
      <c r="C132" s="80"/>
      <c r="D132" s="80"/>
    </row>
    <row r="133" spans="1:10" ht="12" customHeight="1" thickBot="1">
      <c r="A133" s="11" t="s">
        <v>191</v>
      </c>
      <c r="B133" s="5" t="s">
        <v>290</v>
      </c>
      <c r="C133" s="80"/>
      <c r="D133" s="80"/>
    </row>
    <row r="134" spans="1:10" ht="12" customHeight="1" thickBot="1">
      <c r="A134" s="18" t="s">
        <v>12</v>
      </c>
      <c r="B134" s="44" t="s">
        <v>291</v>
      </c>
      <c r="C134" s="93">
        <f>+C135+C136+C137+C138</f>
        <v>0</v>
      </c>
      <c r="D134" s="93">
        <f>+D135+D136+D137+D138</f>
        <v>13770</v>
      </c>
    </row>
    <row r="135" spans="1:10" ht="12" customHeight="1">
      <c r="A135" s="13" t="s">
        <v>60</v>
      </c>
      <c r="B135" s="7" t="s">
        <v>292</v>
      </c>
      <c r="C135" s="80"/>
      <c r="D135" s="80"/>
    </row>
    <row r="136" spans="1:10" ht="12" customHeight="1">
      <c r="A136" s="13" t="s">
        <v>61</v>
      </c>
      <c r="B136" s="7" t="s">
        <v>302</v>
      </c>
      <c r="C136" s="80"/>
      <c r="D136" s="80">
        <v>13770</v>
      </c>
    </row>
    <row r="137" spans="1:10" ht="12" customHeight="1">
      <c r="A137" s="13" t="s">
        <v>203</v>
      </c>
      <c r="B137" s="7" t="s">
        <v>293</v>
      </c>
      <c r="C137" s="80"/>
      <c r="D137" s="80"/>
    </row>
    <row r="138" spans="1:10" ht="12" customHeight="1" thickBot="1">
      <c r="A138" s="11" t="s">
        <v>204</v>
      </c>
      <c r="B138" s="5" t="s">
        <v>294</v>
      </c>
      <c r="C138" s="80"/>
      <c r="D138" s="80"/>
    </row>
    <row r="139" spans="1:10" ht="12" customHeight="1" thickBot="1">
      <c r="A139" s="18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</row>
    <row r="140" spans="1:10" ht="12" customHeight="1">
      <c r="A140" s="13" t="s">
        <v>104</v>
      </c>
      <c r="B140" s="7" t="s">
        <v>296</v>
      </c>
      <c r="C140" s="80"/>
      <c r="D140" s="80"/>
    </row>
    <row r="141" spans="1:10" ht="12" customHeight="1">
      <c r="A141" s="13" t="s">
        <v>105</v>
      </c>
      <c r="B141" s="7" t="s">
        <v>297</v>
      </c>
      <c r="C141" s="80"/>
      <c r="D141" s="80"/>
    </row>
    <row r="142" spans="1:10" ht="12" customHeight="1">
      <c r="A142" s="13" t="s">
        <v>128</v>
      </c>
      <c r="B142" s="7" t="s">
        <v>298</v>
      </c>
      <c r="C142" s="80"/>
      <c r="D142" s="80"/>
    </row>
    <row r="143" spans="1:10" ht="12" customHeight="1" thickBot="1">
      <c r="A143" s="13" t="s">
        <v>206</v>
      </c>
      <c r="B143" s="7" t="s">
        <v>299</v>
      </c>
      <c r="C143" s="80"/>
      <c r="D143" s="80"/>
    </row>
    <row r="144" spans="1:10" ht="15" customHeight="1" thickBot="1">
      <c r="A144" s="18" t="s">
        <v>14</v>
      </c>
      <c r="B144" s="44" t="s">
        <v>300</v>
      </c>
      <c r="C144" s="188">
        <f>+C125+C129+C134+C139</f>
        <v>0</v>
      </c>
      <c r="D144" s="188">
        <f>+D125+D129+D134+D139</f>
        <v>13770</v>
      </c>
      <c r="G144" s="189"/>
      <c r="H144" s="190"/>
      <c r="I144" s="190"/>
      <c r="J144" s="190"/>
    </row>
    <row r="145" spans="1:5" s="175" customFormat="1" ht="12.95" customHeight="1" thickBot="1">
      <c r="A145" s="85" t="s">
        <v>15</v>
      </c>
      <c r="B145" s="153" t="s">
        <v>301</v>
      </c>
      <c r="C145" s="188">
        <f>+C124+C144</f>
        <v>1524075</v>
      </c>
      <c r="D145" s="188">
        <f>+D124+D144</f>
        <v>1919589</v>
      </c>
    </row>
    <row r="146" spans="1:5" ht="15" customHeight="1"/>
    <row r="147" spans="1:5">
      <c r="A147" s="397" t="s">
        <v>303</v>
      </c>
      <c r="B147" s="397"/>
      <c r="C147" s="397"/>
      <c r="D147" s="397"/>
    </row>
    <row r="148" spans="1:5" ht="15" customHeight="1" thickBot="1">
      <c r="A148" s="393" t="s">
        <v>87</v>
      </c>
      <c r="B148" s="393"/>
      <c r="C148" s="97" t="s">
        <v>127</v>
      </c>
      <c r="D148" s="97" t="s">
        <v>127</v>
      </c>
    </row>
    <row r="149" spans="1:5" ht="25.5" customHeight="1" thickBot="1">
      <c r="A149" s="18">
        <v>1</v>
      </c>
      <c r="B149" s="23" t="s">
        <v>304</v>
      </c>
      <c r="C149" s="87">
        <f>+C61-C124</f>
        <v>-240827</v>
      </c>
      <c r="D149" s="87">
        <f>+D61-D124</f>
        <v>-328200</v>
      </c>
      <c r="E149" s="191"/>
    </row>
    <row r="150" spans="1:5" ht="25.5" customHeight="1" thickBot="1">
      <c r="A150" s="18" t="s">
        <v>7</v>
      </c>
      <c r="B150" s="23" t="s">
        <v>305</v>
      </c>
      <c r="C150" s="87">
        <f>+C84-C144</f>
        <v>501181</v>
      </c>
      <c r="D150" s="87">
        <f>+D84-D144</f>
        <v>594161</v>
      </c>
    </row>
  </sheetData>
  <mergeCells count="8">
    <mergeCell ref="A147:D147"/>
    <mergeCell ref="A148:B148"/>
    <mergeCell ref="A2:D2"/>
    <mergeCell ref="A3:B3"/>
    <mergeCell ref="A87:D87"/>
    <mergeCell ref="A88:B88"/>
    <mergeCell ref="C3:D3"/>
    <mergeCell ref="C88:D88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KÖTELEZŐ FELADATAINAK MÉRLEGE &amp;R&amp;"Times New Roman CE,Félkövér dőlt"&amp;11 1.2. melléklet a 7/2015. (II. 18.) önkormányzati rendelethez</oddHeader>
  </headerFooter>
  <rowBreaks count="1" manualBreakCount="1">
    <brk id="86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F58"/>
  <sheetViews>
    <sheetView zoomScaleNormal="100" zoomScaleSheetLayoutView="100" workbookViewId="0">
      <selection activeCell="C87" sqref="C87"/>
    </sheetView>
  </sheetViews>
  <sheetFormatPr defaultColWidth="9.33203125" defaultRowHeight="12.75"/>
  <cols>
    <col min="1" max="1" width="13.83203125" style="74" customWidth="1"/>
    <col min="2" max="2" width="62.5" style="75" customWidth="1"/>
    <col min="3" max="6" width="11.83203125" style="75" customWidth="1"/>
    <col min="7" max="16384" width="9.33203125" style="75"/>
  </cols>
  <sheetData>
    <row r="1" spans="1:6" s="59" customFormat="1" ht="21" customHeight="1" thickBot="1">
      <c r="A1" s="58"/>
      <c r="B1" s="60"/>
      <c r="C1" s="214"/>
      <c r="D1" s="214"/>
      <c r="E1" s="214"/>
      <c r="F1" s="214" t="s">
        <v>431</v>
      </c>
    </row>
    <row r="2" spans="1:6" s="215" customFormat="1" ht="25.5" customHeight="1">
      <c r="A2" s="166" t="s">
        <v>406</v>
      </c>
      <c r="B2" s="291" t="s">
        <v>369</v>
      </c>
      <c r="C2" s="426" t="s">
        <v>46</v>
      </c>
      <c r="D2" s="427"/>
      <c r="E2" s="427"/>
      <c r="F2" s="428"/>
    </row>
    <row r="3" spans="1:6" s="215" customFormat="1" ht="24.75" thickBot="1">
      <c r="A3" s="207" t="s">
        <v>119</v>
      </c>
      <c r="B3" s="141" t="s">
        <v>403</v>
      </c>
      <c r="C3" s="429" t="s">
        <v>38</v>
      </c>
      <c r="D3" s="430"/>
      <c r="E3" s="430"/>
      <c r="F3" s="431"/>
    </row>
    <row r="4" spans="1:6" s="216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217" customFormat="1" ht="12.95" customHeight="1" thickBot="1">
      <c r="A6" s="54">
        <v>1</v>
      </c>
      <c r="B6" s="55">
        <v>2</v>
      </c>
      <c r="C6" s="56">
        <v>3</v>
      </c>
      <c r="D6" s="56">
        <v>4</v>
      </c>
      <c r="E6" s="56">
        <v>5</v>
      </c>
      <c r="F6" s="56">
        <v>6</v>
      </c>
    </row>
    <row r="7" spans="1:6" s="217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152" customFormat="1" ht="12" customHeight="1" thickBot="1">
      <c r="A8" s="54" t="s">
        <v>6</v>
      </c>
      <c r="B8" s="66" t="s">
        <v>337</v>
      </c>
      <c r="C8" s="106">
        <f>SUM(C9:C18)</f>
        <v>52533</v>
      </c>
      <c r="D8" s="106">
        <f>SUM(D9:D18)</f>
        <v>49244</v>
      </c>
      <c r="E8" s="106">
        <f>F8-D8</f>
        <v>5716</v>
      </c>
      <c r="F8" s="106">
        <f>SUM(F9:F18)</f>
        <v>54960</v>
      </c>
    </row>
    <row r="9" spans="1:6" s="152" customFormat="1" ht="12" customHeight="1" thickBot="1">
      <c r="A9" s="208" t="s">
        <v>62</v>
      </c>
      <c r="B9" s="8" t="s">
        <v>179</v>
      </c>
      <c r="C9" s="143"/>
      <c r="D9" s="143"/>
      <c r="E9" s="106">
        <f t="shared" ref="E9:E40" si="0">F9-D9</f>
        <v>0</v>
      </c>
      <c r="F9" s="143"/>
    </row>
    <row r="10" spans="1:6" s="152" customFormat="1" ht="12" customHeight="1" thickBot="1">
      <c r="A10" s="209" t="s">
        <v>63</v>
      </c>
      <c r="B10" s="6" t="s">
        <v>180</v>
      </c>
      <c r="C10" s="104">
        <v>534</v>
      </c>
      <c r="D10" s="104">
        <v>534</v>
      </c>
      <c r="E10" s="106">
        <f t="shared" si="0"/>
        <v>460</v>
      </c>
      <c r="F10" s="104">
        <v>994</v>
      </c>
    </row>
    <row r="11" spans="1:6" s="152" customFormat="1" ht="12" customHeight="1" thickBot="1">
      <c r="A11" s="209" t="s">
        <v>64</v>
      </c>
      <c r="B11" s="6" t="s">
        <v>181</v>
      </c>
      <c r="C11" s="104">
        <v>2152</v>
      </c>
      <c r="D11" s="104">
        <v>2152</v>
      </c>
      <c r="E11" s="106">
        <f t="shared" si="0"/>
        <v>0</v>
      </c>
      <c r="F11" s="104">
        <v>2152</v>
      </c>
    </row>
    <row r="12" spans="1:6" s="152" customFormat="1" ht="12" customHeight="1" thickBot="1">
      <c r="A12" s="209" t="s">
        <v>65</v>
      </c>
      <c r="B12" s="6" t="s">
        <v>182</v>
      </c>
      <c r="C12" s="104"/>
      <c r="D12" s="104"/>
      <c r="E12" s="106">
        <f t="shared" si="0"/>
        <v>0</v>
      </c>
      <c r="F12" s="104">
        <v>0</v>
      </c>
    </row>
    <row r="13" spans="1:6" s="152" customFormat="1" ht="12" customHeight="1" thickBot="1">
      <c r="A13" s="209" t="s">
        <v>82</v>
      </c>
      <c r="B13" s="6" t="s">
        <v>183</v>
      </c>
      <c r="C13" s="104">
        <v>34132</v>
      </c>
      <c r="D13" s="104">
        <v>30843</v>
      </c>
      <c r="E13" s="106">
        <f t="shared" si="0"/>
        <v>-532</v>
      </c>
      <c r="F13" s="104">
        <v>30311</v>
      </c>
    </row>
    <row r="14" spans="1:6" s="152" customFormat="1" ht="12" customHeight="1" thickBot="1">
      <c r="A14" s="209" t="s">
        <v>66</v>
      </c>
      <c r="B14" s="6" t="s">
        <v>338</v>
      </c>
      <c r="C14" s="104">
        <v>9797</v>
      </c>
      <c r="D14" s="104">
        <v>9797</v>
      </c>
      <c r="E14" s="106">
        <f t="shared" si="0"/>
        <v>-575</v>
      </c>
      <c r="F14" s="104">
        <v>9222</v>
      </c>
    </row>
    <row r="15" spans="1:6" s="152" customFormat="1" ht="12" customHeight="1" thickBot="1">
      <c r="A15" s="209" t="s">
        <v>67</v>
      </c>
      <c r="B15" s="5" t="s">
        <v>339</v>
      </c>
      <c r="C15" s="104">
        <v>5918</v>
      </c>
      <c r="D15" s="104">
        <v>5918</v>
      </c>
      <c r="E15" s="106">
        <f t="shared" si="0"/>
        <v>6327</v>
      </c>
      <c r="F15" s="104">
        <v>12245</v>
      </c>
    </row>
    <row r="16" spans="1:6" s="152" customFormat="1" ht="12" customHeight="1" thickBot="1">
      <c r="A16" s="209" t="s">
        <v>74</v>
      </c>
      <c r="B16" s="6" t="s">
        <v>186</v>
      </c>
      <c r="C16" s="144"/>
      <c r="D16" s="144"/>
      <c r="E16" s="106">
        <f t="shared" si="0"/>
        <v>7</v>
      </c>
      <c r="F16" s="144">
        <v>7</v>
      </c>
    </row>
    <row r="17" spans="1:6" s="218" customFormat="1" ht="12" customHeight="1" thickBot="1">
      <c r="A17" s="209" t="s">
        <v>75</v>
      </c>
      <c r="B17" s="6" t="s">
        <v>187</v>
      </c>
      <c r="C17" s="104"/>
      <c r="D17" s="104"/>
      <c r="E17" s="106">
        <f t="shared" si="0"/>
        <v>0</v>
      </c>
      <c r="F17" s="104"/>
    </row>
    <row r="18" spans="1:6" s="218" customFormat="1" ht="12" customHeight="1" thickBot="1">
      <c r="A18" s="209" t="s">
        <v>76</v>
      </c>
      <c r="B18" s="5" t="s">
        <v>188</v>
      </c>
      <c r="C18" s="105"/>
      <c r="D18" s="105"/>
      <c r="E18" s="106">
        <f t="shared" si="0"/>
        <v>29</v>
      </c>
      <c r="F18" s="105">
        <v>29</v>
      </c>
    </row>
    <row r="19" spans="1:6" s="152" customFormat="1" ht="12" customHeight="1" thickBot="1">
      <c r="A19" s="54" t="s">
        <v>7</v>
      </c>
      <c r="B19" s="66" t="s">
        <v>340</v>
      </c>
      <c r="C19" s="106">
        <f>SUM(C20:C22)</f>
        <v>0</v>
      </c>
      <c r="D19" s="106">
        <f>SUM(D20:D22)</f>
        <v>779</v>
      </c>
      <c r="E19" s="106">
        <f t="shared" si="0"/>
        <v>0</v>
      </c>
      <c r="F19" s="106">
        <f>SUM(F20:F22)</f>
        <v>779</v>
      </c>
    </row>
    <row r="20" spans="1:6" s="218" customFormat="1" ht="12" customHeight="1" thickBot="1">
      <c r="A20" s="209" t="s">
        <v>68</v>
      </c>
      <c r="B20" s="7" t="s">
        <v>154</v>
      </c>
      <c r="C20" s="104"/>
      <c r="D20" s="104"/>
      <c r="E20" s="106">
        <f t="shared" si="0"/>
        <v>0</v>
      </c>
      <c r="F20" s="104"/>
    </row>
    <row r="21" spans="1:6" s="218" customFormat="1" ht="12" customHeight="1" thickBot="1">
      <c r="A21" s="209" t="s">
        <v>69</v>
      </c>
      <c r="B21" s="6" t="s">
        <v>341</v>
      </c>
      <c r="C21" s="104"/>
      <c r="D21" s="104"/>
      <c r="E21" s="106">
        <f t="shared" si="0"/>
        <v>0</v>
      </c>
      <c r="F21" s="104"/>
    </row>
    <row r="22" spans="1:6" s="218" customFormat="1" ht="12" customHeight="1" thickBot="1">
      <c r="A22" s="209" t="s">
        <v>70</v>
      </c>
      <c r="B22" s="6" t="s">
        <v>414</v>
      </c>
      <c r="C22" s="104"/>
      <c r="D22" s="104">
        <v>779</v>
      </c>
      <c r="E22" s="106">
        <f t="shared" si="0"/>
        <v>0</v>
      </c>
      <c r="F22" s="104">
        <v>779</v>
      </c>
    </row>
    <row r="23" spans="1:6" s="218" customFormat="1" ht="12" customHeight="1" thickBot="1">
      <c r="A23" s="209" t="s">
        <v>71</v>
      </c>
      <c r="B23" s="6" t="s">
        <v>0</v>
      </c>
      <c r="C23" s="104"/>
      <c r="D23" s="104"/>
      <c r="E23" s="106">
        <f t="shared" si="0"/>
        <v>0</v>
      </c>
      <c r="F23" s="104"/>
    </row>
    <row r="24" spans="1:6" s="218" customFormat="1" ht="12" customHeight="1" thickBot="1">
      <c r="A24" s="57" t="s">
        <v>8</v>
      </c>
      <c r="B24" s="44" t="s">
        <v>97</v>
      </c>
      <c r="C24" s="131"/>
      <c r="D24" s="131"/>
      <c r="E24" s="106">
        <f t="shared" si="0"/>
        <v>0</v>
      </c>
      <c r="F24" s="131"/>
    </row>
    <row r="25" spans="1:6" s="218" customFormat="1" ht="12" customHeight="1" thickBot="1">
      <c r="A25" s="57" t="s">
        <v>9</v>
      </c>
      <c r="B25" s="44" t="s">
        <v>342</v>
      </c>
      <c r="C25" s="106">
        <f>+C26+C27</f>
        <v>0</v>
      </c>
      <c r="D25" s="106">
        <f>+D26+D27</f>
        <v>0</v>
      </c>
      <c r="E25" s="106">
        <f t="shared" si="0"/>
        <v>0</v>
      </c>
      <c r="F25" s="106">
        <f>+F26+F27</f>
        <v>0</v>
      </c>
    </row>
    <row r="26" spans="1:6" s="218" customFormat="1" ht="12" customHeight="1" thickBot="1">
      <c r="A26" s="210" t="s">
        <v>164</v>
      </c>
      <c r="B26" s="211" t="s">
        <v>341</v>
      </c>
      <c r="C26" s="33"/>
      <c r="D26" s="33"/>
      <c r="E26" s="106">
        <f t="shared" si="0"/>
        <v>0</v>
      </c>
      <c r="F26" s="33"/>
    </row>
    <row r="27" spans="1:6" s="218" customFormat="1" ht="12" customHeight="1" thickBot="1">
      <c r="A27" s="210" t="s">
        <v>167</v>
      </c>
      <c r="B27" s="212" t="s">
        <v>343</v>
      </c>
      <c r="C27" s="107"/>
      <c r="D27" s="107"/>
      <c r="E27" s="106">
        <f t="shared" si="0"/>
        <v>0</v>
      </c>
      <c r="F27" s="107"/>
    </row>
    <row r="28" spans="1:6" s="218" customFormat="1" ht="12" customHeight="1" thickBot="1">
      <c r="A28" s="209" t="s">
        <v>168</v>
      </c>
      <c r="B28" s="213" t="s">
        <v>344</v>
      </c>
      <c r="C28" s="36"/>
      <c r="D28" s="36"/>
      <c r="E28" s="106">
        <f t="shared" si="0"/>
        <v>0</v>
      </c>
      <c r="F28" s="36"/>
    </row>
    <row r="29" spans="1:6" s="218" customFormat="1" ht="12" customHeight="1" thickBot="1">
      <c r="A29" s="57" t="s">
        <v>10</v>
      </c>
      <c r="B29" s="44" t="s">
        <v>345</v>
      </c>
      <c r="C29" s="106">
        <f>+C30+C31+C32</f>
        <v>0</v>
      </c>
      <c r="D29" s="106">
        <f>+D30+D31+D32</f>
        <v>0</v>
      </c>
      <c r="E29" s="106">
        <f t="shared" si="0"/>
        <v>0</v>
      </c>
      <c r="F29" s="106">
        <f>+F30+F31+F32</f>
        <v>0</v>
      </c>
    </row>
    <row r="30" spans="1:6" s="218" customFormat="1" ht="12" customHeight="1" thickBot="1">
      <c r="A30" s="210" t="s">
        <v>55</v>
      </c>
      <c r="B30" s="211" t="s">
        <v>193</v>
      </c>
      <c r="C30" s="33"/>
      <c r="D30" s="33"/>
      <c r="E30" s="106">
        <f t="shared" si="0"/>
        <v>0</v>
      </c>
      <c r="F30" s="33"/>
    </row>
    <row r="31" spans="1:6" s="218" customFormat="1" ht="12" customHeight="1" thickBot="1">
      <c r="A31" s="210" t="s">
        <v>56</v>
      </c>
      <c r="B31" s="212" t="s">
        <v>194</v>
      </c>
      <c r="C31" s="107"/>
      <c r="D31" s="107"/>
      <c r="E31" s="106">
        <f t="shared" si="0"/>
        <v>0</v>
      </c>
      <c r="F31" s="107"/>
    </row>
    <row r="32" spans="1:6" s="218" customFormat="1" ht="12" customHeight="1" thickBot="1">
      <c r="A32" s="209" t="s">
        <v>57</v>
      </c>
      <c r="B32" s="46" t="s">
        <v>195</v>
      </c>
      <c r="C32" s="36"/>
      <c r="D32" s="36"/>
      <c r="E32" s="106">
        <f t="shared" si="0"/>
        <v>0</v>
      </c>
      <c r="F32" s="36"/>
    </row>
    <row r="33" spans="1:6" s="152" customFormat="1" ht="12" customHeight="1" thickBot="1">
      <c r="A33" s="57" t="s">
        <v>11</v>
      </c>
      <c r="B33" s="44" t="s">
        <v>308</v>
      </c>
      <c r="C33" s="131"/>
      <c r="D33" s="131"/>
      <c r="E33" s="106">
        <f t="shared" si="0"/>
        <v>0</v>
      </c>
      <c r="F33" s="131"/>
    </row>
    <row r="34" spans="1:6" s="152" customFormat="1" ht="12" customHeight="1" thickBot="1">
      <c r="A34" s="57" t="s">
        <v>12</v>
      </c>
      <c r="B34" s="44" t="s">
        <v>346</v>
      </c>
      <c r="C34" s="145"/>
      <c r="D34" s="145"/>
      <c r="E34" s="106">
        <f t="shared" si="0"/>
        <v>0</v>
      </c>
      <c r="F34" s="145"/>
    </row>
    <row r="35" spans="1:6" s="152" customFormat="1" ht="12" customHeight="1" thickBot="1">
      <c r="A35" s="54" t="s">
        <v>13</v>
      </c>
      <c r="B35" s="44" t="s">
        <v>347</v>
      </c>
      <c r="C35" s="146">
        <f>+C8+C19+C24+C25+C29+C33+C34</f>
        <v>52533</v>
      </c>
      <c r="D35" s="146">
        <f>+D8+D19+D24+D25+D29+D33+D34</f>
        <v>50023</v>
      </c>
      <c r="E35" s="106">
        <f t="shared" si="0"/>
        <v>5716</v>
      </c>
      <c r="F35" s="146">
        <f>+F8+F19+F24+F25+F29+F33+F34</f>
        <v>55739</v>
      </c>
    </row>
    <row r="36" spans="1:6" s="152" customFormat="1" ht="12" customHeight="1" thickBot="1">
      <c r="A36" s="67" t="s">
        <v>14</v>
      </c>
      <c r="B36" s="44" t="s">
        <v>348</v>
      </c>
      <c r="C36" s="146">
        <f>+C37+C38+C39</f>
        <v>269876</v>
      </c>
      <c r="D36" s="146">
        <f>D37+D38+D39</f>
        <v>284432</v>
      </c>
      <c r="E36" s="106">
        <f t="shared" si="0"/>
        <v>-19714</v>
      </c>
      <c r="F36" s="146">
        <f>+F37+F38+F39</f>
        <v>264718</v>
      </c>
    </row>
    <row r="37" spans="1:6" s="152" customFormat="1" ht="12" customHeight="1" thickBot="1">
      <c r="A37" s="210" t="s">
        <v>349</v>
      </c>
      <c r="B37" s="211" t="s">
        <v>135</v>
      </c>
      <c r="C37" s="33"/>
      <c r="D37" s="33">
        <v>78</v>
      </c>
      <c r="E37" s="106">
        <f t="shared" si="0"/>
        <v>0</v>
      </c>
      <c r="F37" s="33">
        <v>78</v>
      </c>
    </row>
    <row r="38" spans="1:6" s="152" customFormat="1" ht="12" customHeight="1" thickBot="1">
      <c r="A38" s="210" t="s">
        <v>350</v>
      </c>
      <c r="B38" s="212" t="s">
        <v>1</v>
      </c>
      <c r="C38" s="107"/>
      <c r="D38" s="107"/>
      <c r="E38" s="106">
        <f t="shared" si="0"/>
        <v>0</v>
      </c>
      <c r="F38" s="107"/>
    </row>
    <row r="39" spans="1:6" s="218" customFormat="1" ht="12" customHeight="1" thickBot="1">
      <c r="A39" s="209" t="s">
        <v>351</v>
      </c>
      <c r="B39" s="46" t="s">
        <v>352</v>
      </c>
      <c r="C39" s="36">
        <v>269876</v>
      </c>
      <c r="D39" s="36">
        <v>284354</v>
      </c>
      <c r="E39" s="106">
        <f t="shared" si="0"/>
        <v>-19714</v>
      </c>
      <c r="F39" s="104">
        <v>264640</v>
      </c>
    </row>
    <row r="40" spans="1:6" s="218" customFormat="1" ht="15" customHeight="1" thickBot="1">
      <c r="A40" s="67" t="s">
        <v>15</v>
      </c>
      <c r="B40" s="68" t="s">
        <v>353</v>
      </c>
      <c r="C40" s="149">
        <f>+C35+C36</f>
        <v>322409</v>
      </c>
      <c r="D40" s="149">
        <f>+D35+D36</f>
        <v>334455</v>
      </c>
      <c r="E40" s="106">
        <f t="shared" si="0"/>
        <v>-13998</v>
      </c>
      <c r="F40" s="149">
        <f>+F35+F36</f>
        <v>320457</v>
      </c>
    </row>
    <row r="41" spans="1:6" s="218" customFormat="1" ht="15" customHeight="1">
      <c r="A41" s="69"/>
      <c r="B41" s="70"/>
      <c r="C41" s="147"/>
      <c r="D41" s="147"/>
      <c r="E41" s="147"/>
      <c r="F41" s="147"/>
    </row>
    <row r="42" spans="1:6" ht="13.5" thickBot="1">
      <c r="A42" s="71"/>
      <c r="B42" s="72"/>
      <c r="C42" s="148"/>
      <c r="D42" s="148"/>
      <c r="E42" s="148"/>
      <c r="F42" s="148"/>
    </row>
    <row r="43" spans="1:6" s="217" customFormat="1" ht="16.5" customHeight="1" thickBot="1">
      <c r="A43" s="404" t="s">
        <v>42</v>
      </c>
      <c r="B43" s="405"/>
      <c r="C43" s="405"/>
      <c r="D43" s="405"/>
      <c r="E43" s="405"/>
      <c r="F43" s="406"/>
    </row>
    <row r="44" spans="1:6" s="219" customFormat="1" ht="12" customHeight="1" thickBot="1">
      <c r="A44" s="57" t="s">
        <v>6</v>
      </c>
      <c r="B44" s="44" t="s">
        <v>354</v>
      </c>
      <c r="C44" s="106">
        <f>SUM(C45:C49)</f>
        <v>321376</v>
      </c>
      <c r="D44" s="106">
        <f>SUM(D45:D49)</f>
        <v>332813</v>
      </c>
      <c r="E44" s="106">
        <f>F44-D44</f>
        <v>-13998</v>
      </c>
      <c r="F44" s="106">
        <f>SUM(F45:F49)</f>
        <v>318815</v>
      </c>
    </row>
    <row r="45" spans="1:6" ht="12" customHeight="1" thickBot="1">
      <c r="A45" s="209" t="s">
        <v>62</v>
      </c>
      <c r="B45" s="7" t="s">
        <v>36</v>
      </c>
      <c r="C45" s="33">
        <v>102134</v>
      </c>
      <c r="D45" s="33">
        <v>103100</v>
      </c>
      <c r="E45" s="390">
        <f t="shared" ref="E45:E55" si="1">F45-D45</f>
        <v>-855</v>
      </c>
      <c r="F45" s="33">
        <v>102245</v>
      </c>
    </row>
    <row r="46" spans="1:6" ht="12" customHeight="1" thickBot="1">
      <c r="A46" s="209" t="s">
        <v>63</v>
      </c>
      <c r="B46" s="6" t="s">
        <v>106</v>
      </c>
      <c r="C46" s="35">
        <v>27371</v>
      </c>
      <c r="D46" s="35">
        <v>27486</v>
      </c>
      <c r="E46" s="390">
        <f t="shared" si="1"/>
        <v>664</v>
      </c>
      <c r="F46" s="33">
        <v>28150</v>
      </c>
    </row>
    <row r="47" spans="1:6" ht="12" customHeight="1" thickBot="1">
      <c r="A47" s="209" t="s">
        <v>64</v>
      </c>
      <c r="B47" s="6" t="s">
        <v>81</v>
      </c>
      <c r="C47" s="35">
        <v>191871</v>
      </c>
      <c r="D47" s="35">
        <v>202057</v>
      </c>
      <c r="E47" s="106">
        <f t="shared" si="1"/>
        <v>-13780</v>
      </c>
      <c r="F47" s="33">
        <v>188277</v>
      </c>
    </row>
    <row r="48" spans="1:6" ht="12" customHeight="1" thickBot="1">
      <c r="A48" s="209" t="s">
        <v>65</v>
      </c>
      <c r="B48" s="6" t="s">
        <v>107</v>
      </c>
      <c r="C48" s="35"/>
      <c r="D48" s="35"/>
      <c r="E48" s="106">
        <f t="shared" si="1"/>
        <v>0</v>
      </c>
      <c r="F48" s="35"/>
    </row>
    <row r="49" spans="1:6" ht="12" customHeight="1" thickBot="1">
      <c r="A49" s="209" t="s">
        <v>82</v>
      </c>
      <c r="B49" s="6" t="s">
        <v>108</v>
      </c>
      <c r="C49" s="35"/>
      <c r="D49" s="35">
        <v>170</v>
      </c>
      <c r="E49" s="106">
        <f t="shared" si="1"/>
        <v>-27</v>
      </c>
      <c r="F49" s="35">
        <v>143</v>
      </c>
    </row>
    <row r="50" spans="1:6" ht="12" customHeight="1" thickBot="1">
      <c r="A50" s="57" t="s">
        <v>7</v>
      </c>
      <c r="B50" s="44" t="s">
        <v>355</v>
      </c>
      <c r="C50" s="106">
        <f>SUM(C51:C53)</f>
        <v>1033</v>
      </c>
      <c r="D50" s="106">
        <f>SUM(D51:D53)</f>
        <v>1642</v>
      </c>
      <c r="E50" s="106">
        <f t="shared" si="1"/>
        <v>0</v>
      </c>
      <c r="F50" s="106">
        <f>SUM(F51:F53)</f>
        <v>1642</v>
      </c>
    </row>
    <row r="51" spans="1:6" s="219" customFormat="1" ht="12" customHeight="1" thickBot="1">
      <c r="A51" s="209" t="s">
        <v>68</v>
      </c>
      <c r="B51" s="7" t="s">
        <v>126</v>
      </c>
      <c r="C51" s="33">
        <v>1033</v>
      </c>
      <c r="D51" s="33">
        <v>1642</v>
      </c>
      <c r="E51" s="106">
        <f t="shared" si="1"/>
        <v>0</v>
      </c>
      <c r="F51" s="33">
        <v>1642</v>
      </c>
    </row>
    <row r="52" spans="1:6" ht="12" customHeight="1" thickBot="1">
      <c r="A52" s="209" t="s">
        <v>69</v>
      </c>
      <c r="B52" s="6" t="s">
        <v>110</v>
      </c>
      <c r="C52" s="35"/>
      <c r="D52" s="35"/>
      <c r="E52" s="106">
        <f t="shared" si="1"/>
        <v>0</v>
      </c>
      <c r="F52" s="35"/>
    </row>
    <row r="53" spans="1:6" ht="12" customHeight="1" thickBot="1">
      <c r="A53" s="209" t="s">
        <v>70</v>
      </c>
      <c r="B53" s="6" t="s">
        <v>43</v>
      </c>
      <c r="C53" s="35"/>
      <c r="D53" s="35"/>
      <c r="E53" s="106">
        <f t="shared" si="1"/>
        <v>0</v>
      </c>
      <c r="F53" s="35"/>
    </row>
    <row r="54" spans="1:6" ht="12" customHeight="1" thickBot="1">
      <c r="A54" s="209" t="s">
        <v>71</v>
      </c>
      <c r="B54" s="6" t="s">
        <v>2</v>
      </c>
      <c r="C54" s="35"/>
      <c r="D54" s="35"/>
      <c r="E54" s="106">
        <f t="shared" si="1"/>
        <v>0</v>
      </c>
      <c r="F54" s="35"/>
    </row>
    <row r="55" spans="1:6" ht="15" customHeight="1" thickBot="1">
      <c r="A55" s="57" t="s">
        <v>8</v>
      </c>
      <c r="B55" s="73" t="s">
        <v>356</v>
      </c>
      <c r="C55" s="150">
        <f>+C44+C50</f>
        <v>322409</v>
      </c>
      <c r="D55" s="150">
        <f>+D44+D50</f>
        <v>334455</v>
      </c>
      <c r="E55" s="106">
        <f t="shared" si="1"/>
        <v>-13998</v>
      </c>
      <c r="F55" s="150">
        <f>+F44+F50</f>
        <v>320457</v>
      </c>
    </row>
    <row r="56" spans="1:6" ht="13.5" thickBot="1">
      <c r="C56" s="151"/>
      <c r="D56" s="151"/>
      <c r="E56" s="151"/>
      <c r="F56" s="151"/>
    </row>
    <row r="57" spans="1:6" ht="15" customHeight="1" thickBot="1">
      <c r="A57" s="76" t="s">
        <v>121</v>
      </c>
      <c r="B57" s="77"/>
      <c r="C57" s="42">
        <v>38</v>
      </c>
      <c r="D57" s="42">
        <v>38</v>
      </c>
      <c r="E57" s="42">
        <v>0</v>
      </c>
      <c r="F57" s="42">
        <v>38</v>
      </c>
    </row>
    <row r="58" spans="1:6" ht="14.25" customHeight="1" thickBot="1">
      <c r="A58" s="76" t="s">
        <v>122</v>
      </c>
      <c r="B58" s="77"/>
      <c r="C58" s="42"/>
      <c r="D58" s="42"/>
      <c r="E58" s="42"/>
      <c r="F58" s="42"/>
    </row>
  </sheetData>
  <sheetProtection formatCells="0"/>
  <mergeCells count="5">
    <mergeCell ref="A43:F43"/>
    <mergeCell ref="C2:F2"/>
    <mergeCell ref="C3:F3"/>
    <mergeCell ref="C4:F4"/>
    <mergeCell ref="A7:F7"/>
  </mergeCells>
  <phoneticPr fontId="25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F57"/>
  <sheetViews>
    <sheetView workbookViewId="0">
      <selection activeCell="D39" sqref="D39"/>
    </sheetView>
  </sheetViews>
  <sheetFormatPr defaultRowHeight="12.75"/>
  <cols>
    <col min="1" max="1" width="8.83203125" bestFit="1" customWidth="1"/>
    <col min="2" max="2" width="39" customWidth="1"/>
    <col min="3" max="4" width="11.83203125" customWidth="1"/>
    <col min="5" max="5" width="16" customWidth="1"/>
    <col min="6" max="6" width="17.83203125" customWidth="1"/>
  </cols>
  <sheetData>
    <row r="1" spans="1:6" ht="13.5" thickBot="1">
      <c r="A1" s="318"/>
      <c r="B1" s="319"/>
      <c r="C1" s="414" t="s">
        <v>432</v>
      </c>
      <c r="D1" s="414"/>
      <c r="E1" s="414"/>
      <c r="F1" s="414"/>
    </row>
    <row r="2" spans="1:6" ht="18.75" customHeight="1">
      <c r="A2" s="320" t="s">
        <v>411</v>
      </c>
      <c r="B2" s="321" t="s">
        <v>418</v>
      </c>
      <c r="C2" s="418" t="s">
        <v>417</v>
      </c>
      <c r="D2" s="419"/>
      <c r="E2" s="419"/>
      <c r="F2" s="420"/>
    </row>
    <row r="3" spans="1:6" ht="13.5" customHeight="1" thickBot="1">
      <c r="A3" s="322" t="s">
        <v>119</v>
      </c>
      <c r="B3" s="323" t="s">
        <v>336</v>
      </c>
      <c r="C3" s="421" t="s">
        <v>38</v>
      </c>
      <c r="D3" s="422"/>
      <c r="E3" s="422"/>
      <c r="F3" s="423"/>
    </row>
    <row r="4" spans="1:6" ht="13.5" thickBot="1">
      <c r="A4" s="324"/>
      <c r="B4" s="324"/>
      <c r="C4" s="424" t="s">
        <v>39</v>
      </c>
      <c r="D4" s="424"/>
      <c r="E4" s="424"/>
      <c r="F4" s="424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5" t="s">
        <v>41</v>
      </c>
      <c r="B7" s="416"/>
      <c r="C7" s="416"/>
      <c r="D7" s="416"/>
      <c r="E7" s="416"/>
      <c r="F7" s="417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/>
      <c r="F8" s="332">
        <f>SUM(F9:F18)</f>
        <v>4314</v>
      </c>
    </row>
    <row r="9" spans="1:6">
      <c r="A9" s="333" t="s">
        <v>62</v>
      </c>
      <c r="B9" s="334" t="s">
        <v>179</v>
      </c>
      <c r="C9" s="335"/>
      <c r="D9" s="335"/>
      <c r="E9" s="335"/>
      <c r="F9" s="335"/>
    </row>
    <row r="10" spans="1:6">
      <c r="A10" s="336" t="s">
        <v>63</v>
      </c>
      <c r="B10" s="337" t="s">
        <v>180</v>
      </c>
      <c r="C10" s="338">
        <v>4033</v>
      </c>
      <c r="D10" s="338">
        <v>4033</v>
      </c>
      <c r="E10" s="338"/>
      <c r="F10" s="338">
        <v>4033</v>
      </c>
    </row>
    <row r="11" spans="1:6">
      <c r="A11" s="336" t="s">
        <v>64</v>
      </c>
      <c r="B11" s="337" t="s">
        <v>181</v>
      </c>
      <c r="C11" s="338"/>
      <c r="D11" s="338"/>
      <c r="E11" s="338"/>
      <c r="F11" s="338"/>
    </row>
    <row r="12" spans="1:6">
      <c r="A12" s="336" t="s">
        <v>65</v>
      </c>
      <c r="B12" s="337" t="s">
        <v>182</v>
      </c>
      <c r="C12" s="338"/>
      <c r="D12" s="338"/>
      <c r="E12" s="338"/>
      <c r="F12" s="338"/>
    </row>
    <row r="13" spans="1:6">
      <c r="A13" s="336" t="s">
        <v>82</v>
      </c>
      <c r="B13" s="337" t="s">
        <v>183</v>
      </c>
      <c r="C13" s="338"/>
      <c r="D13" s="338"/>
      <c r="E13" s="338"/>
      <c r="F13" s="338"/>
    </row>
    <row r="14" spans="1:6">
      <c r="A14" s="336" t="s">
        <v>66</v>
      </c>
      <c r="B14" s="337" t="s">
        <v>338</v>
      </c>
      <c r="C14" s="338">
        <v>281</v>
      </c>
      <c r="D14" s="338">
        <v>281</v>
      </c>
      <c r="E14" s="338"/>
      <c r="F14" s="338">
        <v>281</v>
      </c>
    </row>
    <row r="15" spans="1:6">
      <c r="A15" s="336" t="s">
        <v>67</v>
      </c>
      <c r="B15" s="339" t="s">
        <v>339</v>
      </c>
      <c r="C15" s="338"/>
      <c r="D15" s="338"/>
      <c r="E15" s="338"/>
      <c r="F15" s="338"/>
    </row>
    <row r="16" spans="1:6">
      <c r="A16" s="336" t="s">
        <v>74</v>
      </c>
      <c r="B16" s="337" t="s">
        <v>186</v>
      </c>
      <c r="C16" s="340"/>
      <c r="D16" s="340"/>
      <c r="E16" s="340"/>
      <c r="F16" s="340"/>
    </row>
    <row r="17" spans="1:6">
      <c r="A17" s="336" t="s">
        <v>75</v>
      </c>
      <c r="B17" s="337" t="s">
        <v>187</v>
      </c>
      <c r="C17" s="338"/>
      <c r="D17" s="338"/>
      <c r="E17" s="338"/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41"/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11462</v>
      </c>
      <c r="E19" s="332"/>
      <c r="F19" s="332">
        <f>SUM(F20:F22)</f>
        <v>11462</v>
      </c>
    </row>
    <row r="20" spans="1:6">
      <c r="A20" s="336" t="s">
        <v>68</v>
      </c>
      <c r="B20" s="342" t="s">
        <v>154</v>
      </c>
      <c r="C20" s="338"/>
      <c r="D20" s="338"/>
      <c r="E20" s="338"/>
      <c r="F20" s="338"/>
    </row>
    <row r="21" spans="1:6" ht="16.5">
      <c r="A21" s="336" t="s">
        <v>69</v>
      </c>
      <c r="B21" s="337" t="s">
        <v>341</v>
      </c>
      <c r="C21" s="338"/>
      <c r="D21" s="338"/>
      <c r="E21" s="338"/>
      <c r="F21" s="338"/>
    </row>
    <row r="22" spans="1:6" ht="16.5">
      <c r="A22" s="336" t="s">
        <v>70</v>
      </c>
      <c r="B22" s="337" t="s">
        <v>414</v>
      </c>
      <c r="C22" s="338">
        <v>9462</v>
      </c>
      <c r="D22" s="338">
        <v>11462</v>
      </c>
      <c r="E22" s="338"/>
      <c r="F22" s="338">
        <v>11462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8"/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45"/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/>
      <c r="F25" s="332">
        <f>+F26+F27</f>
        <v>0</v>
      </c>
    </row>
    <row r="26" spans="1:6" ht="16.5">
      <c r="A26" s="346" t="s">
        <v>164</v>
      </c>
      <c r="B26" s="347" t="s">
        <v>341</v>
      </c>
      <c r="C26" s="348"/>
      <c r="D26" s="348"/>
      <c r="E26" s="348"/>
      <c r="F26" s="348"/>
    </row>
    <row r="27" spans="1:6" ht="16.5">
      <c r="A27" s="346" t="s">
        <v>167</v>
      </c>
      <c r="B27" s="349" t="s">
        <v>343</v>
      </c>
      <c r="C27" s="350"/>
      <c r="D27" s="350"/>
      <c r="E27" s="350"/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52"/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/>
      <c r="F29" s="332">
        <f>+F30+F31+F32</f>
        <v>0</v>
      </c>
    </row>
    <row r="30" spans="1:6">
      <c r="A30" s="346" t="s">
        <v>55</v>
      </c>
      <c r="B30" s="347" t="s">
        <v>193</v>
      </c>
      <c r="C30" s="348"/>
      <c r="D30" s="348"/>
      <c r="E30" s="348"/>
      <c r="F30" s="348"/>
    </row>
    <row r="31" spans="1:6">
      <c r="A31" s="346" t="s">
        <v>56</v>
      </c>
      <c r="B31" s="349" t="s">
        <v>194</v>
      </c>
      <c r="C31" s="350"/>
      <c r="D31" s="350"/>
      <c r="E31" s="350"/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52"/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45"/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54"/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15776</v>
      </c>
      <c r="E35" s="355"/>
      <c r="F35" s="355">
        <f>+F8+F19+F24+F25+F29+F33+F34</f>
        <v>15776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f>D37+D38+D39</f>
        <v>72311</v>
      </c>
      <c r="E36" s="355">
        <f>E37+E38+E39</f>
        <v>-10660</v>
      </c>
      <c r="F36" s="355">
        <f>F37+F38+F39</f>
        <v>61651</v>
      </c>
    </row>
    <row r="37" spans="1:6">
      <c r="A37" s="346" t="s">
        <v>349</v>
      </c>
      <c r="B37" s="347" t="s">
        <v>135</v>
      </c>
      <c r="C37" s="348"/>
      <c r="D37" s="348">
        <v>9103</v>
      </c>
      <c r="E37" s="348"/>
      <c r="F37" s="348">
        <v>9103</v>
      </c>
    </row>
    <row r="38" spans="1:6">
      <c r="A38" s="346" t="s">
        <v>350</v>
      </c>
      <c r="B38" s="349" t="s">
        <v>1</v>
      </c>
      <c r="C38" s="350"/>
      <c r="D38" s="350"/>
      <c r="E38" s="350"/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63208</v>
      </c>
      <c r="E39" s="352">
        <f>F39-D39</f>
        <v>-10660</v>
      </c>
      <c r="F39" s="352">
        <v>52548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v>87087</v>
      </c>
      <c r="E40" s="358">
        <f>E35+E36</f>
        <v>-10660</v>
      </c>
      <c r="F40" s="358">
        <f>+F35+F36</f>
        <v>77427</v>
      </c>
    </row>
    <row r="41" spans="1:6" ht="13.5" thickBot="1">
      <c r="A41" s="359"/>
      <c r="B41" s="359"/>
      <c r="C41" s="359"/>
      <c r="D41" s="359"/>
      <c r="E41" s="359"/>
      <c r="F41" s="359"/>
    </row>
    <row r="42" spans="1:6" ht="13.5" thickBot="1">
      <c r="A42" s="415" t="s">
        <v>42</v>
      </c>
      <c r="B42" s="416"/>
      <c r="C42" s="416"/>
      <c r="D42" s="417"/>
      <c r="E42" s="359"/>
      <c r="F42" s="359"/>
    </row>
    <row r="43" spans="1:6" ht="13.5" thickBot="1">
      <c r="A43" s="343" t="s">
        <v>6</v>
      </c>
      <c r="B43" s="344" t="s">
        <v>354</v>
      </c>
      <c r="C43" s="332">
        <f>SUM(C44:C48)</f>
        <v>70426</v>
      </c>
      <c r="D43" s="332">
        <f>SUM(D44:D48)</f>
        <v>87074</v>
      </c>
      <c r="E43" s="332">
        <f>E44+E45+E46+E47+E48</f>
        <v>-10660</v>
      </c>
      <c r="F43" s="332">
        <f>SUM(F44:F48)</f>
        <v>76414</v>
      </c>
    </row>
    <row r="44" spans="1:6">
      <c r="A44" s="336" t="s">
        <v>62</v>
      </c>
      <c r="B44" s="342" t="s">
        <v>36</v>
      </c>
      <c r="C44" s="348">
        <v>31248</v>
      </c>
      <c r="D44" s="348">
        <v>33686</v>
      </c>
      <c r="E44" s="348">
        <f>F44-D44</f>
        <v>-2216</v>
      </c>
      <c r="F44" s="348">
        <v>31470</v>
      </c>
    </row>
    <row r="45" spans="1:6">
      <c r="A45" s="336" t="s">
        <v>63</v>
      </c>
      <c r="B45" s="337" t="s">
        <v>106</v>
      </c>
      <c r="C45" s="360">
        <v>8343</v>
      </c>
      <c r="D45" s="360">
        <v>8982</v>
      </c>
      <c r="E45" s="348">
        <f t="shared" ref="E45:E48" si="0">F45-D45</f>
        <v>316</v>
      </c>
      <c r="F45" s="360">
        <v>9298</v>
      </c>
    </row>
    <row r="46" spans="1:6">
      <c r="A46" s="336" t="s">
        <v>64</v>
      </c>
      <c r="B46" s="337" t="s">
        <v>81</v>
      </c>
      <c r="C46" s="360">
        <v>23571</v>
      </c>
      <c r="D46" s="360">
        <v>37142</v>
      </c>
      <c r="E46" s="348">
        <f t="shared" si="0"/>
        <v>-1496</v>
      </c>
      <c r="F46" s="360">
        <v>35646</v>
      </c>
    </row>
    <row r="47" spans="1:6">
      <c r="A47" s="336" t="s">
        <v>65</v>
      </c>
      <c r="B47" s="337" t="s">
        <v>107</v>
      </c>
      <c r="C47" s="360"/>
      <c r="D47" s="360"/>
      <c r="E47" s="348">
        <f t="shared" si="0"/>
        <v>0</v>
      </c>
      <c r="F47" s="360"/>
    </row>
    <row r="48" spans="1:6" ht="13.5" thickBot="1">
      <c r="A48" s="336" t="s">
        <v>82</v>
      </c>
      <c r="B48" s="337" t="s">
        <v>108</v>
      </c>
      <c r="C48" s="360">
        <v>7264</v>
      </c>
      <c r="D48" s="360">
        <v>7264</v>
      </c>
      <c r="E48" s="348">
        <f t="shared" si="0"/>
        <v>-7264</v>
      </c>
      <c r="F48" s="360">
        <v>0</v>
      </c>
    </row>
    <row r="49" spans="1:6" ht="13.5" thickBot="1">
      <c r="A49" s="343" t="s">
        <v>7</v>
      </c>
      <c r="B49" s="344" t="s">
        <v>355</v>
      </c>
      <c r="C49" s="332">
        <f>SUM(C50:C52)</f>
        <v>674</v>
      </c>
      <c r="D49" s="332">
        <f>SUM(D50:D52)</f>
        <v>1013</v>
      </c>
      <c r="E49" s="332"/>
      <c r="F49" s="332">
        <f>F50+F51+F52+F53</f>
        <v>1013</v>
      </c>
    </row>
    <row r="50" spans="1:6">
      <c r="A50" s="336" t="s">
        <v>68</v>
      </c>
      <c r="B50" s="342" t="s">
        <v>126</v>
      </c>
      <c r="C50" s="348">
        <v>674</v>
      </c>
      <c r="D50" s="348">
        <v>1013</v>
      </c>
      <c r="E50" s="348"/>
      <c r="F50" s="348">
        <v>1013</v>
      </c>
    </row>
    <row r="51" spans="1:6">
      <c r="A51" s="336" t="s">
        <v>69</v>
      </c>
      <c r="B51" s="337" t="s">
        <v>110</v>
      </c>
      <c r="C51" s="360"/>
      <c r="D51" s="360"/>
      <c r="E51" s="360"/>
      <c r="F51" s="360"/>
    </row>
    <row r="52" spans="1:6">
      <c r="A52" s="336" t="s">
        <v>70</v>
      </c>
      <c r="B52" s="337" t="s">
        <v>43</v>
      </c>
      <c r="C52" s="360"/>
      <c r="D52" s="360"/>
      <c r="E52" s="360"/>
      <c r="F52" s="360"/>
    </row>
    <row r="53" spans="1:6" ht="17.25" thickBot="1">
      <c r="A53" s="336" t="s">
        <v>71</v>
      </c>
      <c r="B53" s="337" t="s">
        <v>2</v>
      </c>
      <c r="C53" s="360"/>
      <c r="D53" s="360"/>
      <c r="E53" s="360"/>
      <c r="F53" s="360"/>
    </row>
    <row r="54" spans="1:6" ht="13.5" thickBot="1">
      <c r="A54" s="343" t="s">
        <v>8</v>
      </c>
      <c r="B54" s="361" t="s">
        <v>356</v>
      </c>
      <c r="C54" s="362">
        <f>+C43+C49</f>
        <v>71100</v>
      </c>
      <c r="D54" s="362">
        <f>D49+D43</f>
        <v>88087</v>
      </c>
      <c r="E54" s="362"/>
      <c r="F54" s="362">
        <f>+F43+F49</f>
        <v>77427</v>
      </c>
    </row>
    <row r="55" spans="1:6" ht="13.5" thickBot="1">
      <c r="A55" s="374"/>
      <c r="B55" s="375"/>
      <c r="C55" s="376"/>
      <c r="D55" s="376"/>
      <c r="E55" s="376"/>
      <c r="F55" s="376"/>
    </row>
    <row r="56" spans="1:6" ht="13.5" thickBot="1">
      <c r="A56" s="366" t="s">
        <v>121</v>
      </c>
      <c r="B56" s="367"/>
      <c r="C56" s="368">
        <v>16</v>
      </c>
      <c r="D56" s="368">
        <v>16</v>
      </c>
      <c r="E56" s="368"/>
      <c r="F56" s="368">
        <v>16</v>
      </c>
    </row>
    <row r="57" spans="1:6" ht="13.5" thickBot="1">
      <c r="A57" s="366" t="s">
        <v>122</v>
      </c>
      <c r="B57" s="367"/>
      <c r="C57" s="368"/>
      <c r="D57" s="368"/>
      <c r="E57" s="368"/>
      <c r="F57" s="368"/>
    </row>
  </sheetData>
  <mergeCells count="6">
    <mergeCell ref="C1:F1"/>
    <mergeCell ref="A42:D42"/>
    <mergeCell ref="C2:F2"/>
    <mergeCell ref="C3:F3"/>
    <mergeCell ref="C4:F4"/>
    <mergeCell ref="A7:F7"/>
  </mergeCells>
  <pageMargins left="0.22" right="0.43" top="0.28000000000000003" bottom="0.16" header="0.16" footer="0.16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F56"/>
  <sheetViews>
    <sheetView workbookViewId="0">
      <selection activeCell="F27" sqref="F27"/>
    </sheetView>
  </sheetViews>
  <sheetFormatPr defaultColWidth="9.33203125" defaultRowHeight="12.75"/>
  <cols>
    <col min="1" max="1" width="8.83203125" style="317" bestFit="1" customWidth="1"/>
    <col min="2" max="2" width="37.5" style="317" bestFit="1" customWidth="1"/>
    <col min="3" max="3" width="8.6640625" style="317" bestFit="1" customWidth="1"/>
    <col min="4" max="4" width="14.33203125" style="317" customWidth="1"/>
    <col min="5" max="5" width="14.1640625" style="317" customWidth="1"/>
    <col min="6" max="6" width="20.6640625" style="317" customWidth="1"/>
    <col min="7" max="16384" width="9.33203125" style="317"/>
  </cols>
  <sheetData>
    <row r="1" spans="1:6" ht="13.5" thickBot="1">
      <c r="A1" s="318"/>
      <c r="B1" s="319"/>
      <c r="C1" s="414" t="s">
        <v>433</v>
      </c>
      <c r="D1" s="414"/>
      <c r="E1" s="414"/>
      <c r="F1" s="414"/>
    </row>
    <row r="2" spans="1:6" ht="15.75" customHeight="1">
      <c r="A2" s="320" t="s">
        <v>411</v>
      </c>
      <c r="B2" s="321" t="s">
        <v>418</v>
      </c>
      <c r="C2" s="418" t="s">
        <v>417</v>
      </c>
      <c r="D2" s="419"/>
      <c r="E2" s="419"/>
      <c r="F2" s="420"/>
    </row>
    <row r="3" spans="1:6" ht="12" customHeight="1" thickBot="1">
      <c r="A3" s="322" t="s">
        <v>119</v>
      </c>
      <c r="B3" s="323" t="s">
        <v>403</v>
      </c>
      <c r="C3" s="421" t="s">
        <v>38</v>
      </c>
      <c r="D3" s="422"/>
      <c r="E3" s="422"/>
      <c r="F3" s="423"/>
    </row>
    <row r="4" spans="1:6" ht="13.5" thickBot="1">
      <c r="A4" s="324"/>
      <c r="B4" s="324"/>
      <c r="C4" s="424" t="s">
        <v>39</v>
      </c>
      <c r="D4" s="424"/>
      <c r="E4" s="424"/>
      <c r="F4" s="424"/>
    </row>
    <row r="5" spans="1:6" ht="30" thickBot="1">
      <c r="A5" s="325" t="s">
        <v>120</v>
      </c>
      <c r="B5" s="326" t="s">
        <v>40</v>
      </c>
      <c r="C5" s="327" t="s">
        <v>402</v>
      </c>
      <c r="D5" s="327" t="s">
        <v>401</v>
      </c>
      <c r="E5" s="327" t="s">
        <v>420</v>
      </c>
      <c r="F5" s="327" t="s">
        <v>401</v>
      </c>
    </row>
    <row r="6" spans="1:6" ht="13.5" thickBot="1">
      <c r="A6" s="328">
        <v>1</v>
      </c>
      <c r="B6" s="329">
        <v>2</v>
      </c>
      <c r="C6" s="330">
        <v>3</v>
      </c>
      <c r="D6" s="330"/>
      <c r="E6" s="330"/>
      <c r="F6" s="330">
        <v>4</v>
      </c>
    </row>
    <row r="7" spans="1:6" ht="13.5" thickBot="1">
      <c r="A7" s="415" t="s">
        <v>41</v>
      </c>
      <c r="B7" s="416"/>
      <c r="C7" s="416"/>
      <c r="D7" s="416"/>
      <c r="E7" s="416"/>
      <c r="F7" s="417"/>
    </row>
    <row r="8" spans="1:6" ht="13.5" thickBot="1">
      <c r="A8" s="328" t="s">
        <v>6</v>
      </c>
      <c r="B8" s="331" t="s">
        <v>337</v>
      </c>
      <c r="C8" s="332">
        <f>SUM(C9:C18)</f>
        <v>4314</v>
      </c>
      <c r="D8" s="332">
        <f>SUM(D9:D18)</f>
        <v>4314</v>
      </c>
      <c r="E8" s="332">
        <f>F8-D8</f>
        <v>0</v>
      </c>
      <c r="F8" s="332">
        <f>SUM(F9:F18)</f>
        <v>4314</v>
      </c>
    </row>
    <row r="9" spans="1:6" ht="13.5" thickBot="1">
      <c r="A9" s="333" t="s">
        <v>62</v>
      </c>
      <c r="B9" s="334" t="s">
        <v>179</v>
      </c>
      <c r="C9" s="335"/>
      <c r="D9" s="335"/>
      <c r="E9" s="332">
        <f t="shared" ref="E9:E40" si="0">F9-D9</f>
        <v>0</v>
      </c>
      <c r="F9" s="335"/>
    </row>
    <row r="10" spans="1:6" ht="13.5" thickBot="1">
      <c r="A10" s="336" t="s">
        <v>63</v>
      </c>
      <c r="B10" s="337" t="s">
        <v>180</v>
      </c>
      <c r="C10" s="338">
        <v>4033</v>
      </c>
      <c r="D10" s="338">
        <v>4033</v>
      </c>
      <c r="E10" s="332">
        <f t="shared" si="0"/>
        <v>0</v>
      </c>
      <c r="F10" s="338">
        <v>4033</v>
      </c>
    </row>
    <row r="11" spans="1:6" ht="13.5" thickBot="1">
      <c r="A11" s="336" t="s">
        <v>64</v>
      </c>
      <c r="B11" s="337" t="s">
        <v>181</v>
      </c>
      <c r="C11" s="338"/>
      <c r="D11" s="338"/>
      <c r="E11" s="332">
        <f t="shared" si="0"/>
        <v>0</v>
      </c>
      <c r="F11" s="338"/>
    </row>
    <row r="12" spans="1:6" ht="13.5" thickBot="1">
      <c r="A12" s="336" t="s">
        <v>65</v>
      </c>
      <c r="B12" s="337" t="s">
        <v>182</v>
      </c>
      <c r="C12" s="338"/>
      <c r="D12" s="338"/>
      <c r="E12" s="332">
        <f t="shared" si="0"/>
        <v>0</v>
      </c>
      <c r="F12" s="338"/>
    </row>
    <row r="13" spans="1:6" ht="13.5" thickBot="1">
      <c r="A13" s="336" t="s">
        <v>82</v>
      </c>
      <c r="B13" s="337" t="s">
        <v>183</v>
      </c>
      <c r="C13" s="338"/>
      <c r="D13" s="338"/>
      <c r="E13" s="332">
        <f t="shared" si="0"/>
        <v>0</v>
      </c>
      <c r="F13" s="338"/>
    </row>
    <row r="14" spans="1:6" ht="13.5" thickBot="1">
      <c r="A14" s="336" t="s">
        <v>66</v>
      </c>
      <c r="B14" s="337" t="s">
        <v>338</v>
      </c>
      <c r="C14" s="338">
        <v>281</v>
      </c>
      <c r="D14" s="338">
        <v>281</v>
      </c>
      <c r="E14" s="332">
        <f t="shared" si="0"/>
        <v>0</v>
      </c>
      <c r="F14" s="338">
        <v>281</v>
      </c>
    </row>
    <row r="15" spans="1:6" ht="13.5" thickBot="1">
      <c r="A15" s="336" t="s">
        <v>67</v>
      </c>
      <c r="B15" s="339" t="s">
        <v>339</v>
      </c>
      <c r="C15" s="338"/>
      <c r="D15" s="338"/>
      <c r="E15" s="332">
        <f t="shared" si="0"/>
        <v>0</v>
      </c>
      <c r="F15" s="338"/>
    </row>
    <row r="16" spans="1:6" ht="13.5" thickBot="1">
      <c r="A16" s="336" t="s">
        <v>74</v>
      </c>
      <c r="B16" s="337" t="s">
        <v>186</v>
      </c>
      <c r="C16" s="340"/>
      <c r="D16" s="340"/>
      <c r="E16" s="332">
        <f t="shared" si="0"/>
        <v>0</v>
      </c>
      <c r="F16" s="340"/>
    </row>
    <row r="17" spans="1:6" ht="13.5" thickBot="1">
      <c r="A17" s="336" t="s">
        <v>75</v>
      </c>
      <c r="B17" s="337" t="s">
        <v>187</v>
      </c>
      <c r="C17" s="338"/>
      <c r="D17" s="338"/>
      <c r="E17" s="332">
        <f t="shared" si="0"/>
        <v>0</v>
      </c>
      <c r="F17" s="338"/>
    </row>
    <row r="18" spans="1:6" ht="13.5" thickBot="1">
      <c r="A18" s="336" t="s">
        <v>76</v>
      </c>
      <c r="B18" s="339" t="s">
        <v>188</v>
      </c>
      <c r="C18" s="341"/>
      <c r="D18" s="341"/>
      <c r="E18" s="332">
        <f t="shared" si="0"/>
        <v>0</v>
      </c>
      <c r="F18" s="341"/>
    </row>
    <row r="19" spans="1:6" ht="20.25" thickBot="1">
      <c r="A19" s="328" t="s">
        <v>7</v>
      </c>
      <c r="B19" s="331" t="s">
        <v>340</v>
      </c>
      <c r="C19" s="332">
        <f>SUM(C20:C22)</f>
        <v>9462</v>
      </c>
      <c r="D19" s="332">
        <f>SUM(D20:D22)</f>
        <v>11462</v>
      </c>
      <c r="E19" s="332">
        <f t="shared" si="0"/>
        <v>0</v>
      </c>
      <c r="F19" s="332">
        <f>SUM(F20:F22)</f>
        <v>11462</v>
      </c>
    </row>
    <row r="20" spans="1:6" ht="13.5" thickBot="1">
      <c r="A20" s="336" t="s">
        <v>68</v>
      </c>
      <c r="B20" s="342" t="s">
        <v>154</v>
      </c>
      <c r="C20" s="338"/>
      <c r="D20" s="338"/>
      <c r="E20" s="332">
        <f t="shared" si="0"/>
        <v>0</v>
      </c>
      <c r="F20" s="338"/>
    </row>
    <row r="21" spans="1:6" ht="17.25" thickBot="1">
      <c r="A21" s="336" t="s">
        <v>69</v>
      </c>
      <c r="B21" s="337" t="s">
        <v>341</v>
      </c>
      <c r="C21" s="338"/>
      <c r="D21" s="338"/>
      <c r="E21" s="332">
        <f t="shared" si="0"/>
        <v>0</v>
      </c>
      <c r="F21" s="338"/>
    </row>
    <row r="22" spans="1:6" ht="17.25" thickBot="1">
      <c r="A22" s="336" t="s">
        <v>70</v>
      </c>
      <c r="B22" s="337" t="s">
        <v>414</v>
      </c>
      <c r="C22" s="338">
        <v>9462</v>
      </c>
      <c r="D22" s="338">
        <v>11462</v>
      </c>
      <c r="E22" s="332">
        <f t="shared" si="0"/>
        <v>0</v>
      </c>
      <c r="F22" s="338">
        <v>11462</v>
      </c>
    </row>
    <row r="23" spans="1:6" ht="13.5" thickBot="1">
      <c r="A23" s="336" t="s">
        <v>71</v>
      </c>
      <c r="B23" s="337" t="s">
        <v>0</v>
      </c>
      <c r="C23" s="338">
        <v>9462</v>
      </c>
      <c r="D23" s="338">
        <v>9462</v>
      </c>
      <c r="E23" s="332">
        <f t="shared" si="0"/>
        <v>0</v>
      </c>
      <c r="F23" s="338">
        <v>9462</v>
      </c>
    </row>
    <row r="24" spans="1:6" ht="13.5" thickBot="1">
      <c r="A24" s="343" t="s">
        <v>8</v>
      </c>
      <c r="B24" s="344" t="s">
        <v>97</v>
      </c>
      <c r="C24" s="345"/>
      <c r="D24" s="345"/>
      <c r="E24" s="332">
        <f t="shared" si="0"/>
        <v>0</v>
      </c>
      <c r="F24" s="345"/>
    </row>
    <row r="25" spans="1:6" ht="20.25" thickBot="1">
      <c r="A25" s="343" t="s">
        <v>9</v>
      </c>
      <c r="B25" s="344" t="s">
        <v>342</v>
      </c>
      <c r="C25" s="332">
        <f>+C26+C27</f>
        <v>0</v>
      </c>
      <c r="D25" s="332">
        <f>+D26+D27</f>
        <v>0</v>
      </c>
      <c r="E25" s="332">
        <f t="shared" si="0"/>
        <v>0</v>
      </c>
      <c r="F25" s="332">
        <f>+F26+F27</f>
        <v>0</v>
      </c>
    </row>
    <row r="26" spans="1:6" ht="17.25" thickBot="1">
      <c r="A26" s="346" t="s">
        <v>164</v>
      </c>
      <c r="B26" s="347" t="s">
        <v>341</v>
      </c>
      <c r="C26" s="348"/>
      <c r="D26" s="348"/>
      <c r="E26" s="332">
        <f t="shared" si="0"/>
        <v>0</v>
      </c>
      <c r="F26" s="348"/>
    </row>
    <row r="27" spans="1:6" ht="17.25" thickBot="1">
      <c r="A27" s="346" t="s">
        <v>167</v>
      </c>
      <c r="B27" s="349" t="s">
        <v>343</v>
      </c>
      <c r="C27" s="350"/>
      <c r="D27" s="350"/>
      <c r="E27" s="332">
        <f t="shared" si="0"/>
        <v>0</v>
      </c>
      <c r="F27" s="350"/>
    </row>
    <row r="28" spans="1:6" ht="13.5" thickBot="1">
      <c r="A28" s="336" t="s">
        <v>168</v>
      </c>
      <c r="B28" s="351" t="s">
        <v>344</v>
      </c>
      <c r="C28" s="352"/>
      <c r="D28" s="352"/>
      <c r="E28" s="332">
        <f t="shared" si="0"/>
        <v>0</v>
      </c>
      <c r="F28" s="352"/>
    </row>
    <row r="29" spans="1:6" ht="13.5" thickBot="1">
      <c r="A29" s="343" t="s">
        <v>10</v>
      </c>
      <c r="B29" s="344" t="s">
        <v>345</v>
      </c>
      <c r="C29" s="332">
        <f>+C30+C31+C32</f>
        <v>0</v>
      </c>
      <c r="D29" s="332">
        <f>+D30+D31+D32</f>
        <v>0</v>
      </c>
      <c r="E29" s="332">
        <f t="shared" si="0"/>
        <v>0</v>
      </c>
      <c r="F29" s="332">
        <f>+F30+F31+F32</f>
        <v>0</v>
      </c>
    </row>
    <row r="30" spans="1:6" ht="13.5" thickBot="1">
      <c r="A30" s="346" t="s">
        <v>55</v>
      </c>
      <c r="B30" s="347" t="s">
        <v>193</v>
      </c>
      <c r="C30" s="348"/>
      <c r="D30" s="348"/>
      <c r="E30" s="332">
        <f t="shared" si="0"/>
        <v>0</v>
      </c>
      <c r="F30" s="348"/>
    </row>
    <row r="31" spans="1:6" ht="13.5" thickBot="1">
      <c r="A31" s="346" t="s">
        <v>56</v>
      </c>
      <c r="B31" s="349" t="s">
        <v>194</v>
      </c>
      <c r="C31" s="350"/>
      <c r="D31" s="350"/>
      <c r="E31" s="332">
        <f t="shared" si="0"/>
        <v>0</v>
      </c>
      <c r="F31" s="350"/>
    </row>
    <row r="32" spans="1:6" ht="13.5" thickBot="1">
      <c r="A32" s="336" t="s">
        <v>57</v>
      </c>
      <c r="B32" s="353" t="s">
        <v>195</v>
      </c>
      <c r="C32" s="352"/>
      <c r="D32" s="352"/>
      <c r="E32" s="332">
        <f t="shared" si="0"/>
        <v>0</v>
      </c>
      <c r="F32" s="352"/>
    </row>
    <row r="33" spans="1:6" ht="13.5" thickBot="1">
      <c r="A33" s="343" t="s">
        <v>11</v>
      </c>
      <c r="B33" s="344" t="s">
        <v>308</v>
      </c>
      <c r="C33" s="345"/>
      <c r="D33" s="345"/>
      <c r="E33" s="332">
        <f t="shared" si="0"/>
        <v>0</v>
      </c>
      <c r="F33" s="345"/>
    </row>
    <row r="34" spans="1:6" ht="13.5" thickBot="1">
      <c r="A34" s="343" t="s">
        <v>12</v>
      </c>
      <c r="B34" s="344" t="s">
        <v>346</v>
      </c>
      <c r="C34" s="354"/>
      <c r="D34" s="354"/>
      <c r="E34" s="332">
        <f t="shared" si="0"/>
        <v>0</v>
      </c>
      <c r="F34" s="354"/>
    </row>
    <row r="35" spans="1:6" ht="13.5" thickBot="1">
      <c r="A35" s="328" t="s">
        <v>13</v>
      </c>
      <c r="B35" s="344" t="s">
        <v>347</v>
      </c>
      <c r="C35" s="355">
        <f>+C8+C19+C24+C25+C29+C33+C34</f>
        <v>13776</v>
      </c>
      <c r="D35" s="355">
        <f>+D8+D19+D24+D25+D29+D33+D34</f>
        <v>15776</v>
      </c>
      <c r="E35" s="332">
        <f t="shared" si="0"/>
        <v>0</v>
      </c>
      <c r="F35" s="355">
        <f>+F8+F19+F24+F25+F29+F33+F34</f>
        <v>15776</v>
      </c>
    </row>
    <row r="36" spans="1:6" ht="13.5" thickBot="1">
      <c r="A36" s="356" t="s">
        <v>14</v>
      </c>
      <c r="B36" s="344" t="s">
        <v>348</v>
      </c>
      <c r="C36" s="355">
        <f>+C37+C38+C39</f>
        <v>57324</v>
      </c>
      <c r="D36" s="355">
        <f>D37+D38+D39</f>
        <v>72311</v>
      </c>
      <c r="E36" s="332">
        <f t="shared" si="0"/>
        <v>-10660</v>
      </c>
      <c r="F36" s="355">
        <f>F37+F38+F39</f>
        <v>61651</v>
      </c>
    </row>
    <row r="37" spans="1:6" ht="13.5" thickBot="1">
      <c r="A37" s="346" t="s">
        <v>349</v>
      </c>
      <c r="B37" s="347" t="s">
        <v>135</v>
      </c>
      <c r="C37" s="348"/>
      <c r="D37" s="348">
        <v>9103</v>
      </c>
      <c r="E37" s="332">
        <f t="shared" si="0"/>
        <v>0</v>
      </c>
      <c r="F37" s="348">
        <v>9103</v>
      </c>
    </row>
    <row r="38" spans="1:6" ht="13.5" thickBot="1">
      <c r="A38" s="346" t="s">
        <v>350</v>
      </c>
      <c r="B38" s="349" t="s">
        <v>1</v>
      </c>
      <c r="C38" s="350"/>
      <c r="D38" s="350"/>
      <c r="E38" s="332">
        <f t="shared" si="0"/>
        <v>0</v>
      </c>
      <c r="F38" s="350"/>
    </row>
    <row r="39" spans="1:6" ht="17.25" thickBot="1">
      <c r="A39" s="336" t="s">
        <v>351</v>
      </c>
      <c r="B39" s="353" t="s">
        <v>352</v>
      </c>
      <c r="C39" s="352">
        <v>57324</v>
      </c>
      <c r="D39" s="352">
        <v>63208</v>
      </c>
      <c r="E39" s="332">
        <f t="shared" si="0"/>
        <v>-10660</v>
      </c>
      <c r="F39" s="352">
        <v>52548</v>
      </c>
    </row>
    <row r="40" spans="1:6" ht="13.5" thickBot="1">
      <c r="A40" s="356" t="s">
        <v>15</v>
      </c>
      <c r="B40" s="357" t="s">
        <v>353</v>
      </c>
      <c r="C40" s="358">
        <f>+C35+C36</f>
        <v>71100</v>
      </c>
      <c r="D40" s="358">
        <v>88087</v>
      </c>
      <c r="E40" s="332">
        <f t="shared" si="0"/>
        <v>-10660</v>
      </c>
      <c r="F40" s="358">
        <f>+F35+F36</f>
        <v>77427</v>
      </c>
    </row>
    <row r="41" spans="1:6" ht="13.5" thickBot="1">
      <c r="A41" s="415" t="s">
        <v>42</v>
      </c>
      <c r="B41" s="416"/>
      <c r="C41" s="416"/>
      <c r="D41" s="417"/>
      <c r="E41" s="359"/>
      <c r="F41" s="359"/>
    </row>
    <row r="42" spans="1:6" ht="13.5" thickBot="1">
      <c r="A42" s="343" t="s">
        <v>6</v>
      </c>
      <c r="B42" s="344" t="s">
        <v>354</v>
      </c>
      <c r="C42" s="332">
        <f>SUM(C43:C47)</f>
        <v>70426</v>
      </c>
      <c r="D42" s="332">
        <f>SUM(D43:D47)</f>
        <v>87074</v>
      </c>
      <c r="E42" s="332">
        <f>F42-D42</f>
        <v>-10660</v>
      </c>
      <c r="F42" s="332">
        <f>SUM(F43:F47)</f>
        <v>76414</v>
      </c>
    </row>
    <row r="43" spans="1:6" ht="13.5" thickBot="1">
      <c r="A43" s="336" t="s">
        <v>62</v>
      </c>
      <c r="B43" s="342" t="s">
        <v>36</v>
      </c>
      <c r="C43" s="348">
        <v>31248</v>
      </c>
      <c r="D43" s="348">
        <v>33686</v>
      </c>
      <c r="E43" s="332">
        <f t="shared" ref="E43:E52" si="1">F43-D43</f>
        <v>-2216</v>
      </c>
      <c r="F43" s="348">
        <v>31470</v>
      </c>
    </row>
    <row r="44" spans="1:6" ht="13.5" thickBot="1">
      <c r="A44" s="336" t="s">
        <v>63</v>
      </c>
      <c r="B44" s="337" t="s">
        <v>106</v>
      </c>
      <c r="C44" s="360">
        <v>8343</v>
      </c>
      <c r="D44" s="360">
        <v>8982</v>
      </c>
      <c r="E44" s="332">
        <f t="shared" si="1"/>
        <v>316</v>
      </c>
      <c r="F44" s="360">
        <v>9298</v>
      </c>
    </row>
    <row r="45" spans="1:6" ht="13.5" thickBot="1">
      <c r="A45" s="336" t="s">
        <v>64</v>
      </c>
      <c r="B45" s="337" t="s">
        <v>81</v>
      </c>
      <c r="C45" s="360">
        <v>23571</v>
      </c>
      <c r="D45" s="360">
        <v>37142</v>
      </c>
      <c r="E45" s="332">
        <f t="shared" si="1"/>
        <v>-1496</v>
      </c>
      <c r="F45" s="360">
        <v>35646</v>
      </c>
    </row>
    <row r="46" spans="1:6" ht="13.5" thickBot="1">
      <c r="A46" s="336" t="s">
        <v>65</v>
      </c>
      <c r="B46" s="337" t="s">
        <v>107</v>
      </c>
      <c r="C46" s="360"/>
      <c r="D46" s="360"/>
      <c r="E46" s="332">
        <f t="shared" si="1"/>
        <v>0</v>
      </c>
      <c r="F46" s="360"/>
    </row>
    <row r="47" spans="1:6" ht="13.5" thickBot="1">
      <c r="A47" s="336" t="s">
        <v>82</v>
      </c>
      <c r="B47" s="337" t="s">
        <v>108</v>
      </c>
      <c r="C47" s="360">
        <v>7264</v>
      </c>
      <c r="D47" s="360">
        <v>7264</v>
      </c>
      <c r="E47" s="332">
        <f t="shared" si="1"/>
        <v>-7264</v>
      </c>
      <c r="F47" s="360">
        <v>0</v>
      </c>
    </row>
    <row r="48" spans="1:6" ht="13.5" thickBot="1">
      <c r="A48" s="343" t="s">
        <v>7</v>
      </c>
      <c r="B48" s="344" t="s">
        <v>355</v>
      </c>
      <c r="C48" s="332">
        <f>SUM(C49:C51)</f>
        <v>674</v>
      </c>
      <c r="D48" s="332">
        <f>SUM(D49:D51)</f>
        <v>1013</v>
      </c>
      <c r="E48" s="332">
        <f t="shared" si="1"/>
        <v>0</v>
      </c>
      <c r="F48" s="332">
        <f>F49+F50+F51+F52</f>
        <v>1013</v>
      </c>
    </row>
    <row r="49" spans="1:6" ht="11.25" customHeight="1" thickBot="1">
      <c r="A49" s="336" t="s">
        <v>68</v>
      </c>
      <c r="B49" s="342" t="s">
        <v>126</v>
      </c>
      <c r="C49" s="348">
        <v>674</v>
      </c>
      <c r="D49" s="348">
        <v>1013</v>
      </c>
      <c r="E49" s="332">
        <f t="shared" si="1"/>
        <v>0</v>
      </c>
      <c r="F49" s="348">
        <v>1013</v>
      </c>
    </row>
    <row r="50" spans="1:6" ht="12" customHeight="1" thickBot="1">
      <c r="A50" s="336" t="s">
        <v>69</v>
      </c>
      <c r="B50" s="337" t="s">
        <v>110</v>
      </c>
      <c r="C50" s="360"/>
      <c r="D50" s="360"/>
      <c r="E50" s="332">
        <f t="shared" si="1"/>
        <v>0</v>
      </c>
      <c r="F50" s="360"/>
    </row>
    <row r="51" spans="1:6" ht="13.5" thickBot="1">
      <c r="A51" s="336" t="s">
        <v>70</v>
      </c>
      <c r="B51" s="337" t="s">
        <v>43</v>
      </c>
      <c r="C51" s="360"/>
      <c r="D51" s="360"/>
      <c r="E51" s="332">
        <f t="shared" si="1"/>
        <v>0</v>
      </c>
      <c r="F51" s="360"/>
    </row>
    <row r="52" spans="1:6" ht="17.25" thickBot="1">
      <c r="A52" s="336" t="s">
        <v>71</v>
      </c>
      <c r="B52" s="337" t="s">
        <v>2</v>
      </c>
      <c r="C52" s="360"/>
      <c r="D52" s="360"/>
      <c r="E52" s="332">
        <f t="shared" si="1"/>
        <v>0</v>
      </c>
      <c r="F52" s="360"/>
    </row>
    <row r="53" spans="1:6" ht="13.5" thickBot="1">
      <c r="A53" s="343" t="s">
        <v>8</v>
      </c>
      <c r="B53" s="361" t="s">
        <v>356</v>
      </c>
      <c r="C53" s="362">
        <f>+C42+C48</f>
        <v>71100</v>
      </c>
      <c r="D53" s="362">
        <f>+D42+D48</f>
        <v>88087</v>
      </c>
      <c r="E53" s="362">
        <f>+E42+E48</f>
        <v>-10660</v>
      </c>
      <c r="F53" s="362">
        <f>+F42+F48</f>
        <v>77427</v>
      </c>
    </row>
    <row r="54" spans="1:6" ht="13.5" thickBot="1">
      <c r="A54" s="374"/>
      <c r="B54" s="375"/>
      <c r="C54" s="376"/>
      <c r="D54" s="376"/>
      <c r="E54" s="376"/>
      <c r="F54" s="376"/>
    </row>
    <row r="55" spans="1:6" ht="13.5" thickBot="1">
      <c r="A55" s="366" t="s">
        <v>121</v>
      </c>
      <c r="B55" s="367"/>
      <c r="C55" s="368">
        <v>16</v>
      </c>
      <c r="D55" s="368">
        <v>16</v>
      </c>
      <c r="E55" s="368"/>
      <c r="F55" s="368">
        <v>16</v>
      </c>
    </row>
    <row r="56" spans="1:6" ht="13.5" thickBot="1">
      <c r="A56" s="366" t="s">
        <v>122</v>
      </c>
      <c r="B56" s="367"/>
      <c r="C56" s="368"/>
      <c r="D56" s="368"/>
      <c r="E56" s="368"/>
      <c r="F56" s="368"/>
    </row>
  </sheetData>
  <mergeCells count="6">
    <mergeCell ref="C1:F1"/>
    <mergeCell ref="A41:D41"/>
    <mergeCell ref="C2:F2"/>
    <mergeCell ref="C3:F3"/>
    <mergeCell ref="C4:F4"/>
    <mergeCell ref="A7:F7"/>
  </mergeCells>
  <pageMargins left="0.4" right="0.28999999999999998" top="0.36" bottom="0.16" header="0.3" footer="0.16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G38"/>
  <sheetViews>
    <sheetView tabSelected="1" zoomScaleNormal="100" zoomScaleSheetLayoutView="100" workbookViewId="0">
      <selection activeCell="B27" sqref="B27"/>
    </sheetView>
  </sheetViews>
  <sheetFormatPr defaultColWidth="10.6640625" defaultRowHeight="15"/>
  <cols>
    <col min="1" max="1" width="53.83203125" style="231" customWidth="1"/>
    <col min="2" max="4" width="17.83203125" style="231" customWidth="1"/>
    <col min="5" max="7" width="10.6640625" style="231" hidden="1" customWidth="1"/>
    <col min="8" max="16384" width="10.6640625" style="231"/>
  </cols>
  <sheetData>
    <row r="1" spans="1:7">
      <c r="A1" s="437" t="s">
        <v>434</v>
      </c>
      <c r="B1" s="438"/>
      <c r="C1" s="438"/>
      <c r="D1" s="438"/>
      <c r="E1" s="438"/>
      <c r="F1" s="438"/>
      <c r="G1" s="438"/>
    </row>
    <row r="2" spans="1:7">
      <c r="A2" s="439" t="s">
        <v>389</v>
      </c>
      <c r="B2" s="440"/>
      <c r="C2" s="440"/>
      <c r="D2" s="440"/>
      <c r="E2" s="440"/>
      <c r="F2" s="440"/>
      <c r="G2" s="440"/>
    </row>
    <row r="3" spans="1:7">
      <c r="A3" s="232"/>
      <c r="B3" s="233"/>
      <c r="C3" s="233"/>
      <c r="D3" s="233"/>
      <c r="E3" s="233"/>
      <c r="F3" s="233"/>
      <c r="G3" s="233"/>
    </row>
    <row r="4" spans="1:7" ht="15.75" thickBot="1">
      <c r="A4" s="232"/>
      <c r="B4" s="233"/>
      <c r="C4" s="233"/>
      <c r="D4" s="234" t="s">
        <v>370</v>
      </c>
      <c r="E4" s="233"/>
      <c r="F4" s="233"/>
      <c r="G4" s="233"/>
    </row>
    <row r="5" spans="1:7">
      <c r="A5" s="443" t="s">
        <v>371</v>
      </c>
      <c r="B5" s="445" t="s">
        <v>407</v>
      </c>
      <c r="C5" s="441" t="s">
        <v>45</v>
      </c>
      <c r="D5" s="442"/>
      <c r="E5" s="235"/>
      <c r="F5" s="235"/>
      <c r="G5" s="235"/>
    </row>
    <row r="6" spans="1:7" ht="15.75" thickBot="1">
      <c r="A6" s="444"/>
      <c r="B6" s="446"/>
      <c r="C6" s="236" t="s">
        <v>372</v>
      </c>
      <c r="D6" s="237" t="s">
        <v>373</v>
      </c>
      <c r="E6" s="235"/>
      <c r="F6" s="235"/>
      <c r="G6" s="235"/>
    </row>
    <row r="7" spans="1:7">
      <c r="A7" s="273" t="s">
        <v>374</v>
      </c>
      <c r="B7" s="238">
        <v>0</v>
      </c>
      <c r="C7" s="238">
        <f>SUM(C8)</f>
        <v>0</v>
      </c>
      <c r="D7" s="238">
        <f>SUM(D8)</f>
        <v>0</v>
      </c>
      <c r="E7" s="235"/>
      <c r="F7" s="235"/>
      <c r="G7" s="235"/>
    </row>
    <row r="8" spans="1:7" ht="15.95" customHeight="1">
      <c r="A8" s="239" t="s">
        <v>375</v>
      </c>
      <c r="B8" s="240"/>
      <c r="C8" s="240"/>
      <c r="D8" s="241">
        <v>0</v>
      </c>
      <c r="E8" s="242"/>
      <c r="F8" s="242"/>
      <c r="G8" s="242"/>
    </row>
    <row r="9" spans="1:7" s="245" customFormat="1" ht="15.95" customHeight="1">
      <c r="A9" s="274" t="s">
        <v>376</v>
      </c>
      <c r="B9" s="244">
        <f>SUM(B10)</f>
        <v>0</v>
      </c>
      <c r="C9" s="244">
        <f>SUM(C10)</f>
        <v>0</v>
      </c>
      <c r="D9" s="244">
        <f>SUM(D10)</f>
        <v>15000</v>
      </c>
      <c r="E9" s="235"/>
      <c r="F9" s="235"/>
      <c r="G9" s="235"/>
    </row>
    <row r="10" spans="1:7" ht="15.95" customHeight="1">
      <c r="A10" s="246" t="s">
        <v>377</v>
      </c>
      <c r="B10" s="240"/>
      <c r="C10" s="240"/>
      <c r="D10" s="241">
        <v>15000</v>
      </c>
      <c r="E10" s="242"/>
      <c r="F10" s="242"/>
      <c r="G10" s="242"/>
    </row>
    <row r="11" spans="1:7" ht="15.95" customHeight="1">
      <c r="A11" s="243" t="s">
        <v>395</v>
      </c>
      <c r="B11" s="244">
        <f>SUM(B12)</f>
        <v>0</v>
      </c>
      <c r="C11" s="240"/>
      <c r="D11" s="244">
        <f>SUM(D12)</f>
        <v>0</v>
      </c>
      <c r="E11" s="242"/>
      <c r="F11" s="242"/>
      <c r="G11" s="242"/>
    </row>
    <row r="12" spans="1:7" ht="15.95" customHeight="1">
      <c r="A12" s="246" t="s">
        <v>396</v>
      </c>
      <c r="B12" s="241">
        <v>0</v>
      </c>
      <c r="C12" s="240"/>
      <c r="D12" s="241">
        <v>0</v>
      </c>
      <c r="E12" s="242"/>
      <c r="F12" s="242"/>
      <c r="G12" s="242"/>
    </row>
    <row r="13" spans="1:7" ht="15.75">
      <c r="A13" s="275" t="s">
        <v>378</v>
      </c>
      <c r="B13" s="247">
        <v>0</v>
      </c>
      <c r="C13" s="247">
        <f>SUM(C14)</f>
        <v>3344</v>
      </c>
      <c r="D13" s="247">
        <v>0</v>
      </c>
      <c r="E13" s="248">
        <v>0</v>
      </c>
      <c r="F13" s="249">
        <v>0</v>
      </c>
      <c r="G13" s="249">
        <v>0</v>
      </c>
    </row>
    <row r="14" spans="1:7" ht="15.75">
      <c r="A14" s="276" t="s">
        <v>379</v>
      </c>
      <c r="B14" s="249"/>
      <c r="C14" s="250">
        <v>3344</v>
      </c>
      <c r="D14" s="250"/>
      <c r="E14" s="251"/>
      <c r="F14" s="252"/>
      <c r="G14" s="252"/>
    </row>
    <row r="15" spans="1:7" s="255" customFormat="1" ht="29.25">
      <c r="A15" s="243" t="s">
        <v>380</v>
      </c>
      <c r="B15" s="253">
        <v>0</v>
      </c>
      <c r="C15" s="253">
        <f>SUM(C16+C17+C18+C19)</f>
        <v>5384</v>
      </c>
      <c r="D15" s="253">
        <f>SUM(D16:D20)</f>
        <v>543</v>
      </c>
      <c r="E15" s="254"/>
      <c r="F15" s="254"/>
      <c r="G15" s="254"/>
    </row>
    <row r="16" spans="1:7" s="255" customFormat="1" ht="15.75">
      <c r="A16" s="246" t="s">
        <v>400</v>
      </c>
      <c r="B16" s="253"/>
      <c r="C16" s="266">
        <v>464</v>
      </c>
      <c r="D16" s="253"/>
      <c r="E16" s="254"/>
      <c r="F16" s="254"/>
      <c r="G16" s="254"/>
    </row>
    <row r="17" spans="1:7" ht="15.75">
      <c r="A17" s="276" t="s">
        <v>392</v>
      </c>
      <c r="B17" s="249"/>
      <c r="C17" s="250">
        <v>1700</v>
      </c>
      <c r="D17" s="250"/>
      <c r="E17" s="251"/>
      <c r="F17" s="252"/>
      <c r="G17" s="252"/>
    </row>
    <row r="18" spans="1:7" ht="15.75">
      <c r="A18" s="276" t="s">
        <v>393</v>
      </c>
      <c r="B18" s="249"/>
      <c r="C18" s="250">
        <v>1950</v>
      </c>
      <c r="D18" s="250"/>
      <c r="E18" s="251"/>
      <c r="F18" s="252"/>
      <c r="G18" s="252"/>
    </row>
    <row r="19" spans="1:7" ht="15.75">
      <c r="A19" s="276" t="s">
        <v>394</v>
      </c>
      <c r="B19" s="249"/>
      <c r="C19" s="250">
        <v>1270</v>
      </c>
      <c r="D19" s="250"/>
      <c r="E19" s="251"/>
      <c r="F19" s="252"/>
      <c r="G19" s="252"/>
    </row>
    <row r="20" spans="1:7" ht="15.75">
      <c r="A20" s="276" t="s">
        <v>404</v>
      </c>
      <c r="B20" s="249"/>
      <c r="C20" s="250"/>
      <c r="D20" s="250">
        <v>543</v>
      </c>
      <c r="E20" s="251"/>
      <c r="F20" s="252"/>
      <c r="G20" s="252"/>
    </row>
    <row r="21" spans="1:7" ht="29.25">
      <c r="A21" s="277" t="s">
        <v>381</v>
      </c>
      <c r="B21" s="256">
        <f>SUM(B22:B27)</f>
        <v>239528</v>
      </c>
      <c r="C21" s="256">
        <f>SUM(C22:C27)</f>
        <v>7951</v>
      </c>
      <c r="D21" s="256">
        <f>SUM(D22:D28)</f>
        <v>224305</v>
      </c>
      <c r="E21" s="257">
        <v>0</v>
      </c>
      <c r="F21" s="256">
        <v>0</v>
      </c>
      <c r="G21" s="256">
        <v>0</v>
      </c>
    </row>
    <row r="22" spans="1:7" ht="15.75">
      <c r="A22" s="276" t="s">
        <v>44</v>
      </c>
      <c r="B22" s="258">
        <v>239528</v>
      </c>
      <c r="C22" s="250"/>
      <c r="D22" s="250"/>
      <c r="E22" s="251"/>
      <c r="F22" s="252"/>
      <c r="G22" s="252"/>
    </row>
    <row r="23" spans="1:7" ht="15.75">
      <c r="A23" s="276" t="s">
        <v>391</v>
      </c>
      <c r="B23" s="258"/>
      <c r="C23" s="250">
        <v>492</v>
      </c>
      <c r="D23" s="250"/>
      <c r="E23" s="251"/>
      <c r="F23" s="252"/>
      <c r="G23" s="252"/>
    </row>
    <row r="24" spans="1:7" ht="15.75">
      <c r="A24" s="276" t="s">
        <v>379</v>
      </c>
      <c r="B24" s="258"/>
      <c r="C24" s="250">
        <f>7936-477</f>
        <v>7459</v>
      </c>
      <c r="D24" s="250"/>
      <c r="E24" s="251"/>
      <c r="F24" s="252"/>
      <c r="G24" s="252"/>
    </row>
    <row r="25" spans="1:7" ht="15.75">
      <c r="A25" s="276" t="s">
        <v>382</v>
      </c>
      <c r="B25" s="258"/>
      <c r="D25" s="250">
        <v>810</v>
      </c>
      <c r="E25" s="251"/>
      <c r="F25" s="252"/>
      <c r="G25" s="252"/>
    </row>
    <row r="26" spans="1:7" ht="15.75">
      <c r="A26" s="276" t="s">
        <v>383</v>
      </c>
      <c r="B26" s="258"/>
      <c r="C26" s="250"/>
      <c r="D26" s="250">
        <v>30000</v>
      </c>
      <c r="E26" s="251"/>
      <c r="F26" s="252"/>
      <c r="G26" s="252"/>
    </row>
    <row r="27" spans="1:7" ht="15.75">
      <c r="A27" s="276" t="s">
        <v>384</v>
      </c>
      <c r="B27" s="249"/>
      <c r="C27" s="249"/>
      <c r="D27" s="249">
        <v>143495</v>
      </c>
      <c r="E27" s="248"/>
      <c r="F27" s="249"/>
      <c r="G27" s="249"/>
    </row>
    <row r="28" spans="1:7" ht="15.75">
      <c r="A28" s="278" t="s">
        <v>390</v>
      </c>
      <c r="B28" s="249"/>
      <c r="C28" s="249"/>
      <c r="D28" s="249">
        <v>50000</v>
      </c>
      <c r="E28" s="261"/>
      <c r="F28" s="262"/>
      <c r="G28" s="262"/>
    </row>
    <row r="29" spans="1:7" ht="15.75">
      <c r="A29" s="279" t="s">
        <v>385</v>
      </c>
      <c r="B29" s="247">
        <v>0</v>
      </c>
      <c r="C29" s="247">
        <f>SUM(C30:C30)</f>
        <v>0</v>
      </c>
      <c r="D29" s="247">
        <v>0</v>
      </c>
      <c r="E29" s="259"/>
      <c r="F29" s="260"/>
      <c r="G29" s="260"/>
    </row>
    <row r="30" spans="1:7" ht="15.75">
      <c r="A30" s="278" t="s">
        <v>399</v>
      </c>
      <c r="B30" s="249"/>
      <c r="C30" s="249"/>
      <c r="D30" s="249"/>
      <c r="E30" s="261"/>
      <c r="F30" s="262"/>
      <c r="G30" s="262"/>
    </row>
    <row r="31" spans="1:7" ht="15.75">
      <c r="A31" s="279" t="s">
        <v>386</v>
      </c>
      <c r="B31" s="247">
        <f>SUM(B32)</f>
        <v>0</v>
      </c>
      <c r="C31" s="247">
        <f>SUM(C32)</f>
        <v>0</v>
      </c>
      <c r="D31" s="247">
        <f>SUM(D32)</f>
        <v>0</v>
      </c>
      <c r="E31" s="261"/>
      <c r="F31" s="262"/>
      <c r="G31" s="262"/>
    </row>
    <row r="32" spans="1:7" ht="15.75">
      <c r="A32" s="278" t="s">
        <v>387</v>
      </c>
      <c r="B32" s="249"/>
      <c r="C32" s="249">
        <v>0</v>
      </c>
      <c r="D32" s="249"/>
      <c r="E32" s="261"/>
      <c r="F32" s="262"/>
      <c r="G32" s="262"/>
    </row>
    <row r="33" spans="1:7" ht="15.75">
      <c r="A33" s="279" t="s">
        <v>397</v>
      </c>
      <c r="B33" s="262"/>
      <c r="C33" s="262"/>
      <c r="D33" s="260">
        <f>SUM(D34)</f>
        <v>0</v>
      </c>
      <c r="E33" s="261"/>
      <c r="F33" s="262"/>
      <c r="G33" s="262"/>
    </row>
    <row r="34" spans="1:7" ht="15.75">
      <c r="A34" s="278" t="s">
        <v>398</v>
      </c>
      <c r="B34" s="262"/>
      <c r="C34" s="262"/>
      <c r="D34" s="262"/>
      <c r="E34" s="261"/>
      <c r="F34" s="262"/>
      <c r="G34" s="262"/>
    </row>
    <row r="35" spans="1:7" ht="16.5" thickBot="1">
      <c r="A35" s="263" t="s">
        <v>388</v>
      </c>
      <c r="B35" s="264">
        <f>SUM(+B29+B21+B15+B13+B9+B7+B31+B33+B11+B31)</f>
        <v>239528</v>
      </c>
      <c r="C35" s="264">
        <f>SUM(+C29+C21+C15+C13+C9+C7+C31+C33+C11)</f>
        <v>16679</v>
      </c>
      <c r="D35" s="264">
        <f>SUM(+D29+D21+D15+D13+D9+D7+D31+D33+D11+D31)</f>
        <v>239848</v>
      </c>
      <c r="E35" s="265" t="e">
        <v>#REF!</v>
      </c>
      <c r="F35" s="264" t="e">
        <v>#REF!</v>
      </c>
      <c r="G35" s="264" t="e">
        <v>#REF!</v>
      </c>
    </row>
    <row r="36" spans="1:7" ht="16.5" thickBot="1">
      <c r="A36" s="389" t="s">
        <v>440</v>
      </c>
      <c r="B36" s="387"/>
      <c r="C36" s="435">
        <f>C35+D35</f>
        <v>256527</v>
      </c>
      <c r="D36" s="436"/>
      <c r="E36" s="388"/>
      <c r="F36" s="388"/>
      <c r="G36" s="388"/>
    </row>
    <row r="37" spans="1:7" ht="16.5" thickBot="1">
      <c r="A37" s="386" t="s">
        <v>439</v>
      </c>
      <c r="B37" s="432">
        <f>B35+C35+D35</f>
        <v>496055</v>
      </c>
      <c r="C37" s="433"/>
      <c r="D37" s="434"/>
    </row>
    <row r="38" spans="1:7">
      <c r="D38" s="281"/>
    </row>
  </sheetData>
  <mergeCells count="7">
    <mergeCell ref="B37:D37"/>
    <mergeCell ref="C36:D36"/>
    <mergeCell ref="A1:G1"/>
    <mergeCell ref="A2:G2"/>
    <mergeCell ref="C5:D5"/>
    <mergeCell ref="A5:A6"/>
    <mergeCell ref="B5:B6"/>
  </mergeCells>
  <phoneticPr fontId="40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0"/>
  </sheetPr>
  <dimension ref="A1:J149"/>
  <sheetViews>
    <sheetView view="pageLayout" topLeftCell="A7" zoomScaleNormal="100" zoomScaleSheetLayoutView="100" workbookViewId="0">
      <selection activeCell="D106" sqref="D106"/>
    </sheetView>
  </sheetViews>
  <sheetFormatPr defaultColWidth="9.33203125" defaultRowHeight="15.75"/>
  <cols>
    <col min="1" max="1" width="9.5" style="154" customWidth="1"/>
    <col min="2" max="2" width="65.16406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92" t="s">
        <v>4</v>
      </c>
      <c r="B1" s="392"/>
      <c r="C1" s="392"/>
      <c r="D1" s="392"/>
    </row>
    <row r="2" spans="1:4" ht="15.95" customHeight="1" thickBot="1">
      <c r="A2" s="393" t="s">
        <v>85</v>
      </c>
      <c r="B2" s="393"/>
      <c r="C2" s="395" t="s">
        <v>127</v>
      </c>
      <c r="D2" s="395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0</v>
      </c>
      <c r="D12" s="87">
        <f>+D13+D14+D15+D16+D17</f>
        <v>0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/>
      <c r="D17" s="89"/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0</v>
      </c>
      <c r="D26" s="93">
        <f>+D27+D30+D31+D32</f>
        <v>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/>
      <c r="D32" s="91"/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3278</v>
      </c>
      <c r="D33" s="87">
        <f>SUM(D34:D43)</f>
        <v>3278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86</v>
      </c>
      <c r="D35" s="89">
        <v>86</v>
      </c>
    </row>
    <row r="36" spans="1:4" s="175" customFormat="1" ht="12" customHeight="1">
      <c r="A36" s="12" t="s">
        <v>57</v>
      </c>
      <c r="B36" s="177" t="s">
        <v>181</v>
      </c>
      <c r="C36" s="89">
        <v>2226</v>
      </c>
      <c r="D36" s="89">
        <v>2226</v>
      </c>
    </row>
    <row r="37" spans="1:4" s="175" customFormat="1" ht="12" customHeight="1">
      <c r="A37" s="12" t="s">
        <v>98</v>
      </c>
      <c r="B37" s="177" t="s">
        <v>182</v>
      </c>
      <c r="C37" s="89">
        <v>120</v>
      </c>
      <c r="D37" s="89">
        <v>120</v>
      </c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657</v>
      </c>
      <c r="D39" s="89">
        <v>657</v>
      </c>
    </row>
    <row r="40" spans="1:4" s="175" customFormat="1" ht="12" customHeight="1">
      <c r="A40" s="12" t="s">
        <v>101</v>
      </c>
      <c r="B40" s="177" t="s">
        <v>185</v>
      </c>
      <c r="C40" s="89">
        <v>189</v>
      </c>
      <c r="D40" s="89">
        <v>189</v>
      </c>
    </row>
    <row r="41" spans="1:4" s="175" customFormat="1" ht="12" customHeight="1">
      <c r="A41" s="12" t="s">
        <v>102</v>
      </c>
      <c r="B41" s="177" t="s">
        <v>186</v>
      </c>
      <c r="C41" s="89"/>
      <c r="D41" s="89"/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3278</v>
      </c>
      <c r="D60" s="93">
        <f>+D5+D12+D19+D26+D33+D44+D50+D55</f>
        <v>3278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0</v>
      </c>
    </row>
    <row r="71" spans="1:4" s="175" customFormat="1" ht="12" customHeight="1">
      <c r="A71" s="13" t="s">
        <v>248</v>
      </c>
      <c r="B71" s="176" t="s">
        <v>224</v>
      </c>
      <c r="C71" s="92"/>
      <c r="D71" s="92"/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0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3278</v>
      </c>
      <c r="D84" s="93">
        <f>+D60+D83</f>
        <v>3278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92" t="s">
        <v>34</v>
      </c>
      <c r="B86" s="392"/>
      <c r="C86" s="392"/>
      <c r="D86" s="392"/>
    </row>
    <row r="87" spans="1:4" s="187" customFormat="1" ht="16.5" customHeight="1" thickBot="1">
      <c r="A87" s="394" t="s">
        <v>86</v>
      </c>
      <c r="B87" s="394"/>
      <c r="C87" s="396" t="s">
        <v>127</v>
      </c>
      <c r="D87" s="396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57671</v>
      </c>
      <c r="D90" s="86">
        <f>SUM(D91:D95)</f>
        <v>65960</v>
      </c>
    </row>
    <row r="91" spans="1:4" ht="12" customHeight="1">
      <c r="A91" s="15" t="s">
        <v>62</v>
      </c>
      <c r="B91" s="8" t="s">
        <v>36</v>
      </c>
      <c r="C91" s="88">
        <v>3183</v>
      </c>
      <c r="D91" s="88">
        <v>3183</v>
      </c>
    </row>
    <row r="92" spans="1:4" ht="12" customHeight="1">
      <c r="A92" s="12" t="s">
        <v>63</v>
      </c>
      <c r="B92" s="6" t="s">
        <v>106</v>
      </c>
      <c r="C92" s="89">
        <v>1013</v>
      </c>
      <c r="D92" s="89">
        <v>1013</v>
      </c>
    </row>
    <row r="93" spans="1:4" ht="12" customHeight="1">
      <c r="A93" s="12" t="s">
        <v>64</v>
      </c>
      <c r="B93" s="6" t="s">
        <v>81</v>
      </c>
      <c r="C93" s="91">
        <v>17261</v>
      </c>
      <c r="D93" s="91">
        <v>18261</v>
      </c>
    </row>
    <row r="94" spans="1:4" ht="12" customHeight="1">
      <c r="A94" s="12" t="s">
        <v>65</v>
      </c>
      <c r="B94" s="9" t="s">
        <v>107</v>
      </c>
      <c r="C94" s="91">
        <v>8875</v>
      </c>
      <c r="D94" s="91">
        <v>10330</v>
      </c>
    </row>
    <row r="95" spans="1:4" ht="12" customHeight="1">
      <c r="A95" s="12" t="s">
        <v>73</v>
      </c>
      <c r="B95" s="17" t="s">
        <v>108</v>
      </c>
      <c r="C95" s="91">
        <f>SUM(C96:C105)</f>
        <v>27339</v>
      </c>
      <c r="D95" s="91">
        <f>SUM(D96:D105)</f>
        <v>33173</v>
      </c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1455</v>
      </c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25884</v>
      </c>
      <c r="D105" s="95">
        <v>33173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0</v>
      </c>
      <c r="D106" s="87">
        <f>+D107+D109+D111</f>
        <v>4200</v>
      </c>
    </row>
    <row r="107" spans="1:4" ht="12" customHeight="1">
      <c r="A107" s="13" t="s">
        <v>68</v>
      </c>
      <c r="B107" s="6" t="s">
        <v>126</v>
      </c>
      <c r="C107" s="90"/>
      <c r="D107" s="90"/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/>
      <c r="D109" s="89"/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>
        <v>4200</v>
      </c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>
        <v>4200</v>
      </c>
    </row>
    <row r="120" spans="1:4" ht="12" customHeight="1" thickBot="1">
      <c r="A120" s="18" t="s">
        <v>8</v>
      </c>
      <c r="B120" s="44" t="s">
        <v>281</v>
      </c>
      <c r="C120" s="87">
        <f>+C121+C122</f>
        <v>6400</v>
      </c>
      <c r="D120" s="87">
        <f>+D121+D122</f>
        <v>6400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>
        <v>6400</v>
      </c>
      <c r="D122" s="91">
        <v>6400</v>
      </c>
    </row>
    <row r="123" spans="1:4" ht="12" customHeight="1" thickBot="1">
      <c r="A123" s="18" t="s">
        <v>9</v>
      </c>
      <c r="B123" s="44" t="s">
        <v>282</v>
      </c>
      <c r="C123" s="87">
        <f>+C90+C106+C120</f>
        <v>64071</v>
      </c>
      <c r="D123" s="87">
        <f>+D90+D106+D120</f>
        <v>76560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64071</v>
      </c>
      <c r="D144" s="188">
        <f>+D123+D143</f>
        <v>76560</v>
      </c>
    </row>
    <row r="145" spans="1:5" ht="7.5" customHeight="1"/>
    <row r="146" spans="1:5">
      <c r="A146" s="397" t="s">
        <v>303</v>
      </c>
      <c r="B146" s="397"/>
      <c r="C146" s="397"/>
      <c r="D146" s="397"/>
    </row>
    <row r="147" spans="1:5" ht="15" customHeight="1" thickBot="1">
      <c r="A147" s="393" t="s">
        <v>87</v>
      </c>
      <c r="B147" s="393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-60793</v>
      </c>
      <c r="D148" s="87">
        <f>+D60-D123</f>
        <v>-73282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0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ÖNKÉNT VÁLLALT FELADATAINAK MÉRLEGE
&amp;R&amp;"Times New Roman CE,Félkövér dőlt"&amp;11 1.3. melléklet a 23/2015. (X. 28.) önkormányzati rendelethez</oddHeader>
  </headerFooter>
  <rowBreaks count="1" manualBreakCount="1">
    <brk id="85" max="2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J149"/>
  <sheetViews>
    <sheetView view="pageLayout" topLeftCell="A97" zoomScaleNormal="100" zoomScaleSheetLayoutView="100" workbookViewId="0">
      <selection activeCell="B85" sqref="B85"/>
    </sheetView>
  </sheetViews>
  <sheetFormatPr defaultColWidth="9.33203125" defaultRowHeight="15.75"/>
  <cols>
    <col min="1" max="1" width="9.5" style="154" customWidth="1"/>
    <col min="2" max="2" width="76.3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92" t="s">
        <v>4</v>
      </c>
      <c r="B1" s="392"/>
      <c r="C1" s="392"/>
      <c r="D1" s="392"/>
    </row>
    <row r="2" spans="1:4" ht="15.95" customHeight="1" thickBot="1">
      <c r="A2" s="393" t="s">
        <v>85</v>
      </c>
      <c r="B2" s="393"/>
      <c r="C2" s="395" t="s">
        <v>127</v>
      </c>
      <c r="D2" s="395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>
        <v>0</v>
      </c>
      <c r="C12" s="87">
        <f>+C13+C14+C15+C16+C17</f>
        <v>2238</v>
      </c>
      <c r="D12" s="87">
        <f>+D13+D14+D15+D16+D17</f>
        <v>2238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2238</v>
      </c>
      <c r="D17" s="89">
        <v>2238</v>
      </c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>
        <v>89436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700</v>
      </c>
      <c r="D26" s="93">
        <f>+D27+D30+D31+D32</f>
        <v>700</v>
      </c>
    </row>
    <row r="27" spans="1:4" s="175" customFormat="1" ht="12" customHeight="1">
      <c r="A27" s="13" t="s">
        <v>164</v>
      </c>
      <c r="B27" s="176" t="s">
        <v>170</v>
      </c>
      <c r="C27" s="171">
        <f>+C28+C29</f>
        <v>0</v>
      </c>
      <c r="D27" s="171">
        <f>+D28+D29</f>
        <v>0</v>
      </c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>
        <v>700</v>
      </c>
      <c r="D32" s="91">
        <v>700</v>
      </c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5583</v>
      </c>
      <c r="D33" s="87">
        <f>SUM(D34:D43)</f>
        <v>5583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505</v>
      </c>
      <c r="D35" s="89">
        <v>505</v>
      </c>
    </row>
    <row r="36" spans="1:4" s="175" customFormat="1" ht="12" customHeight="1">
      <c r="A36" s="12" t="s">
        <v>57</v>
      </c>
      <c r="B36" s="177" t="s">
        <v>181</v>
      </c>
      <c r="C36" s="89">
        <v>4088</v>
      </c>
      <c r="D36" s="89">
        <v>4088</v>
      </c>
    </row>
    <row r="37" spans="1:4" s="175" customFormat="1" ht="12" customHeight="1">
      <c r="A37" s="12" t="s">
        <v>98</v>
      </c>
      <c r="B37" s="177" t="s">
        <v>182</v>
      </c>
      <c r="C37" s="89"/>
      <c r="D37" s="89"/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654</v>
      </c>
      <c r="D39" s="89">
        <v>654</v>
      </c>
    </row>
    <row r="40" spans="1:4" s="175" customFormat="1" ht="12" customHeight="1">
      <c r="A40" s="12" t="s">
        <v>101</v>
      </c>
      <c r="B40" s="177" t="s">
        <v>185</v>
      </c>
      <c r="C40" s="89">
        <v>251</v>
      </c>
      <c r="D40" s="89">
        <v>251</v>
      </c>
    </row>
    <row r="41" spans="1:4" s="175" customFormat="1" ht="12" customHeight="1">
      <c r="A41" s="12" t="s">
        <v>102</v>
      </c>
      <c r="B41" s="177" t="s">
        <v>186</v>
      </c>
      <c r="C41" s="89">
        <v>85</v>
      </c>
      <c r="D41" s="89">
        <v>85</v>
      </c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/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0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362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/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8521</v>
      </c>
      <c r="D60" s="93">
        <f>+D5+D12+D19+D26+D33+D44+D50+D55</f>
        <v>8521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5956</v>
      </c>
    </row>
    <row r="71" spans="1:4" s="175" customFormat="1" ht="12" customHeight="1">
      <c r="A71" s="13" t="s">
        <v>248</v>
      </c>
      <c r="B71" s="176" t="s">
        <v>224</v>
      </c>
      <c r="C71" s="92"/>
      <c r="D71" s="92">
        <v>5956</v>
      </c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5956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8521</v>
      </c>
      <c r="D84" s="93">
        <f>+D60+D83</f>
        <v>14477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92" t="s">
        <v>34</v>
      </c>
      <c r="B86" s="392"/>
      <c r="C86" s="392"/>
      <c r="D86" s="392"/>
    </row>
    <row r="87" spans="1:4" s="187" customFormat="1" ht="16.5" customHeight="1" thickBot="1">
      <c r="A87" s="394" t="s">
        <v>86</v>
      </c>
      <c r="B87" s="394"/>
      <c r="C87" s="396" t="s">
        <v>127</v>
      </c>
      <c r="D87" s="396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188374</v>
      </c>
      <c r="D90" s="86">
        <f>SUM(D91:D95)</f>
        <v>199895</v>
      </c>
    </row>
    <row r="91" spans="1:4" ht="12" customHeight="1">
      <c r="A91" s="15" t="s">
        <v>62</v>
      </c>
      <c r="B91" s="8" t="s">
        <v>36</v>
      </c>
      <c r="C91" s="88">
        <v>117860</v>
      </c>
      <c r="D91" s="88">
        <v>124872</v>
      </c>
    </row>
    <row r="92" spans="1:4" ht="12" customHeight="1">
      <c r="A92" s="12" t="s">
        <v>63</v>
      </c>
      <c r="B92" s="6" t="s">
        <v>106</v>
      </c>
      <c r="C92" s="89">
        <v>32416</v>
      </c>
      <c r="D92" s="89">
        <v>34308</v>
      </c>
    </row>
    <row r="93" spans="1:4" ht="12" customHeight="1">
      <c r="A93" s="12" t="s">
        <v>64</v>
      </c>
      <c r="B93" s="6" t="s">
        <v>81</v>
      </c>
      <c r="C93" s="91">
        <v>33812</v>
      </c>
      <c r="D93" s="91">
        <v>36429</v>
      </c>
    </row>
    <row r="94" spans="1:4" ht="12" customHeight="1">
      <c r="A94" s="12" t="s">
        <v>65</v>
      </c>
      <c r="B94" s="9" t="s">
        <v>107</v>
      </c>
      <c r="C94" s="91">
        <v>4286</v>
      </c>
      <c r="D94" s="91">
        <v>4286</v>
      </c>
    </row>
    <row r="95" spans="1:4" ht="12" customHeight="1">
      <c r="A95" s="12" t="s">
        <v>73</v>
      </c>
      <c r="B95" s="17" t="s">
        <v>108</v>
      </c>
      <c r="C95" s="91"/>
      <c r="D95" s="91"/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/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/>
      <c r="D105" s="95"/>
    </row>
    <row r="106" spans="1:4" ht="12" customHeight="1" thickBot="1">
      <c r="A106" s="18" t="s">
        <v>7</v>
      </c>
      <c r="B106" s="23" t="s">
        <v>270</v>
      </c>
      <c r="C106" s="87">
        <f>+C107+C109+C111</f>
        <v>17470</v>
      </c>
      <c r="D106" s="87">
        <f>+D107+D109+D111</f>
        <v>17470</v>
      </c>
    </row>
    <row r="107" spans="1:4" ht="12" customHeight="1">
      <c r="A107" s="13" t="s">
        <v>68</v>
      </c>
      <c r="B107" s="6" t="s">
        <v>126</v>
      </c>
      <c r="C107" s="90">
        <v>8580</v>
      </c>
      <c r="D107" s="90">
        <v>8580</v>
      </c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>
        <v>8890</v>
      </c>
      <c r="D109" s="89">
        <v>8890</v>
      </c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/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/>
    </row>
    <row r="120" spans="1:4" ht="12" customHeight="1" thickBot="1">
      <c r="A120" s="18" t="s">
        <v>8</v>
      </c>
      <c r="B120" s="44" t="s">
        <v>281</v>
      </c>
      <c r="C120" s="87">
        <f>+C121+C122</f>
        <v>0</v>
      </c>
      <c r="D120" s="87">
        <f>+D121+D122</f>
        <v>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/>
      <c r="D122" s="91"/>
    </row>
    <row r="123" spans="1:4" ht="12" customHeight="1" thickBot="1">
      <c r="A123" s="18" t="s">
        <v>9</v>
      </c>
      <c r="B123" s="44" t="s">
        <v>282</v>
      </c>
      <c r="C123" s="87">
        <f>+C90+C106+C120</f>
        <v>205844</v>
      </c>
      <c r="D123" s="87">
        <f>+D90+D106+D120</f>
        <v>217365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205844</v>
      </c>
      <c r="D144" s="188">
        <f>+D123+D143</f>
        <v>217365</v>
      </c>
    </row>
    <row r="145" spans="1:5" ht="7.5" customHeight="1"/>
    <row r="146" spans="1:5">
      <c r="A146" s="397" t="s">
        <v>303</v>
      </c>
      <c r="B146" s="397"/>
      <c r="C146" s="397"/>
      <c r="D146" s="397"/>
    </row>
    <row r="147" spans="1:5" ht="15" customHeight="1" thickBot="1">
      <c r="A147" s="393" t="s">
        <v>87</v>
      </c>
      <c r="B147" s="393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-197323</v>
      </c>
      <c r="D148" s="87">
        <f>+D60-D123</f>
        <v>-208844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5956</v>
      </c>
    </row>
  </sheetData>
  <mergeCells count="8">
    <mergeCell ref="A146:D146"/>
    <mergeCell ref="A147:B147"/>
    <mergeCell ref="A1:D1"/>
    <mergeCell ref="A2:B2"/>
    <mergeCell ref="A86:D86"/>
    <mergeCell ref="A87:B87"/>
    <mergeCell ref="C2:D2"/>
    <mergeCell ref="C87:D87"/>
  </mergeCells>
  <phoneticPr fontId="2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ÁLLAMI (ÁLLAMIGAZGATÁSI) FELADATOK MÉRLEGE
&amp;R&amp;"Times New Roman CE,Félkövér dőlt"&amp;11 1.4. melléklet a 23/2015. (X. 28.) önkormányzati rendelethez</oddHeader>
  </headerFooter>
  <rowBreaks count="1" manualBreakCount="1">
    <brk id="85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9"/>
  <sheetViews>
    <sheetView view="pageLayout" zoomScaleNormal="120" zoomScaleSheetLayoutView="100" workbookViewId="0">
      <selection activeCell="D150" sqref="D150"/>
    </sheetView>
  </sheetViews>
  <sheetFormatPr defaultColWidth="9.33203125" defaultRowHeight="15.75"/>
  <cols>
    <col min="1" max="1" width="9.5" style="154" customWidth="1"/>
    <col min="2" max="2" width="72.8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 ht="15.95" customHeight="1">
      <c r="A1" s="392" t="s">
        <v>4</v>
      </c>
      <c r="B1" s="392"/>
      <c r="C1" s="392"/>
      <c r="D1" s="392"/>
    </row>
    <row r="2" spans="1:4" ht="15.95" customHeight="1" thickBot="1">
      <c r="A2" s="393" t="s">
        <v>85</v>
      </c>
      <c r="B2" s="393"/>
      <c r="C2" s="395" t="s">
        <v>127</v>
      </c>
      <c r="D2" s="395"/>
    </row>
    <row r="3" spans="1:4" ht="38.1" customHeight="1" thickBot="1">
      <c r="A3" s="21" t="s">
        <v>50</v>
      </c>
      <c r="B3" s="22" t="s">
        <v>5</v>
      </c>
      <c r="C3" s="28" t="s">
        <v>402</v>
      </c>
      <c r="D3" s="28" t="s">
        <v>401</v>
      </c>
    </row>
    <row r="4" spans="1:4" s="174" customFormat="1" ht="12" customHeight="1" thickBot="1">
      <c r="A4" s="168">
        <v>1</v>
      </c>
      <c r="B4" s="169">
        <v>2</v>
      </c>
      <c r="C4" s="170">
        <v>3</v>
      </c>
      <c r="D4" s="170">
        <v>4</v>
      </c>
    </row>
    <row r="5" spans="1:4" s="175" customFormat="1" ht="12" customHeight="1" thickBot="1">
      <c r="A5" s="18" t="s">
        <v>6</v>
      </c>
      <c r="B5" s="19" t="s">
        <v>146</v>
      </c>
      <c r="C5" s="87">
        <f>+C6+C7+C8+C9+C10+C11</f>
        <v>0</v>
      </c>
      <c r="D5" s="87">
        <f>+D6+D7+D8+D9+D10+D11</f>
        <v>0</v>
      </c>
    </row>
    <row r="6" spans="1:4" s="175" customFormat="1" ht="12" customHeight="1">
      <c r="A6" s="13" t="s">
        <v>62</v>
      </c>
      <c r="B6" s="176" t="s">
        <v>147</v>
      </c>
      <c r="C6" s="90"/>
      <c r="D6" s="90"/>
    </row>
    <row r="7" spans="1:4" s="175" customFormat="1" ht="12" customHeight="1">
      <c r="A7" s="12" t="s">
        <v>63</v>
      </c>
      <c r="B7" s="177" t="s">
        <v>148</v>
      </c>
      <c r="C7" s="89"/>
      <c r="D7" s="89"/>
    </row>
    <row r="8" spans="1:4" s="175" customFormat="1" ht="12" customHeight="1">
      <c r="A8" s="12" t="s">
        <v>64</v>
      </c>
      <c r="B8" s="177" t="s">
        <v>149</v>
      </c>
      <c r="C8" s="89"/>
      <c r="D8" s="89"/>
    </row>
    <row r="9" spans="1:4" s="175" customFormat="1" ht="12" customHeight="1">
      <c r="A9" s="12" t="s">
        <v>65</v>
      </c>
      <c r="B9" s="177" t="s">
        <v>150</v>
      </c>
      <c r="C9" s="89"/>
      <c r="D9" s="89"/>
    </row>
    <row r="10" spans="1:4" s="175" customFormat="1" ht="12" customHeight="1">
      <c r="A10" s="12" t="s">
        <v>82</v>
      </c>
      <c r="B10" s="177" t="s">
        <v>151</v>
      </c>
      <c r="C10" s="89"/>
      <c r="D10" s="89"/>
    </row>
    <row r="11" spans="1:4" s="175" customFormat="1" ht="12" customHeight="1" thickBot="1">
      <c r="A11" s="14" t="s">
        <v>66</v>
      </c>
      <c r="B11" s="178" t="s">
        <v>152</v>
      </c>
      <c r="C11" s="89"/>
      <c r="D11" s="89"/>
    </row>
    <row r="12" spans="1:4" s="175" customFormat="1" ht="12" customHeight="1" thickBot="1">
      <c r="A12" s="18" t="s">
        <v>7</v>
      </c>
      <c r="B12" s="82" t="s">
        <v>441</v>
      </c>
      <c r="C12" s="87">
        <f>+C13+C14+C15+C16+C17</f>
        <v>3334</v>
      </c>
      <c r="D12" s="87">
        <f>+D13+D14+D15+D16+D17</f>
        <v>3334</v>
      </c>
    </row>
    <row r="13" spans="1:4" s="175" customFormat="1" ht="12" customHeight="1">
      <c r="A13" s="13" t="s">
        <v>68</v>
      </c>
      <c r="B13" s="176" t="s">
        <v>154</v>
      </c>
      <c r="C13" s="90"/>
      <c r="D13" s="90"/>
    </row>
    <row r="14" spans="1:4" s="175" customFormat="1" ht="12" customHeight="1">
      <c r="A14" s="12" t="s">
        <v>69</v>
      </c>
      <c r="B14" s="177" t="s">
        <v>155</v>
      </c>
      <c r="C14" s="89"/>
      <c r="D14" s="89"/>
    </row>
    <row r="15" spans="1:4" s="175" customFormat="1" ht="12" customHeight="1">
      <c r="A15" s="12" t="s">
        <v>70</v>
      </c>
      <c r="B15" s="177" t="s">
        <v>358</v>
      </c>
      <c r="C15" s="89"/>
      <c r="D15" s="89"/>
    </row>
    <row r="16" spans="1:4" s="175" customFormat="1" ht="12" customHeight="1">
      <c r="A16" s="12" t="s">
        <v>71</v>
      </c>
      <c r="B16" s="177" t="s">
        <v>359</v>
      </c>
      <c r="C16" s="89"/>
      <c r="D16" s="89"/>
    </row>
    <row r="17" spans="1:4" s="175" customFormat="1" ht="12" customHeight="1">
      <c r="A17" s="12" t="s">
        <v>72</v>
      </c>
      <c r="B17" s="177" t="s">
        <v>156</v>
      </c>
      <c r="C17" s="89">
        <v>3334</v>
      </c>
      <c r="D17" s="89">
        <v>3334</v>
      </c>
    </row>
    <row r="18" spans="1:4" s="175" customFormat="1" ht="12" customHeight="1" thickBot="1">
      <c r="A18" s="14" t="s">
        <v>78</v>
      </c>
      <c r="B18" s="178" t="s">
        <v>157</v>
      </c>
      <c r="C18" s="91"/>
      <c r="D18" s="91"/>
    </row>
    <row r="19" spans="1:4" s="175" customFormat="1" ht="12" customHeight="1" thickBot="1">
      <c r="A19" s="18" t="s">
        <v>8</v>
      </c>
      <c r="B19" s="19" t="s">
        <v>158</v>
      </c>
      <c r="C19" s="87">
        <f>+C20+C21+C22+C23+C24</f>
        <v>0</v>
      </c>
      <c r="D19" s="87">
        <f>+D20+D21+D22+D23+D24</f>
        <v>0</v>
      </c>
    </row>
    <row r="20" spans="1:4" s="175" customFormat="1" ht="12" customHeight="1">
      <c r="A20" s="13" t="s">
        <v>51</v>
      </c>
      <c r="B20" s="176" t="s">
        <v>159</v>
      </c>
      <c r="C20" s="90"/>
      <c r="D20" s="90"/>
    </row>
    <row r="21" spans="1:4" s="175" customFormat="1" ht="12" customHeight="1">
      <c r="A21" s="12" t="s">
        <v>52</v>
      </c>
      <c r="B21" s="177" t="s">
        <v>160</v>
      </c>
      <c r="C21" s="89"/>
      <c r="D21" s="89"/>
    </row>
    <row r="22" spans="1:4" s="175" customFormat="1" ht="12" customHeight="1">
      <c r="A22" s="12" t="s">
        <v>53</v>
      </c>
      <c r="B22" s="177" t="s">
        <v>360</v>
      </c>
      <c r="C22" s="89"/>
      <c r="D22" s="89"/>
    </row>
    <row r="23" spans="1:4" s="175" customFormat="1" ht="12" customHeight="1">
      <c r="A23" s="12" t="s">
        <v>54</v>
      </c>
      <c r="B23" s="177" t="s">
        <v>361</v>
      </c>
      <c r="C23" s="89"/>
      <c r="D23" s="89"/>
    </row>
    <row r="24" spans="1:4" s="175" customFormat="1" ht="12" customHeight="1">
      <c r="A24" s="12" t="s">
        <v>94</v>
      </c>
      <c r="B24" s="177" t="s">
        <v>161</v>
      </c>
      <c r="C24" s="89"/>
      <c r="D24" s="89"/>
    </row>
    <row r="25" spans="1:4" s="175" customFormat="1" ht="12" customHeight="1" thickBot="1">
      <c r="A25" s="14" t="s">
        <v>95</v>
      </c>
      <c r="B25" s="178" t="s">
        <v>162</v>
      </c>
      <c r="C25" s="91"/>
      <c r="D25" s="91"/>
    </row>
    <row r="26" spans="1:4" s="175" customFormat="1" ht="12" customHeight="1" thickBot="1">
      <c r="A26" s="18" t="s">
        <v>96</v>
      </c>
      <c r="B26" s="19" t="s">
        <v>163</v>
      </c>
      <c r="C26" s="93">
        <f>+C27+C30+C31+C32</f>
        <v>0</v>
      </c>
      <c r="D26" s="93">
        <f>+D27+D30+D31+D32</f>
        <v>0</v>
      </c>
    </row>
    <row r="27" spans="1:4" s="175" customFormat="1" ht="12" customHeight="1">
      <c r="A27" s="13" t="s">
        <v>164</v>
      </c>
      <c r="B27" s="176" t="s">
        <v>170</v>
      </c>
      <c r="C27" s="171"/>
      <c r="D27" s="171"/>
    </row>
    <row r="28" spans="1:4" s="175" customFormat="1" ht="12" customHeight="1">
      <c r="A28" s="12" t="s">
        <v>165</v>
      </c>
      <c r="B28" s="177" t="s">
        <v>171</v>
      </c>
      <c r="C28" s="89"/>
      <c r="D28" s="89"/>
    </row>
    <row r="29" spans="1:4" s="175" customFormat="1" ht="12" customHeight="1">
      <c r="A29" s="12" t="s">
        <v>166</v>
      </c>
      <c r="B29" s="177" t="s">
        <v>172</v>
      </c>
      <c r="C29" s="89"/>
      <c r="D29" s="89"/>
    </row>
    <row r="30" spans="1:4" s="175" customFormat="1" ht="12" customHeight="1">
      <c r="A30" s="12" t="s">
        <v>167</v>
      </c>
      <c r="B30" s="177" t="s">
        <v>173</v>
      </c>
      <c r="C30" s="89"/>
      <c r="D30" s="89"/>
    </row>
    <row r="31" spans="1:4" s="175" customFormat="1" ht="12" customHeight="1">
      <c r="A31" s="12" t="s">
        <v>168</v>
      </c>
      <c r="B31" s="177" t="s">
        <v>174</v>
      </c>
      <c r="C31" s="89"/>
      <c r="D31" s="89"/>
    </row>
    <row r="32" spans="1:4" s="175" customFormat="1" ht="12" customHeight="1" thickBot="1">
      <c r="A32" s="14" t="s">
        <v>169</v>
      </c>
      <c r="B32" s="178" t="s">
        <v>175</v>
      </c>
      <c r="C32" s="91"/>
      <c r="D32" s="91"/>
    </row>
    <row r="33" spans="1:4" s="175" customFormat="1" ht="12" customHeight="1" thickBot="1">
      <c r="A33" s="18" t="s">
        <v>10</v>
      </c>
      <c r="B33" s="19" t="s">
        <v>176</v>
      </c>
      <c r="C33" s="87">
        <f>SUM(C34:C43)</f>
        <v>3278</v>
      </c>
      <c r="D33" s="87">
        <f>SUM(D34:D43)</f>
        <v>5621</v>
      </c>
    </row>
    <row r="34" spans="1:4" s="175" customFormat="1" ht="12" customHeight="1">
      <c r="A34" s="13" t="s">
        <v>55</v>
      </c>
      <c r="B34" s="176" t="s">
        <v>179</v>
      </c>
      <c r="C34" s="90"/>
      <c r="D34" s="90"/>
    </row>
    <row r="35" spans="1:4" s="175" customFormat="1" ht="12" customHeight="1">
      <c r="A35" s="12" t="s">
        <v>56</v>
      </c>
      <c r="B35" s="177" t="s">
        <v>180</v>
      </c>
      <c r="C35" s="89">
        <v>86</v>
      </c>
      <c r="D35" s="89">
        <v>502</v>
      </c>
    </row>
    <row r="36" spans="1:4" s="175" customFormat="1" ht="12" customHeight="1">
      <c r="A36" s="12" t="s">
        <v>57</v>
      </c>
      <c r="B36" s="177" t="s">
        <v>181</v>
      </c>
      <c r="C36" s="89">
        <v>2226</v>
      </c>
      <c r="D36" s="89">
        <v>2119</v>
      </c>
    </row>
    <row r="37" spans="1:4" s="175" customFormat="1" ht="12" customHeight="1">
      <c r="A37" s="12" t="s">
        <v>98</v>
      </c>
      <c r="B37" s="177" t="s">
        <v>182</v>
      </c>
      <c r="C37" s="89">
        <v>120</v>
      </c>
      <c r="D37" s="89">
        <v>120</v>
      </c>
    </row>
    <row r="38" spans="1:4" s="175" customFormat="1" ht="12" customHeight="1">
      <c r="A38" s="12" t="s">
        <v>99</v>
      </c>
      <c r="B38" s="177" t="s">
        <v>183</v>
      </c>
      <c r="C38" s="89"/>
      <c r="D38" s="89"/>
    </row>
    <row r="39" spans="1:4" s="175" customFormat="1" ht="12" customHeight="1">
      <c r="A39" s="12" t="s">
        <v>100</v>
      </c>
      <c r="B39" s="177" t="s">
        <v>184</v>
      </c>
      <c r="C39" s="89">
        <v>657</v>
      </c>
      <c r="D39" s="89">
        <v>841</v>
      </c>
    </row>
    <row r="40" spans="1:4" s="175" customFormat="1" ht="12" customHeight="1">
      <c r="A40" s="12" t="s">
        <v>101</v>
      </c>
      <c r="B40" s="177" t="s">
        <v>185</v>
      </c>
      <c r="C40" s="89">
        <v>189</v>
      </c>
      <c r="D40" s="89">
        <v>184</v>
      </c>
    </row>
    <row r="41" spans="1:4" s="175" customFormat="1" ht="12" customHeight="1">
      <c r="A41" s="12" t="s">
        <v>102</v>
      </c>
      <c r="B41" s="177" t="s">
        <v>186</v>
      </c>
      <c r="C41" s="89"/>
      <c r="D41" s="89"/>
    </row>
    <row r="42" spans="1:4" s="175" customFormat="1" ht="12" customHeight="1">
      <c r="A42" s="12" t="s">
        <v>177</v>
      </c>
      <c r="B42" s="177" t="s">
        <v>187</v>
      </c>
      <c r="C42" s="92"/>
      <c r="D42" s="92"/>
    </row>
    <row r="43" spans="1:4" s="175" customFormat="1" ht="12" customHeight="1" thickBot="1">
      <c r="A43" s="14" t="s">
        <v>178</v>
      </c>
      <c r="B43" s="178" t="s">
        <v>188</v>
      </c>
      <c r="C43" s="165"/>
      <c r="D43" s="165">
        <v>1855</v>
      </c>
    </row>
    <row r="44" spans="1:4" s="175" customFormat="1" ht="12" customHeight="1" thickBot="1">
      <c r="A44" s="18" t="s">
        <v>11</v>
      </c>
      <c r="B44" s="19" t="s">
        <v>189</v>
      </c>
      <c r="C44" s="87">
        <f>SUM(C45:C49)</f>
        <v>0</v>
      </c>
      <c r="D44" s="87">
        <f>SUM(D45:D49)</f>
        <v>0</v>
      </c>
    </row>
    <row r="45" spans="1:4" s="175" customFormat="1" ht="12" customHeight="1">
      <c r="A45" s="13" t="s">
        <v>58</v>
      </c>
      <c r="B45" s="176" t="s">
        <v>193</v>
      </c>
      <c r="C45" s="222"/>
      <c r="D45" s="222"/>
    </row>
    <row r="46" spans="1:4" s="175" customFormat="1" ht="12" customHeight="1">
      <c r="A46" s="12" t="s">
        <v>59</v>
      </c>
      <c r="B46" s="177" t="s">
        <v>194</v>
      </c>
      <c r="C46" s="92"/>
      <c r="D46" s="92"/>
    </row>
    <row r="47" spans="1:4" s="175" customFormat="1" ht="12" customHeight="1">
      <c r="A47" s="12" t="s">
        <v>190</v>
      </c>
      <c r="B47" s="177" t="s">
        <v>195</v>
      </c>
      <c r="C47" s="92"/>
      <c r="D47" s="92"/>
    </row>
    <row r="48" spans="1:4" s="175" customFormat="1" ht="12" customHeight="1">
      <c r="A48" s="12" t="s">
        <v>191</v>
      </c>
      <c r="B48" s="177" t="s">
        <v>196</v>
      </c>
      <c r="C48" s="92"/>
      <c r="D48" s="92"/>
    </row>
    <row r="49" spans="1:4" s="175" customFormat="1" ht="12" customHeight="1" thickBot="1">
      <c r="A49" s="14" t="s">
        <v>192</v>
      </c>
      <c r="B49" s="178" t="s">
        <v>197</v>
      </c>
      <c r="C49" s="165"/>
      <c r="D49" s="165"/>
    </row>
    <row r="50" spans="1:4" s="175" customFormat="1" ht="12" customHeight="1" thickBot="1">
      <c r="A50" s="18" t="s">
        <v>103</v>
      </c>
      <c r="B50" s="19" t="s">
        <v>198</v>
      </c>
      <c r="C50" s="87">
        <f>SUM(C51:C53)</f>
        <v>0</v>
      </c>
      <c r="D50" s="87">
        <f>SUM(D51:D53)</f>
        <v>6006</v>
      </c>
    </row>
    <row r="51" spans="1:4" s="175" customFormat="1" ht="12" customHeight="1">
      <c r="A51" s="13" t="s">
        <v>60</v>
      </c>
      <c r="B51" s="176" t="s">
        <v>199</v>
      </c>
      <c r="C51" s="90"/>
      <c r="D51" s="90"/>
    </row>
    <row r="52" spans="1:4" s="175" customFormat="1" ht="12" customHeight="1">
      <c r="A52" s="12" t="s">
        <v>61</v>
      </c>
      <c r="B52" s="177" t="s">
        <v>200</v>
      </c>
      <c r="C52" s="89"/>
      <c r="D52" s="89"/>
    </row>
    <row r="53" spans="1:4" s="175" customFormat="1" ht="12" customHeight="1">
      <c r="A53" s="12" t="s">
        <v>203</v>
      </c>
      <c r="B53" s="177" t="s">
        <v>201</v>
      </c>
      <c r="C53" s="89"/>
      <c r="D53" s="89">
        <v>6006</v>
      </c>
    </row>
    <row r="54" spans="1:4" s="175" customFormat="1" ht="12" customHeight="1" thickBot="1">
      <c r="A54" s="14" t="s">
        <v>204</v>
      </c>
      <c r="B54" s="178" t="s">
        <v>202</v>
      </c>
      <c r="C54" s="91"/>
      <c r="D54" s="91"/>
    </row>
    <row r="55" spans="1:4" s="175" customFormat="1" ht="12" customHeight="1" thickBot="1">
      <c r="A55" s="18" t="s">
        <v>13</v>
      </c>
      <c r="B55" s="82" t="s">
        <v>205</v>
      </c>
      <c r="C55" s="87">
        <f>SUM(C56:C58)</f>
        <v>0</v>
      </c>
      <c r="D55" s="87">
        <f>SUM(D56:D58)</f>
        <v>0</v>
      </c>
    </row>
    <row r="56" spans="1:4" s="175" customFormat="1" ht="12" customHeight="1">
      <c r="A56" s="13" t="s">
        <v>104</v>
      </c>
      <c r="B56" s="176" t="s">
        <v>207</v>
      </c>
      <c r="C56" s="92"/>
      <c r="D56" s="92"/>
    </row>
    <row r="57" spans="1:4" s="175" customFormat="1" ht="12" customHeight="1">
      <c r="A57" s="12" t="s">
        <v>105</v>
      </c>
      <c r="B57" s="177" t="s">
        <v>363</v>
      </c>
      <c r="C57" s="92"/>
      <c r="D57" s="92"/>
    </row>
    <row r="58" spans="1:4" s="175" customFormat="1" ht="12" customHeight="1">
      <c r="A58" s="12" t="s">
        <v>128</v>
      </c>
      <c r="B58" s="177" t="s">
        <v>208</v>
      </c>
      <c r="C58" s="92"/>
      <c r="D58" s="92"/>
    </row>
    <row r="59" spans="1:4" s="175" customFormat="1" ht="12" customHeight="1" thickBot="1">
      <c r="A59" s="14" t="s">
        <v>206</v>
      </c>
      <c r="B59" s="178" t="s">
        <v>209</v>
      </c>
      <c r="C59" s="92"/>
      <c r="D59" s="92"/>
    </row>
    <row r="60" spans="1:4" s="175" customFormat="1" ht="12" customHeight="1" thickBot="1">
      <c r="A60" s="18" t="s">
        <v>14</v>
      </c>
      <c r="B60" s="19" t="s">
        <v>210</v>
      </c>
      <c r="C60" s="93">
        <f>+C5+C12+C19+C26+C33+C44+C50+C55</f>
        <v>6612</v>
      </c>
      <c r="D60" s="93">
        <f>+D5+D12+D19+D26+D33+D44+D50+D55</f>
        <v>14961</v>
      </c>
    </row>
    <row r="61" spans="1:4" s="175" customFormat="1" ht="12" customHeight="1" thickBot="1">
      <c r="A61" s="179" t="s">
        <v>211</v>
      </c>
      <c r="B61" s="82" t="s">
        <v>212</v>
      </c>
      <c r="C61" s="87">
        <f>SUM(C62:C64)</f>
        <v>0</v>
      </c>
      <c r="D61" s="87">
        <f>SUM(D62:D64)</f>
        <v>0</v>
      </c>
    </row>
    <row r="62" spans="1:4" s="175" customFormat="1" ht="12" customHeight="1">
      <c r="A62" s="13" t="s">
        <v>245</v>
      </c>
      <c r="B62" s="176" t="s">
        <v>213</v>
      </c>
      <c r="C62" s="92"/>
      <c r="D62" s="92"/>
    </row>
    <row r="63" spans="1:4" s="175" customFormat="1" ht="12" customHeight="1">
      <c r="A63" s="12" t="s">
        <v>254</v>
      </c>
      <c r="B63" s="177" t="s">
        <v>214</v>
      </c>
      <c r="C63" s="92"/>
      <c r="D63" s="92"/>
    </row>
    <row r="64" spans="1:4" s="175" customFormat="1" ht="12" customHeight="1" thickBot="1">
      <c r="A64" s="14" t="s">
        <v>255</v>
      </c>
      <c r="B64" s="180" t="s">
        <v>215</v>
      </c>
      <c r="C64" s="92"/>
      <c r="D64" s="92"/>
    </row>
    <row r="65" spans="1:4" s="175" customFormat="1" ht="12" customHeight="1" thickBot="1">
      <c r="A65" s="179" t="s">
        <v>216</v>
      </c>
      <c r="B65" s="82" t="s">
        <v>217</v>
      </c>
      <c r="C65" s="87">
        <f>SUM(C66:C69)</f>
        <v>0</v>
      </c>
      <c r="D65" s="87">
        <f>SUM(D66:D69)</f>
        <v>0</v>
      </c>
    </row>
    <row r="66" spans="1:4" s="175" customFormat="1" ht="12" customHeight="1">
      <c r="A66" s="13" t="s">
        <v>83</v>
      </c>
      <c r="B66" s="176" t="s">
        <v>218</v>
      </c>
      <c r="C66" s="92"/>
      <c r="D66" s="92"/>
    </row>
    <row r="67" spans="1:4" s="175" customFormat="1" ht="12" customHeight="1">
      <c r="A67" s="12" t="s">
        <v>84</v>
      </c>
      <c r="B67" s="177" t="s">
        <v>219</v>
      </c>
      <c r="C67" s="92"/>
      <c r="D67" s="92"/>
    </row>
    <row r="68" spans="1:4" s="175" customFormat="1" ht="12" customHeight="1">
      <c r="A68" s="12" t="s">
        <v>246</v>
      </c>
      <c r="B68" s="177" t="s">
        <v>220</v>
      </c>
      <c r="C68" s="92"/>
      <c r="D68" s="92"/>
    </row>
    <row r="69" spans="1:4" s="175" customFormat="1" ht="12" customHeight="1" thickBot="1">
      <c r="A69" s="14" t="s">
        <v>247</v>
      </c>
      <c r="B69" s="178" t="s">
        <v>221</v>
      </c>
      <c r="C69" s="92"/>
      <c r="D69" s="92"/>
    </row>
    <row r="70" spans="1:4" s="175" customFormat="1" ht="12" customHeight="1" thickBot="1">
      <c r="A70" s="179" t="s">
        <v>222</v>
      </c>
      <c r="B70" s="82" t="s">
        <v>223</v>
      </c>
      <c r="C70" s="87">
        <f>SUM(C71:C72)</f>
        <v>0</v>
      </c>
      <c r="D70" s="87">
        <f>SUM(D71:D72)</f>
        <v>0</v>
      </c>
    </row>
    <row r="71" spans="1:4" s="175" customFormat="1" ht="12" customHeight="1">
      <c r="A71" s="13" t="s">
        <v>248</v>
      </c>
      <c r="B71" s="176" t="s">
        <v>224</v>
      </c>
      <c r="C71" s="92"/>
      <c r="D71" s="92"/>
    </row>
    <row r="72" spans="1:4" s="175" customFormat="1" ht="12" customHeight="1" thickBot="1">
      <c r="A72" s="14" t="s">
        <v>249</v>
      </c>
      <c r="B72" s="178" t="s">
        <v>225</v>
      </c>
      <c r="C72" s="92"/>
      <c r="D72" s="92"/>
    </row>
    <row r="73" spans="1:4" s="175" customFormat="1" ht="12" customHeight="1" thickBot="1">
      <c r="A73" s="179" t="s">
        <v>226</v>
      </c>
      <c r="B73" s="82" t="s">
        <v>227</v>
      </c>
      <c r="C73" s="87">
        <f>SUM(C74:C76)</f>
        <v>0</v>
      </c>
      <c r="D73" s="87">
        <f>SUM(D74:D76)</f>
        <v>0</v>
      </c>
    </row>
    <row r="74" spans="1:4" s="175" customFormat="1" ht="12" customHeight="1">
      <c r="A74" s="13" t="s">
        <v>250</v>
      </c>
      <c r="B74" s="176" t="s">
        <v>228</v>
      </c>
      <c r="C74" s="92"/>
      <c r="D74" s="92"/>
    </row>
    <row r="75" spans="1:4" s="175" customFormat="1" ht="12" customHeight="1">
      <c r="A75" s="12" t="s">
        <v>251</v>
      </c>
      <c r="B75" s="177" t="s">
        <v>229</v>
      </c>
      <c r="C75" s="92"/>
      <c r="D75" s="92"/>
    </row>
    <row r="76" spans="1:4" s="175" customFormat="1" ht="12" customHeight="1" thickBot="1">
      <c r="A76" s="14" t="s">
        <v>252</v>
      </c>
      <c r="B76" s="178" t="s">
        <v>230</v>
      </c>
      <c r="C76" s="92"/>
      <c r="D76" s="92"/>
    </row>
    <row r="77" spans="1:4" s="175" customFormat="1" ht="12" customHeight="1" thickBot="1">
      <c r="A77" s="179" t="s">
        <v>231</v>
      </c>
      <c r="B77" s="82" t="s">
        <v>253</v>
      </c>
      <c r="C77" s="87">
        <f>SUM(C78:C81)</f>
        <v>0</v>
      </c>
      <c r="D77" s="87">
        <f>SUM(D78:D81)</f>
        <v>0</v>
      </c>
    </row>
    <row r="78" spans="1:4" s="175" customFormat="1" ht="12" customHeight="1">
      <c r="A78" s="181" t="s">
        <v>232</v>
      </c>
      <c r="B78" s="176" t="s">
        <v>233</v>
      </c>
      <c r="C78" s="92"/>
      <c r="D78" s="92"/>
    </row>
    <row r="79" spans="1:4" s="175" customFormat="1" ht="12" customHeight="1">
      <c r="A79" s="182" t="s">
        <v>234</v>
      </c>
      <c r="B79" s="177" t="s">
        <v>235</v>
      </c>
      <c r="C79" s="92"/>
      <c r="D79" s="92"/>
    </row>
    <row r="80" spans="1:4" s="175" customFormat="1" ht="12" customHeight="1">
      <c r="A80" s="182" t="s">
        <v>236</v>
      </c>
      <c r="B80" s="177" t="s">
        <v>237</v>
      </c>
      <c r="C80" s="92"/>
      <c r="D80" s="92"/>
    </row>
    <row r="81" spans="1:4" s="175" customFormat="1" ht="12" customHeight="1" thickBot="1">
      <c r="A81" s="183" t="s">
        <v>238</v>
      </c>
      <c r="B81" s="178" t="s">
        <v>239</v>
      </c>
      <c r="C81" s="92"/>
      <c r="D81" s="92"/>
    </row>
    <row r="82" spans="1:4" s="175" customFormat="1" ht="13.5" customHeight="1" thickBot="1">
      <c r="A82" s="179" t="s">
        <v>240</v>
      </c>
      <c r="B82" s="82" t="s">
        <v>241</v>
      </c>
      <c r="C82" s="223"/>
      <c r="D82" s="223"/>
    </row>
    <row r="83" spans="1:4" s="175" customFormat="1" ht="15.75" customHeight="1" thickBot="1">
      <c r="A83" s="179" t="s">
        <v>242</v>
      </c>
      <c r="B83" s="184" t="s">
        <v>243</v>
      </c>
      <c r="C83" s="93">
        <f>+C61+C65+C70+C73+C77+C82</f>
        <v>0</v>
      </c>
      <c r="D83" s="93">
        <f>+D61+D65+D70+D73+D77+D82</f>
        <v>0</v>
      </c>
    </row>
    <row r="84" spans="1:4" s="175" customFormat="1" ht="16.5" customHeight="1" thickBot="1">
      <c r="A84" s="185" t="s">
        <v>256</v>
      </c>
      <c r="B84" s="186" t="s">
        <v>244</v>
      </c>
      <c r="C84" s="93">
        <f>+C60+C83</f>
        <v>6612</v>
      </c>
      <c r="D84" s="93">
        <f>+D60+D83</f>
        <v>14961</v>
      </c>
    </row>
    <row r="85" spans="1:4" s="175" customFormat="1" ht="83.25" customHeight="1">
      <c r="A85" s="3"/>
      <c r="B85" s="4"/>
      <c r="C85" s="94"/>
      <c r="D85" s="94"/>
    </row>
    <row r="86" spans="1:4" ht="16.5" customHeight="1">
      <c r="A86" s="392" t="s">
        <v>34</v>
      </c>
      <c r="B86" s="392"/>
      <c r="C86" s="392"/>
      <c r="D86" s="392"/>
    </row>
    <row r="87" spans="1:4" s="187" customFormat="1" ht="16.5" customHeight="1" thickBot="1">
      <c r="A87" s="394" t="s">
        <v>86</v>
      </c>
      <c r="B87" s="394"/>
      <c r="C87" s="396" t="s">
        <v>127</v>
      </c>
      <c r="D87" s="396"/>
    </row>
    <row r="88" spans="1:4" ht="38.1" customHeight="1" thickBot="1">
      <c r="A88" s="21" t="s">
        <v>50</v>
      </c>
      <c r="B88" s="22" t="s">
        <v>35</v>
      </c>
      <c r="C88" s="28" t="s">
        <v>402</v>
      </c>
      <c r="D88" s="28" t="s">
        <v>401</v>
      </c>
    </row>
    <row r="89" spans="1:4" s="174" customFormat="1" ht="12" customHeight="1" thickBot="1">
      <c r="A89" s="25">
        <v>1</v>
      </c>
      <c r="B89" s="26">
        <v>2</v>
      </c>
      <c r="C89" s="27">
        <v>3</v>
      </c>
      <c r="D89" s="27">
        <v>4</v>
      </c>
    </row>
    <row r="90" spans="1:4" ht="12" customHeight="1" thickBot="1">
      <c r="A90" s="20" t="s">
        <v>6</v>
      </c>
      <c r="B90" s="24" t="s">
        <v>259</v>
      </c>
      <c r="C90" s="86">
        <f>SUM(C91:C95)</f>
        <v>61005</v>
      </c>
      <c r="D90" s="86">
        <f>SUM(D91:D95)</f>
        <v>77619</v>
      </c>
    </row>
    <row r="91" spans="1:4" ht="12" customHeight="1">
      <c r="A91" s="15" t="s">
        <v>62</v>
      </c>
      <c r="B91" s="8" t="s">
        <v>36</v>
      </c>
      <c r="C91" s="88">
        <f>3183+2291</f>
        <v>5474</v>
      </c>
      <c r="D91" s="88">
        <f>4475+2291</f>
        <v>6766</v>
      </c>
    </row>
    <row r="92" spans="1:4" ht="12" customHeight="1">
      <c r="A92" s="12" t="s">
        <v>63</v>
      </c>
      <c r="B92" s="6" t="s">
        <v>106</v>
      </c>
      <c r="C92" s="89">
        <f>1013+618</f>
        <v>1631</v>
      </c>
      <c r="D92" s="89">
        <f>1469+618</f>
        <v>2087</v>
      </c>
    </row>
    <row r="93" spans="1:4" ht="12" customHeight="1">
      <c r="A93" s="12" t="s">
        <v>64</v>
      </c>
      <c r="B93" s="6" t="s">
        <v>81</v>
      </c>
      <c r="C93" s="91">
        <f>17261+425</f>
        <v>17686</v>
      </c>
      <c r="D93" s="91">
        <f>28327+425</f>
        <v>28752</v>
      </c>
    </row>
    <row r="94" spans="1:4" ht="12" customHeight="1">
      <c r="A94" s="12" t="s">
        <v>65</v>
      </c>
      <c r="B94" s="9" t="s">
        <v>107</v>
      </c>
      <c r="C94" s="91">
        <v>8875</v>
      </c>
      <c r="D94" s="91">
        <v>10330</v>
      </c>
    </row>
    <row r="95" spans="1:4" ht="12" customHeight="1">
      <c r="A95" s="12" t="s">
        <v>73</v>
      </c>
      <c r="B95" s="17" t="s">
        <v>108</v>
      </c>
      <c r="C95" s="91">
        <v>27339</v>
      </c>
      <c r="D95" s="91">
        <v>29684</v>
      </c>
    </row>
    <row r="96" spans="1:4" ht="12" customHeight="1">
      <c r="A96" s="12" t="s">
        <v>66</v>
      </c>
      <c r="B96" s="6" t="s">
        <v>260</v>
      </c>
      <c r="C96" s="91"/>
      <c r="D96" s="91"/>
    </row>
    <row r="97" spans="1:4" ht="12" customHeight="1">
      <c r="A97" s="12" t="s">
        <v>67</v>
      </c>
      <c r="B97" s="47" t="s">
        <v>261</v>
      </c>
      <c r="C97" s="91"/>
      <c r="D97" s="91"/>
    </row>
    <row r="98" spans="1:4" ht="12" customHeight="1">
      <c r="A98" s="12" t="s">
        <v>74</v>
      </c>
      <c r="B98" s="48" t="s">
        <v>262</v>
      </c>
      <c r="C98" s="91"/>
      <c r="D98" s="91"/>
    </row>
    <row r="99" spans="1:4" ht="12" customHeight="1">
      <c r="A99" s="12" t="s">
        <v>75</v>
      </c>
      <c r="B99" s="48" t="s">
        <v>263</v>
      </c>
      <c r="C99" s="91"/>
      <c r="D99" s="91"/>
    </row>
    <row r="100" spans="1:4" ht="12" customHeight="1">
      <c r="A100" s="12" t="s">
        <v>76</v>
      </c>
      <c r="B100" s="47" t="s">
        <v>264</v>
      </c>
      <c r="C100" s="91">
        <v>1455</v>
      </c>
      <c r="D100" s="91"/>
    </row>
    <row r="101" spans="1:4" ht="12" customHeight="1">
      <c r="A101" s="12" t="s">
        <v>77</v>
      </c>
      <c r="B101" s="47" t="s">
        <v>265</v>
      </c>
      <c r="C101" s="91"/>
      <c r="D101" s="91"/>
    </row>
    <row r="102" spans="1:4" ht="12" customHeight="1">
      <c r="A102" s="12" t="s">
        <v>79</v>
      </c>
      <c r="B102" s="48" t="s">
        <v>266</v>
      </c>
      <c r="C102" s="91"/>
      <c r="D102" s="91"/>
    </row>
    <row r="103" spans="1:4" ht="12" customHeight="1">
      <c r="A103" s="11" t="s">
        <v>109</v>
      </c>
      <c r="B103" s="49" t="s">
        <v>267</v>
      </c>
      <c r="C103" s="91"/>
      <c r="D103" s="91"/>
    </row>
    <row r="104" spans="1:4" ht="12" customHeight="1">
      <c r="A104" s="12" t="s">
        <v>257</v>
      </c>
      <c r="B104" s="49" t="s">
        <v>268</v>
      </c>
      <c r="C104" s="91"/>
      <c r="D104" s="91"/>
    </row>
    <row r="105" spans="1:4" ht="12" customHeight="1" thickBot="1">
      <c r="A105" s="16" t="s">
        <v>258</v>
      </c>
      <c r="B105" s="50" t="s">
        <v>269</v>
      </c>
      <c r="C105" s="95">
        <v>25884</v>
      </c>
      <c r="D105" s="95">
        <v>29684</v>
      </c>
    </row>
    <row r="106" spans="1:4" ht="12" customHeight="1" thickBot="1">
      <c r="A106" s="18" t="s">
        <v>7</v>
      </c>
      <c r="B106" s="23" t="s">
        <v>270</v>
      </c>
      <c r="C106" s="87">
        <f>+C107+C109+C111</f>
        <v>0</v>
      </c>
      <c r="D106" s="87">
        <f>+D107+D109+D111</f>
        <v>464</v>
      </c>
    </row>
    <row r="107" spans="1:4" ht="12" customHeight="1">
      <c r="A107" s="13" t="s">
        <v>68</v>
      </c>
      <c r="B107" s="6" t="s">
        <v>126</v>
      </c>
      <c r="C107" s="90"/>
      <c r="D107" s="90">
        <v>464</v>
      </c>
    </row>
    <row r="108" spans="1:4" ht="12" customHeight="1">
      <c r="A108" s="13" t="s">
        <v>69</v>
      </c>
      <c r="B108" s="10" t="s">
        <v>274</v>
      </c>
      <c r="C108" s="90"/>
      <c r="D108" s="90"/>
    </row>
    <row r="109" spans="1:4" ht="12" customHeight="1">
      <c r="A109" s="13" t="s">
        <v>70</v>
      </c>
      <c r="B109" s="10" t="s">
        <v>110</v>
      </c>
      <c r="C109" s="89"/>
      <c r="D109" s="89"/>
    </row>
    <row r="110" spans="1:4" ht="12" customHeight="1">
      <c r="A110" s="13" t="s">
        <v>71</v>
      </c>
      <c r="B110" s="10" t="s">
        <v>275</v>
      </c>
      <c r="C110" s="80"/>
      <c r="D110" s="80"/>
    </row>
    <row r="111" spans="1:4" ht="12" customHeight="1">
      <c r="A111" s="13" t="s">
        <v>72</v>
      </c>
      <c r="B111" s="84" t="s">
        <v>129</v>
      </c>
      <c r="C111" s="80"/>
      <c r="D111" s="80"/>
    </row>
    <row r="112" spans="1:4" ht="12" customHeight="1">
      <c r="A112" s="13" t="s">
        <v>78</v>
      </c>
      <c r="B112" s="83" t="s">
        <v>364</v>
      </c>
      <c r="C112" s="80"/>
      <c r="D112" s="80"/>
    </row>
    <row r="113" spans="1:4" ht="12" customHeight="1">
      <c r="A113" s="13" t="s">
        <v>80</v>
      </c>
      <c r="B113" s="172" t="s">
        <v>280</v>
      </c>
      <c r="C113" s="80"/>
      <c r="D113" s="80"/>
    </row>
    <row r="114" spans="1:4">
      <c r="A114" s="13" t="s">
        <v>111</v>
      </c>
      <c r="B114" s="48" t="s">
        <v>263</v>
      </c>
      <c r="C114" s="80"/>
      <c r="D114" s="80"/>
    </row>
    <row r="115" spans="1:4" ht="12" customHeight="1">
      <c r="A115" s="13" t="s">
        <v>112</v>
      </c>
      <c r="B115" s="48" t="s">
        <v>279</v>
      </c>
      <c r="C115" s="80"/>
      <c r="D115" s="80"/>
    </row>
    <row r="116" spans="1:4" ht="12" customHeight="1">
      <c r="A116" s="13" t="s">
        <v>113</v>
      </c>
      <c r="B116" s="48" t="s">
        <v>278</v>
      </c>
      <c r="C116" s="80"/>
      <c r="D116" s="80"/>
    </row>
    <row r="117" spans="1:4" ht="12" customHeight="1">
      <c r="A117" s="13" t="s">
        <v>271</v>
      </c>
      <c r="B117" s="48" t="s">
        <v>266</v>
      </c>
      <c r="C117" s="80"/>
      <c r="D117" s="80"/>
    </row>
    <row r="118" spans="1:4" ht="12" customHeight="1">
      <c r="A118" s="13" t="s">
        <v>272</v>
      </c>
      <c r="B118" s="48" t="s">
        <v>277</v>
      </c>
      <c r="C118" s="80"/>
      <c r="D118" s="80"/>
    </row>
    <row r="119" spans="1:4" ht="16.5" thickBot="1">
      <c r="A119" s="11" t="s">
        <v>273</v>
      </c>
      <c r="B119" s="48" t="s">
        <v>276</v>
      </c>
      <c r="C119" s="81"/>
      <c r="D119" s="81"/>
    </row>
    <row r="120" spans="1:4" ht="12" customHeight="1" thickBot="1">
      <c r="A120" s="18" t="s">
        <v>8</v>
      </c>
      <c r="B120" s="44" t="s">
        <v>281</v>
      </c>
      <c r="C120" s="87">
        <f>+C121+C122</f>
        <v>6400</v>
      </c>
      <c r="D120" s="87">
        <f>+D121+D122</f>
        <v>0</v>
      </c>
    </row>
    <row r="121" spans="1:4" ht="12" customHeight="1">
      <c r="A121" s="13" t="s">
        <v>51</v>
      </c>
      <c r="B121" s="7" t="s">
        <v>44</v>
      </c>
      <c r="C121" s="90"/>
      <c r="D121" s="90"/>
    </row>
    <row r="122" spans="1:4" ht="12" customHeight="1" thickBot="1">
      <c r="A122" s="14" t="s">
        <v>52</v>
      </c>
      <c r="B122" s="10" t="s">
        <v>45</v>
      </c>
      <c r="C122" s="91">
        <v>6400</v>
      </c>
      <c r="D122" s="90"/>
    </row>
    <row r="123" spans="1:4" ht="12" customHeight="1" thickBot="1">
      <c r="A123" s="18" t="s">
        <v>9</v>
      </c>
      <c r="B123" s="44" t="s">
        <v>282</v>
      </c>
      <c r="C123" s="87">
        <f>+C90+C106+C120</f>
        <v>67405</v>
      </c>
      <c r="D123" s="87">
        <f>+D90+D106+D120</f>
        <v>78083</v>
      </c>
    </row>
    <row r="124" spans="1:4" ht="12" customHeight="1" thickBot="1">
      <c r="A124" s="18" t="s">
        <v>10</v>
      </c>
      <c r="B124" s="44" t="s">
        <v>283</v>
      </c>
      <c r="C124" s="87">
        <f>+C125+C126+C127</f>
        <v>0</v>
      </c>
      <c r="D124" s="87">
        <f>+D125+D126+D127</f>
        <v>0</v>
      </c>
    </row>
    <row r="125" spans="1:4" ht="12" customHeight="1">
      <c r="A125" s="13" t="s">
        <v>55</v>
      </c>
      <c r="B125" s="7" t="s">
        <v>284</v>
      </c>
      <c r="C125" s="80"/>
      <c r="D125" s="80"/>
    </row>
    <row r="126" spans="1:4" ht="12" customHeight="1">
      <c r="A126" s="13" t="s">
        <v>56</v>
      </c>
      <c r="B126" s="7" t="s">
        <v>285</v>
      </c>
      <c r="C126" s="80"/>
      <c r="D126" s="80"/>
    </row>
    <row r="127" spans="1:4" ht="12" customHeight="1" thickBot="1">
      <c r="A127" s="11" t="s">
        <v>57</v>
      </c>
      <c r="B127" s="5" t="s">
        <v>286</v>
      </c>
      <c r="C127" s="80"/>
      <c r="D127" s="80"/>
    </row>
    <row r="128" spans="1:4" ht="12" customHeight="1" thickBot="1">
      <c r="A128" s="18" t="s">
        <v>11</v>
      </c>
      <c r="B128" s="44" t="s">
        <v>331</v>
      </c>
      <c r="C128" s="87">
        <f>+C129+C130+C131+C132</f>
        <v>0</v>
      </c>
      <c r="D128" s="87">
        <f>+D129+D130+D131+D132</f>
        <v>0</v>
      </c>
    </row>
    <row r="129" spans="1:10" ht="12" customHeight="1">
      <c r="A129" s="13" t="s">
        <v>58</v>
      </c>
      <c r="B129" s="7" t="s">
        <v>287</v>
      </c>
      <c r="C129" s="80"/>
      <c r="D129" s="80"/>
    </row>
    <row r="130" spans="1:10" ht="12" customHeight="1">
      <c r="A130" s="13" t="s">
        <v>59</v>
      </c>
      <c r="B130" s="7" t="s">
        <v>288</v>
      </c>
      <c r="C130" s="80"/>
      <c r="D130" s="80"/>
    </row>
    <row r="131" spans="1:10" ht="12" customHeight="1">
      <c r="A131" s="13" t="s">
        <v>190</v>
      </c>
      <c r="B131" s="7" t="s">
        <v>289</v>
      </c>
      <c r="C131" s="80"/>
      <c r="D131" s="80"/>
    </row>
    <row r="132" spans="1:10" ht="12" customHeight="1" thickBot="1">
      <c r="A132" s="11" t="s">
        <v>191</v>
      </c>
      <c r="B132" s="5" t="s">
        <v>290</v>
      </c>
      <c r="C132" s="80"/>
      <c r="D132" s="80"/>
    </row>
    <row r="133" spans="1:10" ht="12" customHeight="1" thickBot="1">
      <c r="A133" s="18" t="s">
        <v>12</v>
      </c>
      <c r="B133" s="44" t="s">
        <v>291</v>
      </c>
      <c r="C133" s="93">
        <f>+C134+C135+C136+C137</f>
        <v>0</v>
      </c>
      <c r="D133" s="93">
        <f>+D134+D135+D136+D137</f>
        <v>0</v>
      </c>
    </row>
    <row r="134" spans="1:10" ht="12" customHeight="1">
      <c r="A134" s="13" t="s">
        <v>60</v>
      </c>
      <c r="B134" s="7" t="s">
        <v>292</v>
      </c>
      <c r="C134" s="80"/>
      <c r="D134" s="80"/>
    </row>
    <row r="135" spans="1:10" ht="12" customHeight="1">
      <c r="A135" s="13" t="s">
        <v>61</v>
      </c>
      <c r="B135" s="7" t="s">
        <v>302</v>
      </c>
      <c r="C135" s="80"/>
      <c r="D135" s="80"/>
    </row>
    <row r="136" spans="1:10" ht="12" customHeight="1">
      <c r="A136" s="13" t="s">
        <v>203</v>
      </c>
      <c r="B136" s="7" t="s">
        <v>293</v>
      </c>
      <c r="C136" s="80"/>
      <c r="D136" s="80"/>
    </row>
    <row r="137" spans="1:10" ht="12" customHeight="1" thickBot="1">
      <c r="A137" s="11" t="s">
        <v>204</v>
      </c>
      <c r="B137" s="5" t="s">
        <v>294</v>
      </c>
      <c r="C137" s="80"/>
      <c r="D137" s="80"/>
    </row>
    <row r="138" spans="1:10" ht="12" customHeight="1" thickBot="1">
      <c r="A138" s="18" t="s">
        <v>13</v>
      </c>
      <c r="B138" s="44" t="s">
        <v>295</v>
      </c>
      <c r="C138" s="96">
        <f>+C139+C140+C141+C142</f>
        <v>0</v>
      </c>
      <c r="D138" s="96">
        <f>+D139+D140+D141+D142</f>
        <v>0</v>
      </c>
    </row>
    <row r="139" spans="1:10" ht="12" customHeight="1">
      <c r="A139" s="13" t="s">
        <v>104</v>
      </c>
      <c r="B139" s="7" t="s">
        <v>296</v>
      </c>
      <c r="C139" s="80"/>
      <c r="D139" s="80"/>
    </row>
    <row r="140" spans="1:10" ht="12" customHeight="1">
      <c r="A140" s="13" t="s">
        <v>105</v>
      </c>
      <c r="B140" s="7" t="s">
        <v>297</v>
      </c>
      <c r="C140" s="80"/>
      <c r="D140" s="80"/>
    </row>
    <row r="141" spans="1:10" ht="12" customHeight="1">
      <c r="A141" s="13" t="s">
        <v>128</v>
      </c>
      <c r="B141" s="7" t="s">
        <v>298</v>
      </c>
      <c r="C141" s="80"/>
      <c r="D141" s="80"/>
    </row>
    <row r="142" spans="1:10" ht="12" customHeight="1" thickBot="1">
      <c r="A142" s="13" t="s">
        <v>206</v>
      </c>
      <c r="B142" s="7" t="s">
        <v>299</v>
      </c>
      <c r="C142" s="80"/>
      <c r="D142" s="80"/>
    </row>
    <row r="143" spans="1:10" ht="15" customHeight="1" thickBot="1">
      <c r="A143" s="18" t="s">
        <v>14</v>
      </c>
      <c r="B143" s="44" t="s">
        <v>300</v>
      </c>
      <c r="C143" s="188">
        <f>+C124+C128+C133+C138</f>
        <v>0</v>
      </c>
      <c r="D143" s="188">
        <f>+D124+D128+D133+D138</f>
        <v>0</v>
      </c>
      <c r="G143" s="189"/>
      <c r="H143" s="190"/>
      <c r="I143" s="190"/>
      <c r="J143" s="190"/>
    </row>
    <row r="144" spans="1:10" s="175" customFormat="1" ht="12.95" customHeight="1" thickBot="1">
      <c r="A144" s="85" t="s">
        <v>15</v>
      </c>
      <c r="B144" s="153" t="s">
        <v>301</v>
      </c>
      <c r="C144" s="188">
        <f>+C123+C143</f>
        <v>67405</v>
      </c>
      <c r="D144" s="188">
        <f>+D123+D143</f>
        <v>78083</v>
      </c>
    </row>
    <row r="145" spans="1:5" ht="15" customHeight="1"/>
    <row r="146" spans="1:5">
      <c r="A146" s="397" t="s">
        <v>303</v>
      </c>
      <c r="B146" s="397"/>
      <c r="C146" s="397"/>
      <c r="D146" s="397"/>
    </row>
    <row r="147" spans="1:5" ht="15" customHeight="1" thickBot="1">
      <c r="A147" s="393" t="s">
        <v>87</v>
      </c>
      <c r="B147" s="393"/>
      <c r="C147" s="97" t="s">
        <v>127</v>
      </c>
      <c r="D147" s="97" t="s">
        <v>127</v>
      </c>
    </row>
    <row r="148" spans="1:5" ht="25.5" customHeight="1" thickBot="1">
      <c r="A148" s="18">
        <v>1</v>
      </c>
      <c r="B148" s="23" t="s">
        <v>304</v>
      </c>
      <c r="C148" s="87">
        <f>+C60-C123</f>
        <v>-60793</v>
      </c>
      <c r="D148" s="87">
        <f>+D60-D123</f>
        <v>-63122</v>
      </c>
      <c r="E148" s="191"/>
    </row>
    <row r="149" spans="1:5" ht="25.5" customHeight="1" thickBot="1">
      <c r="A149" s="18" t="s">
        <v>7</v>
      </c>
      <c r="B149" s="23" t="s">
        <v>305</v>
      </c>
      <c r="C149" s="87">
        <f>+C83-C143</f>
        <v>0</v>
      </c>
      <c r="D149" s="87">
        <f>+D83-D143</f>
        <v>0</v>
      </c>
    </row>
  </sheetData>
  <mergeCells count="8">
    <mergeCell ref="A146:D146"/>
    <mergeCell ref="A147:B147"/>
    <mergeCell ref="A1:D1"/>
    <mergeCell ref="A2:B2"/>
    <mergeCell ref="C2:D2"/>
    <mergeCell ref="A86:D86"/>
    <mergeCell ref="A87:B87"/>
    <mergeCell ref="C87:D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ÖNKÉNT VÁLLALT FELADATAINAK MÉRLEGE &amp;R&amp;"Times New Roman CE,Félkövér dőlt"&amp;11 1.3. melléklet a 7/2015. (II. 18.) önkormányzati rendelethez</oddHeader>
  </headerFooter>
  <rowBreaks count="1" manualBreakCount="1">
    <brk id="85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50"/>
  <sheetViews>
    <sheetView view="pageBreakPreview" zoomScaleNormal="120" zoomScaleSheetLayoutView="100" workbookViewId="0">
      <selection activeCell="D1" sqref="D1"/>
    </sheetView>
  </sheetViews>
  <sheetFormatPr defaultColWidth="9.33203125" defaultRowHeight="15.75"/>
  <cols>
    <col min="1" max="1" width="9.5" style="154" customWidth="1"/>
    <col min="2" max="2" width="72.83203125" style="154" customWidth="1"/>
    <col min="3" max="4" width="20.83203125" style="155" customWidth="1"/>
    <col min="5" max="5" width="9" style="173" customWidth="1"/>
    <col min="6" max="16384" width="9.33203125" style="173"/>
  </cols>
  <sheetData>
    <row r="1" spans="1:4">
      <c r="D1" s="448" t="s">
        <v>448</v>
      </c>
    </row>
    <row r="2" spans="1:4" ht="15.95" customHeight="1">
      <c r="A2" s="392" t="s">
        <v>4</v>
      </c>
      <c r="B2" s="392"/>
      <c r="C2" s="392"/>
      <c r="D2" s="392"/>
    </row>
    <row r="3" spans="1:4" ht="15.95" customHeight="1" thickBot="1">
      <c r="A3" s="393" t="s">
        <v>85</v>
      </c>
      <c r="B3" s="393"/>
      <c r="C3" s="395" t="s">
        <v>127</v>
      </c>
      <c r="D3" s="395"/>
    </row>
    <row r="4" spans="1:4" ht="38.1" customHeight="1" thickBot="1">
      <c r="A4" s="21" t="s">
        <v>50</v>
      </c>
      <c r="B4" s="22" t="s">
        <v>5</v>
      </c>
      <c r="C4" s="28" t="s">
        <v>402</v>
      </c>
      <c r="D4" s="28" t="s">
        <v>401</v>
      </c>
    </row>
    <row r="5" spans="1:4" s="174" customFormat="1" ht="12" customHeight="1" thickBot="1">
      <c r="A5" s="168">
        <v>1</v>
      </c>
      <c r="B5" s="169">
        <v>2</v>
      </c>
      <c r="C5" s="170">
        <v>3</v>
      </c>
      <c r="D5" s="170">
        <v>4</v>
      </c>
    </row>
    <row r="6" spans="1:4" s="175" customFormat="1" ht="12" customHeight="1" thickBot="1">
      <c r="A6" s="18" t="s">
        <v>6</v>
      </c>
      <c r="B6" s="19" t="s">
        <v>146</v>
      </c>
      <c r="C6" s="87">
        <f>+C7+C8+C9+C10+C11+C12</f>
        <v>0</v>
      </c>
      <c r="D6" s="87">
        <f>+D7+D8+D9+D10+D11+D12</f>
        <v>0</v>
      </c>
    </row>
    <row r="7" spans="1:4" s="175" customFormat="1" ht="12" customHeight="1">
      <c r="A7" s="13" t="s">
        <v>62</v>
      </c>
      <c r="B7" s="176" t="s">
        <v>147</v>
      </c>
      <c r="C7" s="90"/>
      <c r="D7" s="90"/>
    </row>
    <row r="8" spans="1:4" s="175" customFormat="1" ht="12" customHeight="1">
      <c r="A8" s="12" t="s">
        <v>63</v>
      </c>
      <c r="B8" s="177" t="s">
        <v>148</v>
      </c>
      <c r="C8" s="89"/>
      <c r="D8" s="89"/>
    </row>
    <row r="9" spans="1:4" s="175" customFormat="1" ht="12" customHeight="1">
      <c r="A9" s="12" t="s">
        <v>64</v>
      </c>
      <c r="B9" s="177" t="s">
        <v>149</v>
      </c>
      <c r="C9" s="89"/>
      <c r="D9" s="89"/>
    </row>
    <row r="10" spans="1:4" s="175" customFormat="1" ht="12" customHeight="1">
      <c r="A10" s="12" t="s">
        <v>65</v>
      </c>
      <c r="B10" s="177" t="s">
        <v>150</v>
      </c>
      <c r="C10" s="89"/>
      <c r="D10" s="89"/>
    </row>
    <row r="11" spans="1:4" s="175" customFormat="1" ht="12" customHeight="1">
      <c r="A11" s="12" t="s">
        <v>82</v>
      </c>
      <c r="B11" s="177" t="s">
        <v>151</v>
      </c>
      <c r="C11" s="89"/>
      <c r="D11" s="89"/>
    </row>
    <row r="12" spans="1:4" s="175" customFormat="1" ht="12" customHeight="1" thickBot="1">
      <c r="A12" s="14" t="s">
        <v>66</v>
      </c>
      <c r="B12" s="178" t="s">
        <v>152</v>
      </c>
      <c r="C12" s="89"/>
      <c r="D12" s="89"/>
    </row>
    <row r="13" spans="1:4" s="175" customFormat="1" ht="12" customHeight="1" thickBot="1">
      <c r="A13" s="18" t="s">
        <v>7</v>
      </c>
      <c r="B13" s="82" t="s">
        <v>441</v>
      </c>
      <c r="C13" s="87">
        <f>+C14+C15+C16+C17+C18</f>
        <v>2238</v>
      </c>
      <c r="D13" s="87">
        <f>+D14+D15+D16+D17+D18</f>
        <v>0</v>
      </c>
    </row>
    <row r="14" spans="1:4" s="175" customFormat="1" ht="12" customHeight="1">
      <c r="A14" s="13" t="s">
        <v>68</v>
      </c>
      <c r="B14" s="176" t="s">
        <v>154</v>
      </c>
      <c r="C14" s="90"/>
      <c r="D14" s="90"/>
    </row>
    <row r="15" spans="1:4" s="175" customFormat="1" ht="12" customHeight="1">
      <c r="A15" s="12" t="s">
        <v>69</v>
      </c>
      <c r="B15" s="177" t="s">
        <v>155</v>
      </c>
      <c r="C15" s="89"/>
      <c r="D15" s="89"/>
    </row>
    <row r="16" spans="1:4" s="175" customFormat="1" ht="12" customHeight="1">
      <c r="A16" s="12" t="s">
        <v>70</v>
      </c>
      <c r="B16" s="177" t="s">
        <v>358</v>
      </c>
      <c r="C16" s="89"/>
      <c r="D16" s="89"/>
    </row>
    <row r="17" spans="1:4" s="175" customFormat="1" ht="12" customHeight="1">
      <c r="A17" s="12" t="s">
        <v>71</v>
      </c>
      <c r="B17" s="177" t="s">
        <v>359</v>
      </c>
      <c r="C17" s="89"/>
      <c r="D17" s="89"/>
    </row>
    <row r="18" spans="1:4" s="175" customFormat="1" ht="12" customHeight="1">
      <c r="A18" s="12" t="s">
        <v>72</v>
      </c>
      <c r="B18" s="177" t="s">
        <v>156</v>
      </c>
      <c r="C18" s="89">
        <v>2238</v>
      </c>
      <c r="D18" s="89"/>
    </row>
    <row r="19" spans="1:4" s="175" customFormat="1" ht="12" customHeight="1" thickBot="1">
      <c r="A19" s="14" t="s">
        <v>78</v>
      </c>
      <c r="B19" s="178" t="s">
        <v>157</v>
      </c>
      <c r="C19" s="91"/>
      <c r="D19" s="91"/>
    </row>
    <row r="20" spans="1:4" s="175" customFormat="1" ht="12" customHeight="1" thickBot="1">
      <c r="A20" s="18" t="s">
        <v>8</v>
      </c>
      <c r="B20" s="19" t="s">
        <v>158</v>
      </c>
      <c r="C20" s="87">
        <f>+C21+C22+C23+C24+C25</f>
        <v>0</v>
      </c>
      <c r="D20" s="87">
        <f>+D21+D22+D23+D24+D25</f>
        <v>300</v>
      </c>
    </row>
    <row r="21" spans="1:4" s="175" customFormat="1" ht="12" customHeight="1">
      <c r="A21" s="13" t="s">
        <v>51</v>
      </c>
      <c r="B21" s="176" t="s">
        <v>159</v>
      </c>
      <c r="C21" s="90"/>
      <c r="D21" s="90"/>
    </row>
    <row r="22" spans="1:4" s="175" customFormat="1" ht="12" customHeight="1">
      <c r="A22" s="12" t="s">
        <v>52</v>
      </c>
      <c r="B22" s="177" t="s">
        <v>160</v>
      </c>
      <c r="C22" s="89"/>
      <c r="D22" s="89"/>
    </row>
    <row r="23" spans="1:4" s="175" customFormat="1" ht="12" customHeight="1">
      <c r="A23" s="12" t="s">
        <v>53</v>
      </c>
      <c r="B23" s="177" t="s">
        <v>360</v>
      </c>
      <c r="C23" s="89"/>
      <c r="D23" s="89"/>
    </row>
    <row r="24" spans="1:4" s="175" customFormat="1" ht="12" customHeight="1">
      <c r="A24" s="12" t="s">
        <v>54</v>
      </c>
      <c r="B24" s="177" t="s">
        <v>361</v>
      </c>
      <c r="C24" s="89"/>
      <c r="D24" s="89"/>
    </row>
    <row r="25" spans="1:4" s="175" customFormat="1" ht="12" customHeight="1">
      <c r="A25" s="12" t="s">
        <v>94</v>
      </c>
      <c r="B25" s="177" t="s">
        <v>161</v>
      </c>
      <c r="C25" s="89"/>
      <c r="D25" s="89">
        <v>300</v>
      </c>
    </row>
    <row r="26" spans="1:4" s="175" customFormat="1" ht="12" customHeight="1" thickBot="1">
      <c r="A26" s="14" t="s">
        <v>95</v>
      </c>
      <c r="B26" s="178" t="s">
        <v>162</v>
      </c>
      <c r="C26" s="91"/>
      <c r="D26" s="91"/>
    </row>
    <row r="27" spans="1:4" s="175" customFormat="1" ht="12" customHeight="1" thickBot="1">
      <c r="A27" s="18" t="s">
        <v>96</v>
      </c>
      <c r="B27" s="19" t="s">
        <v>163</v>
      </c>
      <c r="C27" s="93">
        <f>+C28+C31+C32+C33</f>
        <v>700</v>
      </c>
      <c r="D27" s="93">
        <f>+D28+D31+D32+D33</f>
        <v>612</v>
      </c>
    </row>
    <row r="28" spans="1:4" s="175" customFormat="1" ht="12" customHeight="1">
      <c r="A28" s="13" t="s">
        <v>164</v>
      </c>
      <c r="B28" s="176" t="s">
        <v>170</v>
      </c>
      <c r="C28" s="171"/>
      <c r="D28" s="171"/>
    </row>
    <row r="29" spans="1:4" s="175" customFormat="1" ht="12" customHeight="1">
      <c r="A29" s="12" t="s">
        <v>165</v>
      </c>
      <c r="B29" s="177" t="s">
        <v>171</v>
      </c>
      <c r="C29" s="89"/>
      <c r="D29" s="89"/>
    </row>
    <row r="30" spans="1:4" s="175" customFormat="1" ht="12" customHeight="1">
      <c r="A30" s="12" t="s">
        <v>166</v>
      </c>
      <c r="B30" s="177" t="s">
        <v>172</v>
      </c>
      <c r="C30" s="89"/>
      <c r="D30" s="89"/>
    </row>
    <row r="31" spans="1:4" s="175" customFormat="1" ht="12" customHeight="1">
      <c r="A31" s="12" t="s">
        <v>167</v>
      </c>
      <c r="B31" s="177" t="s">
        <v>173</v>
      </c>
      <c r="C31" s="89"/>
      <c r="D31" s="89"/>
    </row>
    <row r="32" spans="1:4" s="175" customFormat="1" ht="12" customHeight="1">
      <c r="A32" s="12" t="s">
        <v>168</v>
      </c>
      <c r="B32" s="177" t="s">
        <v>174</v>
      </c>
      <c r="C32" s="89"/>
      <c r="D32" s="89"/>
    </row>
    <row r="33" spans="1:4" s="175" customFormat="1" ht="12" customHeight="1" thickBot="1">
      <c r="A33" s="14" t="s">
        <v>169</v>
      </c>
      <c r="B33" s="178" t="s">
        <v>175</v>
      </c>
      <c r="C33" s="91">
        <v>700</v>
      </c>
      <c r="D33" s="91">
        <v>612</v>
      </c>
    </row>
    <row r="34" spans="1:4" s="175" customFormat="1" ht="12" customHeight="1" thickBot="1">
      <c r="A34" s="18" t="s">
        <v>10</v>
      </c>
      <c r="B34" s="19" t="s">
        <v>176</v>
      </c>
      <c r="C34" s="87">
        <f>SUM(C35:C44)</f>
        <v>5583</v>
      </c>
      <c r="D34" s="87">
        <f>SUM(D35:D44)</f>
        <v>5671</v>
      </c>
    </row>
    <row r="35" spans="1:4" s="175" customFormat="1" ht="12" customHeight="1">
      <c r="A35" s="13" t="s">
        <v>55</v>
      </c>
      <c r="B35" s="176" t="s">
        <v>179</v>
      </c>
      <c r="C35" s="90"/>
      <c r="D35" s="90">
        <v>16</v>
      </c>
    </row>
    <row r="36" spans="1:4" s="175" customFormat="1" ht="12" customHeight="1">
      <c r="A36" s="12" t="s">
        <v>56</v>
      </c>
      <c r="B36" s="177" t="s">
        <v>180</v>
      </c>
      <c r="C36" s="89">
        <v>505</v>
      </c>
      <c r="D36" s="89">
        <v>577</v>
      </c>
    </row>
    <row r="37" spans="1:4" s="175" customFormat="1" ht="12" customHeight="1">
      <c r="A37" s="12" t="s">
        <v>57</v>
      </c>
      <c r="B37" s="177" t="s">
        <v>181</v>
      </c>
      <c r="C37" s="89">
        <v>4088</v>
      </c>
      <c r="D37" s="89">
        <v>4088</v>
      </c>
    </row>
    <row r="38" spans="1:4" s="175" customFormat="1" ht="12" customHeight="1">
      <c r="A38" s="12" t="s">
        <v>98</v>
      </c>
      <c r="B38" s="177" t="s">
        <v>182</v>
      </c>
      <c r="C38" s="89"/>
      <c r="D38" s="89"/>
    </row>
    <row r="39" spans="1:4" s="175" customFormat="1" ht="12" customHeight="1">
      <c r="A39" s="12" t="s">
        <v>99</v>
      </c>
      <c r="B39" s="177" t="s">
        <v>183</v>
      </c>
      <c r="C39" s="89"/>
      <c r="D39" s="89"/>
    </row>
    <row r="40" spans="1:4" s="175" customFormat="1" ht="12" customHeight="1">
      <c r="A40" s="12" t="s">
        <v>100</v>
      </c>
      <c r="B40" s="177" t="s">
        <v>184</v>
      </c>
      <c r="C40" s="89">
        <v>654</v>
      </c>
      <c r="D40" s="89">
        <v>654</v>
      </c>
    </row>
    <row r="41" spans="1:4" s="175" customFormat="1" ht="12" customHeight="1">
      <c r="A41" s="12" t="s">
        <v>101</v>
      </c>
      <c r="B41" s="177" t="s">
        <v>185</v>
      </c>
      <c r="C41" s="89">
        <v>251</v>
      </c>
      <c r="D41" s="89">
        <v>251</v>
      </c>
    </row>
    <row r="42" spans="1:4" s="175" customFormat="1" ht="12" customHeight="1">
      <c r="A42" s="12" t="s">
        <v>102</v>
      </c>
      <c r="B42" s="177" t="s">
        <v>186</v>
      </c>
      <c r="C42" s="89">
        <v>85</v>
      </c>
      <c r="D42" s="89">
        <v>85</v>
      </c>
    </row>
    <row r="43" spans="1:4" s="175" customFormat="1" ht="12" customHeight="1">
      <c r="A43" s="12" t="s">
        <v>177</v>
      </c>
      <c r="B43" s="177" t="s">
        <v>187</v>
      </c>
      <c r="C43" s="92"/>
      <c r="D43" s="92"/>
    </row>
    <row r="44" spans="1:4" s="175" customFormat="1" ht="12" customHeight="1" thickBot="1">
      <c r="A44" s="14" t="s">
        <v>178</v>
      </c>
      <c r="B44" s="178" t="s">
        <v>188</v>
      </c>
      <c r="C44" s="165"/>
      <c r="D44" s="165"/>
    </row>
    <row r="45" spans="1:4" s="175" customFormat="1" ht="12" customHeight="1" thickBot="1">
      <c r="A45" s="18" t="s">
        <v>11</v>
      </c>
      <c r="B45" s="19" t="s">
        <v>189</v>
      </c>
      <c r="C45" s="87">
        <f>SUM(C46:C50)</f>
        <v>0</v>
      </c>
      <c r="D45" s="87">
        <f>SUM(D46:D50)</f>
        <v>0</v>
      </c>
    </row>
    <row r="46" spans="1:4" s="175" customFormat="1" ht="12" customHeight="1">
      <c r="A46" s="13" t="s">
        <v>58</v>
      </c>
      <c r="B46" s="176" t="s">
        <v>193</v>
      </c>
      <c r="C46" s="222"/>
      <c r="D46" s="222"/>
    </row>
    <row r="47" spans="1:4" s="175" customFormat="1" ht="12" customHeight="1">
      <c r="A47" s="12" t="s">
        <v>59</v>
      </c>
      <c r="B47" s="177" t="s">
        <v>194</v>
      </c>
      <c r="C47" s="92"/>
      <c r="D47" s="92"/>
    </row>
    <row r="48" spans="1:4" s="175" customFormat="1" ht="12" customHeight="1">
      <c r="A48" s="12" t="s">
        <v>190</v>
      </c>
      <c r="B48" s="177" t="s">
        <v>195</v>
      </c>
      <c r="C48" s="92"/>
      <c r="D48" s="92"/>
    </row>
    <row r="49" spans="1:4" s="175" customFormat="1" ht="12" customHeight="1">
      <c r="A49" s="12" t="s">
        <v>191</v>
      </c>
      <c r="B49" s="177" t="s">
        <v>196</v>
      </c>
      <c r="C49" s="92"/>
      <c r="D49" s="92"/>
    </row>
    <row r="50" spans="1:4" s="175" customFormat="1" ht="12" customHeight="1" thickBot="1">
      <c r="A50" s="14" t="s">
        <v>192</v>
      </c>
      <c r="B50" s="178" t="s">
        <v>197</v>
      </c>
      <c r="C50" s="165"/>
      <c r="D50" s="165"/>
    </row>
    <row r="51" spans="1:4" s="175" customFormat="1" ht="12" customHeight="1" thickBot="1">
      <c r="A51" s="18" t="s">
        <v>103</v>
      </c>
      <c r="B51" s="19" t="s">
        <v>198</v>
      </c>
      <c r="C51" s="87">
        <f>SUM(C52:C54)</f>
        <v>0</v>
      </c>
      <c r="D51" s="87">
        <f>SUM(D52:D54)</f>
        <v>0</v>
      </c>
    </row>
    <row r="52" spans="1:4" s="175" customFormat="1" ht="12" customHeight="1">
      <c r="A52" s="13" t="s">
        <v>60</v>
      </c>
      <c r="B52" s="176" t="s">
        <v>199</v>
      </c>
      <c r="C52" s="90"/>
      <c r="D52" s="90"/>
    </row>
    <row r="53" spans="1:4" s="175" customFormat="1" ht="12" customHeight="1">
      <c r="A53" s="12" t="s">
        <v>61</v>
      </c>
      <c r="B53" s="177" t="s">
        <v>200</v>
      </c>
      <c r="C53" s="89"/>
      <c r="D53" s="89"/>
    </row>
    <row r="54" spans="1:4" s="175" customFormat="1" ht="12" customHeight="1">
      <c r="A54" s="12" t="s">
        <v>203</v>
      </c>
      <c r="B54" s="177" t="s">
        <v>201</v>
      </c>
      <c r="C54" s="89"/>
      <c r="D54" s="89"/>
    </row>
    <row r="55" spans="1:4" s="175" customFormat="1" ht="12" customHeight="1" thickBot="1">
      <c r="A55" s="14" t="s">
        <v>204</v>
      </c>
      <c r="B55" s="178" t="s">
        <v>202</v>
      </c>
      <c r="C55" s="91"/>
      <c r="D55" s="91"/>
    </row>
    <row r="56" spans="1:4" s="175" customFormat="1" ht="12" customHeight="1" thickBot="1">
      <c r="A56" s="18" t="s">
        <v>13</v>
      </c>
      <c r="B56" s="82" t="s">
        <v>205</v>
      </c>
      <c r="C56" s="87">
        <f>SUM(C57:C59)</f>
        <v>0</v>
      </c>
      <c r="D56" s="87">
        <f>SUM(D57:D59)</f>
        <v>0</v>
      </c>
    </row>
    <row r="57" spans="1:4" s="175" customFormat="1" ht="12" customHeight="1">
      <c r="A57" s="13" t="s">
        <v>104</v>
      </c>
      <c r="B57" s="176" t="s">
        <v>207</v>
      </c>
      <c r="C57" s="92"/>
      <c r="D57" s="92"/>
    </row>
    <row r="58" spans="1:4" s="175" customFormat="1" ht="12" customHeight="1">
      <c r="A58" s="12" t="s">
        <v>105</v>
      </c>
      <c r="B58" s="177" t="s">
        <v>363</v>
      </c>
      <c r="C58" s="92"/>
      <c r="D58" s="92"/>
    </row>
    <row r="59" spans="1:4" s="175" customFormat="1" ht="12" customHeight="1">
      <c r="A59" s="12" t="s">
        <v>128</v>
      </c>
      <c r="B59" s="177" t="s">
        <v>208</v>
      </c>
      <c r="C59" s="92"/>
      <c r="D59" s="92"/>
    </row>
    <row r="60" spans="1:4" s="175" customFormat="1" ht="12" customHeight="1" thickBot="1">
      <c r="A60" s="14" t="s">
        <v>206</v>
      </c>
      <c r="B60" s="178" t="s">
        <v>209</v>
      </c>
      <c r="C60" s="92"/>
      <c r="D60" s="92"/>
    </row>
    <row r="61" spans="1:4" s="175" customFormat="1" ht="12" customHeight="1" thickBot="1">
      <c r="A61" s="18" t="s">
        <v>14</v>
      </c>
      <c r="B61" s="19" t="s">
        <v>210</v>
      </c>
      <c r="C61" s="93">
        <f>+C6+C13+C20+C27+C34+C45+C51+C56</f>
        <v>8521</v>
      </c>
      <c r="D61" s="93">
        <f>+D6+D13+D20+D27+D34+D45+D51+D56</f>
        <v>6583</v>
      </c>
    </row>
    <row r="62" spans="1:4" s="175" customFormat="1" ht="12" customHeight="1" thickBot="1">
      <c r="A62" s="179" t="s">
        <v>211</v>
      </c>
      <c r="B62" s="82" t="s">
        <v>212</v>
      </c>
      <c r="C62" s="87">
        <f>SUM(C63:C65)</f>
        <v>0</v>
      </c>
      <c r="D62" s="87">
        <f>SUM(D63:D65)</f>
        <v>0</v>
      </c>
    </row>
    <row r="63" spans="1:4" s="175" customFormat="1" ht="12" customHeight="1">
      <c r="A63" s="13" t="s">
        <v>245</v>
      </c>
      <c r="B63" s="176" t="s">
        <v>213</v>
      </c>
      <c r="C63" s="92"/>
      <c r="D63" s="92"/>
    </row>
    <row r="64" spans="1:4" s="175" customFormat="1" ht="12" customHeight="1">
      <c r="A64" s="12" t="s">
        <v>254</v>
      </c>
      <c r="B64" s="177" t="s">
        <v>214</v>
      </c>
      <c r="C64" s="92"/>
      <c r="D64" s="92"/>
    </row>
    <row r="65" spans="1:4" s="175" customFormat="1" ht="12" customHeight="1" thickBot="1">
      <c r="A65" s="14" t="s">
        <v>255</v>
      </c>
      <c r="B65" s="180" t="s">
        <v>215</v>
      </c>
      <c r="C65" s="92"/>
      <c r="D65" s="92"/>
    </row>
    <row r="66" spans="1:4" s="175" customFormat="1" ht="12" customHeight="1" thickBot="1">
      <c r="A66" s="179" t="s">
        <v>216</v>
      </c>
      <c r="B66" s="82" t="s">
        <v>217</v>
      </c>
      <c r="C66" s="87">
        <f>SUM(C67:C70)</f>
        <v>0</v>
      </c>
      <c r="D66" s="87">
        <f>SUM(D67:D70)</f>
        <v>0</v>
      </c>
    </row>
    <row r="67" spans="1:4" s="175" customFormat="1" ht="12" customHeight="1">
      <c r="A67" s="13" t="s">
        <v>83</v>
      </c>
      <c r="B67" s="176" t="s">
        <v>218</v>
      </c>
      <c r="C67" s="92"/>
      <c r="D67" s="92"/>
    </row>
    <row r="68" spans="1:4" s="175" customFormat="1" ht="12" customHeight="1">
      <c r="A68" s="12" t="s">
        <v>84</v>
      </c>
      <c r="B68" s="177" t="s">
        <v>219</v>
      </c>
      <c r="C68" s="92"/>
      <c r="D68" s="92"/>
    </row>
    <row r="69" spans="1:4" s="175" customFormat="1" ht="12" customHeight="1">
      <c r="A69" s="12" t="s">
        <v>246</v>
      </c>
      <c r="B69" s="177" t="s">
        <v>220</v>
      </c>
      <c r="C69" s="92"/>
      <c r="D69" s="92"/>
    </row>
    <row r="70" spans="1:4" s="175" customFormat="1" ht="12" customHeight="1" thickBot="1">
      <c r="A70" s="14" t="s">
        <v>247</v>
      </c>
      <c r="B70" s="178" t="s">
        <v>221</v>
      </c>
      <c r="C70" s="92"/>
      <c r="D70" s="92"/>
    </row>
    <row r="71" spans="1:4" s="175" customFormat="1" ht="12" customHeight="1" thickBot="1">
      <c r="A71" s="179" t="s">
        <v>222</v>
      </c>
      <c r="B71" s="82" t="s">
        <v>223</v>
      </c>
      <c r="C71" s="87">
        <f>SUM(C72:C73)</f>
        <v>0</v>
      </c>
      <c r="D71" s="87">
        <f>SUM(D72:D73)</f>
        <v>5956</v>
      </c>
    </row>
    <row r="72" spans="1:4" s="175" customFormat="1" ht="12" customHeight="1">
      <c r="A72" s="13" t="s">
        <v>248</v>
      </c>
      <c r="B72" s="176" t="s">
        <v>224</v>
      </c>
      <c r="C72" s="92"/>
      <c r="D72" s="92">
        <v>5956</v>
      </c>
    </row>
    <row r="73" spans="1:4" s="175" customFormat="1" ht="12" customHeight="1" thickBot="1">
      <c r="A73" s="14" t="s">
        <v>249</v>
      </c>
      <c r="B73" s="178" t="s">
        <v>225</v>
      </c>
      <c r="C73" s="92"/>
      <c r="D73" s="92"/>
    </row>
    <row r="74" spans="1:4" s="175" customFormat="1" ht="12" customHeight="1" thickBot="1">
      <c r="A74" s="179" t="s">
        <v>226</v>
      </c>
      <c r="B74" s="82" t="s">
        <v>227</v>
      </c>
      <c r="C74" s="87">
        <f>SUM(C75:C77)</f>
        <v>0</v>
      </c>
      <c r="D74" s="87">
        <f>SUM(D75:D77)</f>
        <v>0</v>
      </c>
    </row>
    <row r="75" spans="1:4" s="175" customFormat="1" ht="12" customHeight="1">
      <c r="A75" s="13" t="s">
        <v>250</v>
      </c>
      <c r="B75" s="176" t="s">
        <v>228</v>
      </c>
      <c r="C75" s="92"/>
      <c r="D75" s="92"/>
    </row>
    <row r="76" spans="1:4" s="175" customFormat="1" ht="12" customHeight="1">
      <c r="A76" s="12" t="s">
        <v>251</v>
      </c>
      <c r="B76" s="177" t="s">
        <v>229</v>
      </c>
      <c r="C76" s="92"/>
      <c r="D76" s="92"/>
    </row>
    <row r="77" spans="1:4" s="175" customFormat="1" ht="12" customHeight="1" thickBot="1">
      <c r="A77" s="14" t="s">
        <v>252</v>
      </c>
      <c r="B77" s="178" t="s">
        <v>230</v>
      </c>
      <c r="C77" s="92"/>
      <c r="D77" s="92"/>
    </row>
    <row r="78" spans="1:4" s="175" customFormat="1" ht="12" customHeight="1" thickBot="1">
      <c r="A78" s="179" t="s">
        <v>231</v>
      </c>
      <c r="B78" s="82" t="s">
        <v>253</v>
      </c>
      <c r="C78" s="87">
        <f>SUM(C79:C82)</f>
        <v>0</v>
      </c>
      <c r="D78" s="87">
        <f>SUM(D79:D82)</f>
        <v>0</v>
      </c>
    </row>
    <row r="79" spans="1:4" s="175" customFormat="1" ht="12" customHeight="1">
      <c r="A79" s="181" t="s">
        <v>232</v>
      </c>
      <c r="B79" s="176" t="s">
        <v>233</v>
      </c>
      <c r="C79" s="92"/>
      <c r="D79" s="92"/>
    </row>
    <row r="80" spans="1:4" s="175" customFormat="1" ht="12" customHeight="1">
      <c r="A80" s="182" t="s">
        <v>234</v>
      </c>
      <c r="B80" s="177" t="s">
        <v>235</v>
      </c>
      <c r="C80" s="92"/>
      <c r="D80" s="92"/>
    </row>
    <row r="81" spans="1:4" s="175" customFormat="1" ht="12" customHeight="1">
      <c r="A81" s="182" t="s">
        <v>236</v>
      </c>
      <c r="B81" s="177" t="s">
        <v>237</v>
      </c>
      <c r="C81" s="92"/>
      <c r="D81" s="92"/>
    </row>
    <row r="82" spans="1:4" s="175" customFormat="1" ht="12" customHeight="1" thickBot="1">
      <c r="A82" s="183" t="s">
        <v>238</v>
      </c>
      <c r="B82" s="178" t="s">
        <v>239</v>
      </c>
      <c r="C82" s="92"/>
      <c r="D82" s="92"/>
    </row>
    <row r="83" spans="1:4" s="175" customFormat="1" ht="13.5" customHeight="1" thickBot="1">
      <c r="A83" s="179" t="s">
        <v>240</v>
      </c>
      <c r="B83" s="82" t="s">
        <v>241</v>
      </c>
      <c r="C83" s="223"/>
      <c r="D83" s="223"/>
    </row>
    <row r="84" spans="1:4" s="175" customFormat="1" ht="15.75" customHeight="1" thickBot="1">
      <c r="A84" s="179" t="s">
        <v>242</v>
      </c>
      <c r="B84" s="184" t="s">
        <v>243</v>
      </c>
      <c r="C84" s="93">
        <f>+C62+C66+C71+C74+C78+C83</f>
        <v>0</v>
      </c>
      <c r="D84" s="93">
        <f>+D62+D66+D71+D74+D78+D83</f>
        <v>5956</v>
      </c>
    </row>
    <row r="85" spans="1:4" s="175" customFormat="1" ht="16.5" customHeight="1" thickBot="1">
      <c r="A85" s="185" t="s">
        <v>256</v>
      </c>
      <c r="B85" s="186" t="s">
        <v>244</v>
      </c>
      <c r="C85" s="93">
        <f>+C61+C84</f>
        <v>8521</v>
      </c>
      <c r="D85" s="93">
        <f>+D61+D84</f>
        <v>12539</v>
      </c>
    </row>
    <row r="86" spans="1:4" s="175" customFormat="1" ht="83.25" customHeight="1">
      <c r="A86" s="3"/>
      <c r="B86" s="4"/>
      <c r="C86" s="94"/>
      <c r="D86" s="94"/>
    </row>
    <row r="87" spans="1:4" ht="16.5" customHeight="1">
      <c r="A87" s="392" t="s">
        <v>34</v>
      </c>
      <c r="B87" s="392"/>
      <c r="C87" s="392"/>
      <c r="D87" s="392"/>
    </row>
    <row r="88" spans="1:4" s="187" customFormat="1" ht="16.5" customHeight="1" thickBot="1">
      <c r="A88" s="394" t="s">
        <v>86</v>
      </c>
      <c r="B88" s="394"/>
      <c r="C88" s="396" t="s">
        <v>127</v>
      </c>
      <c r="D88" s="396"/>
    </row>
    <row r="89" spans="1:4" ht="38.1" customHeight="1" thickBot="1">
      <c r="A89" s="21" t="s">
        <v>50</v>
      </c>
      <c r="B89" s="22" t="s">
        <v>35</v>
      </c>
      <c r="C89" s="28" t="s">
        <v>402</v>
      </c>
      <c r="D89" s="28" t="s">
        <v>401</v>
      </c>
    </row>
    <row r="90" spans="1:4" s="174" customFormat="1" ht="12" customHeight="1" thickBot="1">
      <c r="A90" s="25">
        <v>1</v>
      </c>
      <c r="B90" s="26">
        <v>2</v>
      </c>
      <c r="C90" s="27">
        <v>3</v>
      </c>
      <c r="D90" s="27">
        <v>4</v>
      </c>
    </row>
    <row r="91" spans="1:4" ht="12" customHeight="1" thickBot="1">
      <c r="A91" s="20" t="s">
        <v>6</v>
      </c>
      <c r="B91" s="24" t="s">
        <v>259</v>
      </c>
      <c r="C91" s="86">
        <f>SUM(C92:C96)</f>
        <v>188374</v>
      </c>
      <c r="D91" s="86">
        <f>SUM(D92:D96)</f>
        <v>200198</v>
      </c>
    </row>
    <row r="92" spans="1:4" ht="12" customHeight="1">
      <c r="A92" s="15" t="s">
        <v>62</v>
      </c>
      <c r="B92" s="8" t="s">
        <v>36</v>
      </c>
      <c r="C92" s="88">
        <v>117860</v>
      </c>
      <c r="D92" s="88">
        <v>125669</v>
      </c>
    </row>
    <row r="93" spans="1:4" ht="12" customHeight="1">
      <c r="A93" s="12" t="s">
        <v>63</v>
      </c>
      <c r="B93" s="6" t="s">
        <v>106</v>
      </c>
      <c r="C93" s="89">
        <v>32416</v>
      </c>
      <c r="D93" s="89">
        <v>34454</v>
      </c>
    </row>
    <row r="94" spans="1:4" ht="12" customHeight="1">
      <c r="A94" s="12" t="s">
        <v>64</v>
      </c>
      <c r="B94" s="6" t="s">
        <v>81</v>
      </c>
      <c r="C94" s="91">
        <f>33618+194</f>
        <v>33812</v>
      </c>
      <c r="D94" s="91">
        <f>35193+194</f>
        <v>35387</v>
      </c>
    </row>
    <row r="95" spans="1:4" ht="12" customHeight="1">
      <c r="A95" s="12" t="s">
        <v>65</v>
      </c>
      <c r="B95" s="9" t="s">
        <v>107</v>
      </c>
      <c r="C95" s="91">
        <f>4121+165</f>
        <v>4286</v>
      </c>
      <c r="D95" s="91">
        <f>4121+165</f>
        <v>4286</v>
      </c>
    </row>
    <row r="96" spans="1:4" ht="12" customHeight="1">
      <c r="A96" s="12" t="s">
        <v>73</v>
      </c>
      <c r="B96" s="17" t="s">
        <v>108</v>
      </c>
      <c r="C96" s="91"/>
      <c r="D96" s="91">
        <v>402</v>
      </c>
    </row>
    <row r="97" spans="1:4" ht="12" customHeight="1">
      <c r="A97" s="12" t="s">
        <v>66</v>
      </c>
      <c r="B97" s="6" t="s">
        <v>260</v>
      </c>
      <c r="C97" s="91"/>
      <c r="D97" s="91"/>
    </row>
    <row r="98" spans="1:4" ht="12" customHeight="1">
      <c r="A98" s="12" t="s">
        <v>67</v>
      </c>
      <c r="B98" s="47" t="s">
        <v>261</v>
      </c>
      <c r="C98" s="91"/>
      <c r="D98" s="91"/>
    </row>
    <row r="99" spans="1:4" ht="12" customHeight="1">
      <c r="A99" s="12" t="s">
        <v>74</v>
      </c>
      <c r="B99" s="48" t="s">
        <v>262</v>
      </c>
      <c r="C99" s="91"/>
      <c r="D99" s="91"/>
    </row>
    <row r="100" spans="1:4" ht="12" customHeight="1">
      <c r="A100" s="12" t="s">
        <v>75</v>
      </c>
      <c r="B100" s="48" t="s">
        <v>263</v>
      </c>
      <c r="C100" s="91"/>
      <c r="D100" s="91"/>
    </row>
    <row r="101" spans="1:4" ht="12" customHeight="1">
      <c r="A101" s="12" t="s">
        <v>76</v>
      </c>
      <c r="B101" s="47" t="s">
        <v>264</v>
      </c>
      <c r="C101" s="91"/>
      <c r="D101" s="91"/>
    </row>
    <row r="102" spans="1:4" ht="12" customHeight="1">
      <c r="A102" s="12" t="s">
        <v>77</v>
      </c>
      <c r="B102" s="47" t="s">
        <v>265</v>
      </c>
      <c r="C102" s="91"/>
      <c r="D102" s="91"/>
    </row>
    <row r="103" spans="1:4" ht="12" customHeight="1">
      <c r="A103" s="12" t="s">
        <v>79</v>
      </c>
      <c r="B103" s="48" t="s">
        <v>266</v>
      </c>
      <c r="C103" s="91"/>
      <c r="D103" s="91"/>
    </row>
    <row r="104" spans="1:4" ht="12" customHeight="1">
      <c r="A104" s="11" t="s">
        <v>109</v>
      </c>
      <c r="B104" s="49" t="s">
        <v>267</v>
      </c>
      <c r="C104" s="91"/>
      <c r="D104" s="91"/>
    </row>
    <row r="105" spans="1:4" ht="12" customHeight="1">
      <c r="A105" s="12" t="s">
        <v>257</v>
      </c>
      <c r="B105" s="49" t="s">
        <v>268</v>
      </c>
      <c r="C105" s="91"/>
      <c r="D105" s="91"/>
    </row>
    <row r="106" spans="1:4" ht="12" customHeight="1" thickBot="1">
      <c r="A106" s="16" t="s">
        <v>258</v>
      </c>
      <c r="B106" s="50" t="s">
        <v>269</v>
      </c>
      <c r="C106" s="95"/>
      <c r="D106" s="95">
        <v>402</v>
      </c>
    </row>
    <row r="107" spans="1:4" ht="12" customHeight="1" thickBot="1">
      <c r="A107" s="18" t="s">
        <v>7</v>
      </c>
      <c r="B107" s="23" t="s">
        <v>270</v>
      </c>
      <c r="C107" s="87">
        <f>+C108+C110+C112</f>
        <v>17470</v>
      </c>
      <c r="D107" s="87">
        <f>+D108+D110+D112</f>
        <v>15180</v>
      </c>
    </row>
    <row r="108" spans="1:4" ht="12" customHeight="1">
      <c r="A108" s="13" t="s">
        <v>68</v>
      </c>
      <c r="B108" s="6" t="s">
        <v>126</v>
      </c>
      <c r="C108" s="90">
        <v>8580</v>
      </c>
      <c r="D108" s="90">
        <v>10709</v>
      </c>
    </row>
    <row r="109" spans="1:4" ht="12" customHeight="1">
      <c r="A109" s="13" t="s">
        <v>69</v>
      </c>
      <c r="B109" s="10" t="s">
        <v>274</v>
      </c>
      <c r="C109" s="90"/>
      <c r="D109" s="90"/>
    </row>
    <row r="110" spans="1:4" ht="12" customHeight="1">
      <c r="A110" s="13" t="s">
        <v>70</v>
      </c>
      <c r="B110" s="10" t="s">
        <v>110</v>
      </c>
      <c r="C110" s="89"/>
      <c r="D110" s="89">
        <v>4471</v>
      </c>
    </row>
    <row r="111" spans="1:4" ht="12" customHeight="1">
      <c r="A111" s="13" t="s">
        <v>71</v>
      </c>
      <c r="B111" s="10" t="s">
        <v>275</v>
      </c>
      <c r="C111" s="80"/>
      <c r="D111" s="80"/>
    </row>
    <row r="112" spans="1:4" ht="12" customHeight="1">
      <c r="A112" s="13" t="s">
        <v>72</v>
      </c>
      <c r="B112" s="84" t="s">
        <v>129</v>
      </c>
      <c r="C112" s="80">
        <v>8890</v>
      </c>
      <c r="D112" s="80"/>
    </row>
    <row r="113" spans="1:4" ht="12" customHeight="1">
      <c r="A113" s="13" t="s">
        <v>78</v>
      </c>
      <c r="B113" s="83" t="s">
        <v>364</v>
      </c>
      <c r="C113" s="80"/>
      <c r="D113" s="80"/>
    </row>
    <row r="114" spans="1:4" ht="12" customHeight="1">
      <c r="A114" s="13" t="s">
        <v>80</v>
      </c>
      <c r="B114" s="172" t="s">
        <v>280</v>
      </c>
      <c r="C114" s="80"/>
      <c r="D114" s="80"/>
    </row>
    <row r="115" spans="1:4">
      <c r="A115" s="13" t="s">
        <v>111</v>
      </c>
      <c r="B115" s="48" t="s">
        <v>263</v>
      </c>
      <c r="C115" s="80"/>
      <c r="D115" s="80"/>
    </row>
    <row r="116" spans="1:4" ht="12" customHeight="1">
      <c r="A116" s="13" t="s">
        <v>112</v>
      </c>
      <c r="B116" s="48" t="s">
        <v>279</v>
      </c>
      <c r="C116" s="80"/>
      <c r="D116" s="80"/>
    </row>
    <row r="117" spans="1:4" ht="12" customHeight="1">
      <c r="A117" s="13" t="s">
        <v>113</v>
      </c>
      <c r="B117" s="48" t="s">
        <v>278</v>
      </c>
      <c r="C117" s="80"/>
      <c r="D117" s="80"/>
    </row>
    <row r="118" spans="1:4" ht="12" customHeight="1">
      <c r="A118" s="13" t="s">
        <v>271</v>
      </c>
      <c r="B118" s="48" t="s">
        <v>266</v>
      </c>
      <c r="C118" s="80"/>
      <c r="D118" s="80"/>
    </row>
    <row r="119" spans="1:4" ht="12" customHeight="1">
      <c r="A119" s="13" t="s">
        <v>272</v>
      </c>
      <c r="B119" s="48" t="s">
        <v>277</v>
      </c>
      <c r="C119" s="80"/>
      <c r="D119" s="80"/>
    </row>
    <row r="120" spans="1:4" ht="16.5" thickBot="1">
      <c r="A120" s="11" t="s">
        <v>273</v>
      </c>
      <c r="B120" s="48" t="s">
        <v>276</v>
      </c>
      <c r="C120" s="81"/>
      <c r="D120" s="81"/>
    </row>
    <row r="121" spans="1:4" ht="12" customHeight="1" thickBot="1">
      <c r="A121" s="18" t="s">
        <v>8</v>
      </c>
      <c r="B121" s="44" t="s">
        <v>281</v>
      </c>
      <c r="C121" s="87">
        <f>+C122+C123</f>
        <v>0</v>
      </c>
      <c r="D121" s="87">
        <f>+D122+D123</f>
        <v>0</v>
      </c>
    </row>
    <row r="122" spans="1:4" ht="12" customHeight="1">
      <c r="A122" s="13" t="s">
        <v>51</v>
      </c>
      <c r="B122" s="7" t="s">
        <v>44</v>
      </c>
      <c r="C122" s="90"/>
      <c r="D122" s="90"/>
    </row>
    <row r="123" spans="1:4" ht="12" customHeight="1" thickBot="1">
      <c r="A123" s="14" t="s">
        <v>52</v>
      </c>
      <c r="B123" s="10" t="s">
        <v>45</v>
      </c>
      <c r="C123" s="91"/>
      <c r="D123" s="90"/>
    </row>
    <row r="124" spans="1:4" ht="12" customHeight="1" thickBot="1">
      <c r="A124" s="18" t="s">
        <v>9</v>
      </c>
      <c r="B124" s="44" t="s">
        <v>282</v>
      </c>
      <c r="C124" s="87">
        <f>+C91+C107+C121</f>
        <v>205844</v>
      </c>
      <c r="D124" s="87">
        <f>+D91+D107+D121</f>
        <v>215378</v>
      </c>
    </row>
    <row r="125" spans="1:4" ht="12" customHeight="1" thickBot="1">
      <c r="A125" s="18" t="s">
        <v>10</v>
      </c>
      <c r="B125" s="44" t="s">
        <v>283</v>
      </c>
      <c r="C125" s="87">
        <f>+C126+C127+C128</f>
        <v>0</v>
      </c>
      <c r="D125" s="87">
        <f>+D126+D127+D128</f>
        <v>0</v>
      </c>
    </row>
    <row r="126" spans="1:4" ht="12" customHeight="1">
      <c r="A126" s="13" t="s">
        <v>55</v>
      </c>
      <c r="B126" s="7" t="s">
        <v>284</v>
      </c>
      <c r="C126" s="80"/>
      <c r="D126" s="80"/>
    </row>
    <row r="127" spans="1:4" ht="12" customHeight="1">
      <c r="A127" s="13" t="s">
        <v>56</v>
      </c>
      <c r="B127" s="7" t="s">
        <v>285</v>
      </c>
      <c r="C127" s="80"/>
      <c r="D127" s="80"/>
    </row>
    <row r="128" spans="1:4" ht="12" customHeight="1" thickBot="1">
      <c r="A128" s="11" t="s">
        <v>57</v>
      </c>
      <c r="B128" s="5" t="s">
        <v>286</v>
      </c>
      <c r="C128" s="80"/>
      <c r="D128" s="80"/>
    </row>
    <row r="129" spans="1:10" ht="12" customHeight="1" thickBot="1">
      <c r="A129" s="18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</row>
    <row r="130" spans="1:10" ht="12" customHeight="1">
      <c r="A130" s="13" t="s">
        <v>58</v>
      </c>
      <c r="B130" s="7" t="s">
        <v>287</v>
      </c>
      <c r="C130" s="80"/>
      <c r="D130" s="80"/>
    </row>
    <row r="131" spans="1:10" ht="12" customHeight="1">
      <c r="A131" s="13" t="s">
        <v>59</v>
      </c>
      <c r="B131" s="7" t="s">
        <v>288</v>
      </c>
      <c r="C131" s="80"/>
      <c r="D131" s="80"/>
    </row>
    <row r="132" spans="1:10" ht="12" customHeight="1">
      <c r="A132" s="13" t="s">
        <v>190</v>
      </c>
      <c r="B132" s="7" t="s">
        <v>289</v>
      </c>
      <c r="C132" s="80"/>
      <c r="D132" s="80"/>
    </row>
    <row r="133" spans="1:10" ht="12" customHeight="1" thickBot="1">
      <c r="A133" s="11" t="s">
        <v>191</v>
      </c>
      <c r="B133" s="5" t="s">
        <v>290</v>
      </c>
      <c r="C133" s="80"/>
      <c r="D133" s="80"/>
    </row>
    <row r="134" spans="1:10" ht="12" customHeight="1" thickBot="1">
      <c r="A134" s="18" t="s">
        <v>12</v>
      </c>
      <c r="B134" s="44" t="s">
        <v>291</v>
      </c>
      <c r="C134" s="93">
        <f>+C135+C136+C137+C138</f>
        <v>0</v>
      </c>
      <c r="D134" s="93">
        <f>+D135+D136+D137+D138</f>
        <v>0</v>
      </c>
    </row>
    <row r="135" spans="1:10" ht="12" customHeight="1">
      <c r="A135" s="13" t="s">
        <v>60</v>
      </c>
      <c r="B135" s="7" t="s">
        <v>292</v>
      </c>
      <c r="C135" s="80"/>
      <c r="D135" s="80"/>
    </row>
    <row r="136" spans="1:10" ht="12" customHeight="1">
      <c r="A136" s="13" t="s">
        <v>61</v>
      </c>
      <c r="B136" s="7" t="s">
        <v>302</v>
      </c>
      <c r="C136" s="80"/>
      <c r="D136" s="80"/>
    </row>
    <row r="137" spans="1:10" ht="12" customHeight="1">
      <c r="A137" s="13" t="s">
        <v>203</v>
      </c>
      <c r="B137" s="7" t="s">
        <v>293</v>
      </c>
      <c r="C137" s="80"/>
      <c r="D137" s="80"/>
    </row>
    <row r="138" spans="1:10" ht="12" customHeight="1" thickBot="1">
      <c r="A138" s="11" t="s">
        <v>204</v>
      </c>
      <c r="B138" s="5" t="s">
        <v>294</v>
      </c>
      <c r="C138" s="80"/>
      <c r="D138" s="80"/>
    </row>
    <row r="139" spans="1:10" ht="12" customHeight="1" thickBot="1">
      <c r="A139" s="18" t="s">
        <v>13</v>
      </c>
      <c r="B139" s="44" t="s">
        <v>295</v>
      </c>
      <c r="C139" s="96">
        <f>+C140+C141+C142+C143</f>
        <v>0</v>
      </c>
      <c r="D139" s="96">
        <f>+D140+D141+D142+D143</f>
        <v>0</v>
      </c>
    </row>
    <row r="140" spans="1:10" ht="12" customHeight="1">
      <c r="A140" s="13" t="s">
        <v>104</v>
      </c>
      <c r="B140" s="7" t="s">
        <v>296</v>
      </c>
      <c r="C140" s="80"/>
      <c r="D140" s="80"/>
    </row>
    <row r="141" spans="1:10" ht="12" customHeight="1">
      <c r="A141" s="13" t="s">
        <v>105</v>
      </c>
      <c r="B141" s="7" t="s">
        <v>297</v>
      </c>
      <c r="C141" s="80"/>
      <c r="D141" s="80"/>
    </row>
    <row r="142" spans="1:10" ht="12" customHeight="1">
      <c r="A142" s="13" t="s">
        <v>128</v>
      </c>
      <c r="B142" s="7" t="s">
        <v>298</v>
      </c>
      <c r="C142" s="80"/>
      <c r="D142" s="80"/>
    </row>
    <row r="143" spans="1:10" ht="12" customHeight="1" thickBot="1">
      <c r="A143" s="13" t="s">
        <v>206</v>
      </c>
      <c r="B143" s="7" t="s">
        <v>299</v>
      </c>
      <c r="C143" s="80"/>
      <c r="D143" s="80"/>
    </row>
    <row r="144" spans="1:10" ht="15" customHeight="1" thickBot="1">
      <c r="A144" s="18" t="s">
        <v>14</v>
      </c>
      <c r="B144" s="44" t="s">
        <v>300</v>
      </c>
      <c r="C144" s="188">
        <f>+C125+C129+C134+C139</f>
        <v>0</v>
      </c>
      <c r="D144" s="188">
        <f>+D125+D129+D134+D139</f>
        <v>0</v>
      </c>
      <c r="G144" s="189"/>
      <c r="H144" s="190"/>
      <c r="I144" s="190"/>
      <c r="J144" s="190"/>
    </row>
    <row r="145" spans="1:5" s="175" customFormat="1" ht="12.95" customHeight="1" thickBot="1">
      <c r="A145" s="85" t="s">
        <v>15</v>
      </c>
      <c r="B145" s="153" t="s">
        <v>301</v>
      </c>
      <c r="C145" s="188">
        <f>+C124+C144</f>
        <v>205844</v>
      </c>
      <c r="D145" s="188">
        <f>+D124+D144</f>
        <v>215378</v>
      </c>
    </row>
    <row r="146" spans="1:5" ht="15" customHeight="1"/>
    <row r="147" spans="1:5">
      <c r="A147" s="397" t="s">
        <v>303</v>
      </c>
      <c r="B147" s="397"/>
      <c r="C147" s="397"/>
      <c r="D147" s="397"/>
    </row>
    <row r="148" spans="1:5" ht="15" customHeight="1" thickBot="1">
      <c r="A148" s="393" t="s">
        <v>87</v>
      </c>
      <c r="B148" s="393"/>
      <c r="C148" s="97" t="s">
        <v>127</v>
      </c>
      <c r="D148" s="97" t="s">
        <v>127</v>
      </c>
    </row>
    <row r="149" spans="1:5" ht="25.5" customHeight="1" thickBot="1">
      <c r="A149" s="18">
        <v>1</v>
      </c>
      <c r="B149" s="23" t="s">
        <v>304</v>
      </c>
      <c r="C149" s="87">
        <f>+C61-C124</f>
        <v>-197323</v>
      </c>
      <c r="D149" s="87">
        <f>+D61-D124</f>
        <v>-208795</v>
      </c>
      <c r="E149" s="191"/>
    </row>
    <row r="150" spans="1:5" ht="25.5" customHeight="1" thickBot="1">
      <c r="A150" s="18" t="s">
        <v>7</v>
      </c>
      <c r="B150" s="23" t="s">
        <v>305</v>
      </c>
      <c r="C150" s="87">
        <f>+C84-C144</f>
        <v>0</v>
      </c>
      <c r="D150" s="87">
        <f>+D84-D144</f>
        <v>5956</v>
      </c>
    </row>
  </sheetData>
  <mergeCells count="8">
    <mergeCell ref="A147:D147"/>
    <mergeCell ref="A148:B148"/>
    <mergeCell ref="A2:D2"/>
    <mergeCell ref="A3:B3"/>
    <mergeCell ref="C3:D3"/>
    <mergeCell ref="A87:D87"/>
    <mergeCell ref="A88:B88"/>
    <mergeCell ref="C88:D88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Csorna Város Önkormányzata
2015. ÉVI KÖLTSÉGVETÉS
ÁLLAMI (ÁLLAMIGAZGATÁSI) FELADATAINAK MÉRLEGE &amp;R&amp;"Times New Roman CE,Félkövér dőlt"&amp;11 1.4. melléklet a 7/2015. (II. 18.) önkormányzati rendelethez</oddHeader>
  </headerFooter>
  <rowBreaks count="1" manualBreakCount="1">
    <brk id="86" max="2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G32"/>
  <sheetViews>
    <sheetView view="pageBreakPreview" zoomScaleNormal="115" zoomScaleSheetLayoutView="100" workbookViewId="0">
      <selection activeCell="G1" sqref="G1"/>
    </sheetView>
  </sheetViews>
  <sheetFormatPr defaultColWidth="9.33203125" defaultRowHeight="12.75"/>
  <cols>
    <col min="1" max="1" width="6.83203125" style="30" customWidth="1"/>
    <col min="2" max="2" width="52.5" style="51" customWidth="1"/>
    <col min="3" max="3" width="16.1640625" style="30" customWidth="1"/>
    <col min="4" max="4" width="13.6640625" style="30" customWidth="1"/>
    <col min="5" max="5" width="54" style="30" customWidth="1"/>
    <col min="6" max="6" width="14.5" style="30" customWidth="1"/>
    <col min="7" max="7" width="13.6640625" style="30" customWidth="1"/>
    <col min="8" max="16384" width="9.33203125" style="30"/>
  </cols>
  <sheetData>
    <row r="1" spans="1:7" ht="63.75">
      <c r="G1" s="30" t="s">
        <v>449</v>
      </c>
    </row>
    <row r="2" spans="1:7" ht="39.75" customHeight="1">
      <c r="B2" s="108" t="s">
        <v>90</v>
      </c>
      <c r="C2" s="109"/>
      <c r="D2" s="109"/>
      <c r="E2" s="109"/>
      <c r="F2" s="109"/>
      <c r="G2" s="109"/>
    </row>
    <row r="3" spans="1:7" ht="14.25" thickBot="1">
      <c r="F3" s="401" t="s">
        <v>47</v>
      </c>
      <c r="G3" s="401"/>
    </row>
    <row r="4" spans="1:7" ht="18" customHeight="1" thickBot="1">
      <c r="A4" s="398" t="s">
        <v>50</v>
      </c>
      <c r="B4" s="110" t="s">
        <v>41</v>
      </c>
      <c r="C4" s="111"/>
      <c r="D4" s="111"/>
      <c r="E4" s="110" t="s">
        <v>42</v>
      </c>
      <c r="F4" s="112"/>
      <c r="G4" s="112"/>
    </row>
    <row r="5" spans="1:7" s="113" customFormat="1" ht="35.25" customHeight="1" thickBot="1">
      <c r="A5" s="399"/>
      <c r="B5" s="52" t="s">
        <v>48</v>
      </c>
      <c r="C5" s="53" t="s">
        <v>368</v>
      </c>
      <c r="D5" s="53" t="s">
        <v>368</v>
      </c>
      <c r="E5" s="52" t="s">
        <v>48</v>
      </c>
      <c r="F5" s="53" t="s">
        <v>368</v>
      </c>
      <c r="G5" s="301" t="s">
        <v>368</v>
      </c>
    </row>
    <row r="6" spans="1:7" s="117" customFormat="1" ht="12" customHeight="1" thickBot="1">
      <c r="A6" s="114">
        <v>1</v>
      </c>
      <c r="B6" s="115">
        <v>2</v>
      </c>
      <c r="C6" s="116" t="s">
        <v>8</v>
      </c>
      <c r="D6" s="116" t="s">
        <v>9</v>
      </c>
      <c r="E6" s="115" t="s">
        <v>10</v>
      </c>
      <c r="F6" s="116" t="s">
        <v>11</v>
      </c>
      <c r="G6" s="302" t="s">
        <v>12</v>
      </c>
    </row>
    <row r="7" spans="1:7" ht="12.95" customHeight="1">
      <c r="A7" s="118" t="s">
        <v>6</v>
      </c>
      <c r="B7" s="119" t="s">
        <v>306</v>
      </c>
      <c r="C7" s="98">
        <v>454969</v>
      </c>
      <c r="D7" s="98">
        <v>521358</v>
      </c>
      <c r="E7" s="119" t="s">
        <v>49</v>
      </c>
      <c r="F7" s="98">
        <v>332360</v>
      </c>
      <c r="G7" s="303">
        <v>344597</v>
      </c>
    </row>
    <row r="8" spans="1:7" ht="12.95" customHeight="1">
      <c r="A8" s="120" t="s">
        <v>7</v>
      </c>
      <c r="B8" s="121" t="s">
        <v>307</v>
      </c>
      <c r="C8" s="99">
        <v>78274</v>
      </c>
      <c r="D8" s="99">
        <v>82386</v>
      </c>
      <c r="E8" s="121" t="s">
        <v>106</v>
      </c>
      <c r="F8" s="99">
        <v>89597</v>
      </c>
      <c r="G8" s="304">
        <v>94209</v>
      </c>
    </row>
    <row r="9" spans="1:7" ht="12.95" customHeight="1">
      <c r="A9" s="120" t="s">
        <v>8</v>
      </c>
      <c r="B9" s="121" t="s">
        <v>333</v>
      </c>
      <c r="C9" s="99">
        <v>9462</v>
      </c>
      <c r="D9" s="99">
        <v>9462</v>
      </c>
      <c r="E9" s="121" t="s">
        <v>131</v>
      </c>
      <c r="F9" s="99">
        <v>618869</v>
      </c>
      <c r="G9" s="304">
        <v>657640</v>
      </c>
    </row>
    <row r="10" spans="1:7" ht="12.95" customHeight="1">
      <c r="A10" s="120" t="s">
        <v>9</v>
      </c>
      <c r="B10" s="121" t="s">
        <v>97</v>
      </c>
      <c r="C10" s="99">
        <v>414620</v>
      </c>
      <c r="D10" s="99">
        <v>595023</v>
      </c>
      <c r="E10" s="121" t="s">
        <v>107</v>
      </c>
      <c r="F10" s="99">
        <v>13161</v>
      </c>
      <c r="G10" s="304">
        <v>14616</v>
      </c>
    </row>
    <row r="11" spans="1:7" ht="12.95" customHeight="1">
      <c r="A11" s="120" t="s">
        <v>10</v>
      </c>
      <c r="B11" s="122" t="s">
        <v>308</v>
      </c>
      <c r="C11" s="99"/>
      <c r="D11" s="99"/>
      <c r="E11" s="121" t="s">
        <v>108</v>
      </c>
      <c r="F11" s="99">
        <v>238485</v>
      </c>
      <c r="G11" s="304">
        <v>278173</v>
      </c>
    </row>
    <row r="12" spans="1:7" ht="12.95" customHeight="1">
      <c r="A12" s="120" t="s">
        <v>11</v>
      </c>
      <c r="B12" s="121" t="s">
        <v>309</v>
      </c>
      <c r="C12" s="100"/>
      <c r="D12" s="100"/>
      <c r="E12" s="121" t="s">
        <v>37</v>
      </c>
      <c r="F12" s="99">
        <v>27674</v>
      </c>
      <c r="G12" s="304">
        <v>256207</v>
      </c>
    </row>
    <row r="13" spans="1:7" ht="12.95" customHeight="1">
      <c r="A13" s="120" t="s">
        <v>12</v>
      </c>
      <c r="B13" s="121" t="s">
        <v>421</v>
      </c>
      <c r="C13" s="99">
        <v>146934</v>
      </c>
      <c r="D13" s="99">
        <v>171147</v>
      </c>
      <c r="E13" s="29"/>
      <c r="F13" s="99"/>
      <c r="G13" s="304"/>
    </row>
    <row r="14" spans="1:7" ht="12.95" customHeight="1">
      <c r="A14" s="120" t="s">
        <v>13</v>
      </c>
      <c r="B14" s="29" t="s">
        <v>422</v>
      </c>
      <c r="C14" s="99"/>
      <c r="D14" s="99">
        <v>6006</v>
      </c>
      <c r="E14" s="29"/>
      <c r="F14" s="99"/>
      <c r="G14" s="304"/>
    </row>
    <row r="15" spans="1:7" ht="12.95" customHeight="1">
      <c r="A15" s="120" t="s">
        <v>14</v>
      </c>
      <c r="B15" s="192"/>
      <c r="C15" s="100"/>
      <c r="D15" s="100"/>
      <c r="E15" s="29"/>
      <c r="F15" s="99"/>
      <c r="G15" s="304"/>
    </row>
    <row r="16" spans="1:7" ht="12.95" customHeight="1">
      <c r="A16" s="120" t="s">
        <v>15</v>
      </c>
      <c r="B16" s="29"/>
      <c r="C16" s="99"/>
      <c r="D16" s="99"/>
      <c r="E16" s="29"/>
      <c r="F16" s="99"/>
      <c r="G16" s="304"/>
    </row>
    <row r="17" spans="1:7" ht="12.95" customHeight="1">
      <c r="A17" s="120" t="s">
        <v>16</v>
      </c>
      <c r="B17" s="29"/>
      <c r="C17" s="99"/>
      <c r="D17" s="99"/>
      <c r="E17" s="29"/>
      <c r="F17" s="99"/>
      <c r="G17" s="304"/>
    </row>
    <row r="18" spans="1:7" ht="12.95" customHeight="1" thickBot="1">
      <c r="A18" s="120" t="s">
        <v>17</v>
      </c>
      <c r="B18" s="31"/>
      <c r="C18" s="101"/>
      <c r="D18" s="101"/>
      <c r="E18" s="29"/>
      <c r="F18" s="101"/>
      <c r="G18" s="311"/>
    </row>
    <row r="19" spans="1:7" ht="15.95" customHeight="1" thickBot="1">
      <c r="A19" s="123" t="s">
        <v>18</v>
      </c>
      <c r="B19" s="45" t="s">
        <v>334</v>
      </c>
      <c r="C19" s="102">
        <f>+C7+C8+C10+C11+C13+C14+C15+C16+C17+C18</f>
        <v>1094797</v>
      </c>
      <c r="D19" s="102">
        <f>+D7+D8+D10+D11+D13+D14+D15+D16+D17+D18</f>
        <v>1375920</v>
      </c>
      <c r="E19" s="45" t="s">
        <v>317</v>
      </c>
      <c r="F19" s="102">
        <f>SUM(F7:F18)</f>
        <v>1320146</v>
      </c>
      <c r="G19" s="146">
        <f>SUM(G7:G18)</f>
        <v>1645442</v>
      </c>
    </row>
    <row r="20" spans="1:7" ht="12.95" customHeight="1">
      <c r="A20" s="124" t="s">
        <v>19</v>
      </c>
      <c r="B20" s="125" t="s">
        <v>312</v>
      </c>
      <c r="C20" s="224">
        <f>+C21+C22+C23+C24</f>
        <v>101161</v>
      </c>
      <c r="D20" s="224">
        <f>+D21+D22+D23+D24</f>
        <v>252733</v>
      </c>
      <c r="E20" s="126" t="s">
        <v>114</v>
      </c>
      <c r="F20" s="103"/>
      <c r="G20" s="312"/>
    </row>
    <row r="21" spans="1:7" ht="12.95" customHeight="1">
      <c r="A21" s="127" t="s">
        <v>20</v>
      </c>
      <c r="B21" s="126" t="s">
        <v>124</v>
      </c>
      <c r="C21" s="34">
        <v>101161</v>
      </c>
      <c r="D21" s="34">
        <v>252733</v>
      </c>
      <c r="E21" s="126" t="s">
        <v>316</v>
      </c>
      <c r="F21" s="34"/>
      <c r="G21" s="307"/>
    </row>
    <row r="22" spans="1:7" ht="12.95" customHeight="1">
      <c r="A22" s="127" t="s">
        <v>21</v>
      </c>
      <c r="B22" s="126" t="s">
        <v>125</v>
      </c>
      <c r="C22" s="34"/>
      <c r="D22" s="34"/>
      <c r="E22" s="126" t="s">
        <v>88</v>
      </c>
      <c r="F22" s="34"/>
      <c r="G22" s="307"/>
    </row>
    <row r="23" spans="1:7" ht="12.95" customHeight="1">
      <c r="A23" s="127" t="s">
        <v>22</v>
      </c>
      <c r="B23" s="126">
        <v>89436</v>
      </c>
      <c r="C23" s="34"/>
      <c r="D23" s="34"/>
      <c r="E23" s="126" t="s">
        <v>89</v>
      </c>
      <c r="F23" s="34"/>
      <c r="G23" s="307"/>
    </row>
    <row r="24" spans="1:7" ht="12.95" customHeight="1">
      <c r="A24" s="127" t="s">
        <v>23</v>
      </c>
      <c r="B24" s="126" t="s">
        <v>130</v>
      </c>
      <c r="C24" s="34"/>
      <c r="D24" s="34"/>
      <c r="E24" s="125" t="s">
        <v>132</v>
      </c>
      <c r="F24" s="34"/>
      <c r="G24" s="307"/>
    </row>
    <row r="25" spans="1:7" ht="12.95" customHeight="1">
      <c r="A25" s="127" t="s">
        <v>24</v>
      </c>
      <c r="B25" s="126" t="s">
        <v>313</v>
      </c>
      <c r="C25" s="128">
        <f>+C26+C27</f>
        <v>0</v>
      </c>
      <c r="D25" s="128">
        <f>+D26+D27</f>
        <v>0</v>
      </c>
      <c r="E25" s="126" t="s">
        <v>115</v>
      </c>
      <c r="F25" s="34"/>
      <c r="G25" s="307"/>
    </row>
    <row r="26" spans="1:7" ht="12.95" customHeight="1">
      <c r="A26" s="124" t="s">
        <v>25</v>
      </c>
      <c r="B26" s="125" t="s">
        <v>310</v>
      </c>
      <c r="C26" s="103"/>
      <c r="D26" s="103"/>
      <c r="E26" s="119" t="s">
        <v>116</v>
      </c>
      <c r="F26" s="103"/>
      <c r="G26" s="312"/>
    </row>
    <row r="27" spans="1:7" ht="12.95" customHeight="1" thickBot="1">
      <c r="A27" s="127" t="s">
        <v>26</v>
      </c>
      <c r="B27" s="126" t="s">
        <v>311</v>
      </c>
      <c r="C27" s="34"/>
      <c r="D27" s="34"/>
      <c r="E27" s="29"/>
      <c r="F27" s="34"/>
      <c r="G27" s="307"/>
    </row>
    <row r="28" spans="1:7" ht="30" customHeight="1" thickBot="1">
      <c r="A28" s="123" t="s">
        <v>27</v>
      </c>
      <c r="B28" s="45" t="s">
        <v>314</v>
      </c>
      <c r="C28" s="102">
        <f>+C20+C25</f>
        <v>101161</v>
      </c>
      <c r="D28" s="102">
        <f>+D20+D25</f>
        <v>252733</v>
      </c>
      <c r="E28" s="45" t="s">
        <v>318</v>
      </c>
      <c r="F28" s="102">
        <f>SUM(F20:F27)</f>
        <v>0</v>
      </c>
      <c r="G28" s="146">
        <f>SUM(G20:G27)</f>
        <v>0</v>
      </c>
    </row>
    <row r="29" spans="1:7" ht="13.5" thickBot="1">
      <c r="A29" s="123" t="s">
        <v>28</v>
      </c>
      <c r="B29" s="129" t="s">
        <v>315</v>
      </c>
      <c r="C29" s="130">
        <f>+C19+C28</f>
        <v>1195958</v>
      </c>
      <c r="D29" s="130">
        <f>+D19+D28</f>
        <v>1628653</v>
      </c>
      <c r="E29" s="129" t="s">
        <v>319</v>
      </c>
      <c r="F29" s="310">
        <f>+F19+F28</f>
        <v>1320146</v>
      </c>
      <c r="G29" s="130">
        <f>+G19+G28</f>
        <v>1645442</v>
      </c>
    </row>
    <row r="30" spans="1:7" ht="13.5" thickBot="1">
      <c r="A30" s="123" t="s">
        <v>29</v>
      </c>
      <c r="B30" s="129" t="s">
        <v>92</v>
      </c>
      <c r="C30" s="130">
        <f>IF(C19-F19&lt;0,F19-C19,"-")</f>
        <v>225349</v>
      </c>
      <c r="D30" s="130">
        <f>IF(D19-G19&lt;0,G19-D19,"-")</f>
        <v>269522</v>
      </c>
      <c r="E30" s="129" t="s">
        <v>93</v>
      </c>
      <c r="F30" s="310" t="str">
        <f>IF(C19-F19&gt;0,C19-F19,"-")</f>
        <v>-</v>
      </c>
      <c r="G30" s="130" t="str">
        <f>IF(D19-G19&gt;0,D19-G19,"-")</f>
        <v>-</v>
      </c>
    </row>
    <row r="31" spans="1:7" ht="13.5" thickBot="1">
      <c r="A31" s="123" t="s">
        <v>30</v>
      </c>
      <c r="B31" s="129" t="s">
        <v>133</v>
      </c>
      <c r="C31" s="130">
        <f>IF(C19+C20-F29&lt;0,F29-(C19+C20),"-")</f>
        <v>124188</v>
      </c>
      <c r="D31" s="130">
        <f>IF(D19+D20-G29&lt;0,G29-(D19+D20),"-")</f>
        <v>16789</v>
      </c>
      <c r="E31" s="129" t="s">
        <v>134</v>
      </c>
      <c r="F31" s="310" t="str">
        <f>IF(C19+C20-F29&gt;0,C19+C20-F29,"-")</f>
        <v>-</v>
      </c>
      <c r="G31" s="130" t="str">
        <f>IF(D19+D20-G29&gt;0,D19+D20-G29,"-")</f>
        <v>-</v>
      </c>
    </row>
    <row r="32" spans="1:7" ht="18.75">
      <c r="B32" s="400"/>
      <c r="C32" s="400"/>
      <c r="D32" s="400"/>
      <c r="E32" s="400"/>
    </row>
  </sheetData>
  <mergeCells count="3">
    <mergeCell ref="A4:A5"/>
    <mergeCell ref="B32:E32"/>
    <mergeCell ref="F3:G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90" orientation="landscape" verticalDpi="300" r:id="rId1"/>
  <headerFooter alignWithMargins="0">
    <oddHeader>&amp;R&amp;"Times New Roman CE,Félkövér dőlt"&amp;11 2.1 melléklet  a 7/2015. (II. 18.)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G36"/>
  <sheetViews>
    <sheetView view="pageLayout" zoomScaleNormal="100" zoomScaleSheetLayoutView="115" workbookViewId="0">
      <selection activeCell="G16" sqref="G16"/>
    </sheetView>
  </sheetViews>
  <sheetFormatPr defaultColWidth="9.33203125" defaultRowHeight="12.75"/>
  <cols>
    <col min="1" max="1" width="6.83203125" style="30" customWidth="1"/>
    <col min="2" max="2" width="49.6640625" style="51" customWidth="1"/>
    <col min="3" max="3" width="14" style="30" customWidth="1"/>
    <col min="4" max="4" width="14.5" style="30" customWidth="1"/>
    <col min="5" max="5" width="41.6640625" style="30" customWidth="1"/>
    <col min="6" max="7" width="13.5" style="30" customWidth="1"/>
    <col min="8" max="16384" width="9.33203125" style="30"/>
  </cols>
  <sheetData>
    <row r="1" spans="1:7" ht="31.5">
      <c r="B1" s="108" t="s">
        <v>91</v>
      </c>
      <c r="C1" s="109"/>
      <c r="D1" s="109"/>
      <c r="E1" s="109"/>
      <c r="F1" s="109"/>
      <c r="G1" s="109"/>
    </row>
    <row r="2" spans="1:7" ht="14.25" thickBot="1">
      <c r="F2" s="401" t="s">
        <v>47</v>
      </c>
      <c r="G2" s="401"/>
    </row>
    <row r="3" spans="1:7" ht="13.5" thickBot="1">
      <c r="A3" s="402" t="s">
        <v>50</v>
      </c>
      <c r="B3" s="110" t="s">
        <v>41</v>
      </c>
      <c r="C3" s="111"/>
      <c r="D3" s="111"/>
      <c r="E3" s="110" t="s">
        <v>42</v>
      </c>
      <c r="F3" s="112"/>
      <c r="G3" s="112"/>
    </row>
    <row r="4" spans="1:7" s="113" customFormat="1" ht="36.75" thickBot="1">
      <c r="A4" s="403"/>
      <c r="B4" s="52" t="s">
        <v>48</v>
      </c>
      <c r="C4" s="53" t="s">
        <v>402</v>
      </c>
      <c r="D4" s="53" t="s">
        <v>401</v>
      </c>
      <c r="E4" s="52" t="s">
        <v>48</v>
      </c>
      <c r="F4" s="53" t="s">
        <v>402</v>
      </c>
      <c r="G4" s="301" t="s">
        <v>401</v>
      </c>
    </row>
    <row r="5" spans="1:7" s="113" customFormat="1" ht="13.5" thickBot="1">
      <c r="A5" s="114">
        <v>1</v>
      </c>
      <c r="B5" s="115">
        <v>2</v>
      </c>
      <c r="C5" s="116">
        <v>3</v>
      </c>
      <c r="D5" s="116">
        <v>4</v>
      </c>
      <c r="E5" s="115">
        <v>5</v>
      </c>
      <c r="F5" s="116">
        <v>6</v>
      </c>
      <c r="G5" s="302">
        <v>7</v>
      </c>
    </row>
    <row r="6" spans="1:7" ht="12.95" customHeight="1">
      <c r="A6" s="118" t="s">
        <v>6</v>
      </c>
      <c r="B6" s="119" t="s">
        <v>320</v>
      </c>
      <c r="C6" s="98">
        <v>90505</v>
      </c>
      <c r="D6" s="98">
        <v>182003</v>
      </c>
      <c r="E6" s="119" t="s">
        <v>126</v>
      </c>
      <c r="F6" s="98">
        <v>138016</v>
      </c>
      <c r="G6" s="303">
        <v>133614</v>
      </c>
    </row>
    <row r="7" spans="1:7">
      <c r="A7" s="120" t="s">
        <v>7</v>
      </c>
      <c r="B7" s="121" t="s">
        <v>321</v>
      </c>
      <c r="C7" s="99">
        <v>79054</v>
      </c>
      <c r="D7" s="99">
        <v>79054</v>
      </c>
      <c r="E7" s="121" t="s">
        <v>326</v>
      </c>
      <c r="F7" s="99">
        <v>79054</v>
      </c>
      <c r="G7" s="304">
        <v>79054</v>
      </c>
    </row>
    <row r="8" spans="1:7" ht="12.95" customHeight="1">
      <c r="A8" s="120" t="s">
        <v>8</v>
      </c>
      <c r="B8" s="121" t="s">
        <v>3</v>
      </c>
      <c r="C8" s="99">
        <v>81876</v>
      </c>
      <c r="D8" s="99">
        <v>12383</v>
      </c>
      <c r="E8" s="121" t="s">
        <v>110</v>
      </c>
      <c r="F8" s="99">
        <v>16650</v>
      </c>
      <c r="G8" s="304">
        <v>163169</v>
      </c>
    </row>
    <row r="9" spans="1:7" ht="12.95" customHeight="1">
      <c r="A9" s="120" t="s">
        <v>9</v>
      </c>
      <c r="B9" s="121" t="s">
        <v>322</v>
      </c>
      <c r="C9" s="99">
        <v>28965</v>
      </c>
      <c r="D9" s="99">
        <v>28857</v>
      </c>
      <c r="E9" s="121" t="s">
        <v>327</v>
      </c>
      <c r="F9" s="99"/>
      <c r="G9" s="304"/>
    </row>
    <row r="10" spans="1:7" ht="12.75" customHeight="1">
      <c r="A10" s="120" t="s">
        <v>10</v>
      </c>
      <c r="B10" s="121" t="s">
        <v>323</v>
      </c>
      <c r="C10" s="99"/>
      <c r="D10" s="99"/>
      <c r="E10" s="121" t="s">
        <v>129</v>
      </c>
      <c r="F10" s="99">
        <v>13817</v>
      </c>
      <c r="G10" s="304">
        <v>17207</v>
      </c>
    </row>
    <row r="11" spans="1:7" ht="12.95" customHeight="1">
      <c r="A11" s="120" t="s">
        <v>11</v>
      </c>
      <c r="B11" s="121" t="s">
        <v>324</v>
      </c>
      <c r="C11" s="100"/>
      <c r="D11" s="100"/>
      <c r="E11" s="29"/>
      <c r="F11" s="99"/>
      <c r="G11" s="304"/>
    </row>
    <row r="12" spans="1:7" ht="12.95" customHeight="1">
      <c r="A12" s="120" t="s">
        <v>12</v>
      </c>
      <c r="B12" s="29">
        <v>0</v>
      </c>
      <c r="C12" s="99"/>
      <c r="D12" s="99"/>
      <c r="E12" s="29"/>
      <c r="F12" s="99"/>
      <c r="G12" s="304"/>
    </row>
    <row r="13" spans="1:7" ht="12.95" customHeight="1">
      <c r="A13" s="120" t="s">
        <v>13</v>
      </c>
      <c r="B13" s="29"/>
      <c r="C13" s="99"/>
      <c r="D13" s="99"/>
      <c r="E13" s="29"/>
      <c r="F13" s="99"/>
      <c r="G13" s="304"/>
    </row>
    <row r="14" spans="1:7" ht="12.95" customHeight="1">
      <c r="A14" s="120" t="s">
        <v>14</v>
      </c>
      <c r="B14" s="29"/>
      <c r="C14" s="100"/>
      <c r="D14" s="100"/>
      <c r="E14" s="29"/>
      <c r="F14" s="99"/>
      <c r="G14" s="304"/>
    </row>
    <row r="15" spans="1:7">
      <c r="A15" s="120" t="s">
        <v>15</v>
      </c>
      <c r="B15" s="29"/>
      <c r="C15" s="100"/>
      <c r="D15" s="100"/>
      <c r="E15" s="29"/>
      <c r="F15" s="99"/>
      <c r="G15" s="304"/>
    </row>
    <row r="16" spans="1:7" ht="12.95" customHeight="1" thickBot="1">
      <c r="A16" s="162" t="s">
        <v>16</v>
      </c>
      <c r="B16" s="193"/>
      <c r="C16" s="164"/>
      <c r="D16" s="164"/>
      <c r="E16" s="163" t="s">
        <v>37</v>
      </c>
      <c r="F16" s="308">
        <v>308695</v>
      </c>
      <c r="G16" s="305">
        <v>239848</v>
      </c>
    </row>
    <row r="17" spans="1:7" ht="15.95" customHeight="1" thickBot="1">
      <c r="A17" s="123" t="s">
        <v>17</v>
      </c>
      <c r="B17" s="45" t="s">
        <v>335</v>
      </c>
      <c r="C17" s="102">
        <f>+C6+C8+C9+C11+C12+C13+C14+C15+C16</f>
        <v>201346</v>
      </c>
      <c r="D17" s="102">
        <f>+D6+D8+D9+D11+D12+D13+D14+D15+D16</f>
        <v>223243</v>
      </c>
      <c r="E17" s="45" t="s">
        <v>408</v>
      </c>
      <c r="F17" s="102">
        <f>+F6+F8+F10+F11+F12+F13+F14+F15+F16</f>
        <v>477178</v>
      </c>
      <c r="G17" s="146">
        <f>+G6+G8+G10+G11+G12+G13+G14+G15+G16</f>
        <v>553838</v>
      </c>
    </row>
    <row r="18" spans="1:7" ht="12.95" customHeight="1">
      <c r="A18" s="118" t="s">
        <v>18</v>
      </c>
      <c r="B18" s="133" t="s">
        <v>145</v>
      </c>
      <c r="C18" s="140">
        <f>+C19+C20+C21+C22+C23</f>
        <v>400020</v>
      </c>
      <c r="D18" s="140">
        <f>+D19+D20+D21+D22+D23</f>
        <v>346792</v>
      </c>
      <c r="E18" s="126" t="s">
        <v>114</v>
      </c>
      <c r="F18" s="309"/>
      <c r="G18" s="306"/>
    </row>
    <row r="19" spans="1:7" ht="12.95" customHeight="1">
      <c r="A19" s="120" t="s">
        <v>19</v>
      </c>
      <c r="B19" s="134" t="s">
        <v>135</v>
      </c>
      <c r="C19" s="34">
        <v>400020</v>
      </c>
      <c r="D19" s="34">
        <v>346792</v>
      </c>
      <c r="E19" s="126" t="s">
        <v>117</v>
      </c>
      <c r="F19" s="34"/>
      <c r="G19" s="307"/>
    </row>
    <row r="20" spans="1:7" ht="12.95" customHeight="1">
      <c r="A20" s="118" t="s">
        <v>20</v>
      </c>
      <c r="B20" s="134" t="s">
        <v>136</v>
      </c>
      <c r="C20" s="34"/>
      <c r="D20" s="34"/>
      <c r="E20" s="126" t="s">
        <v>88</v>
      </c>
      <c r="F20" s="34"/>
      <c r="G20" s="307"/>
    </row>
    <row r="21" spans="1:7" ht="12.95" customHeight="1">
      <c r="A21" s="120" t="s">
        <v>21</v>
      </c>
      <c r="B21" s="134" t="s">
        <v>137</v>
      </c>
      <c r="C21" s="34"/>
      <c r="D21" s="34"/>
      <c r="E21" s="126" t="s">
        <v>89</v>
      </c>
      <c r="F21" s="34"/>
      <c r="G21" s="307"/>
    </row>
    <row r="22" spans="1:7" ht="12.95" customHeight="1">
      <c r="A22" s="118" t="s">
        <v>22</v>
      </c>
      <c r="B22" s="134">
        <v>89436</v>
      </c>
      <c r="C22" s="34"/>
      <c r="D22" s="34"/>
      <c r="E22" s="125" t="s">
        <v>132</v>
      </c>
      <c r="F22" s="34"/>
      <c r="G22" s="307"/>
    </row>
    <row r="23" spans="1:7" ht="12.95" customHeight="1">
      <c r="A23" s="120" t="s">
        <v>23</v>
      </c>
      <c r="B23" s="135" t="s">
        <v>138</v>
      </c>
      <c r="C23" s="34"/>
      <c r="D23" s="34"/>
      <c r="E23" s="126" t="s">
        <v>118</v>
      </c>
      <c r="F23" s="34"/>
      <c r="G23" s="307"/>
    </row>
    <row r="24" spans="1:7" ht="12.95" customHeight="1">
      <c r="A24" s="118" t="s">
        <v>24</v>
      </c>
      <c r="B24" s="136" t="s">
        <v>139</v>
      </c>
      <c r="C24" s="128">
        <f>+C25+C26+C27+C28+C29</f>
        <v>0</v>
      </c>
      <c r="D24" s="128">
        <f>+D25+D26+D27+D28+D29</f>
        <v>0</v>
      </c>
      <c r="E24" s="137" t="s">
        <v>116</v>
      </c>
      <c r="F24" s="34"/>
      <c r="G24" s="307"/>
    </row>
    <row r="25" spans="1:7" ht="12.95" customHeight="1">
      <c r="A25" s="120" t="s">
        <v>25</v>
      </c>
      <c r="B25" s="135" t="s">
        <v>140</v>
      </c>
      <c r="C25" s="34"/>
      <c r="D25" s="34"/>
      <c r="E25" s="137" t="s">
        <v>328</v>
      </c>
      <c r="F25" s="34"/>
      <c r="G25" s="307"/>
    </row>
    <row r="26" spans="1:7" ht="12.95" customHeight="1">
      <c r="A26" s="118" t="s">
        <v>26</v>
      </c>
      <c r="B26" s="135" t="s">
        <v>141</v>
      </c>
      <c r="C26" s="34"/>
      <c r="D26" s="34"/>
      <c r="E26" s="132"/>
      <c r="F26" s="34"/>
      <c r="G26" s="307"/>
    </row>
    <row r="27" spans="1:7" ht="12.95" customHeight="1">
      <c r="A27" s="120" t="s">
        <v>27</v>
      </c>
      <c r="B27" s="134" t="s">
        <v>142</v>
      </c>
      <c r="C27" s="34"/>
      <c r="D27" s="34"/>
      <c r="E27" s="43"/>
      <c r="F27" s="34"/>
      <c r="G27" s="307"/>
    </row>
    <row r="28" spans="1:7" ht="12.95" customHeight="1">
      <c r="A28" s="118" t="s">
        <v>28</v>
      </c>
      <c r="B28" s="138" t="s">
        <v>143</v>
      </c>
      <c r="C28" s="34"/>
      <c r="D28" s="34"/>
      <c r="E28" s="29"/>
      <c r="F28" s="34"/>
      <c r="G28" s="307"/>
    </row>
    <row r="29" spans="1:7" ht="12.95" customHeight="1" thickBot="1">
      <c r="A29" s="120" t="s">
        <v>29</v>
      </c>
      <c r="B29" s="139" t="s">
        <v>144</v>
      </c>
      <c r="C29" s="34"/>
      <c r="D29" s="34"/>
      <c r="E29" s="43"/>
      <c r="F29" s="34"/>
      <c r="G29" s="307"/>
    </row>
    <row r="30" spans="1:7" ht="21.75" customHeight="1" thickBot="1">
      <c r="A30" s="123" t="s">
        <v>30</v>
      </c>
      <c r="B30" s="45" t="s">
        <v>325</v>
      </c>
      <c r="C30" s="102">
        <f>+C18+C24</f>
        <v>400020</v>
      </c>
      <c r="D30" s="102">
        <f>+D18+D24</f>
        <v>346792</v>
      </c>
      <c r="E30" s="45" t="s">
        <v>409</v>
      </c>
      <c r="F30" s="102">
        <f>SUM(F18:F29)</f>
        <v>0</v>
      </c>
      <c r="G30" s="146">
        <f>SUM(G18:G29)</f>
        <v>0</v>
      </c>
    </row>
    <row r="31" spans="1:7" ht="13.5" thickBot="1">
      <c r="A31" s="123" t="s">
        <v>31</v>
      </c>
      <c r="B31" s="129" t="s">
        <v>329</v>
      </c>
      <c r="C31" s="130">
        <f>+C17+C30</f>
        <v>601366</v>
      </c>
      <c r="D31" s="130">
        <f>+D17+D30</f>
        <v>570035</v>
      </c>
      <c r="E31" s="129" t="s">
        <v>330</v>
      </c>
      <c r="F31" s="310">
        <f>+F17+F30</f>
        <v>477178</v>
      </c>
      <c r="G31" s="130">
        <f>+G17+G30</f>
        <v>553838</v>
      </c>
    </row>
    <row r="32" spans="1:7" ht="13.5" thickBot="1">
      <c r="A32" s="123" t="s">
        <v>32</v>
      </c>
      <c r="B32" s="129" t="s">
        <v>92</v>
      </c>
      <c r="C32" s="130">
        <f>IF(C17-F17&lt;0,F17-C17,"-")</f>
        <v>275832</v>
      </c>
      <c r="D32" s="130">
        <f>IF(D17-G17&lt;0,G17-D17,"-")</f>
        <v>330595</v>
      </c>
      <c r="E32" s="129" t="s">
        <v>93</v>
      </c>
      <c r="F32" s="310" t="str">
        <f>IF(C17-F17&gt;0,C17-F17,"-")</f>
        <v>-</v>
      </c>
      <c r="G32" s="130" t="str">
        <f>IF(D17-G17&gt;0,D17-G17,"-")</f>
        <v>-</v>
      </c>
    </row>
    <row r="33" spans="1:7" ht="13.5" thickBot="1">
      <c r="A33" s="123" t="s">
        <v>33</v>
      </c>
      <c r="B33" s="129" t="s">
        <v>133</v>
      </c>
      <c r="C33" s="130" t="str">
        <f>IF(C17+C18-F31&lt;0,F31-(C17+C18),"-")</f>
        <v>-</v>
      </c>
      <c r="D33" s="130" t="str">
        <f>IF(D17+D18-G31&lt;0,G31-(D17+D18),"-")</f>
        <v>-</v>
      </c>
      <c r="E33" s="129" t="s">
        <v>134</v>
      </c>
      <c r="F33" s="310">
        <f>IF(C17+C18-F31&gt;0,C17+C18-F31,"-")</f>
        <v>124188</v>
      </c>
      <c r="G33" s="130">
        <f>IF(D17+D18-G31&gt;0,D17+D18-G31,"-")</f>
        <v>16197</v>
      </c>
    </row>
    <row r="36" spans="1:7">
      <c r="E36" s="30" t="s">
        <v>445</v>
      </c>
    </row>
  </sheetData>
  <mergeCells count="2">
    <mergeCell ref="A3:A4"/>
    <mergeCell ref="F2:G2"/>
  </mergeCells>
  <phoneticPr fontId="0" type="noConversion"/>
  <printOptions horizontalCentered="1"/>
  <pageMargins left="0.78740157480314965" right="0.78740157480314965" top="0.63" bottom="0.78740157480314965" header="0.47244094488188981" footer="0.78740157480314965"/>
  <pageSetup paperSize="9" scale="92" orientation="landscape" verticalDpi="300" r:id="rId1"/>
  <headerFooter alignWithMargins="0">
    <oddHeader>&amp;R2.2. melléklet a 7/2015. (II. 18.)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N149"/>
  <sheetViews>
    <sheetView zoomScaleNormal="100" zoomScaleSheetLayoutView="100" workbookViewId="0">
      <selection activeCell="G106" sqref="G106"/>
    </sheetView>
  </sheetViews>
  <sheetFormatPr defaultColWidth="9.33203125" defaultRowHeight="12.75"/>
  <cols>
    <col min="1" max="1" width="14.33203125" style="298" customWidth="1"/>
    <col min="2" max="2" width="67.83203125" style="299" customWidth="1"/>
    <col min="3" max="6" width="11.83203125" style="300" customWidth="1"/>
    <col min="7" max="16384" width="9.33203125" style="2"/>
  </cols>
  <sheetData>
    <row r="1" spans="1:6" s="1" customFormat="1" ht="16.5" customHeight="1" thickBot="1">
      <c r="A1" s="58"/>
      <c r="B1" s="60"/>
      <c r="C1" s="78"/>
      <c r="D1" s="78"/>
      <c r="E1" s="78"/>
      <c r="F1" s="78" t="s">
        <v>426</v>
      </c>
    </row>
    <row r="2" spans="1:6" s="37" customFormat="1" ht="25.5" customHeight="1">
      <c r="A2" s="166" t="s">
        <v>406</v>
      </c>
      <c r="B2" s="291" t="s">
        <v>123</v>
      </c>
      <c r="C2" s="407" t="s">
        <v>38</v>
      </c>
      <c r="D2" s="408"/>
      <c r="E2" s="408"/>
      <c r="F2" s="409"/>
    </row>
    <row r="3" spans="1:6" s="37" customFormat="1" ht="25.5" customHeight="1" thickBot="1">
      <c r="A3" s="207" t="s">
        <v>119</v>
      </c>
      <c r="B3" s="141" t="s">
        <v>336</v>
      </c>
      <c r="C3" s="410">
        <v>1</v>
      </c>
      <c r="D3" s="411"/>
      <c r="E3" s="411"/>
      <c r="F3" s="412"/>
    </row>
    <row r="4" spans="1:6" s="38" customFormat="1" ht="15.95" customHeight="1" thickBot="1">
      <c r="A4" s="61"/>
      <c r="B4" s="61"/>
      <c r="C4" s="413" t="s">
        <v>39</v>
      </c>
      <c r="D4" s="413"/>
      <c r="E4" s="413"/>
      <c r="F4" s="413"/>
    </row>
    <row r="5" spans="1:6" ht="36.75" customHeight="1" thickBot="1">
      <c r="A5" s="167" t="s">
        <v>120</v>
      </c>
      <c r="B5" s="62" t="s">
        <v>40</v>
      </c>
      <c r="C5" s="63" t="s">
        <v>402</v>
      </c>
      <c r="D5" s="63" t="s">
        <v>401</v>
      </c>
      <c r="E5" s="63" t="s">
        <v>405</v>
      </c>
      <c r="F5" s="63" t="s">
        <v>401</v>
      </c>
    </row>
    <row r="6" spans="1:6" s="32" customFormat="1" ht="12.95" customHeight="1" thickBot="1">
      <c r="A6" s="54">
        <v>1</v>
      </c>
      <c r="B6" s="55">
        <v>2</v>
      </c>
      <c r="C6" s="56">
        <v>3</v>
      </c>
      <c r="D6" s="56"/>
      <c r="E6" s="56"/>
      <c r="F6" s="56">
        <v>4</v>
      </c>
    </row>
    <row r="7" spans="1:6" s="32" customFormat="1" ht="15.95" customHeight="1" thickBot="1">
      <c r="A7" s="404" t="s">
        <v>41</v>
      </c>
      <c r="B7" s="405"/>
      <c r="C7" s="405"/>
      <c r="D7" s="405"/>
      <c r="E7" s="405"/>
      <c r="F7" s="406"/>
    </row>
    <row r="8" spans="1:6" s="32" customFormat="1" ht="12" customHeight="1" thickBot="1">
      <c r="A8" s="25" t="s">
        <v>6</v>
      </c>
      <c r="B8" s="19" t="s">
        <v>146</v>
      </c>
      <c r="C8" s="87">
        <f>+C9+C10+C11+C12+C13+C14</f>
        <v>454969</v>
      </c>
      <c r="D8" s="87">
        <f>+D9+D10+D11+D12+D13+D14</f>
        <v>507173</v>
      </c>
      <c r="E8" s="87">
        <f>SUM(E9:E14)</f>
        <v>14185</v>
      </c>
      <c r="F8" s="87">
        <f>+F9+F10+F11+F12+F13+F14</f>
        <v>521358</v>
      </c>
    </row>
    <row r="9" spans="1:6" s="39" customFormat="1" ht="12" customHeight="1">
      <c r="A9" s="194" t="s">
        <v>62</v>
      </c>
      <c r="B9" s="176" t="s">
        <v>147</v>
      </c>
      <c r="C9" s="90">
        <f>'3.1.1. sz. mell Önk.kötelező '!C9+'3.1.2. sz. mell Önk.önként.  '!C9+'3.1.3. sz. mell Önk.áll.ig.'!C9</f>
        <v>125345</v>
      </c>
      <c r="D9" s="90">
        <v>125345</v>
      </c>
      <c r="E9" s="90">
        <f>F9-D9</f>
        <v>956</v>
      </c>
      <c r="F9" s="90">
        <v>126301</v>
      </c>
    </row>
    <row r="10" spans="1:6" s="40" customFormat="1" ht="12" customHeight="1">
      <c r="A10" s="195" t="s">
        <v>63</v>
      </c>
      <c r="B10" s="177" t="s">
        <v>148</v>
      </c>
      <c r="C10" s="90">
        <f>'3.1.1. sz. mell Önk.kötelező '!C10+'3.1.2. sz. mell Önk.önként.  '!C10+'3.1.3. sz. mell Önk.áll.ig.'!C10</f>
        <v>106440</v>
      </c>
      <c r="D10" s="90">
        <f>'3.1.1. sz. mell Önk.kötelező '!D10+'3.1.2. sz. mell Önk.önként.  '!D10+'3.1.3. sz. mell Önk.áll.ig.'!D10</f>
        <v>106763</v>
      </c>
      <c r="E10" s="90">
        <f t="shared" ref="E10:E72" si="0">F10-D10</f>
        <v>2446</v>
      </c>
      <c r="F10" s="90">
        <v>109209</v>
      </c>
    </row>
    <row r="11" spans="1:6" s="40" customFormat="1" ht="12" customHeight="1">
      <c r="A11" s="195" t="s">
        <v>64</v>
      </c>
      <c r="B11" s="177" t="s">
        <v>149</v>
      </c>
      <c r="C11" s="90">
        <f>'3.1.1. sz. mell Önk.kötelező '!C11+'3.1.2. sz. mell Önk.önként.  '!C11+'3.1.3. sz. mell Önk.áll.ig.'!C11</f>
        <v>152266</v>
      </c>
      <c r="D11" s="90">
        <f>'3.1.1. sz. mell Önk.kötelező '!D11+'3.1.2. sz. mell Önk.önként.  '!D11+'3.1.3. sz. mell Önk.áll.ig.'!D11</f>
        <v>152566</v>
      </c>
      <c r="E11" s="90">
        <f t="shared" si="0"/>
        <v>19657</v>
      </c>
      <c r="F11" s="90">
        <v>172223</v>
      </c>
    </row>
    <row r="12" spans="1:6" s="40" customFormat="1" ht="12" customHeight="1">
      <c r="A12" s="195" t="s">
        <v>65</v>
      </c>
      <c r="B12" s="177" t="s">
        <v>150</v>
      </c>
      <c r="C12" s="90">
        <f>'3.1.1. sz. mell Önk.kötelező '!C12+'3.1.2. sz. mell Önk.önként.  '!C12+'3.1.3. sz. mell Önk.áll.ig.'!C12</f>
        <v>18738</v>
      </c>
      <c r="D12" s="90">
        <f>'3.1.1. sz. mell Önk.kötelező '!D12+'3.1.2. sz. mell Önk.önként.  '!D12+'3.1.3. sz. mell Önk.áll.ig.'!D12</f>
        <v>19738</v>
      </c>
      <c r="E12" s="90">
        <f t="shared" si="0"/>
        <v>-543</v>
      </c>
      <c r="F12" s="90">
        <v>19195</v>
      </c>
    </row>
    <row r="13" spans="1:6" s="40" customFormat="1" ht="12" customHeight="1">
      <c r="A13" s="195" t="s">
        <v>82</v>
      </c>
      <c r="B13" s="177" t="s">
        <v>151</v>
      </c>
      <c r="C13" s="90">
        <f>'3.1.1. sz. mell Önk.kötelező '!C13+'3.1.2. sz. mell Önk.önként.  '!C13+'3.1.3. sz. mell Önk.áll.ig.'!C13</f>
        <v>2180</v>
      </c>
      <c r="D13" s="90">
        <f>'3.1.1. sz. mell Önk.kötelező '!D13+'3.1.2. sz. mell Önk.önként.  '!D13+'3.1.3. sz. mell Önk.áll.ig.'!D13</f>
        <v>26300</v>
      </c>
      <c r="E13" s="90">
        <f t="shared" si="0"/>
        <v>68130</v>
      </c>
      <c r="F13" s="90">
        <v>94430</v>
      </c>
    </row>
    <row r="14" spans="1:6" s="39" customFormat="1" ht="12" customHeight="1" thickBot="1">
      <c r="A14" s="196" t="s">
        <v>66</v>
      </c>
      <c r="B14" s="178" t="s">
        <v>152</v>
      </c>
      <c r="C14" s="90">
        <f>'3.1.1. sz. mell Önk.kötelező '!C14+'3.1.2. sz. mell Önk.önként.  '!C14+'3.1.3. sz. mell Önk.áll.ig.'!C14</f>
        <v>50000</v>
      </c>
      <c r="D14" s="90">
        <f>'3.1.1. sz. mell Önk.kötelező '!D14+'3.1.2. sz. mell Önk.önként.  '!D14+'3.1.3. sz. mell Önk.áll.ig.'!D14</f>
        <v>76461</v>
      </c>
      <c r="E14" s="90">
        <f t="shared" si="0"/>
        <v>-76461</v>
      </c>
      <c r="F14" s="90">
        <v>0</v>
      </c>
    </row>
    <row r="15" spans="1:6" s="39" customFormat="1" ht="12" customHeight="1" thickBot="1">
      <c r="A15" s="25" t="s">
        <v>7</v>
      </c>
      <c r="B15" s="82" t="s">
        <v>153</v>
      </c>
      <c r="C15" s="87">
        <f>+C16+C17+C18+C19+C20</f>
        <v>65478</v>
      </c>
      <c r="D15" s="87">
        <f>+D16+D17+D18+D19+D20</f>
        <v>69070</v>
      </c>
      <c r="E15" s="87">
        <f>+E16+E17+E18+E19+E20</f>
        <v>-2259</v>
      </c>
      <c r="F15" s="87">
        <f>+F16+F17+F18+F19+F20</f>
        <v>66811</v>
      </c>
    </row>
    <row r="16" spans="1:6" s="39" customFormat="1" ht="12" customHeight="1">
      <c r="A16" s="194" t="s">
        <v>68</v>
      </c>
      <c r="B16" s="176" t="s">
        <v>154</v>
      </c>
      <c r="C16" s="90"/>
      <c r="D16" s="90">
        <v>888</v>
      </c>
      <c r="E16" s="90">
        <f t="shared" si="0"/>
        <v>0</v>
      </c>
      <c r="F16" s="90">
        <v>888</v>
      </c>
    </row>
    <row r="17" spans="1:6" s="39" customFormat="1" ht="12" customHeight="1">
      <c r="A17" s="195" t="s">
        <v>69</v>
      </c>
      <c r="B17" s="177" t="s">
        <v>155</v>
      </c>
      <c r="C17" s="90"/>
      <c r="D17" s="90"/>
      <c r="E17" s="90">
        <f t="shared" si="0"/>
        <v>0</v>
      </c>
      <c r="F17" s="90"/>
    </row>
    <row r="18" spans="1:6" s="39" customFormat="1" ht="12" customHeight="1">
      <c r="A18" s="195" t="s">
        <v>70</v>
      </c>
      <c r="B18" s="177" t="s">
        <v>358</v>
      </c>
      <c r="C18" s="90"/>
      <c r="D18" s="90"/>
      <c r="E18" s="90">
        <f t="shared" si="0"/>
        <v>0</v>
      </c>
      <c r="F18" s="90"/>
    </row>
    <row r="19" spans="1:6" s="39" customFormat="1" ht="12" customHeight="1">
      <c r="A19" s="195" t="s">
        <v>71</v>
      </c>
      <c r="B19" s="177" t="s">
        <v>359</v>
      </c>
      <c r="C19" s="90"/>
      <c r="D19" s="90"/>
      <c r="E19" s="90">
        <f t="shared" si="0"/>
        <v>0</v>
      </c>
      <c r="F19" s="90"/>
    </row>
    <row r="20" spans="1:6" s="39" customFormat="1" ht="12" customHeight="1">
      <c r="A20" s="195" t="s">
        <v>72</v>
      </c>
      <c r="B20" s="177" t="s">
        <v>156</v>
      </c>
      <c r="C20" s="90">
        <v>65478</v>
      </c>
      <c r="D20" s="90">
        <v>68182</v>
      </c>
      <c r="E20" s="90">
        <f t="shared" si="0"/>
        <v>-2259</v>
      </c>
      <c r="F20" s="90">
        <v>65923</v>
      </c>
    </row>
    <row r="21" spans="1:6" s="40" customFormat="1" ht="12" customHeight="1" thickBot="1">
      <c r="A21" s="196" t="s">
        <v>78</v>
      </c>
      <c r="B21" s="178" t="s">
        <v>157</v>
      </c>
      <c r="C21" s="90"/>
      <c r="D21" s="90"/>
      <c r="E21" s="90">
        <f t="shared" si="0"/>
        <v>0</v>
      </c>
      <c r="F21" s="90"/>
    </row>
    <row r="22" spans="1:6" s="40" customFormat="1" ht="12" customHeight="1" thickBot="1">
      <c r="A22" s="25" t="s">
        <v>8</v>
      </c>
      <c r="B22" s="19" t="s">
        <v>158</v>
      </c>
      <c r="C22" s="87">
        <f>+C23+C24+C25+C26+C27</f>
        <v>90505</v>
      </c>
      <c r="D22" s="87">
        <f>+D23+D24+D25+D26+D27</f>
        <v>105505</v>
      </c>
      <c r="E22" s="87">
        <f>+E23+E24+E25+E26+E27</f>
        <v>76198</v>
      </c>
      <c r="F22" s="87">
        <f>+F23+F24+F25+F26+F27</f>
        <v>181703</v>
      </c>
    </row>
    <row r="23" spans="1:6" s="40" customFormat="1" ht="12" customHeight="1">
      <c r="A23" s="194" t="s">
        <v>51</v>
      </c>
      <c r="B23" s="176" t="s">
        <v>159</v>
      </c>
      <c r="C23" s="90">
        <f>'3.1.1. sz. mell Önk.kötelező '!C23+'3.1.2. sz. mell Önk.önként.  '!C23+'3.1.3. sz. mell Önk.áll.ig.'!C23</f>
        <v>0</v>
      </c>
      <c r="D23" s="90">
        <f>'3.1.1. sz. mell Önk.kötelező '!D23+'3.1.2. sz. mell Önk.önként.  '!D23+'3.1.3. sz. mell Önk.áll.ig.'!D23</f>
        <v>15000</v>
      </c>
      <c r="E23" s="90">
        <f t="shared" si="0"/>
        <v>16447</v>
      </c>
      <c r="F23" s="90">
        <v>31447</v>
      </c>
    </row>
    <row r="24" spans="1:6" s="39" customFormat="1" ht="12" customHeight="1">
      <c r="A24" s="195" t="s">
        <v>52</v>
      </c>
      <c r="B24" s="177" t="s">
        <v>160</v>
      </c>
      <c r="C24" s="90">
        <f>'3.1.1. sz. mell Önk.kötelező '!C24+'3.1.2. sz. mell Önk.önként.  '!C24+'3.1.3. sz. mell Önk.áll.ig.'!C24</f>
        <v>0</v>
      </c>
      <c r="D24" s="90">
        <f>'3.1.1. sz. mell Önk.kötelező '!D24+'3.1.2. sz. mell Önk.önként.  '!D24+'3.1.3. sz. mell Önk.áll.ig.'!D24</f>
        <v>0</v>
      </c>
      <c r="E24" s="90">
        <f t="shared" si="0"/>
        <v>0</v>
      </c>
      <c r="F24" s="90"/>
    </row>
    <row r="25" spans="1:6" s="40" customFormat="1" ht="12" customHeight="1">
      <c r="A25" s="195" t="s">
        <v>53</v>
      </c>
      <c r="B25" s="177" t="s">
        <v>360</v>
      </c>
      <c r="C25" s="90">
        <f>'3.1.1. sz. mell Önk.kötelező '!C25+'3.1.2. sz. mell Önk.önként.  '!C25+'3.1.3. sz. mell Önk.áll.ig.'!C25</f>
        <v>0</v>
      </c>
      <c r="D25" s="90">
        <f>'3.1.1. sz. mell Önk.kötelező '!D25+'3.1.2. sz. mell Önk.önként.  '!D25+'3.1.3. sz. mell Önk.áll.ig.'!D25</f>
        <v>0</v>
      </c>
      <c r="E25" s="90">
        <f t="shared" si="0"/>
        <v>0</v>
      </c>
      <c r="F25" s="90"/>
    </row>
    <row r="26" spans="1:6" s="40" customFormat="1" ht="12" customHeight="1">
      <c r="A26" s="195" t="s">
        <v>54</v>
      </c>
      <c r="B26" s="177" t="s">
        <v>361</v>
      </c>
      <c r="C26" s="90">
        <f>'3.1.1. sz. mell Önk.kötelező '!C26+'3.1.2. sz. mell Önk.önként.  '!C26+'3.1.3. sz. mell Önk.áll.ig.'!C26</f>
        <v>0</v>
      </c>
      <c r="D26" s="90">
        <f>'3.1.1. sz. mell Önk.kötelező '!D26+'3.1.2. sz. mell Önk.önként.  '!D26+'3.1.3. sz. mell Önk.áll.ig.'!D26</f>
        <v>0</v>
      </c>
      <c r="E26" s="90">
        <f t="shared" si="0"/>
        <v>0</v>
      </c>
      <c r="F26" s="90"/>
    </row>
    <row r="27" spans="1:6" s="40" customFormat="1" ht="12" customHeight="1">
      <c r="A27" s="195" t="s">
        <v>94</v>
      </c>
      <c r="B27" s="177" t="s">
        <v>161</v>
      </c>
      <c r="C27" s="90">
        <f>'3.1.1. sz. mell Önk.kötelező '!C27+'3.1.2. sz. mell Önk.önként.  '!C27+'3.1.3. sz. mell Önk.áll.ig.'!C27</f>
        <v>90505</v>
      </c>
      <c r="D27" s="90">
        <f>'3.1.1. sz. mell Önk.kötelező '!D27+'3.1.2. sz. mell Önk.önként.  '!D27+'3.1.3. sz. mell Önk.áll.ig.'!D27</f>
        <v>90505</v>
      </c>
      <c r="E27" s="90">
        <f t="shared" si="0"/>
        <v>59751</v>
      </c>
      <c r="F27" s="90">
        <v>150256</v>
      </c>
    </row>
    <row r="28" spans="1:6" s="40" customFormat="1" ht="12" customHeight="1" thickBot="1">
      <c r="A28" s="196" t="s">
        <v>95</v>
      </c>
      <c r="B28" s="178" t="s">
        <v>162</v>
      </c>
      <c r="C28" s="90">
        <f>'3.1.1. sz. mell Önk.kötelező '!C28+'3.1.2. sz. mell Önk.önként.  '!C28+'3.1.3. sz. mell Önk.áll.ig.'!C28</f>
        <v>79054</v>
      </c>
      <c r="D28" s="90">
        <f>'3.1.1. sz. mell Önk.kötelező '!D28+'3.1.2. sz. mell Önk.önként.  '!D28+'3.1.3. sz. mell Önk.áll.ig.'!D28</f>
        <v>79054</v>
      </c>
      <c r="E28" s="90">
        <f t="shared" si="0"/>
        <v>-79054</v>
      </c>
      <c r="F28" s="90"/>
    </row>
    <row r="29" spans="1:6" s="40" customFormat="1" ht="12" customHeight="1" thickBot="1">
      <c r="A29" s="25" t="s">
        <v>96</v>
      </c>
      <c r="B29" s="19" t="s">
        <v>163</v>
      </c>
      <c r="C29" s="93">
        <f>+C30+C33+C34+C35</f>
        <v>413920</v>
      </c>
      <c r="D29" s="93">
        <f>+D30+D33+D34+D35</f>
        <v>413920</v>
      </c>
      <c r="E29" s="93">
        <f>+E30+E33+E34+E35</f>
        <v>180491</v>
      </c>
      <c r="F29" s="93">
        <f>+F30+F33+F34+F35</f>
        <v>594411</v>
      </c>
    </row>
    <row r="30" spans="1:6" s="40" customFormat="1" ht="12" customHeight="1">
      <c r="A30" s="194" t="s">
        <v>164</v>
      </c>
      <c r="B30" s="176" t="s">
        <v>170</v>
      </c>
      <c r="C30" s="90">
        <f>'3.1.1. sz. mell Önk.kötelező '!C30+'3.1.2. sz. mell Önk.önként.  '!C30+'3.1.3. sz. mell Önk.áll.ig.'!C30</f>
        <v>380800</v>
      </c>
      <c r="D30" s="90">
        <f>'3.1.1. sz. mell Önk.kötelező '!D30+'3.1.2. sz. mell Önk.önként.  '!D30+'3.1.3. sz. mell Önk.áll.ig.'!D30</f>
        <v>380800</v>
      </c>
      <c r="E30" s="90">
        <f t="shared" si="0"/>
        <v>177601</v>
      </c>
      <c r="F30" s="90">
        <f>F31+F32</f>
        <v>558401</v>
      </c>
    </row>
    <row r="31" spans="1:6" s="40" customFormat="1" ht="12" customHeight="1">
      <c r="A31" s="195" t="s">
        <v>165</v>
      </c>
      <c r="B31" s="177" t="s">
        <v>171</v>
      </c>
      <c r="C31" s="90">
        <f>'3.1.1. sz. mell Önk.kötelező '!C31+'3.1.2. sz. mell Önk.önként.  '!C31+'3.1.3. sz. mell Önk.áll.ig.'!C31</f>
        <v>40000</v>
      </c>
      <c r="D31" s="90">
        <f>'3.1.1. sz. mell Önk.kötelező '!D31+'3.1.2. sz. mell Önk.önként.  '!D31+'3.1.3. sz. mell Önk.áll.ig.'!D31</f>
        <v>40000</v>
      </c>
      <c r="E31" s="90">
        <f t="shared" si="0"/>
        <v>3523</v>
      </c>
      <c r="F31" s="90">
        <v>43523</v>
      </c>
    </row>
    <row r="32" spans="1:6" s="40" customFormat="1" ht="12" customHeight="1">
      <c r="A32" s="195" t="s">
        <v>166</v>
      </c>
      <c r="B32" s="177" t="s">
        <v>172</v>
      </c>
      <c r="C32" s="90">
        <f>'3.1.1. sz. mell Önk.kötelező '!C32+'3.1.2. sz. mell Önk.önként.  '!C32+'3.1.3. sz. mell Önk.áll.ig.'!C32</f>
        <v>340800</v>
      </c>
      <c r="D32" s="90">
        <f>'3.1.1. sz. mell Önk.kötelező '!D32+'3.1.2. sz. mell Önk.önként.  '!D32+'3.1.3. sz. mell Önk.áll.ig.'!D32</f>
        <v>340800</v>
      </c>
      <c r="E32" s="90">
        <f t="shared" si="0"/>
        <v>174078</v>
      </c>
      <c r="F32" s="90">
        <v>514878</v>
      </c>
    </row>
    <row r="33" spans="1:6" s="40" customFormat="1" ht="12" customHeight="1">
      <c r="A33" s="195" t="s">
        <v>167</v>
      </c>
      <c r="B33" s="177" t="s">
        <v>173</v>
      </c>
      <c r="C33" s="90">
        <f>'3.1.1. sz. mell Önk.kötelező '!C33+'3.1.2. sz. mell Önk.önként.  '!C33+'3.1.3. sz. mell Önk.áll.ig.'!C33</f>
        <v>31000</v>
      </c>
      <c r="D33" s="90">
        <f>'3.1.1. sz. mell Önk.kötelező '!D33+'3.1.2. sz. mell Önk.önként.  '!D33+'3.1.3. sz. mell Önk.áll.ig.'!D33</f>
        <v>31000</v>
      </c>
      <c r="E33" s="90">
        <f t="shared" si="0"/>
        <v>1360</v>
      </c>
      <c r="F33" s="90">
        <v>32360</v>
      </c>
    </row>
    <row r="34" spans="1:6" s="40" customFormat="1" ht="12" customHeight="1">
      <c r="A34" s="195" t="s">
        <v>168</v>
      </c>
      <c r="B34" s="177" t="s">
        <v>174</v>
      </c>
      <c r="C34" s="90">
        <f>'3.1.1. sz. mell Önk.kötelező '!C34+'3.1.2. sz. mell Önk.önként.  '!C34+'3.1.3. sz. mell Önk.áll.ig.'!C34</f>
        <v>0</v>
      </c>
      <c r="D34" s="90">
        <f>'3.1.1. sz. mell Önk.kötelező '!D34+'3.1.2. sz. mell Önk.önként.  '!D34+'3.1.3. sz. mell Önk.áll.ig.'!D34</f>
        <v>0</v>
      </c>
      <c r="E34" s="90">
        <f t="shared" si="0"/>
        <v>800</v>
      </c>
      <c r="F34" s="90">
        <v>800</v>
      </c>
    </row>
    <row r="35" spans="1:6" s="40" customFormat="1" ht="12" customHeight="1" thickBot="1">
      <c r="A35" s="196" t="s">
        <v>169</v>
      </c>
      <c r="B35" s="178" t="s">
        <v>175</v>
      </c>
      <c r="C35" s="90">
        <f>'3.1.1. sz. mell Önk.kötelező '!C35+'3.1.2. sz. mell Önk.önként.  '!C35+'3.1.3. sz. mell Önk.áll.ig.'!C35</f>
        <v>2120</v>
      </c>
      <c r="D35" s="90">
        <f>'3.1.1. sz. mell Önk.kötelező '!D35+'3.1.2. sz. mell Önk.önként.  '!D35+'3.1.3. sz. mell Önk.áll.ig.'!D35</f>
        <v>2120</v>
      </c>
      <c r="E35" s="90">
        <f t="shared" si="0"/>
        <v>730</v>
      </c>
      <c r="F35" s="90">
        <v>2850</v>
      </c>
    </row>
    <row r="36" spans="1:6" s="40" customFormat="1" ht="12" customHeight="1" thickBot="1">
      <c r="A36" s="25" t="s">
        <v>10</v>
      </c>
      <c r="B36" s="19" t="s">
        <v>176</v>
      </c>
      <c r="C36" s="87">
        <f>SUM(C37:C46)</f>
        <v>84504</v>
      </c>
      <c r="D36" s="87">
        <f>SUM(D37:D46)</f>
        <v>86827</v>
      </c>
      <c r="E36" s="87">
        <f>SUM(E37:E46)</f>
        <v>19375</v>
      </c>
      <c r="F36" s="87">
        <f>SUM(F37:F46)</f>
        <v>106202</v>
      </c>
    </row>
    <row r="37" spans="1:6" s="40" customFormat="1" ht="12" customHeight="1">
      <c r="A37" s="194" t="s">
        <v>55</v>
      </c>
      <c r="B37" s="176" t="s">
        <v>179</v>
      </c>
      <c r="C37" s="90">
        <f>'3.1.1. sz. mell Önk.kötelező '!C37+'3.1.2. sz. mell Önk.önként.  '!C37+'3.1.3. sz. mell Önk.áll.ig.'!C37</f>
        <v>200</v>
      </c>
      <c r="D37" s="90">
        <f>'3.1.1. sz. mell Önk.kötelező '!D37+'3.1.2. sz. mell Önk.önként.  '!D37+'3.1.3. sz. mell Önk.áll.ig.'!D37</f>
        <v>200</v>
      </c>
      <c r="E37" s="90">
        <f t="shared" si="0"/>
        <v>0</v>
      </c>
      <c r="F37" s="90">
        <v>200</v>
      </c>
    </row>
    <row r="38" spans="1:6" s="40" customFormat="1" ht="12" customHeight="1">
      <c r="A38" s="195" t="s">
        <v>56</v>
      </c>
      <c r="B38" s="177" t="s">
        <v>180</v>
      </c>
      <c r="C38" s="90">
        <f>'3.1.1. sz. mell Önk.kötelező '!C38+'3.1.2. sz. mell Önk.önként.  '!C38+'3.1.3. sz. mell Önk.áll.ig.'!C38</f>
        <v>50412</v>
      </c>
      <c r="D38" s="90">
        <f>'3.1.1. sz. mell Önk.kötelező '!D38+'3.1.2. sz. mell Önk.önként.  '!D38+'3.1.3. sz. mell Önk.áll.ig.'!D38</f>
        <v>50412</v>
      </c>
      <c r="E38" s="90">
        <f t="shared" si="0"/>
        <v>1977</v>
      </c>
      <c r="F38" s="90">
        <v>52389</v>
      </c>
    </row>
    <row r="39" spans="1:6" s="40" customFormat="1" ht="12" customHeight="1">
      <c r="A39" s="195" t="s">
        <v>57</v>
      </c>
      <c r="B39" s="177" t="s">
        <v>181</v>
      </c>
      <c r="C39" s="90">
        <f>'3.1.1. sz. mell Önk.kötelező '!C39+'3.1.2. sz. mell Önk.önként.  '!C39+'3.1.3. sz. mell Önk.áll.ig.'!C39</f>
        <v>4937</v>
      </c>
      <c r="D39" s="90">
        <f>'3.1.1. sz. mell Önk.kötelező '!D39+'3.1.2. sz. mell Önk.önként.  '!D39+'3.1.3. sz. mell Önk.áll.ig.'!D39</f>
        <v>4937</v>
      </c>
      <c r="E39" s="90">
        <f t="shared" si="0"/>
        <v>0</v>
      </c>
      <c r="F39" s="90">
        <v>4937</v>
      </c>
    </row>
    <row r="40" spans="1:6" s="40" customFormat="1" ht="12" customHeight="1">
      <c r="A40" s="195" t="s">
        <v>98</v>
      </c>
      <c r="B40" s="177" t="s">
        <v>182</v>
      </c>
      <c r="C40" s="90">
        <f>'3.1.1. sz. mell Önk.kötelező '!C40+'3.1.2. sz. mell Önk.önként.  '!C40+'3.1.3. sz. mell Önk.áll.ig.'!C40</f>
        <v>10551</v>
      </c>
      <c r="D40" s="90">
        <f>'3.1.1. sz. mell Önk.kötelező '!D40+'3.1.2. sz. mell Önk.önként.  '!D40+'3.1.3. sz. mell Önk.áll.ig.'!D40</f>
        <v>10551</v>
      </c>
      <c r="E40" s="90">
        <f t="shared" si="0"/>
        <v>484</v>
      </c>
      <c r="F40" s="90">
        <v>11035</v>
      </c>
    </row>
    <row r="41" spans="1:6" s="40" customFormat="1" ht="12" customHeight="1">
      <c r="A41" s="195" t="s">
        <v>99</v>
      </c>
      <c r="B41" s="177" t="s">
        <v>183</v>
      </c>
      <c r="C41" s="90">
        <f>'3.1.1. sz. mell Önk.kötelező '!C41+'3.1.2. sz. mell Önk.önként.  '!C41+'3.1.3. sz. mell Önk.áll.ig.'!C41</f>
        <v>0</v>
      </c>
      <c r="D41" s="90">
        <f>'3.1.1. sz. mell Önk.kötelező '!D41+'3.1.2. sz. mell Önk.önként.  '!D41+'3.1.3. sz. mell Önk.áll.ig.'!D41</f>
        <v>0</v>
      </c>
      <c r="E41" s="90">
        <f t="shared" si="0"/>
        <v>0</v>
      </c>
      <c r="F41" s="90">
        <f>'3.1.1. sz. mell Önk.kötelező '!F41+'3.1.2. sz. mell Önk.önként.  '!F41+'3.1.3. sz. mell Önk.áll.ig.'!F41</f>
        <v>0</v>
      </c>
    </row>
    <row r="42" spans="1:6" s="40" customFormat="1" ht="12" customHeight="1">
      <c r="A42" s="195" t="s">
        <v>100</v>
      </c>
      <c r="B42" s="177" t="s">
        <v>184</v>
      </c>
      <c r="C42" s="90">
        <f>'3.1.1. sz. mell Önk.kötelező '!C42+'3.1.2. sz. mell Önk.önként.  '!C42+'3.1.3. sz. mell Önk.áll.ig.'!C42</f>
        <v>16065</v>
      </c>
      <c r="D42" s="90">
        <f>'3.1.1. sz. mell Önk.kötelező '!D42+'3.1.2. sz. mell Önk.önként.  '!D42+'3.1.3. sz. mell Önk.áll.ig.'!D42</f>
        <v>16065</v>
      </c>
      <c r="E42" s="90">
        <f t="shared" si="0"/>
        <v>-12240</v>
      </c>
      <c r="F42" s="90">
        <v>3825</v>
      </c>
    </row>
    <row r="43" spans="1:6" s="40" customFormat="1" ht="12" customHeight="1">
      <c r="A43" s="195" t="s">
        <v>101</v>
      </c>
      <c r="B43" s="177" t="s">
        <v>185</v>
      </c>
      <c r="C43" s="90">
        <f>'3.1.1. sz. mell Önk.kötelező '!C43+'3.1.2. sz. mell Önk.önként.  '!C43+'3.1.3. sz. mell Önk.áll.ig.'!C43</f>
        <v>189</v>
      </c>
      <c r="D43" s="90">
        <f>'3.1.1. sz. mell Önk.kötelező '!D43+'3.1.2. sz. mell Önk.önként.  '!D43+'3.1.3. sz. mell Önk.áll.ig.'!D43</f>
        <v>189</v>
      </c>
      <c r="E43" s="90">
        <f t="shared" si="0"/>
        <v>15441</v>
      </c>
      <c r="F43" s="90">
        <v>15630</v>
      </c>
    </row>
    <row r="44" spans="1:6" s="40" customFormat="1" ht="12" customHeight="1">
      <c r="A44" s="195" t="s">
        <v>102</v>
      </c>
      <c r="B44" s="177" t="s">
        <v>186</v>
      </c>
      <c r="C44" s="90">
        <f>'3.1.1. sz. mell Önk.kötelező '!C44+'3.1.2. sz. mell Önk.önként.  '!C44+'3.1.3. sz. mell Önk.áll.ig.'!C44</f>
        <v>2150</v>
      </c>
      <c r="D44" s="90">
        <f>'3.1.1. sz. mell Önk.kötelező '!D44+'3.1.2. sz. mell Önk.önként.  '!D44+'3.1.3. sz. mell Önk.áll.ig.'!D44</f>
        <v>2150</v>
      </c>
      <c r="E44" s="90">
        <f t="shared" si="0"/>
        <v>9540</v>
      </c>
      <c r="F44" s="90">
        <v>11690</v>
      </c>
    </row>
    <row r="45" spans="1:6" s="40" customFormat="1" ht="12" customHeight="1">
      <c r="A45" s="195" t="s">
        <v>177</v>
      </c>
      <c r="B45" s="177" t="s">
        <v>187</v>
      </c>
      <c r="C45" s="90">
        <f>'3.1.1. sz. mell Önk.kötelező '!C45+'3.1.2. sz. mell Önk.önként.  '!C45+'3.1.3. sz. mell Önk.áll.ig.'!C45</f>
        <v>0</v>
      </c>
      <c r="D45" s="90">
        <f>'3.1.1. sz. mell Önk.kötelező '!D45+'3.1.2. sz. mell Önk.önként.  '!D45+'3.1.3. sz. mell Önk.áll.ig.'!D45</f>
        <v>0</v>
      </c>
      <c r="E45" s="90">
        <f t="shared" si="0"/>
        <v>0</v>
      </c>
      <c r="F45" s="90">
        <f>'3.1.1. sz. mell Önk.kötelező '!F45+'3.1.2. sz. mell Önk.önként.  '!F45+'3.1.3. sz. mell Önk.áll.ig.'!F45</f>
        <v>0</v>
      </c>
    </row>
    <row r="46" spans="1:6" s="40" customFormat="1" ht="12" customHeight="1" thickBot="1">
      <c r="A46" s="196" t="s">
        <v>178</v>
      </c>
      <c r="B46" s="178" t="s">
        <v>188</v>
      </c>
      <c r="C46" s="90">
        <f>'3.1.1. sz. mell Önk.kötelező '!C46+'3.1.2. sz. mell Önk.önként.  '!C46+'3.1.3. sz. mell Önk.áll.ig.'!C46</f>
        <v>0</v>
      </c>
      <c r="D46" s="90">
        <v>2323</v>
      </c>
      <c r="E46" s="90">
        <f t="shared" si="0"/>
        <v>4173</v>
      </c>
      <c r="F46" s="90">
        <v>6496</v>
      </c>
    </row>
    <row r="47" spans="1:6" s="40" customFormat="1" ht="12" customHeight="1" thickBot="1">
      <c r="A47" s="25" t="s">
        <v>11</v>
      </c>
      <c r="B47" s="19" t="s">
        <v>189</v>
      </c>
      <c r="C47" s="87">
        <f>SUM(C48:C52)</f>
        <v>81876</v>
      </c>
      <c r="D47" s="87">
        <f>SUM(D48:D52)</f>
        <v>81876</v>
      </c>
      <c r="E47" s="87">
        <f>SUM(E48:E52)</f>
        <v>-69493</v>
      </c>
      <c r="F47" s="87">
        <f>SUM(F48:F52)</f>
        <v>12383</v>
      </c>
    </row>
    <row r="48" spans="1:6" s="40" customFormat="1" ht="12" customHeight="1">
      <c r="A48" s="194" t="s">
        <v>58</v>
      </c>
      <c r="B48" s="176" t="s">
        <v>193</v>
      </c>
      <c r="C48" s="90">
        <f>'3.1.1. sz. mell Önk.kötelező '!C48+'3.1.2. sz. mell Önk.önként.  '!C48+'3.1.3. sz. mell Önk.áll.ig.'!C48</f>
        <v>0</v>
      </c>
      <c r="D48" s="90">
        <f>'3.1.1. sz. mell Önk.kötelező '!D48+'3.1.2. sz. mell Önk.önként.  '!D48+'3.1.3. sz. mell Önk.áll.ig.'!D48</f>
        <v>0</v>
      </c>
      <c r="E48" s="90">
        <f t="shared" si="0"/>
        <v>0</v>
      </c>
      <c r="F48" s="90"/>
    </row>
    <row r="49" spans="1:6" s="40" customFormat="1" ht="12" customHeight="1">
      <c r="A49" s="195" t="s">
        <v>59</v>
      </c>
      <c r="B49" s="177" t="s">
        <v>194</v>
      </c>
      <c r="C49" s="90">
        <f>'3.1.1. sz. mell Önk.kötelező '!C49+'3.1.2. sz. mell Önk.önként.  '!C49+'3.1.3. sz. mell Önk.áll.ig.'!C49</f>
        <v>81876</v>
      </c>
      <c r="D49" s="90">
        <f>'3.1.1. sz. mell Önk.kötelező '!D49+'3.1.2. sz. mell Önk.önként.  '!D49+'3.1.3. sz. mell Önk.áll.ig.'!D49</f>
        <v>81876</v>
      </c>
      <c r="E49" s="90">
        <f t="shared" si="0"/>
        <v>-69493</v>
      </c>
      <c r="F49" s="90">
        <v>12383</v>
      </c>
    </row>
    <row r="50" spans="1:6" s="40" customFormat="1" ht="12" customHeight="1">
      <c r="A50" s="195" t="s">
        <v>190</v>
      </c>
      <c r="B50" s="177" t="s">
        <v>195</v>
      </c>
      <c r="C50" s="90">
        <f>'3.1.1. sz. mell Önk.kötelező '!C50+'3.1.2. sz. mell Önk.önként.  '!C50+'3.1.3. sz. mell Önk.áll.ig.'!C50</f>
        <v>0</v>
      </c>
      <c r="D50" s="90">
        <f>'3.1.1. sz. mell Önk.kötelező '!D50+'3.1.2. sz. mell Önk.önként.  '!D50+'3.1.3. sz. mell Önk.áll.ig.'!D50</f>
        <v>0</v>
      </c>
      <c r="E50" s="90">
        <f t="shared" si="0"/>
        <v>0</v>
      </c>
      <c r="F50" s="90">
        <f>'3.1.1. sz. mell Önk.kötelező '!F50+'3.1.2. sz. mell Önk.önként.  '!F50+'3.1.3. sz. mell Önk.áll.ig.'!F50</f>
        <v>0</v>
      </c>
    </row>
    <row r="51" spans="1:6" s="40" customFormat="1" ht="12" customHeight="1">
      <c r="A51" s="195" t="s">
        <v>191</v>
      </c>
      <c r="B51" s="177" t="s">
        <v>196</v>
      </c>
      <c r="C51" s="90">
        <f>'3.1.1. sz. mell Önk.kötelező '!C51+'3.1.2. sz. mell Önk.önként.  '!C51+'3.1.3. sz. mell Önk.áll.ig.'!C51</f>
        <v>0</v>
      </c>
      <c r="D51" s="90">
        <f>'3.1.1. sz. mell Önk.kötelező '!D51+'3.1.2. sz. mell Önk.önként.  '!D51+'3.1.3. sz. mell Önk.áll.ig.'!D51</f>
        <v>0</v>
      </c>
      <c r="E51" s="90">
        <f t="shared" si="0"/>
        <v>0</v>
      </c>
      <c r="F51" s="90">
        <f>'3.1.1. sz. mell Önk.kötelező '!F51+'3.1.2. sz. mell Önk.önként.  '!F51+'3.1.3. sz. mell Önk.áll.ig.'!F51</f>
        <v>0</v>
      </c>
    </row>
    <row r="52" spans="1:6" s="40" customFormat="1" ht="12" customHeight="1" thickBot="1">
      <c r="A52" s="196" t="s">
        <v>192</v>
      </c>
      <c r="B52" s="178" t="s">
        <v>197</v>
      </c>
      <c r="C52" s="90">
        <f>'3.1.1. sz. mell Önk.kötelező '!C52+'3.1.2. sz. mell Önk.önként.  '!C52+'3.1.3. sz. mell Önk.áll.ig.'!C52</f>
        <v>0</v>
      </c>
      <c r="D52" s="90">
        <f>'3.1.1. sz. mell Önk.kötelező '!D52+'3.1.2. sz. mell Önk.önként.  '!D52+'3.1.3. sz. mell Önk.áll.ig.'!D52</f>
        <v>0</v>
      </c>
      <c r="E52" s="90">
        <f t="shared" si="0"/>
        <v>0</v>
      </c>
      <c r="F52" s="90">
        <f>'3.1.1. sz. mell Önk.kötelező '!F52+'3.1.2. sz. mell Önk.önként.  '!F52+'3.1.3. sz. mell Önk.áll.ig.'!F52</f>
        <v>0</v>
      </c>
    </row>
    <row r="53" spans="1:6" s="40" customFormat="1" ht="12" customHeight="1" thickBot="1">
      <c r="A53" s="25" t="s">
        <v>103</v>
      </c>
      <c r="B53" s="19" t="s">
        <v>198</v>
      </c>
      <c r="C53" s="87">
        <f>SUM(C54:C56)</f>
        <v>0</v>
      </c>
      <c r="D53" s="87">
        <f>SUM(D54:D56)</f>
        <v>0</v>
      </c>
      <c r="E53" s="87">
        <f>SUM(E54:E56)</f>
        <v>6006</v>
      </c>
      <c r="F53" s="87">
        <f>SUM(F54:F56)</f>
        <v>6006</v>
      </c>
    </row>
    <row r="54" spans="1:6" s="40" customFormat="1" ht="12" customHeight="1">
      <c r="A54" s="194" t="s">
        <v>60</v>
      </c>
      <c r="B54" s="176" t="s">
        <v>199</v>
      </c>
      <c r="C54" s="90">
        <f>'3.1.1. sz. mell Önk.kötelező '!C54+'3.1.2. sz. mell Önk.önként.  '!C54+'3.1.3. sz. mell Önk.áll.ig.'!C54</f>
        <v>0</v>
      </c>
      <c r="D54" s="90">
        <f>'3.1.1. sz. mell Önk.kötelező '!D54+'3.1.2. sz. mell Önk.önként.  '!D54+'3.1.3. sz. mell Önk.áll.ig.'!D54</f>
        <v>0</v>
      </c>
      <c r="E54" s="90">
        <f t="shared" si="0"/>
        <v>0</v>
      </c>
      <c r="F54" s="90">
        <f>'3.1.1. sz. mell Önk.kötelező '!F54+'3.1.2. sz. mell Önk.önként.  '!F54+'3.1.3. sz. mell Önk.áll.ig.'!F54</f>
        <v>0</v>
      </c>
    </row>
    <row r="55" spans="1:6" s="40" customFormat="1" ht="12" customHeight="1">
      <c r="A55" s="195" t="s">
        <v>61</v>
      </c>
      <c r="B55" s="177" t="s">
        <v>362</v>
      </c>
      <c r="C55" s="90">
        <f>'3.1.1. sz. mell Önk.kötelező '!C55+'3.1.2. sz. mell Önk.önként.  '!C55+'3.1.3. sz. mell Önk.áll.ig.'!C55</f>
        <v>0</v>
      </c>
      <c r="D55" s="90">
        <f>'3.1.1. sz. mell Önk.kötelező '!D55+'3.1.2. sz. mell Önk.önként.  '!D55+'3.1.3. sz. mell Önk.áll.ig.'!D55</f>
        <v>0</v>
      </c>
      <c r="E55" s="90">
        <f t="shared" si="0"/>
        <v>0</v>
      </c>
      <c r="F55" s="90">
        <f>'3.1.1. sz. mell Önk.kötelező '!F55+'3.1.2. sz. mell Önk.önként.  '!F55+'3.1.3. sz. mell Önk.áll.ig.'!F55</f>
        <v>0</v>
      </c>
    </row>
    <row r="56" spans="1:6" s="40" customFormat="1" ht="12" customHeight="1">
      <c r="A56" s="195" t="s">
        <v>203</v>
      </c>
      <c r="B56" s="177" t="s">
        <v>201</v>
      </c>
      <c r="C56" s="90">
        <f>'3.1.1. sz. mell Önk.kötelező '!C56+'3.1.2. sz. mell Önk.önként.  '!C56+'3.1.3. sz. mell Önk.áll.ig.'!C56</f>
        <v>0</v>
      </c>
      <c r="D56" s="90">
        <f>'3.1.1. sz. mell Önk.kötelező '!D56+'3.1.2. sz. mell Önk.önként.  '!D56+'3.1.3. sz. mell Önk.áll.ig.'!D56</f>
        <v>0</v>
      </c>
      <c r="E56" s="90">
        <f t="shared" si="0"/>
        <v>6006</v>
      </c>
      <c r="F56" s="90">
        <v>6006</v>
      </c>
    </row>
    <row r="57" spans="1:6" s="40" customFormat="1" ht="12" customHeight="1" thickBot="1">
      <c r="A57" s="196" t="s">
        <v>204</v>
      </c>
      <c r="B57" s="178" t="s">
        <v>202</v>
      </c>
      <c r="C57" s="90">
        <f>'3.1.1. sz. mell Önk.kötelező '!C57+'3.1.2. sz. mell Önk.önként.  '!C57+'3.1.3. sz. mell Önk.áll.ig.'!C57</f>
        <v>0</v>
      </c>
      <c r="D57" s="90">
        <f>'3.1.1. sz. mell Önk.kötelező '!D57+'3.1.2. sz. mell Önk.önként.  '!D57+'3.1.3. sz. mell Önk.áll.ig.'!D57</f>
        <v>0</v>
      </c>
      <c r="E57" s="90">
        <f t="shared" si="0"/>
        <v>0</v>
      </c>
      <c r="F57" s="90">
        <f>'3.1.1. sz. mell Önk.kötelező '!F57+'3.1.2. sz. mell Önk.önként.  '!F57+'3.1.3. sz. mell Önk.áll.ig.'!F57</f>
        <v>0</v>
      </c>
    </row>
    <row r="58" spans="1:6" s="40" customFormat="1" ht="12" customHeight="1" thickBot="1">
      <c r="A58" s="25" t="s">
        <v>13</v>
      </c>
      <c r="B58" s="82" t="s">
        <v>205</v>
      </c>
      <c r="C58" s="87">
        <f>SUM(C59:C61)</f>
        <v>28965</v>
      </c>
      <c r="D58" s="87">
        <f>SUM(D59:D61)</f>
        <v>28965</v>
      </c>
      <c r="E58" s="87">
        <f>SUM(E59:E61)</f>
        <v>-108</v>
      </c>
      <c r="F58" s="87">
        <f>SUM(F59:F61)</f>
        <v>28857</v>
      </c>
    </row>
    <row r="59" spans="1:6" s="40" customFormat="1" ht="12" customHeight="1">
      <c r="A59" s="194" t="s">
        <v>104</v>
      </c>
      <c r="B59" s="176" t="s">
        <v>207</v>
      </c>
      <c r="C59" s="90">
        <f>'3.1.1. sz. mell Önk.kötelező '!C59+'3.1.2. sz. mell Önk.önként.  '!C59+'3.1.3. sz. mell Önk.áll.ig.'!C59</f>
        <v>0</v>
      </c>
      <c r="D59" s="90">
        <f>'3.1.1. sz. mell Önk.kötelező '!D59+'3.1.2. sz. mell Önk.önként.  '!D59+'3.1.3. sz. mell Önk.áll.ig.'!D59</f>
        <v>0</v>
      </c>
      <c r="E59" s="90">
        <f t="shared" si="0"/>
        <v>0</v>
      </c>
      <c r="F59" s="90"/>
    </row>
    <row r="60" spans="1:6" s="40" customFormat="1" ht="12" customHeight="1">
      <c r="A60" s="195" t="s">
        <v>105</v>
      </c>
      <c r="B60" s="177" t="s">
        <v>363</v>
      </c>
      <c r="C60" s="90">
        <f>'3.1.1. sz. mell Önk.kötelező '!C60+'3.1.2. sz. mell Önk.önként.  '!C60+'3.1.3. sz. mell Önk.áll.ig.'!C60</f>
        <v>28857</v>
      </c>
      <c r="D60" s="90">
        <f>'3.1.1. sz. mell Önk.kötelező '!D60+'3.1.2. sz. mell Önk.önként.  '!D60+'3.1.3. sz. mell Önk.áll.ig.'!D60</f>
        <v>28857</v>
      </c>
      <c r="E60" s="90">
        <f t="shared" si="0"/>
        <v>0</v>
      </c>
      <c r="F60" s="90">
        <v>28857</v>
      </c>
    </row>
    <row r="61" spans="1:6" s="40" customFormat="1" ht="12" customHeight="1">
      <c r="A61" s="195" t="s">
        <v>128</v>
      </c>
      <c r="B61" s="177" t="s">
        <v>208</v>
      </c>
      <c r="C61" s="90">
        <f>'3.1.1. sz. mell Önk.kötelező '!C61+'3.1.2. sz. mell Önk.önként.  '!C61+'3.1.3. sz. mell Önk.áll.ig.'!C61</f>
        <v>108</v>
      </c>
      <c r="D61" s="90">
        <f>'3.1.1. sz. mell Önk.kötelező '!D61+'3.1.2. sz. mell Önk.önként.  '!D61+'3.1.3. sz. mell Önk.áll.ig.'!D61</f>
        <v>108</v>
      </c>
      <c r="E61" s="90">
        <f t="shared" si="0"/>
        <v>-108</v>
      </c>
      <c r="F61" s="90"/>
    </row>
    <row r="62" spans="1:6" s="40" customFormat="1" ht="12" customHeight="1" thickBot="1">
      <c r="A62" s="196" t="s">
        <v>206</v>
      </c>
      <c r="B62" s="178" t="s">
        <v>209</v>
      </c>
      <c r="C62" s="90">
        <f>'3.1.1. sz. mell Önk.kötelező '!C62+'3.1.2. sz. mell Önk.önként.  '!C62+'3.1.3. sz. mell Önk.áll.ig.'!C62</f>
        <v>0</v>
      </c>
      <c r="D62" s="90">
        <f>'3.1.1. sz. mell Önk.kötelező '!D62+'3.1.2. sz. mell Önk.önként.  '!D62+'3.1.3. sz. mell Önk.áll.ig.'!D62</f>
        <v>0</v>
      </c>
      <c r="E62" s="90">
        <f t="shared" si="0"/>
        <v>0</v>
      </c>
      <c r="F62" s="90">
        <f>'3.1.1. sz. mell Önk.kötelező '!F62+'3.1.2. sz. mell Önk.önként.  '!F62+'3.1.3. sz. mell Önk.áll.ig.'!F62</f>
        <v>0</v>
      </c>
    </row>
    <row r="63" spans="1:6" s="40" customFormat="1" ht="12" customHeight="1" thickBot="1">
      <c r="A63" s="25" t="s">
        <v>14</v>
      </c>
      <c r="B63" s="19" t="s">
        <v>210</v>
      </c>
      <c r="C63" s="93">
        <f>+C8+C15+C22+C29+C36+C47+C53+C58</f>
        <v>1220217</v>
      </c>
      <c r="D63" s="93">
        <f>+D8+D15+D22+D29+D36+D47+D53+D58</f>
        <v>1293336</v>
      </c>
      <c r="E63" s="93">
        <f>+E8+E15+E22+E29+E36+E47+E53+E58</f>
        <v>224395</v>
      </c>
      <c r="F63" s="93">
        <f>+F8+F15+F22+F29+F36+F47+F53+F58</f>
        <v>1517731</v>
      </c>
    </row>
    <row r="64" spans="1:6" s="40" customFormat="1" ht="12" customHeight="1" thickBot="1">
      <c r="A64" s="197" t="s">
        <v>332</v>
      </c>
      <c r="B64" s="82" t="s">
        <v>212</v>
      </c>
      <c r="C64" s="87">
        <f>SUM(C65:C67)</f>
        <v>0</v>
      </c>
      <c r="D64" s="87">
        <f>SUM(D65:D67)</f>
        <v>0</v>
      </c>
      <c r="E64" s="90">
        <f t="shared" si="0"/>
        <v>0</v>
      </c>
      <c r="F64" s="87">
        <f>SUM(F65:F67)</f>
        <v>0</v>
      </c>
    </row>
    <row r="65" spans="1:6" s="40" customFormat="1" ht="12" customHeight="1">
      <c r="A65" s="194" t="s">
        <v>245</v>
      </c>
      <c r="B65" s="176" t="s">
        <v>213</v>
      </c>
      <c r="C65" s="90"/>
      <c r="D65" s="90"/>
      <c r="E65" s="90">
        <f t="shared" si="0"/>
        <v>0</v>
      </c>
      <c r="F65" s="90"/>
    </row>
    <row r="66" spans="1:6" s="40" customFormat="1" ht="12" customHeight="1">
      <c r="A66" s="195" t="s">
        <v>254</v>
      </c>
      <c r="B66" s="177" t="s">
        <v>214</v>
      </c>
      <c r="C66" s="90">
        <f>'3.1.1. sz. mell Önk.kötelező '!C66+'3.1.2. sz. mell Önk.önként.  '!C66+'3.1.3. sz. mell Önk.áll.ig.'!C66</f>
        <v>0</v>
      </c>
      <c r="D66" s="90">
        <f>'3.1.1. sz. mell Önk.kötelező '!D66+'3.1.2. sz. mell Önk.önként.  '!D66+'3.1.3. sz. mell Önk.áll.ig.'!D66</f>
        <v>0</v>
      </c>
      <c r="E66" s="90">
        <f t="shared" si="0"/>
        <v>0</v>
      </c>
      <c r="F66" s="90">
        <f>'3.1.1. sz. mell Önk.kötelező '!F66+'3.1.2. sz. mell Önk.önként.  '!F66+'3.1.3. sz. mell Önk.áll.ig.'!F66</f>
        <v>0</v>
      </c>
    </row>
    <row r="67" spans="1:6" s="40" customFormat="1" ht="12" customHeight="1" thickBot="1">
      <c r="A67" s="196" t="s">
        <v>255</v>
      </c>
      <c r="B67" s="180" t="s">
        <v>215</v>
      </c>
      <c r="C67" s="90">
        <f>'3.1.1. sz. mell Önk.kötelező '!C67+'3.1.2. sz. mell Önk.önként.  '!C67+'3.1.3. sz. mell Önk.áll.ig.'!C67</f>
        <v>0</v>
      </c>
      <c r="D67" s="90">
        <f>'3.1.1. sz. mell Önk.kötelező '!D67+'3.1.2. sz. mell Önk.önként.  '!D67+'3.1.3. sz. mell Önk.áll.ig.'!D67</f>
        <v>0</v>
      </c>
      <c r="E67" s="90">
        <f t="shared" si="0"/>
        <v>0</v>
      </c>
      <c r="F67" s="90">
        <f>'3.1.1. sz. mell Önk.kötelező '!F67+'3.1.2. sz. mell Önk.önként.  '!F67+'3.1.3. sz. mell Önk.áll.ig.'!F67</f>
        <v>0</v>
      </c>
    </row>
    <row r="68" spans="1:6" s="40" customFormat="1" ht="12" customHeight="1" thickBot="1">
      <c r="A68" s="197" t="s">
        <v>216</v>
      </c>
      <c r="B68" s="82" t="s">
        <v>217</v>
      </c>
      <c r="C68" s="87">
        <f>SUM(C69:C72)</f>
        <v>0</v>
      </c>
      <c r="D68" s="87">
        <f>SUM(D69:D72)</f>
        <v>0</v>
      </c>
      <c r="E68" s="87">
        <f>SUM(E69:E72)</f>
        <v>0</v>
      </c>
      <c r="F68" s="87">
        <f>SUM(F69:F72)</f>
        <v>0</v>
      </c>
    </row>
    <row r="69" spans="1:6" s="40" customFormat="1" ht="12" customHeight="1">
      <c r="A69" s="194" t="s">
        <v>83</v>
      </c>
      <c r="B69" s="176" t="s">
        <v>218</v>
      </c>
      <c r="C69" s="90">
        <f>'3.1.1. sz. mell Önk.kötelező '!C69+'3.1.2. sz. mell Önk.önként.  '!C69+'3.1.3. sz. mell Önk.áll.ig.'!C69</f>
        <v>0</v>
      </c>
      <c r="D69" s="90">
        <f>'3.1.1. sz. mell Önk.kötelező '!D69+'3.1.2. sz. mell Önk.önként.  '!D69+'3.1.3. sz. mell Önk.áll.ig.'!D69</f>
        <v>0</v>
      </c>
      <c r="E69" s="90">
        <f t="shared" si="0"/>
        <v>0</v>
      </c>
      <c r="F69" s="90">
        <f>'3.1.1. sz. mell Önk.kötelező '!F69+'3.1.2. sz. mell Önk.önként.  '!F69+'3.1.3. sz. mell Önk.áll.ig.'!F69</f>
        <v>0</v>
      </c>
    </row>
    <row r="70" spans="1:6" s="40" customFormat="1" ht="12" customHeight="1">
      <c r="A70" s="195" t="s">
        <v>84</v>
      </c>
      <c r="B70" s="177" t="s">
        <v>219</v>
      </c>
      <c r="C70" s="90">
        <f>'3.1.1. sz. mell Önk.kötelező '!C70+'3.1.2. sz. mell Önk.önként.  '!C70+'3.1.3. sz. mell Önk.áll.ig.'!C70</f>
        <v>0</v>
      </c>
      <c r="D70" s="90">
        <f>'3.1.1. sz. mell Önk.kötelező '!D70+'3.1.2. sz. mell Önk.önként.  '!D70+'3.1.3. sz. mell Önk.áll.ig.'!D70</f>
        <v>0</v>
      </c>
      <c r="E70" s="90">
        <f t="shared" si="0"/>
        <v>0</v>
      </c>
      <c r="F70" s="90">
        <f>'3.1.1. sz. mell Önk.kötelező '!F70+'3.1.2. sz. mell Önk.önként.  '!F70+'3.1.3. sz. mell Önk.áll.ig.'!F70</f>
        <v>0</v>
      </c>
    </row>
    <row r="71" spans="1:6" s="40" customFormat="1" ht="12" customHeight="1">
      <c r="A71" s="195" t="s">
        <v>246</v>
      </c>
      <c r="B71" s="177" t="s">
        <v>220</v>
      </c>
      <c r="C71" s="90">
        <f>'3.1.1. sz. mell Önk.kötelező '!C71+'3.1.2. sz. mell Önk.önként.  '!C71+'3.1.3. sz. mell Önk.áll.ig.'!C71</f>
        <v>0</v>
      </c>
      <c r="D71" s="90">
        <f>'3.1.1. sz. mell Önk.kötelező '!D71+'3.1.2. sz. mell Önk.önként.  '!D71+'3.1.3. sz. mell Önk.áll.ig.'!D71</f>
        <v>0</v>
      </c>
      <c r="E71" s="90">
        <f t="shared" si="0"/>
        <v>0</v>
      </c>
      <c r="F71" s="90">
        <f>'3.1.1. sz. mell Önk.kötelező '!F71+'3.1.2. sz. mell Önk.önként.  '!F71+'3.1.3. sz. mell Önk.áll.ig.'!F71</f>
        <v>0</v>
      </c>
    </row>
    <row r="72" spans="1:6" s="40" customFormat="1" ht="12" customHeight="1" thickBot="1">
      <c r="A72" s="196" t="s">
        <v>247</v>
      </c>
      <c r="B72" s="178" t="s">
        <v>221</v>
      </c>
      <c r="C72" s="90">
        <f>'3.1.1. sz. mell Önk.kötelező '!C72+'3.1.2. sz. mell Önk.önként.  '!C72+'3.1.3. sz. mell Önk.áll.ig.'!C72</f>
        <v>0</v>
      </c>
      <c r="D72" s="90">
        <f>'3.1.1. sz. mell Önk.kötelező '!D72+'3.1.2. sz. mell Önk.önként.  '!D72+'3.1.3. sz. mell Önk.áll.ig.'!D72</f>
        <v>0</v>
      </c>
      <c r="E72" s="90">
        <f t="shared" si="0"/>
        <v>0</v>
      </c>
      <c r="F72" s="90">
        <f>'3.1.1. sz. mell Önk.kötelező '!F72+'3.1.2. sz. mell Önk.önként.  '!F72+'3.1.3. sz. mell Önk.áll.ig.'!F72</f>
        <v>0</v>
      </c>
    </row>
    <row r="73" spans="1:6" s="40" customFormat="1" ht="12" customHeight="1" thickBot="1">
      <c r="A73" s="197" t="s">
        <v>222</v>
      </c>
      <c r="B73" s="82" t="s">
        <v>223</v>
      </c>
      <c r="C73" s="87">
        <f>SUM(C74:C75)</f>
        <v>501181</v>
      </c>
      <c r="D73" s="87">
        <f>SUM(D74:D75)</f>
        <v>644538</v>
      </c>
      <c r="E73" s="87">
        <f>SUM(E74:E75)</f>
        <v>-60150</v>
      </c>
      <c r="F73" s="87">
        <f>F74+F75</f>
        <v>584388</v>
      </c>
    </row>
    <row r="74" spans="1:6" s="40" customFormat="1" ht="12" customHeight="1">
      <c r="A74" s="194" t="s">
        <v>248</v>
      </c>
      <c r="B74" s="176" t="s">
        <v>224</v>
      </c>
      <c r="C74" s="90">
        <f>'3.1.1. sz. mell Önk.kötelező '!C74+'3.1.2. sz. mell Önk.önként.  '!C74+'3.1.3. sz. mell Önk.áll.ig.'!C74</f>
        <v>501181</v>
      </c>
      <c r="D74" s="90">
        <f>'3.1.1. sz. mell Önk.kötelező '!D74+'3.1.2. sz. mell Önk.önként.  '!D74+'3.1.3. sz. mell Önk.áll.ig.'!D74</f>
        <v>644538</v>
      </c>
      <c r="E74" s="90">
        <f t="shared" ref="E74:E85" si="1">F74-D74</f>
        <v>-60150</v>
      </c>
      <c r="F74" s="90">
        <v>584388</v>
      </c>
    </row>
    <row r="75" spans="1:6" s="40" customFormat="1" ht="12" customHeight="1" thickBot="1">
      <c r="A75" s="205" t="s">
        <v>249</v>
      </c>
      <c r="B75" s="271" t="s">
        <v>225</v>
      </c>
      <c r="C75" s="90">
        <f>'3.1.1. sz. mell Önk.kötelező '!C75+'3.1.2. sz. mell Önk.önként.  '!C75+'3.1.3. sz. mell Önk.áll.ig.'!C75</f>
        <v>0</v>
      </c>
      <c r="D75" s="90">
        <f>'3.1.1. sz. mell Önk.kötelező '!D75+'3.1.2. sz. mell Önk.önként.  '!D75+'3.1.3. sz. mell Önk.áll.ig.'!D75</f>
        <v>0</v>
      </c>
      <c r="E75" s="90">
        <f t="shared" si="1"/>
        <v>0</v>
      </c>
      <c r="F75" s="90"/>
    </row>
    <row r="76" spans="1:6" s="39" customFormat="1" ht="12" customHeight="1" thickBot="1">
      <c r="A76" s="197" t="s">
        <v>226</v>
      </c>
      <c r="B76" s="82" t="s">
        <v>227</v>
      </c>
      <c r="C76" s="87">
        <f>SUM(C77:C79)</f>
        <v>0</v>
      </c>
      <c r="D76" s="87">
        <f>SUM(D77:D79)</f>
        <v>0</v>
      </c>
      <c r="E76" s="391">
        <f t="shared" si="1"/>
        <v>14362</v>
      </c>
      <c r="F76" s="87">
        <f>SUM(F77:F79)</f>
        <v>14362</v>
      </c>
    </row>
    <row r="77" spans="1:6" s="40" customFormat="1" ht="12" customHeight="1">
      <c r="A77" s="194" t="s">
        <v>250</v>
      </c>
      <c r="B77" s="176" t="s">
        <v>228</v>
      </c>
      <c r="C77" s="90"/>
      <c r="D77" s="90"/>
      <c r="E77" s="90">
        <f t="shared" si="1"/>
        <v>14362</v>
      </c>
      <c r="F77" s="90">
        <v>14362</v>
      </c>
    </row>
    <row r="78" spans="1:6" s="40" customFormat="1" ht="12" customHeight="1">
      <c r="A78" s="195" t="s">
        <v>251</v>
      </c>
      <c r="B78" s="177" t="s">
        <v>229</v>
      </c>
      <c r="C78" s="90"/>
      <c r="D78" s="90"/>
      <c r="E78" s="90"/>
      <c r="F78" s="90"/>
    </row>
    <row r="79" spans="1:6" s="40" customFormat="1" ht="12" customHeight="1" thickBot="1">
      <c r="A79" s="196" t="s">
        <v>252</v>
      </c>
      <c r="B79" s="178" t="s">
        <v>230</v>
      </c>
      <c r="C79" s="90"/>
      <c r="D79" s="90"/>
      <c r="E79" s="90"/>
      <c r="F79" s="90"/>
    </row>
    <row r="80" spans="1:6" s="40" customFormat="1" ht="12" customHeight="1" thickBot="1">
      <c r="A80" s="197" t="s">
        <v>231</v>
      </c>
      <c r="B80" s="82" t="s">
        <v>253</v>
      </c>
      <c r="C80" s="87">
        <f>SUM(C81:C84)</f>
        <v>0</v>
      </c>
      <c r="D80" s="87">
        <f>SUM(D81:D84)</f>
        <v>0</v>
      </c>
      <c r="E80" s="90">
        <f t="shared" si="1"/>
        <v>0</v>
      </c>
      <c r="F80" s="87">
        <f>SUM(F81:F84)</f>
        <v>0</v>
      </c>
    </row>
    <row r="81" spans="1:6" s="40" customFormat="1" ht="12" customHeight="1">
      <c r="A81" s="198" t="s">
        <v>232</v>
      </c>
      <c r="B81" s="176" t="s">
        <v>233</v>
      </c>
      <c r="C81" s="90"/>
      <c r="D81" s="90"/>
      <c r="E81" s="90"/>
      <c r="F81" s="90"/>
    </row>
    <row r="82" spans="1:6" s="40" customFormat="1" ht="12" customHeight="1">
      <c r="A82" s="199" t="s">
        <v>234</v>
      </c>
      <c r="B82" s="177" t="s">
        <v>235</v>
      </c>
      <c r="C82" s="90"/>
      <c r="D82" s="90"/>
      <c r="E82" s="90"/>
      <c r="F82" s="90"/>
    </row>
    <row r="83" spans="1:6" s="40" customFormat="1" ht="12" customHeight="1">
      <c r="A83" s="199" t="s">
        <v>236</v>
      </c>
      <c r="B83" s="177" t="s">
        <v>237</v>
      </c>
      <c r="C83" s="90"/>
      <c r="D83" s="90"/>
      <c r="E83" s="90"/>
      <c r="F83" s="90"/>
    </row>
    <row r="84" spans="1:6" s="39" customFormat="1" ht="12" customHeight="1" thickBot="1">
      <c r="A84" s="200" t="s">
        <v>238</v>
      </c>
      <c r="B84" s="178" t="s">
        <v>239</v>
      </c>
      <c r="C84" s="90"/>
      <c r="D84" s="90"/>
      <c r="E84" s="90"/>
      <c r="F84" s="90"/>
    </row>
    <row r="85" spans="1:6" s="39" customFormat="1" ht="12" customHeight="1" thickBot="1">
      <c r="A85" s="197" t="s">
        <v>240</v>
      </c>
      <c r="B85" s="82" t="s">
        <v>241</v>
      </c>
      <c r="C85" s="223"/>
      <c r="D85" s="223"/>
      <c r="E85" s="90">
        <f t="shared" si="1"/>
        <v>0</v>
      </c>
      <c r="F85" s="223"/>
    </row>
    <row r="86" spans="1:6" s="39" customFormat="1" ht="12" customHeight="1" thickBot="1">
      <c r="A86" s="197" t="s">
        <v>242</v>
      </c>
      <c r="B86" s="184" t="s">
        <v>243</v>
      </c>
      <c r="C86" s="93">
        <f>+C64+C68+C73+C76+C80+C85</f>
        <v>501181</v>
      </c>
      <c r="D86" s="93">
        <f>+D64+D68+D73+D76+D80+D85</f>
        <v>644538</v>
      </c>
      <c r="E86" s="93">
        <f>+E64+E68+E73+E76+E80+E85</f>
        <v>-45788</v>
      </c>
      <c r="F86" s="93">
        <f>+F64+F68+F73+F76+F80+F85</f>
        <v>598750</v>
      </c>
    </row>
    <row r="87" spans="1:6" s="39" customFormat="1" ht="12" customHeight="1" thickBot="1">
      <c r="A87" s="201" t="s">
        <v>256</v>
      </c>
      <c r="B87" s="186" t="s">
        <v>357</v>
      </c>
      <c r="C87" s="93">
        <f>+C63+C86</f>
        <v>1721398</v>
      </c>
      <c r="D87" s="93">
        <v>1937186</v>
      </c>
      <c r="E87" s="93">
        <f>F87-D87</f>
        <v>179295</v>
      </c>
      <c r="F87" s="93">
        <f>+F63+F86</f>
        <v>2116481</v>
      </c>
    </row>
    <row r="88" spans="1:6" s="39" customFormat="1" ht="12" customHeight="1">
      <c r="A88" s="292"/>
      <c r="B88" s="293"/>
      <c r="C88" s="294"/>
      <c r="D88" s="294"/>
      <c r="E88" s="294"/>
      <c r="F88" s="294"/>
    </row>
    <row r="89" spans="1:6" s="39" customFormat="1" ht="12" customHeight="1" thickBot="1">
      <c r="A89" s="295"/>
      <c r="B89" s="296"/>
      <c r="C89" s="297"/>
      <c r="D89" s="297"/>
      <c r="E89" s="297"/>
      <c r="F89" s="297"/>
    </row>
    <row r="90" spans="1:6" s="32" customFormat="1" ht="16.5" customHeight="1" thickBot="1">
      <c r="A90" s="404" t="s">
        <v>42</v>
      </c>
      <c r="B90" s="405"/>
      <c r="C90" s="405"/>
      <c r="D90" s="405"/>
      <c r="E90" s="405"/>
      <c r="F90" s="406"/>
    </row>
    <row r="91" spans="1:6" s="41" customFormat="1" ht="12" customHeight="1" thickBot="1">
      <c r="A91" s="168" t="s">
        <v>6</v>
      </c>
      <c r="B91" s="24" t="s">
        <v>259</v>
      </c>
      <c r="C91" s="87">
        <f>SUM(C92:C96)</f>
        <v>709321</v>
      </c>
      <c r="D91" s="87">
        <f>SUM(D92:D96)</f>
        <v>819943</v>
      </c>
      <c r="E91" s="87">
        <f>SUM(E92:E96)</f>
        <v>-29110</v>
      </c>
      <c r="F91" s="285">
        <f>SUM(F92:F96)</f>
        <v>790833</v>
      </c>
    </row>
    <row r="92" spans="1:6" ht="12" customHeight="1">
      <c r="A92" s="203" t="s">
        <v>62</v>
      </c>
      <c r="B92" s="8" t="s">
        <v>36</v>
      </c>
      <c r="C92" s="90">
        <f>'3.1.1. sz. mell Önk.kötelező '!C92+'3.1.2. sz. mell Önk.önként.  '!C92+'3.1.3. sz. mell Önk.áll.ig.'!C92</f>
        <v>78827</v>
      </c>
      <c r="D92" s="90">
        <v>81963</v>
      </c>
      <c r="E92" s="90">
        <f>F92-D92</f>
        <v>959</v>
      </c>
      <c r="F92" s="90">
        <f>82263+659</f>
        <v>82922</v>
      </c>
    </row>
    <row r="93" spans="1:6" ht="12" customHeight="1">
      <c r="A93" s="195" t="s">
        <v>63</v>
      </c>
      <c r="B93" s="6" t="s">
        <v>106</v>
      </c>
      <c r="C93" s="90">
        <f>'3.1.1. sz. mell Önk.kötelező '!C93+'3.1.2. sz. mell Önk.önként.  '!C93+'3.1.3. sz. mell Önk.áll.ig.'!C93</f>
        <v>20849</v>
      </c>
      <c r="D93" s="90">
        <v>21689</v>
      </c>
      <c r="E93" s="90">
        <f t="shared" ref="E93:E145" si="2">F93-D93</f>
        <v>0</v>
      </c>
      <c r="F93" s="90">
        <v>21689</v>
      </c>
    </row>
    <row r="94" spans="1:6" ht="12" customHeight="1">
      <c r="A94" s="195" t="s">
        <v>64</v>
      </c>
      <c r="B94" s="6" t="s">
        <v>81</v>
      </c>
      <c r="C94" s="90">
        <f>'3.1.1. sz. mell Önk.kötelező '!C94+'3.1.2. sz. mell Önk.önként.  '!C94+'3.1.3. sz. mell Önk.áll.ig.'!C94</f>
        <v>369384</v>
      </c>
      <c r="D94" s="90">
        <v>406812</v>
      </c>
      <c r="E94" s="90">
        <f t="shared" si="2"/>
        <v>-8713</v>
      </c>
      <c r="F94" s="90">
        <f>398758-659</f>
        <v>398099</v>
      </c>
    </row>
    <row r="95" spans="1:6" ht="12" customHeight="1">
      <c r="A95" s="195" t="s">
        <v>65</v>
      </c>
      <c r="B95" s="9" t="s">
        <v>107</v>
      </c>
      <c r="C95" s="90">
        <f>'3.1.1. sz. mell Önk.kötelező '!C95+'3.1.2. sz. mell Önk.önként.  '!C95+'3.1.3. sz. mell Önk.áll.ig.'!C95</f>
        <v>9040</v>
      </c>
      <c r="D95" s="90">
        <v>11950</v>
      </c>
      <c r="E95" s="90">
        <f t="shared" si="2"/>
        <v>-1455</v>
      </c>
      <c r="F95" s="90">
        <v>10495</v>
      </c>
    </row>
    <row r="96" spans="1:6" ht="12" customHeight="1">
      <c r="A96" s="195" t="s">
        <v>73</v>
      </c>
      <c r="B96" s="17" t="s">
        <v>108</v>
      </c>
      <c r="C96" s="90">
        <f>'3.1.1. sz. mell Önk.kötelező '!C96+'3.1.2. sz. mell Önk.önként.  '!C96+'3.1.3. sz. mell Önk.áll.ig.'!C96</f>
        <v>231221</v>
      </c>
      <c r="D96" s="90">
        <v>297529</v>
      </c>
      <c r="E96" s="90">
        <f t="shared" si="2"/>
        <v>-19901</v>
      </c>
      <c r="F96" s="90">
        <f>F97+F98+F99+F100+F101+F102+F103+F104+F105+F106</f>
        <v>277628</v>
      </c>
    </row>
    <row r="97" spans="1:6" ht="12" customHeight="1">
      <c r="A97" s="195" t="s">
        <v>66</v>
      </c>
      <c r="B97" s="6" t="s">
        <v>260</v>
      </c>
      <c r="C97" s="90">
        <f>'3.1.1. sz. mell Önk.kötelező '!C97+'3.1.2. sz. mell Önk.önként.  '!C97+'3.1.3. sz. mell Önk.áll.ig.'!C97</f>
        <v>9100</v>
      </c>
      <c r="D97" s="90">
        <v>31996</v>
      </c>
      <c r="E97" s="90">
        <f t="shared" si="2"/>
        <v>-11024</v>
      </c>
      <c r="F97" s="90">
        <v>20972</v>
      </c>
    </row>
    <row r="98" spans="1:6" ht="12" customHeight="1">
      <c r="A98" s="195" t="s">
        <v>67</v>
      </c>
      <c r="B98" s="47" t="s">
        <v>261</v>
      </c>
      <c r="C98" s="90"/>
      <c r="D98" s="90"/>
      <c r="E98" s="90"/>
      <c r="F98" s="90"/>
    </row>
    <row r="99" spans="1:6" ht="12" customHeight="1">
      <c r="A99" s="195" t="s">
        <v>74</v>
      </c>
      <c r="B99" s="48" t="s">
        <v>262</v>
      </c>
      <c r="C99" s="90"/>
      <c r="D99" s="90"/>
      <c r="E99" s="90"/>
      <c r="F99" s="90"/>
    </row>
    <row r="100" spans="1:6" ht="12" customHeight="1">
      <c r="A100" s="195" t="s">
        <v>75</v>
      </c>
      <c r="B100" s="48" t="s">
        <v>263</v>
      </c>
      <c r="C100" s="90"/>
      <c r="D100" s="90"/>
      <c r="E100" s="90"/>
      <c r="F100" s="90"/>
    </row>
    <row r="101" spans="1:6" ht="12" customHeight="1">
      <c r="A101" s="195" t="s">
        <v>76</v>
      </c>
      <c r="B101" s="47" t="s">
        <v>264</v>
      </c>
      <c r="C101" s="90">
        <f>'3.1.1. sz. mell Önk.kötelező '!C101+'3.1.2. sz. mell Önk.önként.  '!C101+'3.1.3. sz. mell Önk.áll.ig.'!C101</f>
        <v>150955</v>
      </c>
      <c r="D101" s="90">
        <v>197548</v>
      </c>
      <c r="E101" s="90">
        <f t="shared" si="2"/>
        <v>-24827</v>
      </c>
      <c r="F101" s="90">
        <v>172721</v>
      </c>
    </row>
    <row r="102" spans="1:6" ht="12" customHeight="1">
      <c r="A102" s="195" t="s">
        <v>77</v>
      </c>
      <c r="B102" s="47" t="s">
        <v>265</v>
      </c>
      <c r="C102" s="90">
        <f>'3.1.1. sz. mell Önk.kötelező '!C102+'3.1.2. sz. mell Önk.önként.  '!C102+'3.1.3. sz. mell Önk.áll.ig.'!C102</f>
        <v>0</v>
      </c>
      <c r="D102" s="90"/>
      <c r="E102" s="90">
        <f t="shared" si="2"/>
        <v>0</v>
      </c>
      <c r="F102" s="90"/>
    </row>
    <row r="103" spans="1:6" ht="12" customHeight="1">
      <c r="A103" s="195" t="s">
        <v>79</v>
      </c>
      <c r="B103" s="48" t="s">
        <v>266</v>
      </c>
      <c r="C103" s="90">
        <f>'3.1.1. sz. mell Önk.kötelező '!C103+'3.1.2. sz. mell Önk.önként.  '!C103+'3.1.3. sz. mell Önk.áll.ig.'!C103</f>
        <v>0</v>
      </c>
      <c r="D103" s="90"/>
      <c r="E103" s="90">
        <f t="shared" si="2"/>
        <v>21120</v>
      </c>
      <c r="F103" s="90">
        <v>21120</v>
      </c>
    </row>
    <row r="104" spans="1:6" ht="12" customHeight="1">
      <c r="A104" s="204" t="s">
        <v>109</v>
      </c>
      <c r="B104" s="49" t="s">
        <v>267</v>
      </c>
      <c r="C104" s="90"/>
      <c r="D104" s="90"/>
      <c r="E104" s="90"/>
      <c r="F104" s="90"/>
    </row>
    <row r="105" spans="1:6" ht="12" customHeight="1">
      <c r="A105" s="195" t="s">
        <v>257</v>
      </c>
      <c r="B105" s="49" t="s">
        <v>268</v>
      </c>
      <c r="C105" s="90"/>
      <c r="D105" s="90"/>
      <c r="E105" s="90"/>
      <c r="F105" s="90"/>
    </row>
    <row r="106" spans="1:6" ht="12" customHeight="1" thickBot="1">
      <c r="A106" s="205" t="s">
        <v>258</v>
      </c>
      <c r="B106" s="50" t="s">
        <v>269</v>
      </c>
      <c r="C106" s="90">
        <f>'3.1.1. sz. mell Önk.kötelező '!C106+'3.1.2. sz. mell Önk.önként.  '!C106+'3.1.3. sz. mell Önk.áll.ig.'!C106</f>
        <v>71166</v>
      </c>
      <c r="D106" s="90">
        <v>83963</v>
      </c>
      <c r="E106" s="90">
        <f t="shared" si="2"/>
        <v>-21148</v>
      </c>
      <c r="F106" s="314">
        <v>62815</v>
      </c>
    </row>
    <row r="107" spans="1:6" ht="12" customHeight="1" thickBot="1">
      <c r="A107" s="25" t="s">
        <v>7</v>
      </c>
      <c r="B107" s="23" t="s">
        <v>270</v>
      </c>
      <c r="C107" s="87">
        <f>+C108+C110+C112</f>
        <v>149306</v>
      </c>
      <c r="D107" s="87">
        <f>D108+D110+D112</f>
        <v>232931</v>
      </c>
      <c r="E107" s="87">
        <f>E108+E110+E112</f>
        <v>63224</v>
      </c>
      <c r="F107" s="385">
        <f>F108+F110+F112</f>
        <v>296155</v>
      </c>
    </row>
    <row r="108" spans="1:6" ht="12" customHeight="1">
      <c r="A108" s="194" t="s">
        <v>68</v>
      </c>
      <c r="B108" s="6" t="s">
        <v>126</v>
      </c>
      <c r="C108" s="90">
        <f>'3.1.1. sz. mell Önk.kötelező '!C108+'3.1.2. sz. mell Önk.önként.  '!C108+'3.1.3. sz. mell Önk.áll.ig.'!C108</f>
        <v>127729</v>
      </c>
      <c r="D108" s="90">
        <v>207154</v>
      </c>
      <c r="E108" s="90">
        <f t="shared" si="2"/>
        <v>-86904</v>
      </c>
      <c r="F108" s="90">
        <v>120250</v>
      </c>
    </row>
    <row r="109" spans="1:6" ht="12" customHeight="1">
      <c r="A109" s="194" t="s">
        <v>69</v>
      </c>
      <c r="B109" s="10" t="s">
        <v>274</v>
      </c>
      <c r="C109" s="90">
        <f>'3.1.1. sz. mell Önk.kötelező '!C109+'3.1.2. sz. mell Önk.önként.  '!C109+'3.1.3. sz. mell Önk.áll.ig.'!C109</f>
        <v>79054</v>
      </c>
      <c r="D109" s="90">
        <v>79054</v>
      </c>
      <c r="E109" s="90">
        <f t="shared" si="2"/>
        <v>0</v>
      </c>
      <c r="F109" s="90">
        <v>79054</v>
      </c>
    </row>
    <row r="110" spans="1:6" ht="12" customHeight="1">
      <c r="A110" s="194" t="s">
        <v>70</v>
      </c>
      <c r="B110" s="10" t="s">
        <v>110</v>
      </c>
      <c r="C110" s="90">
        <f>'3.1.1. sz. mell Önk.kötelező '!C110+'3.1.2. sz. mell Önk.önként.  '!C110+'3.1.3. sz. mell Önk.áll.ig.'!C110</f>
        <v>7760</v>
      </c>
      <c r="D110" s="90">
        <v>7760</v>
      </c>
      <c r="E110" s="90">
        <f t="shared" si="2"/>
        <v>150938</v>
      </c>
      <c r="F110" s="90">
        <v>158698</v>
      </c>
    </row>
    <row r="111" spans="1:6" ht="12" customHeight="1">
      <c r="A111" s="194" t="s">
        <v>71</v>
      </c>
      <c r="B111" s="10" t="s">
        <v>275</v>
      </c>
      <c r="C111" s="90"/>
      <c r="D111" s="90"/>
      <c r="E111" s="90"/>
      <c r="F111" s="90"/>
    </row>
    <row r="112" spans="1:6" ht="12" customHeight="1">
      <c r="A112" s="194" t="s">
        <v>72</v>
      </c>
      <c r="B112" s="84" t="s">
        <v>129</v>
      </c>
      <c r="C112" s="90">
        <f>'3.1.1. sz. mell Önk.kötelező '!C112+'3.1.2. sz. mell Önk.önként.  '!C112+'3.1.3. sz. mell Önk.áll.ig.'!C112</f>
        <v>13817</v>
      </c>
      <c r="D112" s="90">
        <f>D116+D120</f>
        <v>18017</v>
      </c>
      <c r="E112" s="90">
        <f t="shared" si="2"/>
        <v>-810</v>
      </c>
      <c r="F112" s="90">
        <f>F113+F114+F115+F116+F117+F118+F119+F120</f>
        <v>17207</v>
      </c>
    </row>
    <row r="113" spans="1:6" ht="12" customHeight="1">
      <c r="A113" s="194" t="s">
        <v>78</v>
      </c>
      <c r="B113" s="83" t="s">
        <v>364</v>
      </c>
      <c r="C113" s="90"/>
      <c r="D113" s="90"/>
      <c r="E113" s="90"/>
      <c r="F113" s="90"/>
    </row>
    <row r="114" spans="1:6" ht="12" customHeight="1">
      <c r="A114" s="194" t="s">
        <v>80</v>
      </c>
      <c r="B114" s="172" t="s">
        <v>280</v>
      </c>
      <c r="C114" s="90"/>
      <c r="D114" s="90"/>
      <c r="E114" s="90"/>
      <c r="F114" s="90"/>
    </row>
    <row r="115" spans="1:6" ht="12" customHeight="1">
      <c r="A115" s="194" t="s">
        <v>111</v>
      </c>
      <c r="B115" s="48" t="s">
        <v>263</v>
      </c>
      <c r="C115" s="90"/>
      <c r="D115" s="90"/>
      <c r="E115" s="90"/>
      <c r="F115" s="90"/>
    </row>
    <row r="116" spans="1:6" ht="12" customHeight="1">
      <c r="A116" s="194" t="s">
        <v>112</v>
      </c>
      <c r="B116" s="48" t="s">
        <v>279</v>
      </c>
      <c r="C116" s="90">
        <f>'3.1.1. sz. mell Önk.kötelező '!C116+'3.1.2. sz. mell Önk.önként.  '!C116+'3.1.3. sz. mell Önk.áll.ig.'!C116</f>
        <v>10000</v>
      </c>
      <c r="D116" s="90">
        <v>10000</v>
      </c>
      <c r="E116" s="90">
        <f t="shared" si="2"/>
        <v>-810</v>
      </c>
      <c r="F116" s="90">
        <v>9190</v>
      </c>
    </row>
    <row r="117" spans="1:6" ht="12" customHeight="1">
      <c r="A117" s="194" t="s">
        <v>113</v>
      </c>
      <c r="B117" s="48" t="s">
        <v>278</v>
      </c>
      <c r="C117" s="90"/>
      <c r="D117" s="90"/>
      <c r="E117" s="90"/>
      <c r="F117" s="90"/>
    </row>
    <row r="118" spans="1:6" ht="12" customHeight="1">
      <c r="A118" s="194" t="s">
        <v>271</v>
      </c>
      <c r="B118" s="48" t="s">
        <v>266</v>
      </c>
      <c r="C118" s="90"/>
      <c r="D118" s="90"/>
      <c r="E118" s="90"/>
      <c r="F118" s="90"/>
    </row>
    <row r="119" spans="1:6" ht="12" customHeight="1">
      <c r="A119" s="194" t="s">
        <v>272</v>
      </c>
      <c r="B119" s="48" t="s">
        <v>277</v>
      </c>
      <c r="C119" s="90"/>
      <c r="D119" s="90"/>
      <c r="E119" s="90"/>
      <c r="F119" s="90"/>
    </row>
    <row r="120" spans="1:6" ht="12" customHeight="1" thickBot="1">
      <c r="A120" s="204" t="s">
        <v>273</v>
      </c>
      <c r="B120" s="48" t="s">
        <v>276</v>
      </c>
      <c r="C120" s="90">
        <f>'3.1.1. sz. mell Önk.kötelező '!C120+'3.1.2. sz. mell Önk.önként.  '!C120+'3.1.3. sz. mell Önk.áll.ig.'!C120</f>
        <v>3817</v>
      </c>
      <c r="D120" s="90">
        <v>8017</v>
      </c>
      <c r="E120" s="90">
        <f t="shared" si="2"/>
        <v>0</v>
      </c>
      <c r="F120" s="314">
        <v>8017</v>
      </c>
    </row>
    <row r="121" spans="1:6" ht="12" customHeight="1" thickBot="1">
      <c r="A121" s="25" t="s">
        <v>8</v>
      </c>
      <c r="B121" s="44" t="s">
        <v>281</v>
      </c>
      <c r="C121" s="87">
        <f>+C122+C123</f>
        <v>336369</v>
      </c>
      <c r="D121" s="87">
        <f>+D122+D123</f>
        <v>310342</v>
      </c>
      <c r="E121" s="87">
        <f>+E122+E123</f>
        <v>185713</v>
      </c>
      <c r="F121" s="385">
        <f>F122+F123</f>
        <v>496055</v>
      </c>
    </row>
    <row r="122" spans="1:6" ht="12" customHeight="1">
      <c r="A122" s="194" t="s">
        <v>51</v>
      </c>
      <c r="B122" s="7" t="s">
        <v>44</v>
      </c>
      <c r="C122" s="90">
        <f>'3.1.1. sz. mell Önk.kötelező '!C122+'3.1.2. sz. mell Önk.önként.  '!C122+'3.1.3. sz. mell Önk.áll.ig.'!C122</f>
        <v>5000</v>
      </c>
      <c r="D122" s="90">
        <v>51615</v>
      </c>
      <c r="E122" s="90">
        <f t="shared" si="2"/>
        <v>187913</v>
      </c>
      <c r="F122" s="90">
        <v>239528</v>
      </c>
    </row>
    <row r="123" spans="1:6" ht="12" customHeight="1" thickBot="1">
      <c r="A123" s="196" t="s">
        <v>52</v>
      </c>
      <c r="B123" s="10" t="s">
        <v>45</v>
      </c>
      <c r="C123" s="90">
        <f>'3.1.1. sz. mell Önk.kötelező '!C123+'3.1.2. sz. mell Önk.önként.  '!C123+'3.1.3. sz. mell Önk.áll.ig.'!C123</f>
        <v>331369</v>
      </c>
      <c r="D123" s="90">
        <v>258727</v>
      </c>
      <c r="E123" s="90">
        <f t="shared" si="2"/>
        <v>-2200</v>
      </c>
      <c r="F123" s="314">
        <v>256527</v>
      </c>
    </row>
    <row r="124" spans="1:6" ht="12" customHeight="1" thickBot="1">
      <c r="A124" s="25" t="s">
        <v>9</v>
      </c>
      <c r="B124" s="44" t="s">
        <v>282</v>
      </c>
      <c r="C124" s="87">
        <f>+C91+C107+C121</f>
        <v>1194996</v>
      </c>
      <c r="D124" s="87">
        <f>+D91+D107+D121</f>
        <v>1363216</v>
      </c>
      <c r="E124" s="87">
        <f>+E91+E107+E121</f>
        <v>219827</v>
      </c>
      <c r="F124" s="385">
        <f>F91+F107+F121</f>
        <v>1583043</v>
      </c>
    </row>
    <row r="125" spans="1:6" ht="12" customHeight="1" thickBot="1">
      <c r="A125" s="25" t="s">
        <v>10</v>
      </c>
      <c r="B125" s="44" t="s">
        <v>283</v>
      </c>
      <c r="C125" s="87">
        <f>+C126+C127+C128</f>
        <v>0</v>
      </c>
      <c r="D125" s="87">
        <f>+D126+D127+D128</f>
        <v>0</v>
      </c>
      <c r="E125" s="90"/>
      <c r="F125" s="384">
        <f t="shared" ref="F125:F149" si="3">SUM(D125+E125)</f>
        <v>0</v>
      </c>
    </row>
    <row r="126" spans="1:6" s="41" customFormat="1" ht="12" customHeight="1">
      <c r="A126" s="194" t="s">
        <v>55</v>
      </c>
      <c r="B126" s="7" t="s">
        <v>284</v>
      </c>
      <c r="C126" s="90">
        <f>'3.1.1. sz. mell Önk.kötelező '!C126+'3.1.2. sz. mell Önk.önként.  '!C126+'3.1.3. sz. mell Önk.áll.ig.'!C126</f>
        <v>0</v>
      </c>
      <c r="D126" s="90">
        <f>'3.1.1. sz. mell Önk.kötelező '!D126+'3.1.2. sz. mell Önk.önként.  '!D126+'3.1.3. sz. mell Önk.áll.ig.'!D126</f>
        <v>0</v>
      </c>
      <c r="E126" s="90"/>
      <c r="F126" s="90"/>
    </row>
    <row r="127" spans="1:6" ht="12" customHeight="1">
      <c r="A127" s="194" t="s">
        <v>56</v>
      </c>
      <c r="B127" s="7" t="s">
        <v>285</v>
      </c>
      <c r="C127" s="90">
        <f>'3.1.1. sz. mell Önk.kötelező '!C127+'3.1.2. sz. mell Önk.önként.  '!C127+'3.1.3. sz. mell Önk.áll.ig.'!C127</f>
        <v>0</v>
      </c>
      <c r="D127" s="90">
        <f>'3.1.1. sz. mell Önk.kötelező '!D127+'3.1.2. sz. mell Önk.önként.  '!D127+'3.1.3. sz. mell Önk.áll.ig.'!D127</f>
        <v>0</v>
      </c>
      <c r="E127" s="90"/>
      <c r="F127" s="90"/>
    </row>
    <row r="128" spans="1:6" ht="12" customHeight="1" thickBot="1">
      <c r="A128" s="204" t="s">
        <v>57</v>
      </c>
      <c r="B128" s="5" t="s">
        <v>286</v>
      </c>
      <c r="C128" s="90">
        <f>'3.1.1. sz. mell Önk.kötelező '!C128+'3.1.2. sz. mell Önk.önként.  '!C128+'3.1.3. sz. mell Önk.áll.ig.'!C128</f>
        <v>0</v>
      </c>
      <c r="D128" s="90">
        <f>'3.1.1. sz. mell Önk.kötelező '!D128+'3.1.2. sz. mell Önk.önként.  '!D128+'3.1.3. sz. mell Önk.áll.ig.'!D128</f>
        <v>0</v>
      </c>
      <c r="E128" s="90"/>
      <c r="F128" s="314"/>
    </row>
    <row r="129" spans="1:14" ht="12" customHeight="1" thickBot="1">
      <c r="A129" s="25" t="s">
        <v>11</v>
      </c>
      <c r="B129" s="44" t="s">
        <v>331</v>
      </c>
      <c r="C129" s="87">
        <f>+C130+C131+C132+C133</f>
        <v>0</v>
      </c>
      <c r="D129" s="87">
        <f>+D130+D131+D132+D133</f>
        <v>0</v>
      </c>
      <c r="E129" s="87">
        <f>+E130+E131+E132+E133</f>
        <v>0</v>
      </c>
      <c r="F129" s="384">
        <f t="shared" si="3"/>
        <v>0</v>
      </c>
    </row>
    <row r="130" spans="1:14" ht="12" customHeight="1">
      <c r="A130" s="194" t="s">
        <v>58</v>
      </c>
      <c r="B130" s="7" t="s">
        <v>287</v>
      </c>
      <c r="C130" s="90">
        <f>'3.1.1. sz. mell Önk.kötelező '!C130+'3.1.2. sz. mell Önk.önként.  '!C130+'3.1.3. sz. mell Önk.áll.ig.'!C130</f>
        <v>0</v>
      </c>
      <c r="D130" s="90"/>
      <c r="E130" s="90"/>
      <c r="F130" s="90"/>
    </row>
    <row r="131" spans="1:14" ht="12" customHeight="1">
      <c r="A131" s="194" t="s">
        <v>59</v>
      </c>
      <c r="B131" s="7" t="s">
        <v>288</v>
      </c>
      <c r="C131" s="90">
        <f>'3.1.1. sz. mell Önk.kötelező '!C131+'3.1.2. sz. mell Önk.önként.  '!C131+'3.1.3. sz. mell Önk.áll.ig.'!C131</f>
        <v>0</v>
      </c>
      <c r="D131" s="90"/>
      <c r="E131" s="90"/>
      <c r="F131" s="90"/>
    </row>
    <row r="132" spans="1:14" ht="12" customHeight="1">
      <c r="A132" s="194" t="s">
        <v>190</v>
      </c>
      <c r="B132" s="7" t="s">
        <v>289</v>
      </c>
      <c r="C132" s="90">
        <f>'3.1.1. sz. mell Önk.kötelező '!C132+'3.1.2. sz. mell Önk.önként.  '!C132+'3.1.3. sz. mell Önk.áll.ig.'!C132</f>
        <v>0</v>
      </c>
      <c r="D132" s="90"/>
      <c r="E132" s="90"/>
      <c r="F132" s="90"/>
    </row>
    <row r="133" spans="1:14" s="41" customFormat="1" ht="12" customHeight="1" thickBot="1">
      <c r="A133" s="204" t="s">
        <v>191</v>
      </c>
      <c r="B133" s="5" t="s">
        <v>290</v>
      </c>
      <c r="C133" s="90">
        <f>'3.1.1. sz. mell Önk.kötelező '!C133+'3.1.2. sz. mell Önk.önként.  '!C133+'3.1.3. sz. mell Önk.áll.ig.'!C133</f>
        <v>0</v>
      </c>
      <c r="D133" s="90"/>
      <c r="E133" s="90"/>
      <c r="F133" s="314"/>
    </row>
    <row r="134" spans="1:14" ht="12" customHeight="1" thickBot="1">
      <c r="A134" s="25" t="s">
        <v>12</v>
      </c>
      <c r="B134" s="44" t="s">
        <v>291</v>
      </c>
      <c r="C134" s="93">
        <f>+C135+C136+C138+C139+C137</f>
        <v>0</v>
      </c>
      <c r="D134" s="93">
        <v>13770</v>
      </c>
      <c r="E134" s="90">
        <f t="shared" si="2"/>
        <v>0</v>
      </c>
      <c r="F134" s="385">
        <f>F135+F136+F137+F138+F139</f>
        <v>13770</v>
      </c>
      <c r="N134" s="79"/>
    </row>
    <row r="135" spans="1:14">
      <c r="A135" s="194" t="s">
        <v>60</v>
      </c>
      <c r="B135" s="7" t="s">
        <v>292</v>
      </c>
      <c r="C135" s="90"/>
      <c r="D135" s="90">
        <v>13770</v>
      </c>
      <c r="E135" s="90"/>
      <c r="F135" s="90">
        <v>13770</v>
      </c>
    </row>
    <row r="136" spans="1:14" ht="12" customHeight="1">
      <c r="A136" s="194" t="s">
        <v>61</v>
      </c>
      <c r="B136" s="7" t="s">
        <v>302</v>
      </c>
      <c r="C136" s="90"/>
      <c r="D136" s="90"/>
      <c r="E136" s="90">
        <f t="shared" si="2"/>
        <v>0</v>
      </c>
      <c r="F136" s="90"/>
    </row>
    <row r="137" spans="1:14" ht="12" customHeight="1">
      <c r="A137" s="194" t="s">
        <v>435</v>
      </c>
      <c r="B137" s="7" t="s">
        <v>438</v>
      </c>
      <c r="C137" s="90"/>
      <c r="D137" s="90"/>
      <c r="E137" s="90">
        <f t="shared" si="2"/>
        <v>0</v>
      </c>
      <c r="F137" s="90"/>
    </row>
    <row r="138" spans="1:14" s="41" customFormat="1" ht="12" customHeight="1">
      <c r="A138" s="194" t="s">
        <v>436</v>
      </c>
      <c r="B138" s="7" t="s">
        <v>293</v>
      </c>
      <c r="C138" s="90">
        <f>'3.1.1. sz. mell Önk.kötelező '!C137+'3.1.2. sz. mell Önk.önként.  '!C137+'3.1.3. sz. mell Önk.áll.ig.'!C137</f>
        <v>0</v>
      </c>
      <c r="D138" s="90"/>
      <c r="E138" s="90"/>
      <c r="F138" s="90"/>
    </row>
    <row r="139" spans="1:14" s="41" customFormat="1" ht="12" customHeight="1" thickBot="1">
      <c r="A139" s="204" t="s">
        <v>437</v>
      </c>
      <c r="B139" s="5" t="s">
        <v>294</v>
      </c>
      <c r="C139" s="90">
        <f>'3.1.1. sz. mell Önk.kötelező '!C138+'3.1.2. sz. mell Önk.önként.  '!C138+'3.1.3. sz. mell Önk.áll.ig.'!C138</f>
        <v>0</v>
      </c>
      <c r="D139" s="90"/>
      <c r="E139" s="90"/>
      <c r="F139" s="314"/>
    </row>
    <row r="140" spans="1:14" s="41" customFormat="1" ht="12" customHeight="1" thickBot="1">
      <c r="A140" s="25" t="s">
        <v>13</v>
      </c>
      <c r="B140" s="44" t="s">
        <v>295</v>
      </c>
      <c r="C140" s="96">
        <f>+C141+C142+C143+C144</f>
        <v>0</v>
      </c>
      <c r="D140" s="96">
        <f>+D141+D142+D143+D144</f>
        <v>0</v>
      </c>
      <c r="E140" s="96">
        <f>+E141+E142+E143+E144</f>
        <v>0</v>
      </c>
      <c r="F140" s="384">
        <f t="shared" si="3"/>
        <v>0</v>
      </c>
    </row>
    <row r="141" spans="1:14" s="41" customFormat="1" ht="12" customHeight="1">
      <c r="A141" s="194" t="s">
        <v>104</v>
      </c>
      <c r="B141" s="7" t="s">
        <v>296</v>
      </c>
      <c r="C141" s="90">
        <f>'3.1.1. sz. mell Önk.kötelező '!C140+'3.1.2. sz. mell Önk.önként.  '!C140+'3.1.3. sz. mell Önk.áll.ig.'!C140</f>
        <v>0</v>
      </c>
      <c r="D141" s="90"/>
      <c r="E141" s="90"/>
      <c r="F141" s="90"/>
    </row>
    <row r="142" spans="1:14" s="41" customFormat="1" ht="12" customHeight="1">
      <c r="A142" s="194" t="s">
        <v>105</v>
      </c>
      <c r="B142" s="7" t="s">
        <v>297</v>
      </c>
      <c r="C142" s="90">
        <f>'3.1.1. sz. mell Önk.kötelező '!C141+'3.1.2. sz. mell Önk.önként.  '!C141+'3.1.3. sz. mell Önk.áll.ig.'!C141</f>
        <v>0</v>
      </c>
      <c r="D142" s="90"/>
      <c r="E142" s="90"/>
      <c r="F142" s="90"/>
    </row>
    <row r="143" spans="1:14" s="41" customFormat="1" ht="12" customHeight="1">
      <c r="A143" s="194" t="s">
        <v>128</v>
      </c>
      <c r="B143" s="7" t="s">
        <v>298</v>
      </c>
      <c r="C143" s="90">
        <f>'3.1.1. sz. mell Önk.kötelező '!C142+'3.1.2. sz. mell Önk.önként.  '!C142+'3.1.3. sz. mell Önk.áll.ig.'!C142</f>
        <v>0</v>
      </c>
      <c r="D143" s="90"/>
      <c r="E143" s="90"/>
      <c r="F143" s="90"/>
    </row>
    <row r="144" spans="1:14" ht="12.75" customHeight="1" thickBot="1">
      <c r="A144" s="194" t="s">
        <v>206</v>
      </c>
      <c r="B144" s="7" t="s">
        <v>299</v>
      </c>
      <c r="C144" s="90">
        <f>'3.1.1. sz. mell Önk.kötelező '!C143+'3.1.2. sz. mell Önk.önként.  '!C143+'3.1.3. sz. mell Önk.áll.ig.'!C143</f>
        <v>0</v>
      </c>
      <c r="D144" s="90"/>
      <c r="E144" s="90"/>
      <c r="F144" s="314"/>
    </row>
    <row r="145" spans="1:6" ht="12" customHeight="1" thickBot="1">
      <c r="A145" s="25" t="s">
        <v>14</v>
      </c>
      <c r="B145" s="44" t="s">
        <v>300</v>
      </c>
      <c r="C145" s="188">
        <f>+C125+C129+C134+C140</f>
        <v>0</v>
      </c>
      <c r="D145" s="188">
        <f>+D125+D129+D134+D140</f>
        <v>13770</v>
      </c>
      <c r="E145" s="90">
        <f t="shared" si="2"/>
        <v>0</v>
      </c>
      <c r="F145" s="385">
        <f>F125+F129+F134+F140</f>
        <v>13770</v>
      </c>
    </row>
    <row r="146" spans="1:6" ht="15" customHeight="1" thickBot="1">
      <c r="A146" s="206" t="s">
        <v>15</v>
      </c>
      <c r="B146" s="153" t="s">
        <v>301</v>
      </c>
      <c r="C146" s="188">
        <f>+C124+C145</f>
        <v>1194996</v>
      </c>
      <c r="D146" s="188">
        <f>+D124+D145</f>
        <v>1376986</v>
      </c>
      <c r="E146" s="188">
        <f>+E124+E145</f>
        <v>219827</v>
      </c>
      <c r="F146" s="385">
        <f>F124+F145</f>
        <v>1596813</v>
      </c>
    </row>
    <row r="147" spans="1:6" ht="13.5" thickBot="1">
      <c r="F147" s="314">
        <f t="shared" si="3"/>
        <v>0</v>
      </c>
    </row>
    <row r="148" spans="1:6" ht="15" customHeight="1" thickBot="1">
      <c r="A148" s="76" t="s">
        <v>121</v>
      </c>
      <c r="B148" s="77"/>
      <c r="C148" s="42">
        <v>12</v>
      </c>
      <c r="D148" s="42">
        <v>12</v>
      </c>
      <c r="E148" s="42"/>
      <c r="F148" s="385">
        <f t="shared" si="3"/>
        <v>12</v>
      </c>
    </row>
    <row r="149" spans="1:6" ht="14.25" customHeight="1" thickBot="1">
      <c r="A149" s="76" t="s">
        <v>122</v>
      </c>
      <c r="B149" s="77"/>
      <c r="C149" s="42"/>
      <c r="D149" s="42"/>
      <c r="E149" s="42"/>
      <c r="F149" s="384">
        <f t="shared" si="3"/>
        <v>0</v>
      </c>
    </row>
  </sheetData>
  <sheetProtection formatCells="0"/>
  <mergeCells count="5">
    <mergeCell ref="A90:F90"/>
    <mergeCell ref="C2:F2"/>
    <mergeCell ref="C3:F3"/>
    <mergeCell ref="C4:F4"/>
    <mergeCell ref="A7:F7"/>
  </mergeCells>
  <phoneticPr fontId="25" type="noConversion"/>
  <printOptions horizontalCentered="1"/>
  <pageMargins left="0.59055118110236227" right="0.59055118110236227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23</vt:i4>
      </vt:variant>
      <vt:variant>
        <vt:lpstr>Névvel ellátott tartományok</vt:lpstr>
      </vt:variant>
      <vt:variant>
        <vt:i4>16</vt:i4>
      </vt:variant>
    </vt:vector>
  </HeadingPairs>
  <TitlesOfParts>
    <vt:vector size="39" baseType="lpstr">
      <vt:lpstr>1.1.sz.mell.összesen</vt:lpstr>
      <vt:lpstr>1.2.sz.mell kötelező össz.</vt:lpstr>
      <vt:lpstr>1.3.sz.mell önként.össz.</vt:lpstr>
      <vt:lpstr>1.4.sz.mell áll.ig.össz.</vt:lpstr>
      <vt:lpstr>1.3.sz.mell Önként vállalt   </vt:lpstr>
      <vt:lpstr>1.4.sz.mell államig.össz.</vt:lpstr>
      <vt:lpstr>2.1.sz.mell műk.mérleg </vt:lpstr>
      <vt:lpstr>2.2.sz.mell felhalm.mérleg  </vt:lpstr>
      <vt:lpstr>3.1. sz. mell Önk.össz.</vt:lpstr>
      <vt:lpstr>3.1.1. sz. mell Önk.kötelező </vt:lpstr>
      <vt:lpstr>3.1.2. sz. mell Önk.önként.  </vt:lpstr>
      <vt:lpstr>3.1.3. sz. mell Önk.áll.ig.</vt:lpstr>
      <vt:lpstr>3.1.1. sz. mell Önk.önként váll</vt:lpstr>
      <vt:lpstr>3.1.1. sz. mell Önk.államig. fe</vt:lpstr>
      <vt:lpstr>3.2 Polgármesteri Hivatal össz.</vt:lpstr>
      <vt:lpstr>3.2.1Polgármesteri Hiv.kötelező</vt:lpstr>
      <vt:lpstr>3.2.2 Polg.Hiv.államig.fel.</vt:lpstr>
      <vt:lpstr>3.2.2 Polg.Hiv.önként vállalt f</vt:lpstr>
      <vt:lpstr>3.3. sz. mell Óvoda össz.</vt:lpstr>
      <vt:lpstr>3.3.1 sz. mell Óvoda köt.</vt:lpstr>
      <vt:lpstr>3.4 Város- és Műv.kp. összes</vt:lpstr>
      <vt:lpstr>3.4.1 Város- és Műv.kp.kötelező</vt:lpstr>
      <vt:lpstr>4.sz.mell - tartalék</vt:lpstr>
      <vt:lpstr>'3.1. sz. mell Önk.össz.'!Nyomtatási_cím</vt:lpstr>
      <vt:lpstr>'3.1.1. sz. mell Önk.államig. fe'!Nyomtatási_cím</vt:lpstr>
      <vt:lpstr>'3.1.1. sz. mell Önk.kötelező '!Nyomtatási_cím</vt:lpstr>
      <vt:lpstr>'3.1.1. sz. mell Önk.önként váll'!Nyomtatási_cím</vt:lpstr>
      <vt:lpstr>'3.1.2. sz. mell Önk.önként.  '!Nyomtatási_cím</vt:lpstr>
      <vt:lpstr>'3.1.3. sz. mell Önk.áll.ig.'!Nyomtatási_cím</vt:lpstr>
      <vt:lpstr>'3.3. sz. mell Óvoda össz.'!Nyomtatási_cím</vt:lpstr>
      <vt:lpstr>'3.3.1 sz. mell Óvoda köt.'!Nyomtatási_cím</vt:lpstr>
      <vt:lpstr>'1.1.sz.mell.összesen'!Nyomtatási_terület</vt:lpstr>
      <vt:lpstr>'1.2.sz.mell kötelező össz.'!Nyomtatási_terület</vt:lpstr>
      <vt:lpstr>'1.3.sz.mell Önként vállalt   '!Nyomtatási_terület</vt:lpstr>
      <vt:lpstr>'1.3.sz.mell önként.össz.'!Nyomtatási_terület</vt:lpstr>
      <vt:lpstr>'1.4.sz.mell áll.ig.össz.'!Nyomtatási_terület</vt:lpstr>
      <vt:lpstr>'1.4.sz.mell államig.össz.'!Nyomtatási_terület</vt:lpstr>
      <vt:lpstr>'2.1.sz.mell műk.mérleg '!Nyomtatási_terület</vt:lpstr>
      <vt:lpstr>'2.2.sz.mell felhalm.mérleg 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Dr. Karsay Anita</cp:lastModifiedBy>
  <cp:lastPrinted>2016-03-04T07:20:51Z</cp:lastPrinted>
  <dcterms:created xsi:type="dcterms:W3CDTF">1999-10-30T10:30:45Z</dcterms:created>
  <dcterms:modified xsi:type="dcterms:W3CDTF">2016-03-04T07:23:38Z</dcterms:modified>
</cp:coreProperties>
</file>