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9440" windowHeight="15600" tabRatio="944" firstSheet="3" activeTab="8"/>
  </bookViews>
  <sheets>
    <sheet name="1. Bevételek" sheetId="41" r:id="rId1"/>
    <sheet name="1.1.Bevételek (KÖT, ÖNV,Áll.i)" sheetId="201" r:id="rId2"/>
    <sheet name="2. Kiadások" sheetId="5" r:id="rId3"/>
    <sheet name="2.1.Kiadások (KÖT, ÖNV, Áll.i)" sheetId="202" r:id="rId4"/>
    <sheet name="3.Működési mérleg" sheetId="196" r:id="rId5"/>
    <sheet name="4. Felhalmozási mérleg" sheetId="197" r:id="rId6"/>
    <sheet name="5. Pénzeszköz átadás" sheetId="190" r:id="rId7"/>
    <sheet name="6 .Felhalmozási k." sheetId="194" r:id="rId8"/>
    <sheet name="7. Kötelezettség" sheetId="200" r:id="rId9"/>
    <sheet name="8. Létszám" sheetId="195" r:id="rId10"/>
    <sheet name="9. Adósságk." sheetId="198" r:id="rId11"/>
  </sheets>
  <externalReferences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0">'1. Bevételek'!$3:$6</definedName>
    <definedName name="_xlnm.Print_Titles" localSheetId="2">'2. Kiadások'!$3:$3</definedName>
    <definedName name="_xlnm.Print_Area" localSheetId="0">'1. Bevételek'!$A$1:$R$58</definedName>
    <definedName name="_xlnm.Print_Area" localSheetId="2">'2. Kiadások'!$A$1:$R$31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197" l="1"/>
  <c r="K35" i="197"/>
  <c r="K33" i="197"/>
  <c r="K19" i="197"/>
  <c r="K7" i="197"/>
  <c r="K8" i="197"/>
  <c r="K6" i="197"/>
  <c r="K18" i="196"/>
  <c r="K26" i="196"/>
  <c r="K25" i="196"/>
  <c r="K11" i="196"/>
  <c r="K10" i="196"/>
  <c r="K9" i="196"/>
  <c r="K8" i="196"/>
  <c r="K7" i="196"/>
  <c r="K6" i="196"/>
  <c r="J18" i="196"/>
  <c r="I18" i="197"/>
  <c r="I8" i="197"/>
  <c r="I6" i="197"/>
  <c r="I25" i="196"/>
  <c r="I26" i="196"/>
  <c r="I11" i="196"/>
  <c r="I10" i="196"/>
  <c r="I9" i="196"/>
  <c r="I8" i="196"/>
  <c r="I7" i="196"/>
  <c r="I6" i="196"/>
  <c r="G16" i="197"/>
  <c r="E32" i="197"/>
  <c r="D32" i="197"/>
  <c r="D30" i="196"/>
  <c r="D28" i="196"/>
  <c r="D27" i="196"/>
  <c r="D18" i="196"/>
  <c r="C6" i="196"/>
  <c r="F14" i="197" l="1"/>
  <c r="E14" i="197" s="1"/>
  <c r="G14" i="197"/>
  <c r="C17" i="197"/>
  <c r="E17" i="197" s="1"/>
  <c r="C16" i="197"/>
  <c r="C6" i="197"/>
  <c r="E6" i="197"/>
  <c r="E18" i="197"/>
  <c r="E16" i="197"/>
  <c r="E19" i="197" s="1"/>
  <c r="E15" i="197"/>
  <c r="E13" i="197"/>
  <c r="E12" i="197"/>
  <c r="E11" i="197"/>
  <c r="E10" i="197"/>
  <c r="E9" i="197"/>
  <c r="E8" i="197"/>
  <c r="E7" i="197"/>
  <c r="C23" i="196"/>
  <c r="C10" i="196"/>
  <c r="C9" i="196"/>
  <c r="C7" i="196"/>
  <c r="E37" i="197" l="1"/>
  <c r="E36" i="197"/>
  <c r="E33" i="197"/>
  <c r="E35" i="197" s="1"/>
  <c r="E26" i="196"/>
  <c r="E25" i="196"/>
  <c r="N28" i="202"/>
  <c r="O28" i="202"/>
  <c r="P28" i="202"/>
  <c r="Q28" i="202"/>
  <c r="O21" i="202"/>
  <c r="P21" i="202"/>
  <c r="Q21" i="202"/>
  <c r="N16" i="202"/>
  <c r="O16" i="202"/>
  <c r="P16" i="202"/>
  <c r="Q16" i="202"/>
  <c r="Q8" i="202"/>
  <c r="N8" i="202"/>
  <c r="O8" i="202"/>
  <c r="O29" i="202" s="1"/>
  <c r="Q29" i="202" l="1"/>
  <c r="G32" i="202"/>
  <c r="H32" i="202"/>
  <c r="I32" i="202"/>
  <c r="J32" i="202"/>
  <c r="L32" i="202"/>
  <c r="M32" i="202"/>
  <c r="N32" i="202"/>
  <c r="O32" i="202"/>
  <c r="P32" i="202"/>
  <c r="Q32" i="202"/>
  <c r="G28" i="202"/>
  <c r="H28" i="202"/>
  <c r="I28" i="202"/>
  <c r="J28" i="202"/>
  <c r="F21" i="202"/>
  <c r="G21" i="202"/>
  <c r="H21" i="202"/>
  <c r="I21" i="202"/>
  <c r="J21" i="202"/>
  <c r="L21" i="202"/>
  <c r="M21" i="202"/>
  <c r="R21" i="202" s="1"/>
  <c r="N21" i="202"/>
  <c r="N29" i="202" s="1"/>
  <c r="G16" i="202"/>
  <c r="H16" i="202"/>
  <c r="I16" i="202"/>
  <c r="J16" i="202"/>
  <c r="K14" i="202"/>
  <c r="K13" i="202"/>
  <c r="G8" i="202"/>
  <c r="G29" i="202" s="1"/>
  <c r="H8" i="202"/>
  <c r="I8" i="202"/>
  <c r="I29" i="202" s="1"/>
  <c r="J8" i="202"/>
  <c r="J29" i="202" s="1"/>
  <c r="R32" i="201"/>
  <c r="R56" i="201"/>
  <c r="R54" i="201"/>
  <c r="R52" i="201"/>
  <c r="R50" i="201"/>
  <c r="R47" i="201"/>
  <c r="R46" i="201"/>
  <c r="R45" i="201"/>
  <c r="R43" i="201"/>
  <c r="R41" i="201"/>
  <c r="R40" i="201"/>
  <c r="R38" i="201"/>
  <c r="R37" i="201"/>
  <c r="R36" i="201"/>
  <c r="R35" i="201"/>
  <c r="R34" i="201"/>
  <c r="R33" i="201"/>
  <c r="R31" i="201"/>
  <c r="R30" i="201"/>
  <c r="R28" i="201"/>
  <c r="R26" i="201"/>
  <c r="R25" i="201"/>
  <c r="R24" i="201"/>
  <c r="R23" i="201"/>
  <c r="R20" i="201"/>
  <c r="R17" i="201"/>
  <c r="R16" i="201"/>
  <c r="R15" i="201"/>
  <c r="R14" i="201"/>
  <c r="R13" i="201"/>
  <c r="R11" i="201"/>
  <c r="R10" i="201"/>
  <c r="R9" i="201"/>
  <c r="R8" i="201"/>
  <c r="R7" i="201"/>
  <c r="R6" i="201"/>
  <c r="R31" i="202"/>
  <c r="R30" i="202"/>
  <c r="R27" i="202"/>
  <c r="R26" i="202"/>
  <c r="R25" i="202"/>
  <c r="R24" i="202"/>
  <c r="R23" i="202"/>
  <c r="R22" i="202"/>
  <c r="R20" i="202"/>
  <c r="R19" i="202"/>
  <c r="R18" i="202"/>
  <c r="R17" i="202"/>
  <c r="R15" i="202"/>
  <c r="R14" i="202"/>
  <c r="R13" i="202"/>
  <c r="R12" i="202"/>
  <c r="R11" i="202"/>
  <c r="R10" i="202"/>
  <c r="R9" i="202"/>
  <c r="R7" i="202"/>
  <c r="R6" i="202"/>
  <c r="K31" i="202"/>
  <c r="K32" i="202" s="1"/>
  <c r="K30" i="202"/>
  <c r="K27" i="202"/>
  <c r="K26" i="202"/>
  <c r="K25" i="202"/>
  <c r="K28" i="202" s="1"/>
  <c r="K24" i="202"/>
  <c r="K23" i="202"/>
  <c r="K22" i="202"/>
  <c r="K20" i="202"/>
  <c r="K21" i="202" s="1"/>
  <c r="K19" i="202"/>
  <c r="K18" i="202"/>
  <c r="K17" i="202"/>
  <c r="K15" i="202"/>
  <c r="K12" i="202"/>
  <c r="K11" i="202"/>
  <c r="K10" i="202"/>
  <c r="K9" i="202"/>
  <c r="K7" i="202"/>
  <c r="K6" i="202"/>
  <c r="G44" i="201"/>
  <c r="G42" i="201"/>
  <c r="H42" i="201"/>
  <c r="J42" i="201"/>
  <c r="J44" i="201"/>
  <c r="U31" i="201"/>
  <c r="K56" i="201"/>
  <c r="K54" i="201"/>
  <c r="K52" i="201"/>
  <c r="K50" i="201"/>
  <c r="K47" i="201"/>
  <c r="K46" i="201"/>
  <c r="K45" i="201"/>
  <c r="K43" i="201"/>
  <c r="K41" i="201"/>
  <c r="K40" i="201"/>
  <c r="K38" i="201"/>
  <c r="K37" i="201"/>
  <c r="K36" i="201"/>
  <c r="K35" i="201"/>
  <c r="K34" i="201"/>
  <c r="K33" i="201"/>
  <c r="K32" i="201"/>
  <c r="K31" i="201"/>
  <c r="K30" i="201"/>
  <c r="K28" i="201"/>
  <c r="K26" i="201"/>
  <c r="K25" i="201"/>
  <c r="K24" i="201"/>
  <c r="K23" i="201"/>
  <c r="K20" i="201"/>
  <c r="K17" i="201"/>
  <c r="K16" i="201"/>
  <c r="K15" i="201"/>
  <c r="K14" i="201"/>
  <c r="K13" i="201"/>
  <c r="K11" i="201"/>
  <c r="K10" i="201"/>
  <c r="K9" i="201"/>
  <c r="K8" i="201"/>
  <c r="K7" i="201"/>
  <c r="K6" i="201"/>
  <c r="J22" i="201"/>
  <c r="J18" i="201"/>
  <c r="G21" i="201"/>
  <c r="G22" i="201" s="1"/>
  <c r="G18" i="201"/>
  <c r="N12" i="201"/>
  <c r="O12" i="201"/>
  <c r="P12" i="201"/>
  <c r="Q12" i="201"/>
  <c r="J12" i="201"/>
  <c r="G12" i="201"/>
  <c r="G19" i="201" s="1"/>
  <c r="N67" i="194"/>
  <c r="N65" i="194"/>
  <c r="N63" i="194"/>
  <c r="N61" i="194"/>
  <c r="N60" i="194"/>
  <c r="N58" i="194"/>
  <c r="N57" i="194"/>
  <c r="N56" i="194"/>
  <c r="N55" i="194"/>
  <c r="N54" i="194"/>
  <c r="N53" i="194"/>
  <c r="N51" i="194"/>
  <c r="N50" i="194"/>
  <c r="N47" i="194"/>
  <c r="N45" i="194"/>
  <c r="N44" i="194"/>
  <c r="N43" i="194"/>
  <c r="N42" i="194"/>
  <c r="N41" i="194"/>
  <c r="N40" i="194"/>
  <c r="N39" i="194"/>
  <c r="N38" i="194"/>
  <c r="N37" i="194"/>
  <c r="N36" i="194"/>
  <c r="N35" i="194"/>
  <c r="N34" i="194"/>
  <c r="N33" i="194"/>
  <c r="N32" i="194"/>
  <c r="N30" i="194"/>
  <c r="N29" i="194"/>
  <c r="N26" i="194"/>
  <c r="N25" i="194"/>
  <c r="N24" i="194"/>
  <c r="N23" i="194"/>
  <c r="N22" i="194"/>
  <c r="N20" i="194"/>
  <c r="N19" i="194"/>
  <c r="N18" i="194"/>
  <c r="N17" i="194"/>
  <c r="N15" i="194"/>
  <c r="N13" i="194"/>
  <c r="N12" i="194"/>
  <c r="N10" i="194"/>
  <c r="N9" i="194"/>
  <c r="K20" i="190"/>
  <c r="P26" i="190"/>
  <c r="P22" i="190"/>
  <c r="P17" i="190"/>
  <c r="K12" i="190"/>
  <c r="K61" i="190"/>
  <c r="P61" i="190" s="1"/>
  <c r="K60" i="190"/>
  <c r="P60" i="190" s="1"/>
  <c r="K59" i="190"/>
  <c r="K58" i="190"/>
  <c r="K57" i="190"/>
  <c r="K56" i="190"/>
  <c r="K55" i="190"/>
  <c r="K54" i="190"/>
  <c r="K53" i="190"/>
  <c r="K52" i="190"/>
  <c r="K51" i="190"/>
  <c r="K50" i="190"/>
  <c r="P50" i="190" s="1"/>
  <c r="K49" i="190"/>
  <c r="K48" i="190"/>
  <c r="K47" i="190"/>
  <c r="K46" i="190"/>
  <c r="P46" i="190" s="1"/>
  <c r="K45" i="190"/>
  <c r="K44" i="190"/>
  <c r="K43" i="190"/>
  <c r="K42" i="190"/>
  <c r="P42" i="190" s="1"/>
  <c r="K39" i="190"/>
  <c r="K37" i="190"/>
  <c r="K34" i="190"/>
  <c r="K27" i="190"/>
  <c r="K26" i="190"/>
  <c r="K25" i="190"/>
  <c r="K24" i="190"/>
  <c r="K23" i="190"/>
  <c r="K22" i="190"/>
  <c r="K19" i="190"/>
  <c r="K18" i="190"/>
  <c r="K17" i="190"/>
  <c r="K16" i="190"/>
  <c r="K15" i="190"/>
  <c r="K14" i="190"/>
  <c r="K9" i="190"/>
  <c r="N60" i="190"/>
  <c r="N61" i="190"/>
  <c r="O60" i="190"/>
  <c r="O61" i="190"/>
  <c r="Q60" i="190"/>
  <c r="Q61" i="190"/>
  <c r="R60" i="190"/>
  <c r="R61" i="190"/>
  <c r="G10" i="198"/>
  <c r="I67" i="194"/>
  <c r="K66" i="194"/>
  <c r="I65" i="194"/>
  <c r="J64" i="194"/>
  <c r="I64" i="194" s="1"/>
  <c r="G64" i="194"/>
  <c r="G66" i="194" s="1"/>
  <c r="I63" i="194"/>
  <c r="I61" i="194"/>
  <c r="K60" i="194"/>
  <c r="K59" i="194" s="1"/>
  <c r="J60" i="194"/>
  <c r="I60" i="194"/>
  <c r="J59" i="194"/>
  <c r="G59" i="194"/>
  <c r="K58" i="194"/>
  <c r="I58" i="194"/>
  <c r="K57" i="194"/>
  <c r="K52" i="194" s="1"/>
  <c r="I57" i="194"/>
  <c r="I56" i="194"/>
  <c r="I55" i="194"/>
  <c r="I54" i="194"/>
  <c r="I53" i="194"/>
  <c r="J52" i="194"/>
  <c r="I52" i="194" s="1"/>
  <c r="G52" i="194"/>
  <c r="I51" i="194"/>
  <c r="I50" i="194"/>
  <c r="K49" i="194"/>
  <c r="J49" i="194"/>
  <c r="I49" i="194" s="1"/>
  <c r="G49" i="194"/>
  <c r="G48" i="194" s="1"/>
  <c r="G62" i="194" s="1"/>
  <c r="I47" i="194"/>
  <c r="I45" i="194"/>
  <c r="I44" i="194"/>
  <c r="I43" i="194"/>
  <c r="I42" i="194"/>
  <c r="I41" i="194"/>
  <c r="I40" i="194"/>
  <c r="I39" i="194"/>
  <c r="I38" i="194"/>
  <c r="I37" i="194"/>
  <c r="I36" i="194"/>
  <c r="I35" i="194"/>
  <c r="I34" i="194"/>
  <c r="I33" i="194"/>
  <c r="K32" i="194"/>
  <c r="K31" i="194" s="1"/>
  <c r="I32" i="194"/>
  <c r="J31" i="194"/>
  <c r="I31" i="194" s="1"/>
  <c r="G31" i="194"/>
  <c r="I30" i="194"/>
  <c r="K29" i="194"/>
  <c r="K28" i="194" s="1"/>
  <c r="J29" i="194"/>
  <c r="I29" i="194" s="1"/>
  <c r="G28" i="194"/>
  <c r="I26" i="194"/>
  <c r="I25" i="194"/>
  <c r="I24" i="194"/>
  <c r="I23" i="194"/>
  <c r="K22" i="194"/>
  <c r="K21" i="194" s="1"/>
  <c r="I22" i="194"/>
  <c r="J21" i="194"/>
  <c r="I21" i="194" s="1"/>
  <c r="G21" i="194"/>
  <c r="G20" i="194"/>
  <c r="I20" i="194" s="1"/>
  <c r="I19" i="194"/>
  <c r="I18" i="194"/>
  <c r="I17" i="194"/>
  <c r="K16" i="194"/>
  <c r="J16" i="194"/>
  <c r="I15" i="194"/>
  <c r="K14" i="194"/>
  <c r="J14" i="194"/>
  <c r="I14" i="194" s="1"/>
  <c r="G14" i="194"/>
  <c r="I13" i="194"/>
  <c r="I12" i="194"/>
  <c r="I10" i="194"/>
  <c r="K9" i="194"/>
  <c r="K8" i="194" s="1"/>
  <c r="I9" i="194"/>
  <c r="J8" i="194"/>
  <c r="G8" i="194"/>
  <c r="F59" i="190"/>
  <c r="H58" i="190"/>
  <c r="G58" i="190"/>
  <c r="F58" i="190" s="1"/>
  <c r="P58" i="190" s="1"/>
  <c r="F57" i="190"/>
  <c r="P57" i="190" s="1"/>
  <c r="F56" i="190"/>
  <c r="P56" i="190" s="1"/>
  <c r="G55" i="190"/>
  <c r="F55" i="190" s="1"/>
  <c r="P55" i="190" s="1"/>
  <c r="F54" i="190"/>
  <c r="P54" i="190" s="1"/>
  <c r="H53" i="190"/>
  <c r="H41" i="190" s="1"/>
  <c r="F53" i="190"/>
  <c r="P53" i="190" s="1"/>
  <c r="G52" i="190"/>
  <c r="F52" i="190" s="1"/>
  <c r="P52" i="190" s="1"/>
  <c r="G51" i="190"/>
  <c r="F51" i="190" s="1"/>
  <c r="P51" i="190" s="1"/>
  <c r="G50" i="190"/>
  <c r="F50" i="190" s="1"/>
  <c r="F49" i="190"/>
  <c r="P49" i="190" s="1"/>
  <c r="G48" i="190"/>
  <c r="F48" i="190" s="1"/>
  <c r="P48" i="190" s="1"/>
  <c r="G47" i="190"/>
  <c r="F47" i="190" s="1"/>
  <c r="P47" i="190" s="1"/>
  <c r="F46" i="190"/>
  <c r="G45" i="190"/>
  <c r="F45" i="190" s="1"/>
  <c r="P45" i="190" s="1"/>
  <c r="F44" i="190"/>
  <c r="P44" i="190" s="1"/>
  <c r="F43" i="190"/>
  <c r="P43" i="190" s="1"/>
  <c r="F42" i="190"/>
  <c r="D41" i="190"/>
  <c r="F39" i="190"/>
  <c r="P39" i="190" s="1"/>
  <c r="H38" i="190"/>
  <c r="G38" i="190"/>
  <c r="D38" i="190"/>
  <c r="F37" i="190"/>
  <c r="P37" i="190" s="1"/>
  <c r="H36" i="190"/>
  <c r="G36" i="190"/>
  <c r="D36" i="190"/>
  <c r="F31" i="190"/>
  <c r="D30" i="190"/>
  <c r="D32" i="190" s="1"/>
  <c r="F32" i="190" s="1"/>
  <c r="F27" i="190"/>
  <c r="P27" i="190" s="1"/>
  <c r="F26" i="190"/>
  <c r="F25" i="190"/>
  <c r="P25" i="190" s="1"/>
  <c r="F24" i="190"/>
  <c r="P24" i="190" s="1"/>
  <c r="F23" i="190"/>
  <c r="P23" i="190" s="1"/>
  <c r="F22" i="190"/>
  <c r="H21" i="190"/>
  <c r="G21" i="190"/>
  <c r="D21" i="190"/>
  <c r="F20" i="190"/>
  <c r="F19" i="190"/>
  <c r="P19" i="190" s="1"/>
  <c r="F18" i="190"/>
  <c r="P18" i="190" s="1"/>
  <c r="F17" i="190"/>
  <c r="F16" i="190"/>
  <c r="P16" i="190" s="1"/>
  <c r="F15" i="190"/>
  <c r="P15" i="190" s="1"/>
  <c r="F14" i="190"/>
  <c r="P14" i="190" s="1"/>
  <c r="H13" i="190"/>
  <c r="G13" i="190"/>
  <c r="D13" i="190"/>
  <c r="F12" i="190"/>
  <c r="P12" i="190" s="1"/>
  <c r="H11" i="190"/>
  <c r="G11" i="190"/>
  <c r="D11" i="190"/>
  <c r="F9" i="190"/>
  <c r="P9" i="190" s="1"/>
  <c r="H8" i="190"/>
  <c r="G8" i="190"/>
  <c r="D8" i="190"/>
  <c r="I30" i="5"/>
  <c r="K30" i="5" s="1"/>
  <c r="H30" i="5"/>
  <c r="G30" i="5"/>
  <c r="D30" i="5"/>
  <c r="R29" i="5"/>
  <c r="Q29" i="5"/>
  <c r="P29" i="5" s="1"/>
  <c r="N29" i="5"/>
  <c r="K29" i="5"/>
  <c r="F29" i="5"/>
  <c r="R28" i="5"/>
  <c r="Q28" i="5"/>
  <c r="N28" i="5"/>
  <c r="N30" i="5" s="1"/>
  <c r="K28" i="5"/>
  <c r="F28" i="5"/>
  <c r="D27" i="5"/>
  <c r="D31" i="5" s="1"/>
  <c r="M26" i="5"/>
  <c r="L26" i="5"/>
  <c r="J26" i="5"/>
  <c r="I26" i="5"/>
  <c r="H26" i="5"/>
  <c r="R26" i="5" s="1"/>
  <c r="G26" i="5"/>
  <c r="D26" i="5"/>
  <c r="R25" i="5"/>
  <c r="Q25" i="5"/>
  <c r="P25" i="5" s="1"/>
  <c r="N25" i="5"/>
  <c r="K25" i="5"/>
  <c r="F25" i="5"/>
  <c r="R24" i="5"/>
  <c r="Q24" i="5"/>
  <c r="P24" i="5"/>
  <c r="N24" i="5"/>
  <c r="K24" i="5"/>
  <c r="F24" i="5"/>
  <c r="R23" i="5"/>
  <c r="Q23" i="5"/>
  <c r="N23" i="5"/>
  <c r="K23" i="5"/>
  <c r="F23" i="5"/>
  <c r="R22" i="5"/>
  <c r="Q22" i="5"/>
  <c r="P22" i="5" s="1"/>
  <c r="N22" i="5"/>
  <c r="K22" i="5"/>
  <c r="F22" i="5"/>
  <c r="R21" i="5"/>
  <c r="Q21" i="5"/>
  <c r="P21" i="5" s="1"/>
  <c r="N21" i="5"/>
  <c r="K21" i="5"/>
  <c r="F21" i="5"/>
  <c r="M20" i="5"/>
  <c r="L20" i="5"/>
  <c r="K20" i="5" s="1"/>
  <c r="I20" i="5"/>
  <c r="H20" i="5"/>
  <c r="R20" i="5" s="1"/>
  <c r="G20" i="5"/>
  <c r="Q20" i="5" s="1"/>
  <c r="D20" i="5"/>
  <c r="N20" i="5" s="1"/>
  <c r="R19" i="5"/>
  <c r="Q19" i="5"/>
  <c r="P19" i="5" s="1"/>
  <c r="N19" i="5"/>
  <c r="K19" i="5"/>
  <c r="F19" i="5"/>
  <c r="R18" i="5"/>
  <c r="Q18" i="5"/>
  <c r="N18" i="5"/>
  <c r="P18" i="5" s="1"/>
  <c r="K18" i="5"/>
  <c r="F18" i="5"/>
  <c r="R17" i="5"/>
  <c r="Q17" i="5"/>
  <c r="P17" i="5" s="1"/>
  <c r="N17" i="5"/>
  <c r="K17" i="5"/>
  <c r="F17" i="5"/>
  <c r="R16" i="5"/>
  <c r="Q16" i="5"/>
  <c r="N16" i="5"/>
  <c r="P16" i="5" s="1"/>
  <c r="K16" i="5"/>
  <c r="F16" i="5"/>
  <c r="R15" i="5"/>
  <c r="Q15" i="5"/>
  <c r="N15" i="5"/>
  <c r="K15" i="5"/>
  <c r="F15" i="5"/>
  <c r="M14" i="5"/>
  <c r="L14" i="5"/>
  <c r="K14" i="5" s="1"/>
  <c r="I14" i="5"/>
  <c r="H14" i="5"/>
  <c r="R14" i="5" s="1"/>
  <c r="G14" i="5"/>
  <c r="Q14" i="5" s="1"/>
  <c r="D14" i="5"/>
  <c r="N14" i="5" s="1"/>
  <c r="R13" i="5"/>
  <c r="Q13" i="5"/>
  <c r="P13" i="5" s="1"/>
  <c r="N13" i="5"/>
  <c r="K13" i="5"/>
  <c r="F13" i="5"/>
  <c r="R12" i="5"/>
  <c r="Q12" i="5"/>
  <c r="P12" i="5" s="1"/>
  <c r="N12" i="5"/>
  <c r="K12" i="5"/>
  <c r="F12" i="5"/>
  <c r="R11" i="5"/>
  <c r="Q11" i="5"/>
  <c r="N11" i="5"/>
  <c r="P11" i="5" s="1"/>
  <c r="K11" i="5"/>
  <c r="F11" i="5"/>
  <c r="R10" i="5"/>
  <c r="Q10" i="5"/>
  <c r="P10" i="5" s="1"/>
  <c r="N10" i="5"/>
  <c r="K10" i="5"/>
  <c r="F10" i="5"/>
  <c r="R9" i="5"/>
  <c r="Q9" i="5"/>
  <c r="N9" i="5"/>
  <c r="K9" i="5"/>
  <c r="F9" i="5"/>
  <c r="R8" i="5"/>
  <c r="Q8" i="5"/>
  <c r="N8" i="5"/>
  <c r="K8" i="5"/>
  <c r="F8" i="5"/>
  <c r="M7" i="5"/>
  <c r="L7" i="5"/>
  <c r="L27" i="5" s="1"/>
  <c r="I7" i="5"/>
  <c r="H7" i="5"/>
  <c r="R7" i="5" s="1"/>
  <c r="G7" i="5"/>
  <c r="G27" i="5" s="1"/>
  <c r="G31" i="5" s="1"/>
  <c r="F31" i="5" s="1"/>
  <c r="F7" i="5"/>
  <c r="D7" i="5"/>
  <c r="N7" i="5" s="1"/>
  <c r="R6" i="5"/>
  <c r="Q6" i="5"/>
  <c r="N6" i="5"/>
  <c r="K6" i="5"/>
  <c r="F6" i="5"/>
  <c r="R5" i="5"/>
  <c r="Q5" i="5"/>
  <c r="P5" i="5" s="1"/>
  <c r="N5" i="5"/>
  <c r="K5" i="5"/>
  <c r="F5" i="5"/>
  <c r="O57" i="41"/>
  <c r="O58" i="41" s="1"/>
  <c r="J57" i="41"/>
  <c r="H56" i="41"/>
  <c r="G56" i="41"/>
  <c r="F56" i="41" s="1"/>
  <c r="E56" i="41"/>
  <c r="D56" i="41"/>
  <c r="R55" i="41"/>
  <c r="R56" i="41" s="1"/>
  <c r="Q55" i="41"/>
  <c r="Q56" i="41" s="1"/>
  <c r="N55" i="41"/>
  <c r="N56" i="41" s="1"/>
  <c r="K55" i="41"/>
  <c r="F55" i="41"/>
  <c r="P55" i="41" s="1"/>
  <c r="N54" i="41"/>
  <c r="M54" i="41"/>
  <c r="M56" i="41" s="1"/>
  <c r="M57" i="41" s="1"/>
  <c r="L54" i="41"/>
  <c r="L56" i="41" s="1"/>
  <c r="I54" i="41"/>
  <c r="I56" i="41" s="1"/>
  <c r="I57" i="41" s="1"/>
  <c r="H54" i="41"/>
  <c r="G54" i="41"/>
  <c r="E54" i="41"/>
  <c r="D54" i="41"/>
  <c r="F54" i="41" s="1"/>
  <c r="R53" i="41"/>
  <c r="R54" i="41" s="1"/>
  <c r="Q53" i="41"/>
  <c r="Q54" i="41" s="1"/>
  <c r="N53" i="41"/>
  <c r="K53" i="41"/>
  <c r="F53" i="41"/>
  <c r="K52" i="41"/>
  <c r="I52" i="41"/>
  <c r="H52" i="41"/>
  <c r="G52" i="41"/>
  <c r="E52" i="41"/>
  <c r="D52" i="41"/>
  <c r="R51" i="41"/>
  <c r="R52" i="41" s="1"/>
  <c r="Q51" i="41"/>
  <c r="Q52" i="41" s="1"/>
  <c r="Q57" i="41" s="1"/>
  <c r="N51" i="41"/>
  <c r="N52" i="41" s="1"/>
  <c r="K51" i="41"/>
  <c r="F51" i="41"/>
  <c r="P51" i="41" s="1"/>
  <c r="I50" i="41"/>
  <c r="K50" i="41" s="1"/>
  <c r="H50" i="41"/>
  <c r="G50" i="41"/>
  <c r="F50" i="41" s="1"/>
  <c r="E50" i="41"/>
  <c r="D50" i="41"/>
  <c r="R49" i="41"/>
  <c r="R50" i="41" s="1"/>
  <c r="Q49" i="41"/>
  <c r="Q50" i="41" s="1"/>
  <c r="N49" i="41"/>
  <c r="N50" i="41" s="1"/>
  <c r="K49" i="41"/>
  <c r="F49" i="41"/>
  <c r="P49" i="41" s="1"/>
  <c r="M47" i="41"/>
  <c r="L47" i="41"/>
  <c r="I47" i="41"/>
  <c r="H47" i="41"/>
  <c r="G47" i="41"/>
  <c r="F47" i="41" s="1"/>
  <c r="E47" i="41"/>
  <c r="D47" i="41"/>
  <c r="R46" i="41"/>
  <c r="Q46" i="41"/>
  <c r="N46" i="41"/>
  <c r="K46" i="41"/>
  <c r="P46" i="41" s="1"/>
  <c r="F46" i="41"/>
  <c r="R45" i="41"/>
  <c r="Q45" i="41"/>
  <c r="N45" i="41"/>
  <c r="K45" i="41"/>
  <c r="F45" i="41"/>
  <c r="P45" i="41" s="1"/>
  <c r="R44" i="41"/>
  <c r="Q44" i="41"/>
  <c r="N44" i="41"/>
  <c r="K44" i="41"/>
  <c r="F44" i="41"/>
  <c r="P44" i="41" s="1"/>
  <c r="M43" i="41"/>
  <c r="L43" i="41"/>
  <c r="K43" i="41" s="1"/>
  <c r="I43" i="41"/>
  <c r="H43" i="41"/>
  <c r="R43" i="41" s="1"/>
  <c r="G43" i="41"/>
  <c r="F43" i="41"/>
  <c r="P43" i="41" s="1"/>
  <c r="E43" i="41"/>
  <c r="D43" i="41"/>
  <c r="N43" i="41" s="1"/>
  <c r="R42" i="41"/>
  <c r="Q42" i="41"/>
  <c r="N42" i="41"/>
  <c r="K42" i="41"/>
  <c r="F42" i="41"/>
  <c r="M41" i="41"/>
  <c r="L41" i="41"/>
  <c r="I41" i="41"/>
  <c r="H41" i="41"/>
  <c r="G41" i="41"/>
  <c r="Q41" i="41" s="1"/>
  <c r="E41" i="41"/>
  <c r="D41" i="41"/>
  <c r="N41" i="41" s="1"/>
  <c r="R40" i="41"/>
  <c r="Q40" i="41"/>
  <c r="N40" i="41"/>
  <c r="K40" i="41"/>
  <c r="F40" i="41"/>
  <c r="P40" i="41" s="1"/>
  <c r="R39" i="41"/>
  <c r="Q39" i="41"/>
  <c r="N39" i="41"/>
  <c r="K39" i="41"/>
  <c r="P39" i="41" s="1"/>
  <c r="F39" i="41"/>
  <c r="M38" i="41"/>
  <c r="L38" i="41"/>
  <c r="K38" i="41"/>
  <c r="I38" i="41"/>
  <c r="H38" i="41"/>
  <c r="R38" i="41" s="1"/>
  <c r="G38" i="41"/>
  <c r="Q38" i="41" s="1"/>
  <c r="E38" i="41"/>
  <c r="D38" i="41"/>
  <c r="N38" i="41" s="1"/>
  <c r="R37" i="41"/>
  <c r="Q37" i="41"/>
  <c r="N37" i="41"/>
  <c r="K37" i="41"/>
  <c r="F37" i="41"/>
  <c r="R36" i="41"/>
  <c r="Q36" i="41"/>
  <c r="N36" i="41"/>
  <c r="K36" i="41"/>
  <c r="F36" i="41"/>
  <c r="R35" i="41"/>
  <c r="Q35" i="41"/>
  <c r="N35" i="41"/>
  <c r="K35" i="41"/>
  <c r="F35" i="41"/>
  <c r="P35" i="41" s="1"/>
  <c r="R34" i="41"/>
  <c r="Q34" i="41"/>
  <c r="N34" i="41"/>
  <c r="K34" i="41"/>
  <c r="F34" i="41"/>
  <c r="R33" i="41"/>
  <c r="Q33" i="41"/>
  <c r="N33" i="41"/>
  <c r="K33" i="41"/>
  <c r="F33" i="41"/>
  <c r="R32" i="41"/>
  <c r="Q32" i="41"/>
  <c r="N32" i="41"/>
  <c r="K32" i="41"/>
  <c r="F32" i="41"/>
  <c r="R31" i="41"/>
  <c r="Q31" i="41"/>
  <c r="N31" i="41"/>
  <c r="K31" i="41"/>
  <c r="F31" i="41"/>
  <c r="P31" i="41" s="1"/>
  <c r="R30" i="41"/>
  <c r="Q30" i="41"/>
  <c r="N30" i="41"/>
  <c r="K30" i="41"/>
  <c r="F30" i="41"/>
  <c r="R29" i="41"/>
  <c r="Q29" i="41"/>
  <c r="N29" i="41"/>
  <c r="K29" i="41"/>
  <c r="F29" i="41"/>
  <c r="P29" i="41" s="1"/>
  <c r="I28" i="41"/>
  <c r="K28" i="41" s="1"/>
  <c r="E28" i="41"/>
  <c r="R27" i="41"/>
  <c r="Q27" i="41"/>
  <c r="N27" i="41"/>
  <c r="K27" i="41"/>
  <c r="F27" i="41"/>
  <c r="P27" i="41" s="1"/>
  <c r="Q26" i="41"/>
  <c r="K26" i="41"/>
  <c r="I26" i="41"/>
  <c r="H26" i="41"/>
  <c r="H28" i="41" s="1"/>
  <c r="R28" i="41" s="1"/>
  <c r="G26" i="41"/>
  <c r="G28" i="41" s="1"/>
  <c r="F26" i="41"/>
  <c r="P26" i="41" s="1"/>
  <c r="D26" i="41"/>
  <c r="N26" i="41" s="1"/>
  <c r="R25" i="41"/>
  <c r="Q25" i="41"/>
  <c r="P25" i="41"/>
  <c r="N25" i="41"/>
  <c r="K25" i="41"/>
  <c r="F25" i="41"/>
  <c r="R24" i="41"/>
  <c r="Q24" i="41"/>
  <c r="N24" i="41"/>
  <c r="K24" i="41"/>
  <c r="P24" i="41" s="1"/>
  <c r="F24" i="41"/>
  <c r="R23" i="41"/>
  <c r="Q23" i="41"/>
  <c r="N23" i="41"/>
  <c r="K23" i="41"/>
  <c r="F23" i="41"/>
  <c r="R22" i="41"/>
  <c r="Q22" i="41"/>
  <c r="N22" i="41"/>
  <c r="K22" i="41"/>
  <c r="F22" i="41"/>
  <c r="I21" i="41"/>
  <c r="H21" i="41"/>
  <c r="M20" i="41"/>
  <c r="M21" i="41" s="1"/>
  <c r="L20" i="41"/>
  <c r="I20" i="41"/>
  <c r="H20" i="41"/>
  <c r="G20" i="41"/>
  <c r="G21" i="41" s="1"/>
  <c r="E20" i="41"/>
  <c r="E21" i="41" s="1"/>
  <c r="D20" i="41"/>
  <c r="D21" i="41" s="1"/>
  <c r="R19" i="41"/>
  <c r="Q19" i="41"/>
  <c r="N19" i="41"/>
  <c r="K19" i="41"/>
  <c r="F19" i="41"/>
  <c r="M17" i="41"/>
  <c r="L17" i="41"/>
  <c r="J17" i="41"/>
  <c r="J18" i="41" s="1"/>
  <c r="J48" i="41" s="1"/>
  <c r="J58" i="41" s="1"/>
  <c r="I17" i="41"/>
  <c r="H17" i="41"/>
  <c r="G17" i="41"/>
  <c r="E17" i="41"/>
  <c r="D17" i="41"/>
  <c r="N17" i="41" s="1"/>
  <c r="R16" i="41"/>
  <c r="Q16" i="41"/>
  <c r="N16" i="41"/>
  <c r="K16" i="41"/>
  <c r="P16" i="41" s="1"/>
  <c r="F16" i="41"/>
  <c r="R15" i="41"/>
  <c r="Q15" i="41"/>
  <c r="N15" i="41"/>
  <c r="K15" i="41"/>
  <c r="F15" i="41"/>
  <c r="R14" i="41"/>
  <c r="Q14" i="41"/>
  <c r="N14" i="41"/>
  <c r="K14" i="41"/>
  <c r="F14" i="41"/>
  <c r="P14" i="41" s="1"/>
  <c r="R13" i="41"/>
  <c r="Q13" i="41"/>
  <c r="P13" i="41"/>
  <c r="N13" i="41"/>
  <c r="K13" i="41"/>
  <c r="F13" i="41"/>
  <c r="R12" i="41"/>
  <c r="Q12" i="41"/>
  <c r="N12" i="41"/>
  <c r="K12" i="41"/>
  <c r="F12" i="41"/>
  <c r="R11" i="41"/>
  <c r="M11" i="41"/>
  <c r="M18" i="41" s="1"/>
  <c r="L11" i="41"/>
  <c r="K11" i="41"/>
  <c r="J11" i="41"/>
  <c r="I11" i="41"/>
  <c r="I18" i="41" s="1"/>
  <c r="I48" i="41" s="1"/>
  <c r="I58" i="41" s="1"/>
  <c r="H11" i="41"/>
  <c r="H18" i="41" s="1"/>
  <c r="G11" i="41"/>
  <c r="E11" i="41"/>
  <c r="D11" i="41"/>
  <c r="R10" i="41"/>
  <c r="Q10" i="41"/>
  <c r="N10" i="41"/>
  <c r="K10" i="41"/>
  <c r="F10" i="41"/>
  <c r="P10" i="41" s="1"/>
  <c r="R9" i="41"/>
  <c r="Q9" i="41"/>
  <c r="N9" i="41"/>
  <c r="K9" i="41"/>
  <c r="F9" i="41"/>
  <c r="P9" i="41" s="1"/>
  <c r="R8" i="41"/>
  <c r="Q8" i="41"/>
  <c r="N8" i="41"/>
  <c r="K8" i="41"/>
  <c r="P8" i="41" s="1"/>
  <c r="F8" i="41"/>
  <c r="R7" i="41"/>
  <c r="Q7" i="41"/>
  <c r="N7" i="41"/>
  <c r="K7" i="41"/>
  <c r="F7" i="41"/>
  <c r="P7" i="41" s="1"/>
  <c r="R6" i="41"/>
  <c r="Q6" i="41"/>
  <c r="N6" i="41"/>
  <c r="K6" i="41"/>
  <c r="F6" i="41"/>
  <c r="P6" i="41" s="1"/>
  <c r="R5" i="41"/>
  <c r="Q5" i="41"/>
  <c r="N5" i="41"/>
  <c r="K5" i="41"/>
  <c r="F5" i="41"/>
  <c r="P5" i="41" s="1"/>
  <c r="K48" i="194" l="1"/>
  <c r="K62" i="194" s="1"/>
  <c r="Q11" i="41"/>
  <c r="P12" i="41"/>
  <c r="P15" i="41"/>
  <c r="F17" i="41"/>
  <c r="K17" i="41"/>
  <c r="P19" i="41"/>
  <c r="N20" i="41"/>
  <c r="P22" i="41"/>
  <c r="P32" i="41"/>
  <c r="P36" i="41"/>
  <c r="R41" i="41"/>
  <c r="P42" i="41"/>
  <c r="Q43" i="41"/>
  <c r="R47" i="41"/>
  <c r="G57" i="41"/>
  <c r="K54" i="41"/>
  <c r="P54" i="41" s="1"/>
  <c r="P6" i="5"/>
  <c r="M27" i="5"/>
  <c r="M31" i="5" s="1"/>
  <c r="P8" i="5"/>
  <c r="P15" i="5"/>
  <c r="K26" i="5"/>
  <c r="N26" i="5"/>
  <c r="P28" i="5"/>
  <c r="F30" i="5"/>
  <c r="K27" i="194"/>
  <c r="P59" i="190"/>
  <c r="J19" i="201"/>
  <c r="H29" i="202"/>
  <c r="F11" i="41"/>
  <c r="P11" i="41" s="1"/>
  <c r="M48" i="41"/>
  <c r="M58" i="41" s="1"/>
  <c r="R17" i="41"/>
  <c r="N21" i="41"/>
  <c r="R20" i="41"/>
  <c r="N47" i="41"/>
  <c r="R57" i="41"/>
  <c r="H57" i="41"/>
  <c r="R27" i="5"/>
  <c r="P9" i="5"/>
  <c r="F20" i="5"/>
  <c r="P23" i="5"/>
  <c r="Q26" i="5"/>
  <c r="R30" i="5"/>
  <c r="G27" i="194"/>
  <c r="I59" i="194"/>
  <c r="P20" i="190"/>
  <c r="V31" i="201"/>
  <c r="Q33" i="202"/>
  <c r="E57" i="41"/>
  <c r="E18" i="41"/>
  <c r="E48" i="41" s="1"/>
  <c r="E58" i="41" s="1"/>
  <c r="K20" i="41"/>
  <c r="R21" i="41"/>
  <c r="P23" i="41"/>
  <c r="R26" i="41"/>
  <c r="P30" i="41"/>
  <c r="P33" i="41"/>
  <c r="P34" i="41"/>
  <c r="P37" i="41"/>
  <c r="K41" i="41"/>
  <c r="D57" i="41"/>
  <c r="P53" i="41"/>
  <c r="I27" i="5"/>
  <c r="I31" i="5" s="1"/>
  <c r="F14" i="5"/>
  <c r="F21" i="190"/>
  <c r="J28" i="194"/>
  <c r="R32" i="202"/>
  <c r="Q7" i="5"/>
  <c r="P7" i="5" s="1"/>
  <c r="F36" i="190"/>
  <c r="F8" i="190"/>
  <c r="F13" i="190"/>
  <c r="F38" i="190"/>
  <c r="D28" i="190"/>
  <c r="D33" i="190" s="1"/>
  <c r="F11" i="190"/>
  <c r="G28" i="190"/>
  <c r="F30" i="190"/>
  <c r="H28" i="190"/>
  <c r="H33" i="190" s="1"/>
  <c r="D62" i="190"/>
  <c r="D63" i="190" s="1"/>
  <c r="K11" i="194"/>
  <c r="I8" i="194"/>
  <c r="J11" i="194"/>
  <c r="G16" i="194"/>
  <c r="J66" i="194"/>
  <c r="I66" i="194" s="1"/>
  <c r="J48" i="194"/>
  <c r="H62" i="190"/>
  <c r="H63" i="190" s="1"/>
  <c r="G33" i="190"/>
  <c r="G41" i="190"/>
  <c r="F41" i="190" s="1"/>
  <c r="N27" i="5"/>
  <c r="N31" i="5" s="1"/>
  <c r="P14" i="5"/>
  <c r="P26" i="5"/>
  <c r="P20" i="5"/>
  <c r="Q27" i="5"/>
  <c r="K27" i="5"/>
  <c r="L31" i="5"/>
  <c r="K31" i="5" s="1"/>
  <c r="Q30" i="5"/>
  <c r="P30" i="5" s="1"/>
  <c r="F27" i="5"/>
  <c r="H27" i="5"/>
  <c r="H31" i="5" s="1"/>
  <c r="H32" i="5" s="1"/>
  <c r="K7" i="5"/>
  <c r="F26" i="5"/>
  <c r="F21" i="41"/>
  <c r="P21" i="41" s="1"/>
  <c r="Q28" i="41"/>
  <c r="F57" i="41"/>
  <c r="K56" i="41"/>
  <c r="L57" i="41"/>
  <c r="K57" i="41" s="1"/>
  <c r="P56" i="41"/>
  <c r="H48" i="41"/>
  <c r="H58" i="41" s="1"/>
  <c r="R18" i="41"/>
  <c r="R48" i="41" s="1"/>
  <c r="P50" i="41"/>
  <c r="N57" i="41"/>
  <c r="Q17" i="41"/>
  <c r="F20" i="41"/>
  <c r="D28" i="41"/>
  <c r="N28" i="41" s="1"/>
  <c r="F52" i="41"/>
  <c r="P52" i="41" s="1"/>
  <c r="N11" i="41"/>
  <c r="L18" i="41"/>
  <c r="L21" i="41"/>
  <c r="K21" i="41" s="1"/>
  <c r="K47" i="41"/>
  <c r="P47" i="41" s="1"/>
  <c r="Q47" i="41"/>
  <c r="Q20" i="41"/>
  <c r="D18" i="41"/>
  <c r="F38" i="41"/>
  <c r="P38" i="41" s="1"/>
  <c r="F41" i="41"/>
  <c r="P41" i="41" s="1"/>
  <c r="G18" i="41"/>
  <c r="U45" i="201"/>
  <c r="M27" i="201"/>
  <c r="M29" i="201" s="1"/>
  <c r="U10" i="201"/>
  <c r="U11" i="201"/>
  <c r="V11" i="201" s="1"/>
  <c r="F42" i="201"/>
  <c r="I42" i="201"/>
  <c r="L42" i="201"/>
  <c r="M42" i="201"/>
  <c r="O42" i="201"/>
  <c r="P42" i="201"/>
  <c r="S42" i="201"/>
  <c r="T42" i="201"/>
  <c r="E42" i="201"/>
  <c r="K42" i="201" s="1"/>
  <c r="F57" i="201"/>
  <c r="H57" i="201"/>
  <c r="I57" i="201"/>
  <c r="L57" i="201"/>
  <c r="R57" i="201" s="1"/>
  <c r="M57" i="201"/>
  <c r="O57" i="201"/>
  <c r="P57" i="201"/>
  <c r="S57" i="201"/>
  <c r="T57" i="201"/>
  <c r="F55" i="201"/>
  <c r="H55" i="201"/>
  <c r="I55" i="201"/>
  <c r="L55" i="201"/>
  <c r="M55" i="201"/>
  <c r="O55" i="201"/>
  <c r="P55" i="201"/>
  <c r="S55" i="201"/>
  <c r="T55" i="201"/>
  <c r="F53" i="201"/>
  <c r="H53" i="201"/>
  <c r="I53" i="201"/>
  <c r="L53" i="201"/>
  <c r="M53" i="201"/>
  <c r="O53" i="201"/>
  <c r="P53" i="201"/>
  <c r="S53" i="201"/>
  <c r="T53" i="201"/>
  <c r="F51" i="201"/>
  <c r="H51" i="201"/>
  <c r="I51" i="201"/>
  <c r="L51" i="201"/>
  <c r="M51" i="201"/>
  <c r="O51" i="201"/>
  <c r="P51" i="201"/>
  <c r="S51" i="201"/>
  <c r="T51" i="201"/>
  <c r="U20" i="201"/>
  <c r="U21" i="201" s="1"/>
  <c r="U22" i="201" s="1"/>
  <c r="F21" i="201"/>
  <c r="F22" i="201" s="1"/>
  <c r="H21" i="201"/>
  <c r="H22" i="201" s="1"/>
  <c r="I21" i="201"/>
  <c r="I22" i="201" s="1"/>
  <c r="L21" i="201"/>
  <c r="M21" i="201"/>
  <c r="M22" i="201" s="1"/>
  <c r="O21" i="201"/>
  <c r="O22" i="201" s="1"/>
  <c r="P21" i="201"/>
  <c r="P22" i="201" s="1"/>
  <c r="S21" i="201"/>
  <c r="S22" i="201" s="1"/>
  <c r="T21" i="201"/>
  <c r="T22" i="201" s="1"/>
  <c r="E21" i="201"/>
  <c r="E22" i="201"/>
  <c r="K22" i="201" s="1"/>
  <c r="F48" i="201"/>
  <c r="H48" i="201"/>
  <c r="I48" i="201"/>
  <c r="L48" i="201"/>
  <c r="M48" i="201"/>
  <c r="O48" i="201"/>
  <c r="P48" i="201"/>
  <c r="S48" i="201"/>
  <c r="T48" i="201"/>
  <c r="E48" i="201"/>
  <c r="U44" i="201"/>
  <c r="U41" i="201"/>
  <c r="F44" i="201"/>
  <c r="H44" i="201"/>
  <c r="I44" i="201"/>
  <c r="L44" i="201"/>
  <c r="M44" i="201"/>
  <c r="O44" i="201"/>
  <c r="P44" i="201"/>
  <c r="S44" i="201"/>
  <c r="T44" i="201"/>
  <c r="E44" i="201"/>
  <c r="F39" i="201"/>
  <c r="H39" i="201"/>
  <c r="I39" i="201"/>
  <c r="L39" i="201"/>
  <c r="M39" i="201"/>
  <c r="O39" i="201"/>
  <c r="P39" i="201"/>
  <c r="S39" i="201"/>
  <c r="T39" i="201"/>
  <c r="F27" i="201"/>
  <c r="F29" i="201" s="1"/>
  <c r="H27" i="201"/>
  <c r="H29" i="201" s="1"/>
  <c r="I27" i="201"/>
  <c r="I29" i="201" s="1"/>
  <c r="L27" i="201"/>
  <c r="O27" i="201"/>
  <c r="O29" i="201" s="1"/>
  <c r="P27" i="201"/>
  <c r="P29" i="201" s="1"/>
  <c r="S27" i="201"/>
  <c r="S29" i="201" s="1"/>
  <c r="U14" i="201"/>
  <c r="F18" i="201"/>
  <c r="H18" i="201"/>
  <c r="I18" i="201"/>
  <c r="L18" i="201"/>
  <c r="M18" i="201"/>
  <c r="O18" i="201"/>
  <c r="O19" i="201" s="1"/>
  <c r="P18" i="201"/>
  <c r="S18" i="201"/>
  <c r="T18" i="201"/>
  <c r="F12" i="201"/>
  <c r="H12" i="201"/>
  <c r="I12" i="201"/>
  <c r="L12" i="201"/>
  <c r="M12" i="201"/>
  <c r="M19" i="201" s="1"/>
  <c r="S12" i="201"/>
  <c r="T12" i="201"/>
  <c r="E12" i="201"/>
  <c r="K12" i="201" s="1"/>
  <c r="M28" i="202"/>
  <c r="M8" i="202"/>
  <c r="P8" i="202"/>
  <c r="P29" i="202" s="1"/>
  <c r="L19" i="201" l="1"/>
  <c r="R12" i="201"/>
  <c r="R48" i="201"/>
  <c r="P17" i="41"/>
  <c r="L22" i="201"/>
  <c r="R22" i="201" s="1"/>
  <c r="R21" i="201"/>
  <c r="R18" i="201"/>
  <c r="L29" i="201"/>
  <c r="R29" i="201" s="1"/>
  <c r="R27" i="201"/>
  <c r="K21" i="201"/>
  <c r="I58" i="201"/>
  <c r="R55" i="201"/>
  <c r="Q21" i="41"/>
  <c r="I28" i="194"/>
  <c r="J27" i="194"/>
  <c r="I27" i="194" s="1"/>
  <c r="R31" i="5"/>
  <c r="R44" i="201"/>
  <c r="R53" i="201"/>
  <c r="H19" i="201"/>
  <c r="R39" i="201"/>
  <c r="K44" i="201"/>
  <c r="K48" i="201"/>
  <c r="R51" i="201"/>
  <c r="R42" i="201"/>
  <c r="P20" i="41"/>
  <c r="R58" i="41"/>
  <c r="K46" i="194"/>
  <c r="K68" i="194" s="1"/>
  <c r="H58" i="201"/>
  <c r="F19" i="201"/>
  <c r="F49" i="201" s="1"/>
  <c r="S19" i="201"/>
  <c r="L58" i="201"/>
  <c r="O58" i="201"/>
  <c r="T58" i="201"/>
  <c r="F58" i="201"/>
  <c r="S58" i="201"/>
  <c r="T19" i="201"/>
  <c r="M58" i="201"/>
  <c r="P58" i="201"/>
  <c r="M32" i="5"/>
  <c r="F28" i="190"/>
  <c r="I48" i="194"/>
  <c r="J62" i="194"/>
  <c r="I62" i="194" s="1"/>
  <c r="I16" i="194"/>
  <c r="G11" i="194"/>
  <c r="G46" i="194" s="1"/>
  <c r="G68" i="194" s="1"/>
  <c r="F33" i="190"/>
  <c r="G62" i="190"/>
  <c r="F62" i="190" s="1"/>
  <c r="Q31" i="5"/>
  <c r="P31" i="5" s="1"/>
  <c r="P27" i="5"/>
  <c r="N18" i="41"/>
  <c r="N48" i="41" s="1"/>
  <c r="N58" i="41" s="1"/>
  <c r="D48" i="41"/>
  <c r="D58" i="41" s="1"/>
  <c r="Q18" i="41"/>
  <c r="G48" i="41"/>
  <c r="F18" i="41"/>
  <c r="L48" i="41"/>
  <c r="K18" i="41"/>
  <c r="P57" i="41"/>
  <c r="F28" i="41"/>
  <c r="P28" i="41" s="1"/>
  <c r="V45" i="201"/>
  <c r="O49" i="201"/>
  <c r="L49" i="201"/>
  <c r="P19" i="201"/>
  <c r="P49" i="201" s="1"/>
  <c r="V10" i="201"/>
  <c r="S49" i="201"/>
  <c r="M49" i="201"/>
  <c r="H49" i="201"/>
  <c r="I19" i="201"/>
  <c r="I49" i="201" s="1"/>
  <c r="I59" i="201" s="1"/>
  <c r="V20" i="201"/>
  <c r="V21" i="201" s="1"/>
  <c r="V22" i="201" s="1"/>
  <c r="V43" i="201"/>
  <c r="V44" i="201" s="1"/>
  <c r="V41" i="201"/>
  <c r="V14" i="201"/>
  <c r="R58" i="201" l="1"/>
  <c r="I11" i="194"/>
  <c r="R19" i="201"/>
  <c r="L59" i="201"/>
  <c r="R59" i="201" s="1"/>
  <c r="R49" i="201"/>
  <c r="Q48" i="41"/>
  <c r="Q58" i="41" s="1"/>
  <c r="J46" i="194"/>
  <c r="H59" i="201"/>
  <c r="F59" i="201"/>
  <c r="P59" i="201"/>
  <c r="S59" i="201"/>
  <c r="M59" i="201"/>
  <c r="O59" i="201"/>
  <c r="J68" i="194"/>
  <c r="I68" i="194" s="1"/>
  <c r="I46" i="194"/>
  <c r="G63" i="190"/>
  <c r="F63" i="190" s="1"/>
  <c r="F48" i="41"/>
  <c r="G58" i="41"/>
  <c r="L58" i="41"/>
  <c r="K48" i="41"/>
  <c r="P18" i="41"/>
  <c r="F32" i="202"/>
  <c r="F28" i="202"/>
  <c r="F16" i="202"/>
  <c r="I33" i="202"/>
  <c r="L16" i="202"/>
  <c r="M16" i="202"/>
  <c r="M29" i="202" s="1"/>
  <c r="P33" i="202"/>
  <c r="S16" i="202"/>
  <c r="T16" i="202"/>
  <c r="F8" i="202"/>
  <c r="R16" i="202" l="1"/>
  <c r="F29" i="202"/>
  <c r="F33" i="202" s="1"/>
  <c r="M33" i="202"/>
  <c r="P48" i="41"/>
  <c r="K58" i="41"/>
  <c r="M59" i="41"/>
  <c r="F58" i="41"/>
  <c r="P58" i="41" s="1"/>
  <c r="H59" i="41"/>
  <c r="T32" i="202"/>
  <c r="S32" i="202"/>
  <c r="E32" i="202"/>
  <c r="U31" i="202"/>
  <c r="U30" i="202"/>
  <c r="T28" i="202"/>
  <c r="S28" i="202"/>
  <c r="L28" i="202"/>
  <c r="R28" i="202" s="1"/>
  <c r="E28" i="202"/>
  <c r="U27" i="202"/>
  <c r="V27" i="202"/>
  <c r="V26" i="202"/>
  <c r="U25" i="202"/>
  <c r="U28" i="202" s="1"/>
  <c r="U24" i="202"/>
  <c r="V24" i="202"/>
  <c r="U23" i="202"/>
  <c r="U22" i="202"/>
  <c r="T21" i="202"/>
  <c r="S21" i="202"/>
  <c r="O33" i="202"/>
  <c r="E21" i="202"/>
  <c r="U19" i="202"/>
  <c r="U18" i="202"/>
  <c r="U17" i="202"/>
  <c r="E16" i="202"/>
  <c r="U15" i="202"/>
  <c r="V15" i="202"/>
  <c r="U14" i="202"/>
  <c r="V14" i="202"/>
  <c r="U13" i="202"/>
  <c r="U12" i="202"/>
  <c r="V12" i="202" s="1"/>
  <c r="U11" i="202"/>
  <c r="U10" i="202"/>
  <c r="V10" i="202" s="1"/>
  <c r="U9" i="202"/>
  <c r="V9" i="202" s="1"/>
  <c r="T8" i="202"/>
  <c r="S8" i="202"/>
  <c r="L8" i="202"/>
  <c r="R8" i="202" s="1"/>
  <c r="E8" i="202"/>
  <c r="K8" i="202" s="1"/>
  <c r="U7" i="202"/>
  <c r="U6" i="202"/>
  <c r="E57" i="201"/>
  <c r="K57" i="201" s="1"/>
  <c r="U56" i="201"/>
  <c r="U57" i="201" s="1"/>
  <c r="E55" i="201"/>
  <c r="K55" i="201" s="1"/>
  <c r="U54" i="201"/>
  <c r="V54" i="201" s="1"/>
  <c r="V55" i="201" s="1"/>
  <c r="E53" i="201"/>
  <c r="K53" i="201" s="1"/>
  <c r="U52" i="201"/>
  <c r="U53" i="201" s="1"/>
  <c r="E51" i="201"/>
  <c r="K51" i="201" s="1"/>
  <c r="U50" i="201"/>
  <c r="U51" i="201" s="1"/>
  <c r="U47" i="201"/>
  <c r="U46" i="201"/>
  <c r="U48" i="201" s="1"/>
  <c r="U40" i="201"/>
  <c r="U42" i="201" s="1"/>
  <c r="E39" i="201"/>
  <c r="K39" i="201" s="1"/>
  <c r="U38" i="201"/>
  <c r="U37" i="201"/>
  <c r="U36" i="201"/>
  <c r="U35" i="201"/>
  <c r="U34" i="201"/>
  <c r="U33" i="201"/>
  <c r="U32" i="201"/>
  <c r="U30" i="201"/>
  <c r="U28" i="201"/>
  <c r="V28" i="201" s="1"/>
  <c r="T27" i="201"/>
  <c r="T29" i="201" s="1"/>
  <c r="T49" i="201" s="1"/>
  <c r="E27" i="201"/>
  <c r="U26" i="201"/>
  <c r="U25" i="201"/>
  <c r="U24" i="201"/>
  <c r="U23" i="201"/>
  <c r="V23" i="201"/>
  <c r="E18" i="201"/>
  <c r="K18" i="201" s="1"/>
  <c r="U17" i="201"/>
  <c r="U16" i="201"/>
  <c r="U15" i="201"/>
  <c r="U13" i="201"/>
  <c r="U9" i="201"/>
  <c r="U8" i="201"/>
  <c r="V8" i="201"/>
  <c r="U7" i="201"/>
  <c r="U6" i="201"/>
  <c r="V6" i="201" s="1"/>
  <c r="P64" i="194"/>
  <c r="P66" i="194" s="1"/>
  <c r="O64" i="194"/>
  <c r="L64" i="194"/>
  <c r="L66" i="194" s="1"/>
  <c r="E29" i="201" l="1"/>
  <c r="K29" i="201" s="1"/>
  <c r="K27" i="201"/>
  <c r="V52" i="201"/>
  <c r="V53" i="201" s="1"/>
  <c r="U8" i="202"/>
  <c r="V6" i="202"/>
  <c r="U27" i="201"/>
  <c r="U29" i="201" s="1"/>
  <c r="U55" i="201"/>
  <c r="U16" i="202"/>
  <c r="E29" i="202"/>
  <c r="E33" i="202" s="1"/>
  <c r="K16" i="202"/>
  <c r="O66" i="194"/>
  <c r="N66" i="194" s="1"/>
  <c r="N64" i="194"/>
  <c r="V46" i="201"/>
  <c r="U32" i="202"/>
  <c r="R29" i="202"/>
  <c r="R33" i="202" s="1"/>
  <c r="E58" i="201"/>
  <c r="K58" i="201" s="1"/>
  <c r="V35" i="201"/>
  <c r="V33" i="201"/>
  <c r="V25" i="201"/>
  <c r="V15" i="201"/>
  <c r="V26" i="201"/>
  <c r="V30" i="201"/>
  <c r="U18" i="201"/>
  <c r="V17" i="201"/>
  <c r="U39" i="201"/>
  <c r="V37" i="201"/>
  <c r="V40" i="201"/>
  <c r="V42" i="201" s="1"/>
  <c r="V38" i="201"/>
  <c r="V36" i="201"/>
  <c r="V34" i="201"/>
  <c r="V24" i="201"/>
  <c r="V16" i="201"/>
  <c r="U12" i="201"/>
  <c r="V9" i="201"/>
  <c r="V31" i="202"/>
  <c r="V22" i="202"/>
  <c r="V11" i="202"/>
  <c r="V30" i="202"/>
  <c r="V28" i="202"/>
  <c r="V23" i="202"/>
  <c r="V20" i="202"/>
  <c r="V19" i="202"/>
  <c r="V18" i="202"/>
  <c r="V17" i="202"/>
  <c r="V13" i="202"/>
  <c r="V7" i="202"/>
  <c r="L29" i="202"/>
  <c r="S29" i="202"/>
  <c r="S33" i="202" s="1"/>
  <c r="U21" i="202"/>
  <c r="T29" i="202"/>
  <c r="T33" i="202" s="1"/>
  <c r="E19" i="201"/>
  <c r="V25" i="202"/>
  <c r="U58" i="201"/>
  <c r="V32" i="201"/>
  <c r="V47" i="201"/>
  <c r="V48" i="201" s="1"/>
  <c r="V50" i="201"/>
  <c r="V7" i="201"/>
  <c r="V13" i="201"/>
  <c r="V56" i="201"/>
  <c r="V57" i="201" s="1"/>
  <c r="E49" i="201" l="1"/>
  <c r="K49" i="201" s="1"/>
  <c r="K19" i="201"/>
  <c r="U29" i="202"/>
  <c r="U33" i="202" s="1"/>
  <c r="U19" i="201"/>
  <c r="L33" i="202"/>
  <c r="H33" i="202"/>
  <c r="K33" i="202" s="1"/>
  <c r="K29" i="202"/>
  <c r="V32" i="202"/>
  <c r="V8" i="202"/>
  <c r="U49" i="201"/>
  <c r="U59" i="201" s="1"/>
  <c r="V27" i="201"/>
  <c r="V29" i="201" s="1"/>
  <c r="V18" i="201"/>
  <c r="V51" i="201"/>
  <c r="V58" i="201" s="1"/>
  <c r="T59" i="201"/>
  <c r="E59" i="201"/>
  <c r="K59" i="201" s="1"/>
  <c r="V12" i="201"/>
  <c r="V39" i="201"/>
  <c r="V21" i="202"/>
  <c r="V16" i="202"/>
  <c r="V29" i="202" l="1"/>
  <c r="V33" i="202" s="1"/>
  <c r="V19" i="201"/>
  <c r="V49" i="201" s="1"/>
  <c r="V59" i="201" s="1"/>
  <c r="F14" i="198"/>
  <c r="F15" i="198" s="1"/>
  <c r="G14" i="198"/>
  <c r="G15" i="198" s="1"/>
  <c r="E11" i="198"/>
  <c r="E12" i="198"/>
  <c r="E13" i="198"/>
  <c r="E10" i="198"/>
  <c r="E14" i="198" s="1"/>
  <c r="E15" i="198" s="1"/>
  <c r="O49" i="194" l="1"/>
  <c r="P49" i="194"/>
  <c r="O52" i="194"/>
  <c r="N52" i="194" s="1"/>
  <c r="P52" i="194"/>
  <c r="O59" i="194"/>
  <c r="P59" i="194"/>
  <c r="O31" i="194"/>
  <c r="P31" i="194"/>
  <c r="P27" i="194" s="1"/>
  <c r="O11" i="194"/>
  <c r="P11" i="194"/>
  <c r="O8" i="194"/>
  <c r="N8" i="194" s="1"/>
  <c r="P8" i="194"/>
  <c r="L59" i="194"/>
  <c r="L52" i="194"/>
  <c r="L49" i="194"/>
  <c r="L31" i="194"/>
  <c r="L28" i="194"/>
  <c r="N28" i="194" s="1"/>
  <c r="L21" i="194"/>
  <c r="N21" i="194" s="1"/>
  <c r="L16" i="194"/>
  <c r="N16" i="194" s="1"/>
  <c r="L14" i="194"/>
  <c r="N14" i="194" s="1"/>
  <c r="L8" i="194"/>
  <c r="R43" i="190"/>
  <c r="R44" i="190"/>
  <c r="R45" i="190"/>
  <c r="R49" i="190"/>
  <c r="R54" i="190"/>
  <c r="R55" i="190"/>
  <c r="R56" i="190"/>
  <c r="R57" i="190"/>
  <c r="R59" i="190"/>
  <c r="R42" i="190"/>
  <c r="R39" i="190"/>
  <c r="R38" i="190" s="1"/>
  <c r="R37" i="190"/>
  <c r="R36" i="190" s="1"/>
  <c r="R23" i="190"/>
  <c r="R24" i="190"/>
  <c r="R25" i="190"/>
  <c r="R26" i="190"/>
  <c r="R27" i="190"/>
  <c r="R22" i="190"/>
  <c r="R15" i="190"/>
  <c r="R16" i="190"/>
  <c r="R17" i="190"/>
  <c r="R18" i="190"/>
  <c r="R19" i="190"/>
  <c r="R20" i="190"/>
  <c r="R14" i="190"/>
  <c r="R12" i="190"/>
  <c r="Q43" i="190"/>
  <c r="Q44" i="190"/>
  <c r="Q45" i="190"/>
  <c r="Q46" i="190"/>
  <c r="Q47" i="190"/>
  <c r="Q48" i="190"/>
  <c r="Q49" i="190"/>
  <c r="Q50" i="190"/>
  <c r="Q51" i="190"/>
  <c r="Q52" i="190"/>
  <c r="Q53" i="190"/>
  <c r="Q54" i="190"/>
  <c r="Q55" i="190"/>
  <c r="Q56" i="190"/>
  <c r="Q57" i="190"/>
  <c r="Q58" i="190"/>
  <c r="Q59" i="190"/>
  <c r="Q42" i="190"/>
  <c r="Q39" i="190"/>
  <c r="Q37" i="190"/>
  <c r="Q36" i="190" s="1"/>
  <c r="Q23" i="190"/>
  <c r="Q24" i="190"/>
  <c r="Q25" i="190"/>
  <c r="Q26" i="190"/>
  <c r="Q27" i="190"/>
  <c r="Q22" i="190"/>
  <c r="Q15" i="190"/>
  <c r="Q16" i="190"/>
  <c r="Q17" i="190"/>
  <c r="Q18" i="190"/>
  <c r="Q19" i="190"/>
  <c r="Q20" i="190"/>
  <c r="Q14" i="190"/>
  <c r="Q12" i="190"/>
  <c r="Q11" i="190" s="1"/>
  <c r="Q38" i="190"/>
  <c r="O26" i="190"/>
  <c r="O27" i="190"/>
  <c r="N43" i="190"/>
  <c r="N44" i="190"/>
  <c r="N45" i="190"/>
  <c r="N46" i="190"/>
  <c r="N47" i="190"/>
  <c r="N48" i="190"/>
  <c r="N49" i="190"/>
  <c r="N50" i="190"/>
  <c r="N51" i="190"/>
  <c r="N52" i="190"/>
  <c r="N53" i="190"/>
  <c r="N54" i="190"/>
  <c r="N55" i="190"/>
  <c r="N56" i="190"/>
  <c r="N57" i="190"/>
  <c r="N58" i="190"/>
  <c r="N59" i="190"/>
  <c r="N42" i="190"/>
  <c r="N39" i="190"/>
  <c r="N38" i="190" s="1"/>
  <c r="N37" i="190"/>
  <c r="N25" i="190"/>
  <c r="N23" i="190"/>
  <c r="N24" i="190"/>
  <c r="N26" i="190"/>
  <c r="N27" i="190"/>
  <c r="N22" i="190"/>
  <c r="N15" i="190"/>
  <c r="N16" i="190"/>
  <c r="N17" i="190"/>
  <c r="N18" i="190"/>
  <c r="N19" i="190"/>
  <c r="N20" i="190"/>
  <c r="N14" i="190"/>
  <c r="N12" i="190"/>
  <c r="R11" i="190"/>
  <c r="R10" i="190"/>
  <c r="Q10" i="190"/>
  <c r="O10" i="190"/>
  <c r="L41" i="190"/>
  <c r="M41" i="190"/>
  <c r="L38" i="190"/>
  <c r="M38" i="190"/>
  <c r="L36" i="190"/>
  <c r="M36" i="190"/>
  <c r="R52" i="190"/>
  <c r="R48" i="190"/>
  <c r="R47" i="190"/>
  <c r="R53" i="190"/>
  <c r="R50" i="190"/>
  <c r="R51" i="190"/>
  <c r="R58" i="190"/>
  <c r="R46" i="190"/>
  <c r="O39" i="190"/>
  <c r="O38" i="190" s="1"/>
  <c r="N59" i="194" l="1"/>
  <c r="N49" i="194"/>
  <c r="O27" i="194"/>
  <c r="N31" i="194"/>
  <c r="O48" i="194"/>
  <c r="L62" i="190"/>
  <c r="N21" i="190"/>
  <c r="N41" i="190"/>
  <c r="M62" i="190"/>
  <c r="R21" i="190"/>
  <c r="P48" i="194"/>
  <c r="P62" i="194" s="1"/>
  <c r="P46" i="194"/>
  <c r="R41" i="190"/>
  <c r="R62" i="190" s="1"/>
  <c r="O37" i="190"/>
  <c r="O36" i="190" s="1"/>
  <c r="L48" i="194"/>
  <c r="L62" i="194" s="1"/>
  <c r="L27" i="194"/>
  <c r="L11" i="194"/>
  <c r="N11" i="194" s="1"/>
  <c r="R13" i="190"/>
  <c r="Q41" i="190"/>
  <c r="Q62" i="190" s="1"/>
  <c r="Q21" i="190"/>
  <c r="Q13" i="190"/>
  <c r="O43" i="190"/>
  <c r="O44" i="190"/>
  <c r="O45" i="190"/>
  <c r="O46" i="190"/>
  <c r="O47" i="190"/>
  <c r="O48" i="190"/>
  <c r="O49" i="190"/>
  <c r="O50" i="190"/>
  <c r="O51" i="190"/>
  <c r="O52" i="190"/>
  <c r="O53" i="190"/>
  <c r="O54" i="190"/>
  <c r="O55" i="190"/>
  <c r="O56" i="190"/>
  <c r="O57" i="190"/>
  <c r="O58" i="190"/>
  <c r="O59" i="190"/>
  <c r="O42" i="190"/>
  <c r="L21" i="190"/>
  <c r="M21" i="190"/>
  <c r="M13" i="190"/>
  <c r="L13" i="190"/>
  <c r="O15" i="190"/>
  <c r="O16" i="190"/>
  <c r="O17" i="190"/>
  <c r="O18" i="190"/>
  <c r="O14" i="190"/>
  <c r="O24" i="190"/>
  <c r="O25" i="190"/>
  <c r="O22" i="190"/>
  <c r="R9" i="190"/>
  <c r="R8" i="190" s="1"/>
  <c r="Q9" i="190"/>
  <c r="Q8" i="190" s="1"/>
  <c r="N9" i="190"/>
  <c r="M18" i="196"/>
  <c r="L19" i="197"/>
  <c r="L33" i="197" s="1"/>
  <c r="M19" i="197"/>
  <c r="L27" i="196"/>
  <c r="M27" i="196"/>
  <c r="L18" i="196"/>
  <c r="D24" i="197"/>
  <c r="F26" i="197"/>
  <c r="G26" i="197"/>
  <c r="D27" i="197"/>
  <c r="D26" i="197" s="1"/>
  <c r="D20" i="197"/>
  <c r="F20" i="197"/>
  <c r="G20" i="197"/>
  <c r="G32" i="197" s="1"/>
  <c r="G19" i="197"/>
  <c r="C14" i="197"/>
  <c r="D18" i="197"/>
  <c r="D19" i="197" s="1"/>
  <c r="E21" i="196"/>
  <c r="E22" i="196"/>
  <c r="E20" i="196"/>
  <c r="F19" i="196"/>
  <c r="G19" i="196"/>
  <c r="G27" i="196" s="1"/>
  <c r="F18" i="196"/>
  <c r="G18" i="196"/>
  <c r="E8" i="196"/>
  <c r="E11" i="196"/>
  <c r="E12" i="196"/>
  <c r="E13" i="196"/>
  <c r="E14" i="196"/>
  <c r="E15" i="196"/>
  <c r="E16" i="196"/>
  <c r="E17" i="196"/>
  <c r="M28" i="196" l="1"/>
  <c r="M30" i="196" s="1"/>
  <c r="L28" i="196"/>
  <c r="L30" i="196" s="1"/>
  <c r="F31" i="196"/>
  <c r="D33" i="197"/>
  <c r="O62" i="194"/>
  <c r="N62" i="194" s="1"/>
  <c r="N48" i="194"/>
  <c r="N27" i="194"/>
  <c r="F19" i="197"/>
  <c r="F32" i="197"/>
  <c r="G33" i="197"/>
  <c r="G35" i="197" s="1"/>
  <c r="O46" i="194"/>
  <c r="N46" i="194" s="1"/>
  <c r="L46" i="194"/>
  <c r="L68" i="194" s="1"/>
  <c r="M68" i="194"/>
  <c r="P68" i="194"/>
  <c r="R28" i="190"/>
  <c r="R33" i="190" s="1"/>
  <c r="R63" i="190" s="1"/>
  <c r="L28" i="190"/>
  <c r="O19" i="190"/>
  <c r="O9" i="190"/>
  <c r="O8" i="190" s="1"/>
  <c r="M28" i="190"/>
  <c r="M33" i="190" s="1"/>
  <c r="M63" i="190" s="1"/>
  <c r="L35" i="197"/>
  <c r="O12" i="190"/>
  <c r="O11" i="190" s="1"/>
  <c r="O41" i="190"/>
  <c r="O62" i="190" s="1"/>
  <c r="O23" i="190"/>
  <c r="O21" i="190" s="1"/>
  <c r="G36" i="197"/>
  <c r="O20" i="190"/>
  <c r="M36" i="197"/>
  <c r="M33" i="197"/>
  <c r="M35" i="197" s="1"/>
  <c r="Q28" i="190"/>
  <c r="Q33" i="190" s="1"/>
  <c r="Q63" i="190" s="1"/>
  <c r="G31" i="196"/>
  <c r="G28" i="196"/>
  <c r="G30" i="196" s="1"/>
  <c r="F32" i="196"/>
  <c r="F27" i="196"/>
  <c r="F28" i="196" s="1"/>
  <c r="F30" i="196" s="1"/>
  <c r="G32" i="196"/>
  <c r="F33" i="197" l="1"/>
  <c r="F35" i="197" s="1"/>
  <c r="L37" i="197"/>
  <c r="F36" i="197"/>
  <c r="F37" i="197"/>
  <c r="G37" i="197"/>
  <c r="O68" i="194"/>
  <c r="N68" i="194" s="1"/>
  <c r="M37" i="197"/>
  <c r="L33" i="190"/>
  <c r="O13" i="190"/>
  <c r="O28" i="190" s="1"/>
  <c r="O33" i="190" s="1"/>
  <c r="O63" i="190" s="1"/>
  <c r="L63" i="190" l="1"/>
  <c r="J18" i="200" l="1"/>
  <c r="J17" i="200"/>
  <c r="I16" i="200"/>
  <c r="H16" i="200"/>
  <c r="G16" i="200"/>
  <c r="F16" i="200"/>
  <c r="E16" i="200"/>
  <c r="D16" i="200"/>
  <c r="D14" i="200"/>
  <c r="J13" i="200"/>
  <c r="J12" i="200"/>
  <c r="I11" i="200"/>
  <c r="H11" i="200"/>
  <c r="G11" i="200"/>
  <c r="F11" i="200"/>
  <c r="E11" i="200"/>
  <c r="D11" i="200"/>
  <c r="J10" i="200"/>
  <c r="H8" i="200"/>
  <c r="H15" i="200" s="1"/>
  <c r="H14" i="200" s="1"/>
  <c r="G8" i="200"/>
  <c r="G15" i="200" s="1"/>
  <c r="G14" i="200" s="1"/>
  <c r="F8" i="200"/>
  <c r="F15" i="200" s="1"/>
  <c r="F14" i="200" s="1"/>
  <c r="E8" i="200"/>
  <c r="E15" i="200" s="1"/>
  <c r="E14" i="200" s="1"/>
  <c r="D8" i="200"/>
  <c r="J7" i="200"/>
  <c r="J6" i="200"/>
  <c r="I5" i="200"/>
  <c r="H5" i="200"/>
  <c r="G5" i="200"/>
  <c r="F5" i="200"/>
  <c r="F19" i="200" s="1"/>
  <c r="E5" i="200"/>
  <c r="E19" i="200" s="1"/>
  <c r="D5" i="200"/>
  <c r="D19" i="200" l="1"/>
  <c r="J11" i="200"/>
  <c r="H19" i="200"/>
  <c r="G19" i="200"/>
  <c r="J16" i="200"/>
  <c r="J5" i="200"/>
  <c r="E23" i="196" l="1"/>
  <c r="N31" i="190"/>
  <c r="N30" i="190" s="1"/>
  <c r="N32" i="190" s="1"/>
  <c r="C19" i="196"/>
  <c r="E19" i="196" s="1"/>
  <c r="I9" i="197"/>
  <c r="I41" i="190"/>
  <c r="K41" i="190" s="1"/>
  <c r="P41" i="190" s="1"/>
  <c r="I38" i="190"/>
  <c r="K38" i="190" s="1"/>
  <c r="P38" i="190" s="1"/>
  <c r="N36" i="190"/>
  <c r="N11" i="190"/>
  <c r="N8" i="190"/>
  <c r="I30" i="190"/>
  <c r="I13" i="190"/>
  <c r="K13" i="190" s="1"/>
  <c r="P13" i="190" s="1"/>
  <c r="I21" i="190"/>
  <c r="K21" i="190" s="1"/>
  <c r="P21" i="190" s="1"/>
  <c r="I11" i="190"/>
  <c r="K11" i="190" s="1"/>
  <c r="P11" i="190" s="1"/>
  <c r="I8" i="190"/>
  <c r="K8" i="190" s="1"/>
  <c r="P8" i="190" s="1"/>
  <c r="I36" i="190"/>
  <c r="K36" i="190" s="1"/>
  <c r="P36" i="190" s="1"/>
  <c r="D14" i="198"/>
  <c r="D15" i="198" s="1"/>
  <c r="C20" i="197"/>
  <c r="I32" i="197"/>
  <c r="C26" i="197"/>
  <c r="C24" i="196"/>
  <c r="E24" i="196" s="1"/>
  <c r="C23" i="195"/>
  <c r="D23" i="195"/>
  <c r="I32" i="190" l="1"/>
  <c r="K32" i="190" s="1"/>
  <c r="P32" i="190" s="1"/>
  <c r="K30" i="190"/>
  <c r="P30" i="190" s="1"/>
  <c r="E27" i="196"/>
  <c r="J26" i="196"/>
  <c r="I27" i="196"/>
  <c r="C32" i="197"/>
  <c r="N62" i="190"/>
  <c r="I28" i="190"/>
  <c r="N13" i="190"/>
  <c r="C27" i="196"/>
  <c r="E7" i="196"/>
  <c r="I62" i="190"/>
  <c r="K62" i="190" s="1"/>
  <c r="P62" i="190" s="1"/>
  <c r="E23" i="195"/>
  <c r="K27" i="196" l="1"/>
  <c r="K28" i="196" s="1"/>
  <c r="K30" i="196" s="1"/>
  <c r="E6" i="196"/>
  <c r="E10" i="196"/>
  <c r="J27" i="196"/>
  <c r="I33" i="190"/>
  <c r="K33" i="190" s="1"/>
  <c r="P33" i="190" s="1"/>
  <c r="K28" i="190"/>
  <c r="P28" i="190" s="1"/>
  <c r="I19" i="197"/>
  <c r="I33" i="197" s="1"/>
  <c r="I35" i="197" s="1"/>
  <c r="J19" i="197"/>
  <c r="J33" i="197" s="1"/>
  <c r="I63" i="190"/>
  <c r="K63" i="190" s="1"/>
  <c r="P63" i="190" s="1"/>
  <c r="C18" i="196"/>
  <c r="C19" i="197"/>
  <c r="C33" i="197" s="1"/>
  <c r="C35" i="197" s="1"/>
  <c r="N28" i="190"/>
  <c r="N33" i="190" s="1"/>
  <c r="J28" i="196" l="1"/>
  <c r="J30" i="196" s="1"/>
  <c r="J36" i="197"/>
  <c r="D36" i="197"/>
  <c r="J37" i="197"/>
  <c r="D35" i="197"/>
  <c r="I18" i="196"/>
  <c r="I28" i="196" s="1"/>
  <c r="I30" i="196" s="1"/>
  <c r="N63" i="190"/>
  <c r="D37" i="197"/>
  <c r="J35" i="197"/>
  <c r="C28" i="196"/>
  <c r="C30" i="196" s="1"/>
  <c r="I36" i="197"/>
  <c r="C37" i="197"/>
  <c r="C36" i="197"/>
  <c r="I37" i="197"/>
  <c r="D31" i="196" l="1"/>
  <c r="D32" i="196"/>
  <c r="C32" i="196"/>
  <c r="I32" i="196"/>
  <c r="C31" i="196"/>
  <c r="I31" i="196"/>
  <c r="I8" i="200"/>
  <c r="J9" i="200"/>
  <c r="J8" i="200" l="1"/>
  <c r="J19" i="200" s="1"/>
  <c r="I15" i="200"/>
  <c r="I19" i="200"/>
  <c r="I14" i="200" l="1"/>
  <c r="J14" i="200" s="1"/>
  <c r="J15" i="200"/>
  <c r="E9" i="196"/>
  <c r="E18" i="196" s="1"/>
  <c r="E28" i="196" s="1"/>
  <c r="E30" i="196" s="1"/>
</calcChain>
</file>

<file path=xl/comments1.xml><?xml version="1.0" encoding="utf-8"?>
<comments xmlns="http://schemas.openxmlformats.org/spreadsheetml/2006/main">
  <authors>
    <author>Magyarne.Olgi</author>
  </authors>
  <commentList>
    <comment ref="L12" authorId="0">
      <text>
        <r>
          <rPr>
            <b/>
            <sz val="9"/>
            <color indexed="81"/>
            <rFont val="Tahoma"/>
            <family val="2"/>
            <charset val="238"/>
          </rPr>
          <t>Magyarne.Olgi:</t>
        </r>
        <r>
          <rPr>
            <sz val="9"/>
            <color indexed="81"/>
            <rFont val="Tahoma"/>
            <family val="2"/>
            <charset val="238"/>
          </rPr>
          <t xml:space="preserve">
Választások</t>
        </r>
      </text>
    </comment>
  </commentList>
</comments>
</file>

<file path=xl/sharedStrings.xml><?xml version="1.0" encoding="utf-8"?>
<sst xmlns="http://schemas.openxmlformats.org/spreadsheetml/2006/main" count="945" uniqueCount="477">
  <si>
    <t>Működési célú támogatásértékű kiadások</t>
  </si>
  <si>
    <t>Személyi juttatások</t>
  </si>
  <si>
    <t>Felújítási kiadások</t>
  </si>
  <si>
    <t>Ingatlanok felújítása</t>
  </si>
  <si>
    <t>Épületek felújítása</t>
  </si>
  <si>
    <t>Egyéb építmények felújítása</t>
  </si>
  <si>
    <t>Gépek, berendezések és felszerelések felújítása</t>
  </si>
  <si>
    <t>Felhalmozási célú támogatásértékű kiadások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</si>
  <si>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</si>
  <si>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</si>
  <si>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</si>
  <si>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</si>
  <si>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Költségvetési kiadások összesen:</t>
  </si>
  <si>
    <t>Közhatalmi bevételek</t>
  </si>
  <si>
    <t>Kölcsön nyújtása</t>
  </si>
  <si>
    <t>Kölcsön törlesztése</t>
  </si>
  <si>
    <t>Szellemi termékek vásárlása</t>
  </si>
  <si>
    <t>Vagyoni értékű jogok vásárlása</t>
  </si>
  <si>
    <t>Képzőművészeti alkotások vásárlása</t>
  </si>
  <si>
    <t>Gépek, berendezések és felszerelések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</si>
  <si>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</si>
  <si>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</si>
  <si>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</si>
  <si>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</si>
  <si>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</si>
  <si>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Felhalmozási célú támogatásértékű kiad. összesen</t>
  </si>
  <si>
    <t>Ügyvitel- és számítástechnikai eszközök vás.</t>
  </si>
  <si>
    <t>Egyéb gépek, berendezések és felszerelések vás.</t>
  </si>
  <si>
    <t>Hangszerek vásárlása</t>
  </si>
  <si>
    <t>11.</t>
  </si>
  <si>
    <t>12.</t>
  </si>
  <si>
    <t>14.</t>
  </si>
  <si>
    <t>17.</t>
  </si>
  <si>
    <t>KIADÁSOK ÖSSZESEN</t>
  </si>
  <si>
    <t>Járművek felújítása</t>
  </si>
  <si>
    <t>Beruházási kiadások összesen</t>
  </si>
  <si>
    <t>13.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</si>
  <si>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</si>
  <si>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</si>
  <si>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</si>
  <si>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</si>
  <si>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</si>
  <si>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Immateriális javak vásárlása</t>
  </si>
  <si>
    <t>Fők.
szla</t>
  </si>
  <si>
    <t>Megnevezés</t>
  </si>
  <si>
    <t>1.</t>
  </si>
  <si>
    <t>2.</t>
  </si>
  <si>
    <t>3.</t>
  </si>
  <si>
    <t>4.</t>
  </si>
  <si>
    <t>5.</t>
  </si>
  <si>
    <t>37.</t>
  </si>
  <si>
    <t>Háztartásoknak nyújtott felhalm. célú támog. kölcs.</t>
  </si>
  <si>
    <t>Önkormányzat támogatásértékű kiadások, pénzeszközátadások</t>
  </si>
  <si>
    <t>Ingatlanok és kapcsolódó vagyoni értékű jogok vás.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</si>
  <si>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</si>
  <si>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</si>
  <si>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</si>
  <si>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</si>
  <si>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</si>
  <si>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</si>
  <si>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</si>
  <si>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10.</t>
  </si>
  <si>
    <t>19.</t>
  </si>
  <si>
    <t>Első lakáshoz jutók támogatása</t>
  </si>
  <si>
    <t>15.</t>
  </si>
  <si>
    <t>Mozgáskorlátozott E</t>
  </si>
  <si>
    <t xml:space="preserve">ATEFITA Alapítvány </t>
  </si>
  <si>
    <t>Abdai Lovas Egyesület</t>
  </si>
  <si>
    <t>Önkéntes Tűzoltó Egyesület</t>
  </si>
  <si>
    <t xml:space="preserve">Holt Rábcáért Egyesület      </t>
  </si>
  <si>
    <t xml:space="preserve">Abdai Egyházközösségért A.   </t>
  </si>
  <si>
    <t xml:space="preserve">F-10 Postagalamb Egyesület   </t>
  </si>
  <si>
    <t xml:space="preserve">Polgárőr Egyesület           </t>
  </si>
  <si>
    <t xml:space="preserve">Zrínyi I. Abdai Ifj. Kh. A.   </t>
  </si>
  <si>
    <t xml:space="preserve">Vándorbot Egyesület           </t>
  </si>
  <si>
    <t xml:space="preserve">ABDA SC támogatás    </t>
  </si>
  <si>
    <t>16.</t>
  </si>
  <si>
    <t>18.</t>
  </si>
  <si>
    <t>Öttevény Közs. Önk. (KMB tám.)</t>
  </si>
  <si>
    <t>Vállalkozásoknak</t>
  </si>
  <si>
    <t>Fogorvosi ellátás</t>
  </si>
  <si>
    <t>Szalai Gyula Alapítvány</t>
  </si>
  <si>
    <t>Győr M. J. Város jelzőrendszer</t>
  </si>
  <si>
    <t>Társulásnak és költségvetési szerveinek</t>
  </si>
  <si>
    <t>Irányítás (felügyelet) alá tartozó költségvetési szervnek folyósított támogatás</t>
  </si>
  <si>
    <t xml:space="preserve">Jelzőrendszeres házi segítségnyújtás </t>
  </si>
  <si>
    <t>K511</t>
  </si>
  <si>
    <t>K84</t>
  </si>
  <si>
    <t>K86</t>
  </si>
  <si>
    <t>K915</t>
  </si>
  <si>
    <t>K50613</t>
  </si>
  <si>
    <t>K50616</t>
  </si>
  <si>
    <t>K50617</t>
  </si>
  <si>
    <t>Irányítás (felügyelet) alá tartozó költségvetési szervnek folyósított működési támogatás( KÖZÖS HIVATAL)</t>
  </si>
  <si>
    <t>Civil szervezeteknek</t>
  </si>
  <si>
    <t>20.</t>
  </si>
  <si>
    <t>K62</t>
  </si>
  <si>
    <t>K621</t>
  </si>
  <si>
    <t>K6214</t>
  </si>
  <si>
    <t>K64</t>
  </si>
  <si>
    <t>K641</t>
  </si>
  <si>
    <t>K71</t>
  </si>
  <si>
    <t>K711</t>
  </si>
  <si>
    <t>K71112</t>
  </si>
  <si>
    <t>Sor-szám</t>
  </si>
  <si>
    <t>Szakfeladat megnevezés</t>
  </si>
  <si>
    <t>∑</t>
  </si>
  <si>
    <t>Önkormányzat</t>
  </si>
  <si>
    <t>Közös Hivatal</t>
  </si>
  <si>
    <t>Zöldterület-kezelés</t>
  </si>
  <si>
    <t>Önkormányzati jogalkotás</t>
  </si>
  <si>
    <t>Város és községgazdálkodási szolg.</t>
  </si>
  <si>
    <t>Háziorvosi alapellátás</t>
  </si>
  <si>
    <t>Család és nővédelmi eü gondozás</t>
  </si>
  <si>
    <t>Házi segítségnyújtás</t>
  </si>
  <si>
    <t>Foglalk. hosszabb idejű közfoglalkoztatása</t>
  </si>
  <si>
    <t>Önkorm. és társul. Igazgatási tevékenysége</t>
  </si>
  <si>
    <t>Adó, illeték beszedése, kiszab.</t>
  </si>
  <si>
    <t>Mindösszesen</t>
  </si>
  <si>
    <t>I. Működési célú bevételek és kiadások mérlege
(Önkormányzati szinten)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</si>
  <si>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</si>
  <si>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</si>
  <si>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</si>
  <si>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</si>
  <si>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</si>
  <si>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</si>
  <si>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</si>
  <si>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</si>
  <si>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</si>
  <si>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</si>
  <si>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</si>
  <si>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</si>
  <si>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</si>
  <si>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</si>
  <si>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</si>
  <si>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</si>
  <si>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</si>
  <si>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</si>
  <si>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</si>
  <si>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</si>
  <si>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>Hosszú lejáratú hitelek törlesztése</t>
  </si>
  <si>
    <t xml:space="preserve">   Egyéb belső finanszírozási bevételek (int. Fin.)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</si>
  <si>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</si>
  <si>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</si>
  <si>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</si>
  <si>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</si>
  <si>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</si>
  <si>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</si>
  <si>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</si>
  <si>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</si>
  <si>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</si>
  <si>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</si>
  <si>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</si>
  <si>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</si>
  <si>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</si>
  <si>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</si>
  <si>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</si>
  <si>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</si>
  <si>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</si>
  <si>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</si>
  <si>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</si>
  <si>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</si>
  <si>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</si>
  <si>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</si>
  <si>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</si>
  <si>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</si>
  <si>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</si>
  <si>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</si>
  <si>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</si>
  <si>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</si>
  <si>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</si>
  <si>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</si>
  <si>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</si>
  <si>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</si>
  <si>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</si>
  <si>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</si>
  <si>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</si>
  <si>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</si>
  <si>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</si>
  <si>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</si>
  <si>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</si>
  <si>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</si>
  <si>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</si>
  <si>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</si>
  <si>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</si>
  <si>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</si>
  <si>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</si>
  <si>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</si>
  <si>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</si>
  <si>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</si>
  <si>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</si>
  <si>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</si>
  <si>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</si>
  <si>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</si>
  <si>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</si>
  <si>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</si>
  <si>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</si>
  <si>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</si>
  <si>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</si>
  <si>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</si>
  <si>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</si>
  <si>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</si>
  <si>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</si>
  <si>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</si>
  <si>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</si>
  <si>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</si>
  <si>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</si>
  <si>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</si>
  <si>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</si>
  <si>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</si>
  <si>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</si>
  <si>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</si>
  <si>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</si>
  <si>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</si>
  <si>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</si>
  <si>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</si>
  <si>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</si>
  <si>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</si>
  <si>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</si>
  <si>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Helyi adók</t>
  </si>
  <si>
    <t>Saját bevételek</t>
  </si>
  <si>
    <t>Adósságot keletkeztető éves kötelezetts. váll. felső határa 50%</t>
  </si>
  <si>
    <t>Abda</t>
  </si>
  <si>
    <t>Startmunka program Téli közfoglalkoztatás</t>
  </si>
  <si>
    <t>Közművelődés-közösségi és társad.részvétel fejl.</t>
  </si>
  <si>
    <t xml:space="preserve"> Működési bevételek</t>
  </si>
  <si>
    <t>Támogatások (Önkorm.műk.támog.), kiegészítések (működési célú)</t>
  </si>
  <si>
    <t>Áht-n belüli megelőlegezések visszafizetése</t>
  </si>
  <si>
    <t>Gyermekj.Társ.-nak Abda Önkormányzat</t>
  </si>
  <si>
    <t>Óvoda Társ.-nak Abda Önkormányzat</t>
  </si>
  <si>
    <t>K5121</t>
  </si>
  <si>
    <t xml:space="preserve">Mikulásbirodalom Alapítvány  </t>
  </si>
  <si>
    <t>II. Rákóczi F. Alapítvány</t>
  </si>
  <si>
    <t>Pannon Kincse LEADER</t>
  </si>
  <si>
    <t>K63</t>
  </si>
  <si>
    <t xml:space="preserve">   Értékpapírok ért.bevétel </t>
  </si>
  <si>
    <t xml:space="preserve"> Ft-ban</t>
  </si>
  <si>
    <t>BURSA HUNGARICA, Arany J. Tehetség.</t>
  </si>
  <si>
    <t xml:space="preserve">  forintban !</t>
  </si>
  <si>
    <t>Kamatbevételek és más nyereségjellegű bevételek</t>
  </si>
  <si>
    <t>Felhalmozási bevételek</t>
  </si>
  <si>
    <t>Felhalmozási célú átvett pénzeszközök</t>
  </si>
  <si>
    <t>Költségvetési bevételek</t>
  </si>
  <si>
    <t>Értékesítési és forgalmi adók (iparűzési)</t>
  </si>
  <si>
    <t>Egyéb áruhaszn. és szolg. adók (idegenforg. adó)</t>
  </si>
  <si>
    <t>Egyéb közhatalmi bevételek (talajterh., bírság, pótlék)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</si>
  <si>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</si>
  <si>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</si>
  <si>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</si>
  <si>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</si>
  <si>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</si>
  <si>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Vagyoni tipusú adók (kommunális adó)</t>
  </si>
  <si>
    <t>Gépjárműadók</t>
  </si>
  <si>
    <t>Közhatalmi bevételek összesen</t>
  </si>
  <si>
    <t>Működési bevételek összesen: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</si>
  <si>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</si>
  <si>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</si>
  <si>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</si>
  <si>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</si>
  <si>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</si>
  <si>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</si>
  <si>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</si>
  <si>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Ingatlanok értékesítése</t>
  </si>
  <si>
    <t>Felhalmozási célú visszatérítendő támogatások, kölcsönök visszatérülése államháztartáson kívülről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</si>
  <si>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</si>
  <si>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</si>
  <si>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</si>
  <si>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</si>
  <si>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</si>
  <si>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</si>
  <si>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</si>
  <si>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</si>
  <si>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</si>
  <si>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</si>
  <si>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</si>
  <si>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</si>
  <si>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</si>
  <si>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</si>
  <si>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Készletbeszerzés</t>
  </si>
  <si>
    <t xml:space="preserve">Kommunikációs szolgáltatások </t>
  </si>
  <si>
    <t>Szolgáltatási kiadások</t>
  </si>
  <si>
    <t>Kiküldetések, reklám- és propagandakiadások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</si>
  <si>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</si>
  <si>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</si>
  <si>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</si>
  <si>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</si>
  <si>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</si>
  <si>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</si>
  <si>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</si>
  <si>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</si>
  <si>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</si>
  <si>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</si>
  <si>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</si>
  <si>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</si>
  <si>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</si>
  <si>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</si>
  <si>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</si>
  <si>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</si>
  <si>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</si>
  <si>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</si>
  <si>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Ft-ban</t>
  </si>
  <si>
    <t>Elvonások és befízetések</t>
  </si>
  <si>
    <t>Központi, irányítószervi támogatás</t>
  </si>
  <si>
    <t>Belföldi finanszírozás bevételei</t>
  </si>
  <si>
    <t>Külter, utak, földutak burkolata (pályázat önrész)</t>
  </si>
  <si>
    <t>Hosszú lejáratú hitelek, kölcsönök felvétele pénzügyi vállalkozástól</t>
  </si>
  <si>
    <t>Hitel-, kölcsönfelvétel pénzügyi vállalkozástól</t>
  </si>
  <si>
    <t>Központi költségvetési szerv előirányzatoknak</t>
  </si>
  <si>
    <t>Abdai Horgász Egyesület</t>
  </si>
  <si>
    <t>Abdai Alkotó Kezek</t>
  </si>
  <si>
    <t>Orvosi rendelő előtti parkoló önrésze</t>
  </si>
  <si>
    <t>Tornacsarnok építése</t>
  </si>
  <si>
    <t>Működési célú pénzeszközátadások mindösszesen</t>
  </si>
  <si>
    <t>Díjak, pótlékok, települési adók</t>
  </si>
  <si>
    <t>Imm. Javak, ingatlanok, egyéb tárgyi eszköz értékesítés</t>
  </si>
  <si>
    <t>Börcs  Önkorm.-nak óvoda 2018.évi elszámolás</t>
  </si>
  <si>
    <t>Börcs  Önkorm.-nak védőnő 2018.évi elszámolás</t>
  </si>
  <si>
    <t xml:space="preserve">Ikrény Önkorm.-nak családsegítő 2018. évi elszámolás </t>
  </si>
  <si>
    <t xml:space="preserve">Szigetköz Felső-Duna mente" Térségi Fejlesztési Tanács 2019. évi tagdíj </t>
  </si>
  <si>
    <t>Arrabona EGTC 2019. évi tagdíj</t>
  </si>
  <si>
    <t>2019. évi eredeti előirányzat</t>
  </si>
  <si>
    <t>Tűzoltószertár</t>
  </si>
  <si>
    <t>Fogorvosi rendelő</t>
  </si>
  <si>
    <t>Aszfaltos pálya</t>
  </si>
  <si>
    <t>Csapadékvíz elvezetés</t>
  </si>
  <si>
    <t>Iskolaudvar térkövezése</t>
  </si>
  <si>
    <t>Inf. eszközök beszerzése Régi Hivatalhoz és az Önkormányzathoz</t>
  </si>
  <si>
    <t>Lombszívó (vkg)</t>
  </si>
  <si>
    <t>Szerszámok (vkg)</t>
  </si>
  <si>
    <t>Hivatalba székek beszerzése</t>
  </si>
  <si>
    <t>Iskolába udvari játékok</t>
  </si>
  <si>
    <t>Gyalogos Szt. István - Szent I.u.között (Út autp.)</t>
  </si>
  <si>
    <t>Sportöltöző bővítése</t>
  </si>
  <si>
    <t>Régi Hivatal TOP-4.2.1-15-GM1-2016-00011 pályázat hátsó épület pótmunkái</t>
  </si>
  <si>
    <t>1. sz. főút - Hunyadi út útburkolat</t>
  </si>
  <si>
    <t>Hunyadi út - Híd u. kereszteződés</t>
  </si>
  <si>
    <t>Hunyadi utca (zsákutca)</t>
  </si>
  <si>
    <t>Müködési c. támogatásértékű bevétel áh-n belül (Tiszta környezet, tiszta Abda)</t>
  </si>
  <si>
    <t>Egyéb felhalmozási célú pénzeszköz Áh- kívülről (Abda Sc)</t>
  </si>
  <si>
    <t>2019. évi engedélyezett létszám</t>
  </si>
  <si>
    <t>Központi, irányító szervi támogatás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</si>
  <si>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</si>
  <si>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</si>
  <si>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</si>
  <si>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</si>
  <si>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</si>
  <si>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10=(6+…+9)</t>
  </si>
  <si>
    <t>Működési célú
hiteltörlesztés (tőke+kamat)</t>
  </si>
  <si>
    <t>............................</t>
  </si>
  <si>
    <t>Felhalmozási célú
hiteltörlesztés (tőke+kamat)</t>
  </si>
  <si>
    <t>Fejlesztési célú forint alapu hitel</t>
  </si>
  <si>
    <t>Fejlesztési célú forint alapu hitel kamata</t>
  </si>
  <si>
    <t>Beruházás feladatonként</t>
  </si>
  <si>
    <t>Egyéb</t>
  </si>
  <si>
    <t>Összesen (1+4+7+9+11)</t>
  </si>
  <si>
    <t>Tornacsarnok</t>
  </si>
  <si>
    <t>Beruházás célonként</t>
  </si>
  <si>
    <t>2020.</t>
  </si>
  <si>
    <t>2021.</t>
  </si>
  <si>
    <t>2022.</t>
  </si>
  <si>
    <t>2022. 
után</t>
  </si>
  <si>
    <t>Kötelezettség 2019.</t>
  </si>
  <si>
    <t>Turisztikai pályázati önrész</t>
  </si>
  <si>
    <t>Kistöltés utca útburkolat</t>
  </si>
  <si>
    <t>Előir.mód.I</t>
  </si>
  <si>
    <t>Mód.ei.</t>
  </si>
  <si>
    <t>Teljesítés</t>
  </si>
  <si>
    <t>2019. évi előirányzat</t>
  </si>
  <si>
    <t>Működési célú költségvetési támogatások és kieg.tám.</t>
  </si>
  <si>
    <t>Elszámolásból származó bevételek</t>
  </si>
  <si>
    <r>
      <t>Működési c. támogatásértékű egyéb fej. kezel. Előir.</t>
    </r>
    <r>
      <rPr>
        <sz val="8"/>
        <rFont val="Arial"/>
        <family val="2"/>
        <charset val="238"/>
      </rPr>
      <t xml:space="preserve"> (jegyzői hat.k.seg)</t>
    </r>
  </si>
  <si>
    <t>Felhalmozási célú garancia- és kezességvállalásból származó megtérülések államháztartáson kívülről</t>
  </si>
  <si>
    <t>Egyéb  felhalm.célú támogatás fejezet kezelés EU</t>
  </si>
  <si>
    <t>Egyéb felhalm.célú tám.bev.áhn. Belül</t>
  </si>
  <si>
    <t>Felhalmozási célú támogatások áht-n belülről összesen:</t>
  </si>
  <si>
    <t>Egyéb működési célú átv.pénzeszk. Háztartásoktól</t>
  </si>
  <si>
    <t>Működési célú átvett pénzeszközök</t>
  </si>
  <si>
    <t>Egyéb tárgyi eszköz értékesítése</t>
  </si>
  <si>
    <t>Eredeti összesen</t>
  </si>
  <si>
    <t>Egyéb működési célú kiadások áhn.belül +áhn kívül</t>
  </si>
  <si>
    <t>Pénzmaradvány átadása Abdának 2018.évi</t>
  </si>
  <si>
    <t>Átlagbér kifizetés EP választás</t>
  </si>
  <si>
    <t>Gyöngyvirág Nyugdíjas Klub Abda Baráti Kör</t>
  </si>
  <si>
    <t xml:space="preserve">Ködképző gép </t>
  </si>
  <si>
    <t>Lombszívó, -fúvó, sterimó (közfoglalkoztatottaknak) kisértékű 200e alatti</t>
  </si>
  <si>
    <t>Közművelődés Cd rádió 200e alatti kisértékű</t>
  </si>
  <si>
    <t>Régi hivatal kis értékű tárgyi eszköz 200e alatti vetítővászon, indukc.főzőlap, elektr.kapunyitó,</t>
  </si>
  <si>
    <t>Traktor, tartozékok és pótkocsi beruházás</t>
  </si>
  <si>
    <t>Régi hivatal - TOP-4.2.1-15-GM1-2016-00011  kamerarendszer beruházás</t>
  </si>
  <si>
    <t>Hunyadi utca (zsákutca) - beruházásnál tervezve</t>
  </si>
  <si>
    <t>Felhalmozási célú pénzeszközátadások</t>
  </si>
  <si>
    <t>Rovat</t>
  </si>
  <si>
    <t>Kötelező feladatok</t>
  </si>
  <si>
    <t>Összesen</t>
  </si>
  <si>
    <t>Önként vállalt feladatok</t>
  </si>
  <si>
    <t>Állami feladatok</t>
  </si>
  <si>
    <t>B111</t>
  </si>
  <si>
    <t>B112</t>
  </si>
  <si>
    <t>B113</t>
  </si>
  <si>
    <t>B114</t>
  </si>
  <si>
    <t>B11</t>
  </si>
  <si>
    <t>B16</t>
  </si>
  <si>
    <t>B1</t>
  </si>
  <si>
    <t>B34</t>
  </si>
  <si>
    <t>B351</t>
  </si>
  <si>
    <t>B354</t>
  </si>
  <si>
    <t>B355</t>
  </si>
  <si>
    <t>B35</t>
  </si>
  <si>
    <t>B36</t>
  </si>
  <si>
    <t>B3</t>
  </si>
  <si>
    <t>B402</t>
  </si>
  <si>
    <t>B403</t>
  </si>
  <si>
    <t>B404</t>
  </si>
  <si>
    <t>B405</t>
  </si>
  <si>
    <t>B406</t>
  </si>
  <si>
    <t>B407</t>
  </si>
  <si>
    <t>B408</t>
  </si>
  <si>
    <t>B411</t>
  </si>
  <si>
    <t>B4</t>
  </si>
  <si>
    <t>B51</t>
  </si>
  <si>
    <t>B74</t>
  </si>
  <si>
    <t>B75</t>
  </si>
  <si>
    <t>B7</t>
  </si>
  <si>
    <t>B1-B7</t>
  </si>
  <si>
    <t>B8111</t>
  </si>
  <si>
    <t>B811</t>
  </si>
  <si>
    <t>B8121</t>
  </si>
  <si>
    <t>B8132</t>
  </si>
  <si>
    <t>B816</t>
  </si>
  <si>
    <t>B81</t>
  </si>
  <si>
    <t>B8</t>
  </si>
  <si>
    <t>K11</t>
  </si>
  <si>
    <t>K12</t>
  </si>
  <si>
    <t>K1</t>
  </si>
  <si>
    <t>K2</t>
  </si>
  <si>
    <t>K31</t>
  </si>
  <si>
    <t>K32</t>
  </si>
  <si>
    <t>K33</t>
  </si>
  <si>
    <t>Közvetített szolgáltatások</t>
  </si>
  <si>
    <t>K335</t>
  </si>
  <si>
    <t>K34</t>
  </si>
  <si>
    <t>K35</t>
  </si>
  <si>
    <t>K3</t>
  </si>
  <si>
    <t>K4</t>
  </si>
  <si>
    <t>K502</t>
  </si>
  <si>
    <t>K506</t>
  </si>
  <si>
    <t>K512</t>
  </si>
  <si>
    <t>K513</t>
  </si>
  <si>
    <t>K6</t>
  </si>
  <si>
    <t>K7</t>
  </si>
  <si>
    <t>K82</t>
  </si>
  <si>
    <t>K8</t>
  </si>
  <si>
    <t>K1-K8</t>
  </si>
  <si>
    <t>K914</t>
  </si>
  <si>
    <t>K9</t>
  </si>
  <si>
    <t>Eredeti előirányzat + módosított előirányzat</t>
  </si>
  <si>
    <t>Abda 
eredeti ei.</t>
  </si>
  <si>
    <t>Közös hivatal
eredeti ei.</t>
  </si>
  <si>
    <t>B115</t>
  </si>
  <si>
    <t>B116</t>
  </si>
  <si>
    <t>B65</t>
  </si>
  <si>
    <t>B71</t>
  </si>
  <si>
    <t>B25</t>
  </si>
  <si>
    <t>B2</t>
  </si>
  <si>
    <t>ABDA KÖZSÉG ÖNKORMÁNYZATA   2019. I - III. N. ÉVI ELŐIR.MÓD. ÉS TELJ.</t>
  </si>
  <si>
    <t>Eredeti ei.</t>
  </si>
  <si>
    <t>Előir.mód.II.</t>
  </si>
  <si>
    <t>Müködési c. támogatásértékű bevétel áh-n belül (Tiszta környezet, Választás)</t>
  </si>
  <si>
    <t>Egyéb  felhalm.célú tám. fejezeti kez. EU (külter.utak pályázat)</t>
  </si>
  <si>
    <t>Készletértékesítés ellenértéke</t>
  </si>
  <si>
    <t>Egyéb működési bevételek (jólteljesítési biztosíték)</t>
  </si>
  <si>
    <t>Vöröskereszt</t>
  </si>
  <si>
    <t>200e alatti kisértékű szünetmentes 10.900 Ft , Pénzügy - számítógép 336.800 Ft</t>
  </si>
  <si>
    <t>Templom padok felújítása</t>
  </si>
  <si>
    <t>ABDA KÖZSÉG ÖNKORMÁNYZATA   2019. III. N. ÉVI ELŐIRÁNYZAT MÓDOSÍTÁS</t>
  </si>
  <si>
    <t>Mód.ei. I.</t>
  </si>
  <si>
    <t>Mód.ei.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</si>
</sst>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65" formatCode="0.0"/>
    <numFmt numFmtId="166" formatCode="#,###"/>
  </numFmts>
  <fonts count="7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2" tint="-0.89999084444715716"/>
      <name val="Arial CE"/>
      <charset val="238"/>
    </font>
    <font>
      <b/>
      <sz val="10"/>
      <color theme="2" tint="-0.89999084444715716"/>
      <name val="Arial CE"/>
      <charset val="238"/>
    </font>
    <font>
      <sz val="10"/>
      <color theme="2" tint="-0.89999084444715716"/>
      <name val="Arial"/>
      <family val="2"/>
      <charset val="238"/>
    </font>
    <font>
      <b/>
      <sz val="10"/>
      <color theme="2" tint="-0.89999084444715716"/>
      <name val="Arial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Arial CE"/>
      <charset val="238"/>
    </font>
    <font>
      <b/>
      <sz val="10"/>
      <color rgb="FFFF000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1"/>
      <name val="Arial CE"/>
      <charset val="238"/>
    </font>
    <font>
      <b/>
      <sz val="10"/>
      <color theme="1"/>
      <name val="Times New Roman"/>
      <family val="1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i/>
      <sz val="8"/>
      <color theme="1"/>
      <name val="Times New Roman CE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lightHorizontal"/>
    </fill>
    <fill>
      <patternFill patternType="solid">
        <fgColor theme="6" tint="-0.249977111117893"/>
        <bgColor indexed="64"/>
      </patternFill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7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" fillId="17" borderId="7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9" fillId="4" borderId="0" applyNumberFormat="0" applyBorder="0" applyAlignment="0" applyProtection="0"/>
    <xf numFmtId="0" fontId="20" fillId="22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3" borderId="0" applyNumberFormat="0" applyBorder="0" applyAlignment="0" applyProtection="0"/>
    <xf numFmtId="0" fontId="25" fillId="22" borderId="1" applyNumberFormat="0" applyAlignment="0" applyProtection="0"/>
  </cellStyleXfs>
  <cellXfs count="72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3" fontId="2" fillId="24" borderId="15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3" fillId="0" borderId="11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3" fontId="2" fillId="1" borderId="11" xfId="0" applyNumberFormat="1" applyFont="1" applyFill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" fontId="2" fillId="1" borderId="11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3" xfId="0" applyFont="1" applyFill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6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0" fontId="2" fillId="1" borderId="18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1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4" borderId="28" xfId="0" applyFont="1" applyFill="1" applyBorder="1" applyAlignment="1">
      <alignment horizontal="center" vertical="center"/>
    </xf>
    <xf numFmtId="0" fontId="26" fillId="0" borderId="11" xfId="0" applyFont="1" applyBorder="1"/>
    <xf numFmtId="0" fontId="2" fillId="0" borderId="19" xfId="0" applyFont="1" applyBorder="1" applyAlignment="1">
      <alignment horizontal="center" vertical="center"/>
    </xf>
    <xf numFmtId="0" fontId="26" fillId="0" borderId="11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/>
    </xf>
    <xf numFmtId="0" fontId="2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horizontal="center" vertical="top"/>
    </xf>
    <xf numFmtId="0" fontId="2" fillId="25" borderId="10" xfId="0" applyFont="1" applyFill="1" applyBorder="1" applyAlignment="1">
      <alignment vertical="center" wrapText="1"/>
    </xf>
    <xf numFmtId="0" fontId="2" fillId="25" borderId="11" xfId="0" applyFont="1" applyFill="1" applyBorder="1" applyAlignment="1">
      <alignment horizontal="left" vertical="center" wrapText="1"/>
    </xf>
    <xf numFmtId="0" fontId="2" fillId="25" borderId="11" xfId="0" applyFont="1" applyFill="1" applyBorder="1" applyAlignment="1">
      <alignment horizontal="center" vertical="center"/>
    </xf>
    <xf numFmtId="3" fontId="3" fillId="0" borderId="18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Alignment="1">
      <alignment vertical="center"/>
    </xf>
    <xf numFmtId="0" fontId="27" fillId="24" borderId="37" xfId="0" applyFont="1" applyFill="1" applyBorder="1" applyAlignment="1">
      <alignment horizontal="center" vertical="center"/>
    </xf>
    <xf numFmtId="43" fontId="2" fillId="24" borderId="37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vertical="center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164" fontId="2" fillId="0" borderId="25" xfId="0" applyNumberFormat="1" applyFont="1" applyBorder="1" applyAlignment="1">
      <alignment horizontal="right" vertical="center" wrapText="1"/>
    </xf>
    <xf numFmtId="0" fontId="3" fillId="0" borderId="4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64" fontId="2" fillId="0" borderId="31" xfId="0" applyNumberFormat="1" applyFont="1" applyBorder="1" applyAlignment="1">
      <alignment horizontal="right" vertical="center" wrapText="1"/>
    </xf>
    <xf numFmtId="0" fontId="3" fillId="0" borderId="42" xfId="0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/>
    </xf>
    <xf numFmtId="164" fontId="2" fillId="0" borderId="42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wrapText="1"/>
    </xf>
    <xf numFmtId="164" fontId="2" fillId="0" borderId="20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/>
    </xf>
    <xf numFmtId="43" fontId="2" fillId="24" borderId="44" xfId="0" applyNumberFormat="1" applyFont="1" applyFill="1" applyBorder="1" applyAlignment="1">
      <alignment horizontal="right" vertical="center" wrapText="1"/>
    </xf>
    <xf numFmtId="165" fontId="2" fillId="24" borderId="37" xfId="0" applyNumberFormat="1" applyFont="1" applyFill="1" applyBorder="1" applyAlignment="1">
      <alignment vertical="center"/>
    </xf>
    <xf numFmtId="43" fontId="2" fillId="24" borderId="37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166" fontId="28" fillId="0" borderId="0" xfId="0" applyNumberFormat="1" applyFont="1" applyAlignment="1">
      <alignment horizontal="centerContinuous" vertical="center" wrapText="1"/>
    </xf>
    <xf numFmtId="166" fontId="30" fillId="0" borderId="0" xfId="0" applyNumberFormat="1" applyFont="1" applyAlignment="1">
      <alignment horizontal="right" vertical="center"/>
    </xf>
    <xf numFmtId="166" fontId="32" fillId="0" borderId="29" xfId="0" applyNumberFormat="1" applyFont="1" applyBorder="1" applyAlignment="1">
      <alignment horizontal="centerContinuous" vertical="center" wrapText="1"/>
    </xf>
    <xf numFmtId="166" fontId="32" fillId="0" borderId="26" xfId="0" applyNumberFormat="1" applyFont="1" applyBorder="1" applyAlignment="1">
      <alignment horizontal="centerContinuous" vertical="center" wrapText="1"/>
    </xf>
    <xf numFmtId="166" fontId="32" fillId="0" borderId="15" xfId="0" applyNumberFormat="1" applyFont="1" applyBorder="1" applyAlignment="1">
      <alignment horizontal="centerContinuous" vertical="center" wrapText="1"/>
    </xf>
    <xf numFmtId="166" fontId="32" fillId="0" borderId="29" xfId="0" applyNumberFormat="1" applyFont="1" applyBorder="1" applyAlignment="1">
      <alignment horizontal="center" vertical="center" wrapText="1"/>
    </xf>
    <xf numFmtId="166" fontId="32" fillId="0" borderId="26" xfId="0" applyNumberFormat="1" applyFont="1" applyBorder="1" applyAlignment="1">
      <alignment horizontal="center" vertical="center" wrapText="1"/>
    </xf>
    <xf numFmtId="166" fontId="33" fillId="0" borderId="0" xfId="0" applyNumberFormat="1" applyFont="1" applyAlignment="1">
      <alignment horizontal="center" vertical="center" wrapText="1"/>
    </xf>
    <xf numFmtId="166" fontId="34" fillId="0" borderId="37" xfId="0" applyNumberFormat="1" applyFont="1" applyBorder="1" applyAlignment="1">
      <alignment horizontal="center" vertical="center" wrapText="1"/>
    </xf>
    <xf numFmtId="166" fontId="34" fillId="0" borderId="29" xfId="0" applyNumberFormat="1" applyFont="1" applyBorder="1" applyAlignment="1">
      <alignment horizontal="center" vertical="center" wrapText="1"/>
    </xf>
    <xf numFmtId="166" fontId="34" fillId="0" borderId="26" xfId="0" applyNumberFormat="1" applyFont="1" applyBorder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5" fillId="0" borderId="39" xfId="0" applyNumberFormat="1" applyFont="1" applyBorder="1" applyAlignment="1">
      <alignment horizontal="left" vertical="center" wrapText="1" indent="1"/>
    </xf>
    <xf numFmtId="166" fontId="35" fillId="0" borderId="10" xfId="0" applyNumberFormat="1" applyFont="1" applyBorder="1" applyAlignment="1">
      <alignment horizontal="left" vertical="center" wrapText="1" indent="1"/>
    </xf>
    <xf numFmtId="166" fontId="35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5" xfId="0" applyNumberFormat="1" applyFont="1" applyBorder="1" applyAlignment="1">
      <alignment horizontal="left" vertical="center" wrapText="1" indent="1"/>
    </xf>
    <xf numFmtId="166" fontId="35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0" xfId="0" applyNumberFormat="1" applyFont="1" applyBorder="1" applyAlignment="1" applyProtection="1">
      <alignment horizontal="left" vertical="center" wrapText="1" indent="1"/>
      <protection locked="0"/>
    </xf>
    <xf numFmtId="166" fontId="36" fillId="0" borderId="0" xfId="0" applyNumberFormat="1" applyFont="1" applyAlignment="1">
      <alignment horizontal="left" vertical="center" wrapText="1" indent="1"/>
    </xf>
    <xf numFmtId="166" fontId="35" fillId="0" borderId="45" xfId="0" applyNumberFormat="1" applyFont="1" applyBorder="1" applyAlignment="1" applyProtection="1">
      <alignment horizontal="left" vertical="center" wrapText="1" indent="1"/>
      <protection locked="0"/>
    </xf>
    <xf numFmtId="166" fontId="35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37" fillId="0" borderId="37" xfId="0" applyNumberFormat="1" applyFont="1" applyBorder="1" applyAlignment="1">
      <alignment horizontal="left" vertical="center" wrapText="1" indent="1"/>
    </xf>
    <xf numFmtId="166" fontId="34" fillId="0" borderId="29" xfId="0" applyNumberFormat="1" applyFont="1" applyBorder="1" applyAlignment="1">
      <alignment horizontal="left" vertical="center" wrapText="1" indent="1"/>
    </xf>
    <xf numFmtId="166" fontId="34" fillId="0" borderId="26" xfId="0" applyNumberFormat="1" applyFont="1" applyBorder="1" applyAlignment="1">
      <alignment horizontal="right" vertical="center" wrapText="1" indent="1"/>
    </xf>
    <xf numFmtId="166" fontId="38" fillId="0" borderId="41" xfId="0" applyNumberFormat="1" applyFont="1" applyBorder="1" applyAlignment="1">
      <alignment horizontal="left" vertical="center" wrapText="1" indent="1"/>
    </xf>
    <xf numFmtId="166" fontId="36" fillId="0" borderId="46" xfId="0" applyNumberFormat="1" applyFont="1" applyBorder="1" applyAlignment="1">
      <alignment horizontal="left" vertical="center" wrapText="1" indent="1"/>
    </xf>
    <xf numFmtId="166" fontId="36" fillId="0" borderId="10" xfId="0" applyNumberFormat="1" applyFont="1" applyBorder="1" applyAlignment="1">
      <alignment horizontal="left" vertical="center" wrapText="1" indent="1"/>
    </xf>
    <xf numFmtId="166" fontId="38" fillId="0" borderId="42" xfId="0" applyNumberFormat="1" applyFont="1" applyBorder="1" applyAlignment="1">
      <alignment horizontal="left" vertical="center" wrapText="1" indent="1"/>
    </xf>
    <xf numFmtId="166" fontId="3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39" fillId="0" borderId="11" xfId="0" applyNumberFormat="1" applyFont="1" applyBorder="1" applyAlignment="1">
      <alignment horizontal="right" vertical="center" wrapText="1" indent="1"/>
    </xf>
    <xf numFmtId="166" fontId="36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31" fillId="0" borderId="29" xfId="0" applyNumberFormat="1" applyFont="1" applyBorder="1" applyAlignment="1">
      <alignment horizontal="left" vertical="center" wrapText="1" indent="1"/>
    </xf>
    <xf numFmtId="166" fontId="34" fillId="0" borderId="26" xfId="0" applyNumberFormat="1" applyFont="1" applyBorder="1" applyAlignment="1" applyProtection="1">
      <alignment horizontal="right" vertical="center" wrapText="1" indent="1"/>
      <protection locked="0"/>
    </xf>
    <xf numFmtId="166" fontId="37" fillId="0" borderId="29" xfId="0" applyNumberFormat="1" applyFont="1" applyBorder="1" applyAlignment="1">
      <alignment horizontal="left" vertical="center" wrapText="1" indent="1"/>
    </xf>
    <xf numFmtId="166" fontId="37" fillId="0" borderId="47" xfId="0" applyNumberFormat="1" applyFont="1" applyBorder="1" applyAlignment="1">
      <alignment horizontal="right" vertical="center" wrapText="1" indent="1"/>
    </xf>
    <xf numFmtId="166" fontId="35" fillId="0" borderId="10" xfId="0" quotePrefix="1" applyNumberFormat="1" applyFont="1" applyBorder="1" applyAlignment="1">
      <alignment horizontal="left" vertical="center" wrapText="1" indent="6"/>
    </xf>
    <xf numFmtId="166" fontId="36" fillId="0" borderId="10" xfId="0" quotePrefix="1" applyNumberFormat="1" applyFont="1" applyBorder="1" applyAlignment="1">
      <alignment horizontal="left" vertical="center" wrapText="1" indent="6"/>
    </xf>
    <xf numFmtId="166" fontId="35" fillId="0" borderId="10" xfId="0" quotePrefix="1" applyNumberFormat="1" applyFont="1" applyBorder="1" applyAlignment="1">
      <alignment horizontal="left" vertical="center" wrapText="1" indent="3"/>
    </xf>
    <xf numFmtId="166" fontId="35" fillId="0" borderId="46" xfId="0" applyNumberFormat="1" applyFont="1" applyBorder="1" applyAlignment="1">
      <alignment horizontal="left" vertical="center" wrapText="1" indent="1"/>
    </xf>
    <xf numFmtId="166" fontId="35" fillId="0" borderId="40" xfId="0" applyNumberFormat="1" applyFont="1" applyBorder="1" applyAlignment="1" applyProtection="1">
      <alignment horizontal="right" vertical="center" wrapText="1" indent="1"/>
      <protection locked="0"/>
    </xf>
    <xf numFmtId="166" fontId="38" fillId="0" borderId="48" xfId="0" applyNumberFormat="1" applyFont="1" applyBorder="1" applyAlignment="1">
      <alignment horizontal="left" vertical="center" wrapText="1" indent="1"/>
    </xf>
    <xf numFmtId="166" fontId="39" fillId="0" borderId="46" xfId="0" applyNumberFormat="1" applyFont="1" applyBorder="1" applyAlignment="1">
      <alignment horizontal="left" vertical="center" wrapText="1" indent="1"/>
    </xf>
    <xf numFmtId="166" fontId="39" fillId="0" borderId="17" xfId="0" applyNumberFormat="1" applyFont="1" applyBorder="1" applyAlignment="1">
      <alignment horizontal="right" vertical="center" wrapText="1" indent="1"/>
    </xf>
    <xf numFmtId="166" fontId="36" fillId="0" borderId="10" xfId="0" applyNumberFormat="1" applyFont="1" applyBorder="1" applyAlignment="1">
      <alignment horizontal="left" vertical="center" wrapText="1" indent="2"/>
    </xf>
    <xf numFmtId="166" fontId="36" fillId="0" borderId="11" xfId="0" applyNumberFormat="1" applyFont="1" applyBorder="1" applyAlignment="1">
      <alignment horizontal="left" vertical="center" wrapText="1" indent="2"/>
    </xf>
    <xf numFmtId="166" fontId="39" fillId="0" borderId="11" xfId="0" applyNumberFormat="1" applyFont="1" applyBorder="1" applyAlignment="1">
      <alignment horizontal="left" vertical="center" wrapText="1" indent="1"/>
    </xf>
    <xf numFmtId="166" fontId="36" fillId="0" borderId="39" xfId="0" applyNumberFormat="1" applyFont="1" applyBorder="1" applyAlignment="1">
      <alignment horizontal="left" vertical="center" wrapText="1" indent="1"/>
    </xf>
    <xf numFmtId="166" fontId="36" fillId="0" borderId="39" xfId="0" applyNumberFormat="1" applyFont="1" applyBorder="1" applyAlignment="1" applyProtection="1">
      <alignment horizontal="left" vertical="center" wrapText="1" indent="1"/>
      <protection locked="0"/>
    </xf>
    <xf numFmtId="166" fontId="35" fillId="0" borderId="39" xfId="0" applyNumberFormat="1" applyFont="1" applyBorder="1" applyAlignment="1" applyProtection="1">
      <alignment horizontal="left" vertical="center" wrapText="1" indent="1"/>
      <protection locked="0"/>
    </xf>
    <xf numFmtId="166" fontId="35" fillId="0" borderId="39" xfId="0" applyNumberFormat="1" applyFont="1" applyBorder="1" applyAlignment="1">
      <alignment horizontal="left" vertical="center" wrapText="1" indent="2"/>
    </xf>
    <xf numFmtId="166" fontId="35" fillId="0" borderId="45" xfId="0" applyNumberFormat="1" applyFont="1" applyBorder="1" applyAlignment="1">
      <alignment horizontal="left" vertical="center" wrapText="1" indent="2"/>
    </xf>
    <xf numFmtId="3" fontId="2" fillId="0" borderId="0" xfId="0" applyNumberFormat="1" applyFont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19" xfId="0" applyNumberFormat="1" applyFont="1" applyFill="1" applyBorder="1" applyAlignment="1">
      <alignment horizontal="center" vertical="center" wrapText="1"/>
    </xf>
    <xf numFmtId="3" fontId="3" fillId="0" borderId="49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3" fontId="3" fillId="0" borderId="24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52" xfId="0" applyNumberFormat="1" applyFont="1" applyBorder="1" applyAlignment="1">
      <alignment vertical="center"/>
    </xf>
    <xf numFmtId="0" fontId="2" fillId="24" borderId="37" xfId="0" applyFont="1" applyFill="1" applyBorder="1" applyAlignment="1">
      <alignment vertical="center"/>
    </xf>
    <xf numFmtId="3" fontId="0" fillId="0" borderId="0" xfId="0" applyNumberFormat="1"/>
    <xf numFmtId="0" fontId="4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1" fillId="0" borderId="11" xfId="0" applyFont="1" applyBorder="1" applyAlignment="1">
      <alignment horizontal="center" vertical="top" wrapText="1"/>
    </xf>
    <xf numFmtId="0" fontId="41" fillId="0" borderId="11" xfId="0" applyFont="1" applyBorder="1" applyAlignment="1">
      <alignment horizontal="left" vertical="top" wrapText="1"/>
    </xf>
    <xf numFmtId="3" fontId="41" fillId="0" borderId="11" xfId="0" applyNumberFormat="1" applyFont="1" applyBorder="1" applyAlignment="1">
      <alignment horizontal="right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0" fillId="0" borderId="11" xfId="0" applyBorder="1"/>
    <xf numFmtId="3" fontId="40" fillId="24" borderId="11" xfId="0" applyNumberFormat="1" applyFont="1" applyFill="1" applyBorder="1" applyAlignment="1">
      <alignment horizontal="center" vertical="center" wrapText="1"/>
    </xf>
    <xf numFmtId="0" fontId="46" fillId="0" borderId="0" xfId="0" applyFont="1"/>
    <xf numFmtId="0" fontId="43" fillId="0" borderId="0" xfId="0" applyFont="1" applyAlignment="1">
      <alignment vertical="center"/>
    </xf>
    <xf numFmtId="166" fontId="35" fillId="0" borderId="17" xfId="0" applyNumberFormat="1" applyFont="1" applyBorder="1" applyAlignment="1" applyProtection="1">
      <alignment horizontal="right" vertical="center" wrapText="1" indent="1"/>
      <protection locked="0"/>
    </xf>
    <xf numFmtId="166" fontId="39" fillId="0" borderId="36" xfId="0" applyNumberFormat="1" applyFont="1" applyBorder="1" applyAlignment="1">
      <alignment horizontal="right" vertical="center" wrapText="1" indent="1"/>
    </xf>
    <xf numFmtId="166" fontId="1" fillId="0" borderId="0" xfId="0" applyNumberFormat="1" applyFont="1" applyAlignment="1">
      <alignment vertical="center" wrapText="1"/>
    </xf>
    <xf numFmtId="166" fontId="44" fillId="0" borderId="0" xfId="0" applyNumberFormat="1" applyFont="1" applyAlignment="1">
      <alignment horizontal="centerContinuous" vertical="center"/>
    </xf>
    <xf numFmtId="166" fontId="44" fillId="0" borderId="0" xfId="0" applyNumberFormat="1" applyFont="1" applyAlignment="1">
      <alignment vertical="center" wrapText="1"/>
    </xf>
    <xf numFmtId="166" fontId="44" fillId="0" borderId="0" xfId="0" applyNumberFormat="1" applyFont="1" applyAlignment="1">
      <alignment horizontal="center" vertical="center" wrapText="1"/>
    </xf>
    <xf numFmtId="166" fontId="44" fillId="0" borderId="48" xfId="0" applyNumberFormat="1" applyFont="1" applyBorder="1" applyAlignment="1">
      <alignment horizontal="left" vertical="center" wrapText="1" indent="1"/>
    </xf>
    <xf numFmtId="166" fontId="44" fillId="0" borderId="42" xfId="0" applyNumberFormat="1" applyFont="1" applyBorder="1" applyAlignment="1">
      <alignment horizontal="left" vertical="center" wrapText="1" indent="1"/>
    </xf>
    <xf numFmtId="3" fontId="47" fillId="0" borderId="0" xfId="0" applyNumberFormat="1" applyFont="1"/>
    <xf numFmtId="3" fontId="27" fillId="26" borderId="11" xfId="0" applyNumberFormat="1" applyFont="1" applyFill="1" applyBorder="1" applyAlignment="1">
      <alignment horizontal="right" vertical="top" wrapText="1"/>
    </xf>
    <xf numFmtId="3" fontId="27" fillId="24" borderId="11" xfId="0" applyNumberFormat="1" applyFont="1" applyFill="1" applyBorder="1" applyAlignment="1">
      <alignment horizontal="right" vertical="center" wrapText="1"/>
    </xf>
    <xf numFmtId="3" fontId="27" fillId="24" borderId="11" xfId="0" applyNumberFormat="1" applyFont="1" applyFill="1" applyBorder="1" applyAlignment="1">
      <alignment horizontal="right" vertical="top" wrapText="1"/>
    </xf>
    <xf numFmtId="0" fontId="47" fillId="0" borderId="0" xfId="0" applyFont="1"/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vertical="center" wrapText="1"/>
    </xf>
    <xf numFmtId="0" fontId="48" fillId="0" borderId="0" xfId="0" applyFont="1" applyAlignment="1">
      <alignment horizontal="center" vertical="center"/>
    </xf>
    <xf numFmtId="0" fontId="50" fillId="0" borderId="24" xfId="0" applyFont="1" applyBorder="1" applyAlignment="1">
      <alignment vertical="center"/>
    </xf>
    <xf numFmtId="0" fontId="51" fillId="0" borderId="34" xfId="0" applyFont="1" applyBorder="1" applyAlignment="1">
      <alignment vertical="center"/>
    </xf>
    <xf numFmtId="0" fontId="50" fillId="0" borderId="34" xfId="0" applyFont="1" applyBorder="1" applyAlignment="1">
      <alignment vertical="center"/>
    </xf>
    <xf numFmtId="3" fontId="49" fillId="0" borderId="18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43" fillId="0" borderId="0" xfId="0" applyNumberFormat="1" applyFont="1" applyAlignment="1">
      <alignment vertical="center"/>
    </xf>
    <xf numFmtId="3" fontId="43" fillId="0" borderId="0" xfId="0" applyNumberFormat="1" applyFont="1"/>
    <xf numFmtId="3" fontId="2" fillId="24" borderId="11" xfId="0" applyNumberFormat="1" applyFont="1" applyFill="1" applyBorder="1" applyAlignment="1">
      <alignment vertical="center"/>
    </xf>
    <xf numFmtId="0" fontId="41" fillId="0" borderId="11" xfId="0" applyFont="1" applyBorder="1" applyAlignment="1">
      <alignment horizontal="left" vertical="center"/>
    </xf>
    <xf numFmtId="166" fontId="0" fillId="0" borderId="0" xfId="0" applyNumberFormat="1" applyAlignment="1">
      <alignment horizontal="center" vertical="center" wrapText="1"/>
    </xf>
    <xf numFmtId="166" fontId="32" fillId="0" borderId="71" xfId="0" applyNumberFormat="1" applyFont="1" applyBorder="1" applyAlignment="1">
      <alignment horizontal="centerContinuous" vertical="center"/>
    </xf>
    <xf numFmtId="166" fontId="32" fillId="0" borderId="24" xfId="0" applyNumberFormat="1" applyFont="1" applyBorder="1" applyAlignment="1">
      <alignment horizontal="centerContinuous" vertical="center"/>
    </xf>
    <xf numFmtId="166" fontId="32" fillId="0" borderId="50" xfId="0" applyNumberFormat="1" applyFont="1" applyBorder="1" applyAlignment="1">
      <alignment horizontal="centerContinuous" vertical="center"/>
    </xf>
    <xf numFmtId="166" fontId="52" fillId="0" borderId="0" xfId="0" applyNumberFormat="1" applyFont="1" applyAlignment="1">
      <alignment vertical="center"/>
    </xf>
    <xf numFmtId="166" fontId="32" fillId="0" borderId="28" xfId="0" applyNumberFormat="1" applyFont="1" applyBorder="1" applyAlignment="1">
      <alignment horizontal="center" vertical="center"/>
    </xf>
    <xf numFmtId="166" fontId="32" fillId="0" borderId="64" xfId="0" applyNumberFormat="1" applyFont="1" applyBorder="1" applyAlignment="1">
      <alignment horizontal="center" vertical="center"/>
    </xf>
    <xf numFmtId="166" fontId="32" fillId="0" borderId="13" xfId="0" applyNumberFormat="1" applyFont="1" applyBorder="1" applyAlignment="1">
      <alignment horizontal="center" vertical="center" wrapText="1"/>
    </xf>
    <xf numFmtId="166" fontId="52" fillId="0" borderId="0" xfId="0" applyNumberFormat="1" applyFont="1" applyAlignment="1">
      <alignment horizontal="center" vertical="center"/>
    </xf>
    <xf numFmtId="166" fontId="53" fillId="0" borderId="44" xfId="0" applyNumberFormat="1" applyFont="1" applyBorder="1" applyAlignment="1">
      <alignment horizontal="center" vertical="center" wrapText="1"/>
    </xf>
    <xf numFmtId="166" fontId="53" fillId="0" borderId="26" xfId="0" applyNumberFormat="1" applyFont="1" applyBorder="1" applyAlignment="1">
      <alignment horizontal="center" vertical="center" wrapText="1"/>
    </xf>
    <xf numFmtId="166" fontId="53" fillId="0" borderId="67" xfId="0" applyNumberFormat="1" applyFont="1" applyBorder="1" applyAlignment="1">
      <alignment horizontal="center" vertical="center" wrapText="1"/>
    </xf>
    <xf numFmtId="166" fontId="53" fillId="0" borderId="41" xfId="0" applyNumberFormat="1" applyFont="1" applyBorder="1" applyAlignment="1">
      <alignment horizontal="center" vertical="center" wrapText="1"/>
    </xf>
    <xf numFmtId="166" fontId="53" fillId="0" borderId="0" xfId="0" applyNumberFormat="1" applyFont="1" applyAlignment="1">
      <alignment horizontal="center" vertical="center" wrapText="1"/>
    </xf>
    <xf numFmtId="166" fontId="53" fillId="0" borderId="68" xfId="0" applyNumberFormat="1" applyFont="1" applyBorder="1" applyAlignment="1">
      <alignment horizontal="right" vertical="center" wrapText="1" indent="1"/>
    </xf>
    <xf numFmtId="166" fontId="34" fillId="0" borderId="22" xfId="0" applyNumberFormat="1" applyFont="1" applyBorder="1" applyAlignment="1">
      <alignment horizontal="left" vertical="center" wrapText="1" indent="1"/>
    </xf>
    <xf numFmtId="1" fontId="37" fillId="27" borderId="22" xfId="0" applyNumberFormat="1" applyFont="1" applyFill="1" applyBorder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 wrapText="1"/>
    </xf>
    <xf numFmtId="166" fontId="34" fillId="0" borderId="71" xfId="0" applyNumberFormat="1" applyFont="1" applyBorder="1" applyAlignment="1">
      <alignment vertical="center" wrapText="1"/>
    </xf>
    <xf numFmtId="166" fontId="34" fillId="0" borderId="56" xfId="0" applyNumberFormat="1" applyFont="1" applyBorder="1" applyAlignment="1">
      <alignment vertical="center" wrapText="1"/>
    </xf>
    <xf numFmtId="166" fontId="53" fillId="0" borderId="10" xfId="0" applyNumberFormat="1" applyFont="1" applyBorder="1" applyAlignment="1">
      <alignment horizontal="right" vertical="center" wrapText="1" indent="1"/>
    </xf>
    <xf numFmtId="166" fontId="35" fillId="0" borderId="11" xfId="0" applyNumberFormat="1" applyFont="1" applyBorder="1" applyAlignment="1" applyProtection="1">
      <alignment horizontal="left" vertical="center" wrapText="1" indent="1"/>
      <protection locked="0"/>
    </xf>
    <xf numFmtId="1" fontId="54" fillId="0" borderId="11" xfId="0" applyNumberFormat="1" applyFont="1" applyBorder="1" applyAlignment="1" applyProtection="1">
      <alignment horizontal="center" vertical="center" wrapText="1"/>
      <protection locked="0"/>
    </xf>
    <xf numFmtId="166" fontId="35" fillId="0" borderId="11" xfId="0" applyNumberFormat="1" applyFont="1" applyBorder="1" applyAlignment="1" applyProtection="1">
      <alignment vertical="center" wrapText="1"/>
      <protection locked="0"/>
    </xf>
    <xf numFmtId="166" fontId="35" fillId="0" borderId="18" xfId="0" applyNumberFormat="1" applyFont="1" applyBorder="1" applyAlignment="1" applyProtection="1">
      <alignment vertical="center" wrapText="1"/>
      <protection locked="0"/>
    </xf>
    <xf numFmtId="166" fontId="35" fillId="0" borderId="42" xfId="0" applyNumberFormat="1" applyFont="1" applyBorder="1" applyAlignment="1">
      <alignment vertical="center" wrapText="1"/>
    </xf>
    <xf numFmtId="166" fontId="34" fillId="0" borderId="11" xfId="0" applyNumberFormat="1" applyFont="1" applyBorder="1" applyAlignment="1">
      <alignment horizontal="left" vertical="center" wrapText="1" indent="1"/>
    </xf>
    <xf numFmtId="1" fontId="37" fillId="27" borderId="11" xfId="0" applyNumberFormat="1" applyFont="1" applyFill="1" applyBorder="1" applyAlignment="1">
      <alignment horizontal="center" vertical="center" wrapText="1"/>
    </xf>
    <xf numFmtId="166" fontId="34" fillId="0" borderId="11" xfId="0" applyNumberFormat="1" applyFont="1" applyBorder="1" applyAlignment="1">
      <alignment vertical="center" wrapText="1"/>
    </xf>
    <xf numFmtId="166" fontId="34" fillId="0" borderId="18" xfId="0" applyNumberFormat="1" applyFont="1" applyBorder="1" applyAlignment="1">
      <alignment vertical="center" wrapText="1"/>
    </xf>
    <xf numFmtId="166" fontId="34" fillId="0" borderId="42" xfId="0" applyNumberFormat="1" applyFont="1" applyBorder="1" applyAlignment="1">
      <alignment vertical="center" wrapText="1"/>
    </xf>
    <xf numFmtId="166" fontId="53" fillId="0" borderId="11" xfId="0" applyNumberFormat="1" applyFont="1" applyBorder="1" applyAlignment="1">
      <alignment horizontal="left" vertical="center" wrapText="1" indent="1"/>
    </xf>
    <xf numFmtId="166" fontId="53" fillId="0" borderId="46" xfId="0" applyNumberFormat="1" applyFont="1" applyBorder="1" applyAlignment="1">
      <alignment horizontal="right" vertical="center" wrapText="1" indent="1"/>
    </xf>
    <xf numFmtId="166" fontId="34" fillId="0" borderId="36" xfId="0" applyNumberFormat="1" applyFont="1" applyBorder="1" applyAlignment="1" applyProtection="1">
      <alignment horizontal="left" vertical="center" wrapText="1" indent="1"/>
      <protection locked="0"/>
    </xf>
    <xf numFmtId="1" fontId="37" fillId="27" borderId="19" xfId="0" applyNumberFormat="1" applyFont="1" applyFill="1" applyBorder="1" applyAlignment="1">
      <alignment horizontal="center" vertical="center" wrapText="1"/>
    </xf>
    <xf numFmtId="166" fontId="34" fillId="0" borderId="36" xfId="0" applyNumberFormat="1" applyFont="1" applyBorder="1" applyAlignment="1">
      <alignment vertical="center" wrapText="1"/>
    </xf>
    <xf numFmtId="166" fontId="34" fillId="0" borderId="40" xfId="0" applyNumberFormat="1" applyFont="1" applyBorder="1" applyAlignment="1">
      <alignment vertical="center" wrapText="1"/>
    </xf>
    <xf numFmtId="1" fontId="54" fillId="0" borderId="40" xfId="0" applyNumberFormat="1" applyFont="1" applyBorder="1" applyAlignment="1" applyProtection="1">
      <alignment horizontal="center" vertical="center" wrapText="1"/>
      <protection locked="0"/>
    </xf>
    <xf numFmtId="166" fontId="35" fillId="0" borderId="36" xfId="0" applyNumberFormat="1" applyFont="1" applyBorder="1" applyAlignment="1" applyProtection="1">
      <alignment vertical="center" wrapText="1"/>
      <protection locked="0"/>
    </xf>
    <xf numFmtId="166" fontId="35" fillId="0" borderId="40" xfId="0" applyNumberFormat="1" applyFont="1" applyBorder="1" applyAlignment="1" applyProtection="1">
      <alignment vertical="center" wrapText="1"/>
      <protection locked="0"/>
    </xf>
    <xf numFmtId="166" fontId="53" fillId="0" borderId="29" xfId="0" applyNumberFormat="1" applyFont="1" applyBorder="1" applyAlignment="1">
      <alignment horizontal="right" vertical="center" wrapText="1" indent="1"/>
    </xf>
    <xf numFmtId="166" fontId="53" fillId="0" borderId="26" xfId="0" applyNumberFormat="1" applyFont="1" applyBorder="1" applyAlignment="1">
      <alignment horizontal="left" vertical="center" wrapText="1" indent="1"/>
    </xf>
    <xf numFmtId="1" fontId="35" fillId="27" borderId="67" xfId="0" applyNumberFormat="1" applyFont="1" applyFill="1" applyBorder="1" applyAlignment="1">
      <alignment vertical="center" wrapText="1"/>
    </xf>
    <xf numFmtId="166" fontId="34" fillId="0" borderId="26" xfId="0" applyNumberFormat="1" applyFont="1" applyBorder="1" applyAlignment="1">
      <alignment vertical="center" wrapText="1"/>
    </xf>
    <xf numFmtId="166" fontId="34" fillId="0" borderId="37" xfId="0" applyNumberFormat="1" applyFont="1" applyBorder="1" applyAlignment="1">
      <alignment vertical="center" wrapText="1"/>
    </xf>
    <xf numFmtId="3" fontId="35" fillId="0" borderId="11" xfId="0" applyNumberFormat="1" applyFont="1" applyBorder="1" applyAlignment="1" applyProtection="1">
      <alignment vertical="center" wrapText="1"/>
      <protection locked="0"/>
    </xf>
    <xf numFmtId="3" fontId="35" fillId="0" borderId="18" xfId="0" applyNumberFormat="1" applyFont="1" applyBorder="1" applyAlignment="1" applyProtection="1">
      <alignment vertical="center" wrapText="1"/>
      <protection locked="0"/>
    </xf>
    <xf numFmtId="166" fontId="32" fillId="0" borderId="51" xfId="0" applyNumberFormat="1" applyFont="1" applyBorder="1" applyAlignment="1">
      <alignment horizontal="centerContinuous" vertical="center" wrapText="1"/>
    </xf>
    <xf numFmtId="166" fontId="34" fillId="0" borderId="51" xfId="0" applyNumberFormat="1" applyFont="1" applyBorder="1" applyAlignment="1">
      <alignment horizontal="center" vertical="center" wrapText="1"/>
    </xf>
    <xf numFmtId="166" fontId="35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54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39" fillId="0" borderId="14" xfId="0" applyNumberFormat="1" applyFont="1" applyBorder="1" applyAlignment="1">
      <alignment horizontal="right" vertical="center" wrapText="1" indent="1"/>
    </xf>
    <xf numFmtId="166" fontId="34" fillId="0" borderId="51" xfId="0" applyNumberFormat="1" applyFont="1" applyBorder="1" applyAlignment="1" applyProtection="1">
      <alignment horizontal="right" vertical="center" wrapText="1" indent="1"/>
      <protection locked="0"/>
    </xf>
    <xf numFmtId="166" fontId="37" fillId="0" borderId="52" xfId="0" applyNumberFormat="1" applyFont="1" applyBorder="1" applyAlignment="1">
      <alignment horizontal="right" vertical="center" wrapText="1" indent="1"/>
    </xf>
    <xf numFmtId="166" fontId="32" fillId="0" borderId="0" xfId="0" applyNumberFormat="1" applyFont="1" applyBorder="1" applyAlignment="1">
      <alignment horizontal="centerContinuous" vertical="center" wrapText="1"/>
    </xf>
    <xf numFmtId="166" fontId="35" fillId="0" borderId="0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67" xfId="0" applyNumberFormat="1" applyFont="1" applyBorder="1" applyAlignment="1">
      <alignment horizontal="center" vertical="center" wrapText="1"/>
    </xf>
    <xf numFmtId="166" fontId="34" fillId="0" borderId="67" xfId="0" applyNumberFormat="1" applyFont="1" applyBorder="1" applyAlignment="1">
      <alignment horizontal="center" vertical="center" wrapText="1"/>
    </xf>
    <xf numFmtId="166" fontId="35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35" xfId="0" applyNumberFormat="1" applyFont="1" applyBorder="1" applyAlignment="1" applyProtection="1">
      <alignment horizontal="right" vertical="center" wrapText="1" indent="1"/>
      <protection locked="0"/>
    </xf>
    <xf numFmtId="166" fontId="34" fillId="0" borderId="67" xfId="0" applyNumberFormat="1" applyFont="1" applyBorder="1" applyAlignment="1">
      <alignment horizontal="right" vertical="center" wrapText="1" indent="1"/>
    </xf>
    <xf numFmtId="166" fontId="36" fillId="0" borderId="40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34" fillId="0" borderId="67" xfId="0" applyNumberFormat="1" applyFont="1" applyBorder="1" applyAlignment="1" applyProtection="1">
      <alignment horizontal="right" vertical="center" wrapText="1" indent="1"/>
      <protection locked="0"/>
    </xf>
    <xf numFmtId="166" fontId="34" fillId="0" borderId="11" xfId="0" applyNumberFormat="1" applyFont="1" applyBorder="1" applyAlignment="1">
      <alignment horizontal="center" vertical="center" wrapText="1"/>
    </xf>
    <xf numFmtId="166" fontId="34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7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34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28" xfId="0" applyNumberFormat="1" applyFont="1" applyBorder="1" applyAlignment="1">
      <alignment horizontal="centerContinuous" vertical="center" wrapText="1"/>
    </xf>
    <xf numFmtId="166" fontId="0" fillId="0" borderId="62" xfId="0" applyNumberFormat="1" applyBorder="1" applyAlignment="1">
      <alignment vertical="center" wrapText="1"/>
    </xf>
    <xf numFmtId="166" fontId="30" fillId="0" borderId="62" xfId="0" applyNumberFormat="1" applyFont="1" applyBorder="1" applyAlignment="1">
      <alignment horizontal="right" vertical="center"/>
    </xf>
    <xf numFmtId="3" fontId="40" fillId="24" borderId="36" xfId="0" applyNumberFormat="1" applyFont="1" applyFill="1" applyBorder="1" applyAlignment="1">
      <alignment horizontal="center" vertical="center" wrapText="1"/>
    </xf>
    <xf numFmtId="0" fontId="51" fillId="0" borderId="0" xfId="0" applyFont="1" applyBorder="1" applyAlignment="1">
      <alignment vertical="center"/>
    </xf>
    <xf numFmtId="3" fontId="3" fillId="0" borderId="32" xfId="0" applyNumberFormat="1" applyFont="1" applyBorder="1" applyAlignment="1">
      <alignment horizontal="right" vertical="center"/>
    </xf>
    <xf numFmtId="0" fontId="50" fillId="0" borderId="0" xfId="0" applyFont="1" applyBorder="1" applyAlignment="1">
      <alignment vertical="center"/>
    </xf>
    <xf numFmtId="3" fontId="3" fillId="0" borderId="32" xfId="0" applyNumberFormat="1" applyFont="1" applyBorder="1" applyAlignment="1">
      <alignment vertical="center"/>
    </xf>
    <xf numFmtId="0" fontId="8" fillId="1" borderId="0" xfId="0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3" fontId="3" fillId="1" borderId="0" xfId="0" applyNumberFormat="1" applyFont="1" applyFill="1" applyBorder="1" applyAlignment="1">
      <alignment vertical="center"/>
    </xf>
    <xf numFmtId="3" fontId="2" fillId="25" borderId="18" xfId="0" applyNumberFormat="1" applyFont="1" applyFill="1" applyBorder="1" applyAlignment="1">
      <alignment horizontal="right" vertical="center"/>
    </xf>
    <xf numFmtId="3" fontId="2" fillId="1" borderId="18" xfId="0" applyNumberFormat="1" applyFont="1" applyFill="1" applyBorder="1" applyAlignment="1">
      <alignment horizontal="right" vertical="center"/>
    </xf>
    <xf numFmtId="3" fontId="2" fillId="24" borderId="18" xfId="0" applyNumberFormat="1" applyFont="1" applyFill="1" applyBorder="1" applyAlignment="1">
      <alignment vertical="center"/>
    </xf>
    <xf numFmtId="3" fontId="2" fillId="1" borderId="18" xfId="0" applyNumberFormat="1" applyFont="1" applyFill="1" applyBorder="1" applyAlignment="1">
      <alignment vertical="center"/>
    </xf>
    <xf numFmtId="3" fontId="2" fillId="24" borderId="64" xfId="0" applyNumberFormat="1" applyFont="1" applyFill="1" applyBorder="1" applyAlignment="1">
      <alignment vertical="center"/>
    </xf>
    <xf numFmtId="3" fontId="2" fillId="24" borderId="67" xfId="0" applyNumberFormat="1" applyFont="1" applyFill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3" fillId="1" borderId="11" xfId="0" applyNumberFormat="1" applyFont="1" applyFill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3" fontId="2" fillId="24" borderId="26" xfId="0" applyNumberFormat="1" applyFont="1" applyFill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3" fontId="2" fillId="1" borderId="27" xfId="0" applyNumberFormat="1" applyFont="1" applyFill="1" applyBorder="1" applyAlignment="1">
      <alignment vertical="center"/>
    </xf>
    <xf numFmtId="3" fontId="3" fillId="0" borderId="27" xfId="0" applyNumberFormat="1" applyFont="1" applyBorder="1" applyAlignment="1">
      <alignment vertical="center"/>
    </xf>
    <xf numFmtId="3" fontId="49" fillId="0" borderId="27" xfId="0" applyNumberFormat="1" applyFont="1" applyBorder="1" applyAlignment="1">
      <alignment vertical="center"/>
    </xf>
    <xf numFmtId="3" fontId="2" fillId="24" borderId="28" xfId="0" applyNumberFormat="1" applyFont="1" applyFill="1" applyBorder="1" applyAlignment="1">
      <alignment vertical="center"/>
    </xf>
    <xf numFmtId="3" fontId="2" fillId="0" borderId="18" xfId="0" applyNumberFormat="1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3" fontId="2" fillId="24" borderId="67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3" fontId="49" fillId="0" borderId="11" xfId="0" applyNumberFormat="1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3" fontId="3" fillId="0" borderId="35" xfId="0" applyNumberFormat="1" applyFont="1" applyBorder="1" applyAlignment="1">
      <alignment vertical="center"/>
    </xf>
    <xf numFmtId="3" fontId="2" fillId="0" borderId="44" xfId="0" applyNumberFormat="1" applyFont="1" applyBorder="1" applyAlignment="1">
      <alignment vertical="center" wrapText="1"/>
    </xf>
    <xf numFmtId="3" fontId="3" fillId="0" borderId="44" xfId="0" applyNumberFormat="1" applyFont="1" applyBorder="1" applyAlignment="1">
      <alignment vertical="center"/>
    </xf>
    <xf numFmtId="3" fontId="41" fillId="0" borderId="11" xfId="0" applyNumberFormat="1" applyFont="1" applyFill="1" applyBorder="1" applyAlignment="1">
      <alignment horizontal="right" vertical="top" wrapText="1"/>
    </xf>
    <xf numFmtId="3" fontId="27" fillId="0" borderId="11" xfId="0" applyNumberFormat="1" applyFont="1" applyFill="1" applyBorder="1" applyAlignment="1">
      <alignment horizontal="right" vertical="center" wrapText="1"/>
    </xf>
    <xf numFmtId="0" fontId="0" fillId="0" borderId="0" xfId="0" applyFill="1"/>
    <xf numFmtId="3" fontId="0" fillId="0" borderId="0" xfId="0" applyNumberFormat="1" applyFill="1"/>
    <xf numFmtId="3" fontId="41" fillId="0" borderId="11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/>
    </xf>
    <xf numFmtId="3" fontId="27" fillId="0" borderId="11" xfId="0" applyNumberFormat="1" applyFont="1" applyFill="1" applyBorder="1" applyAlignment="1">
      <alignment horizontal="right" vertical="top" wrapText="1"/>
    </xf>
    <xf numFmtId="0" fontId="41" fillId="0" borderId="11" xfId="0" applyFont="1" applyFill="1" applyBorder="1" applyAlignment="1">
      <alignment horizontal="left" vertical="top" wrapText="1"/>
    </xf>
    <xf numFmtId="3" fontId="56" fillId="24" borderId="11" xfId="0" applyNumberFormat="1" applyFont="1" applyFill="1" applyBorder="1" applyAlignment="1">
      <alignment horizontal="right" vertical="top" wrapText="1"/>
    </xf>
    <xf numFmtId="3" fontId="59" fillId="0" borderId="11" xfId="0" applyNumberFormat="1" applyFont="1" applyBorder="1" applyAlignment="1">
      <alignment horizontal="right" vertical="top" wrapText="1"/>
    </xf>
    <xf numFmtId="3" fontId="60" fillId="24" borderId="11" xfId="0" applyNumberFormat="1" applyFont="1" applyFill="1" applyBorder="1" applyAlignment="1">
      <alignment horizontal="right" vertical="top" wrapText="1"/>
    </xf>
    <xf numFmtId="3" fontId="60" fillId="28" borderId="11" xfId="0" applyNumberFormat="1" applyFont="1" applyFill="1" applyBorder="1" applyAlignment="1">
      <alignment horizontal="right" vertical="center" wrapText="1"/>
    </xf>
    <xf numFmtId="3" fontId="27" fillId="28" borderId="11" xfId="0" applyNumberFormat="1" applyFont="1" applyFill="1" applyBorder="1" applyAlignment="1">
      <alignment horizontal="right" vertical="center" wrapText="1"/>
    </xf>
    <xf numFmtId="3" fontId="46" fillId="28" borderId="11" xfId="0" applyNumberFormat="1" applyFont="1" applyFill="1" applyBorder="1" applyAlignment="1">
      <alignment horizontal="right"/>
    </xf>
    <xf numFmtId="3" fontId="57" fillId="28" borderId="11" xfId="0" applyNumberFormat="1" applyFont="1" applyFill="1" applyBorder="1" applyAlignment="1">
      <alignment horizontal="right"/>
    </xf>
    <xf numFmtId="0" fontId="3" fillId="0" borderId="14" xfId="0" applyFont="1" applyBorder="1" applyAlignment="1">
      <alignment vertical="top" wrapText="1"/>
    </xf>
    <xf numFmtId="0" fontId="3" fillId="0" borderId="27" xfId="0" applyFont="1" applyBorder="1" applyAlignment="1">
      <alignment horizontal="left" vertical="center"/>
    </xf>
    <xf numFmtId="3" fontId="43" fillId="28" borderId="11" xfId="0" applyNumberFormat="1" applyFont="1" applyFill="1" applyBorder="1" applyAlignment="1">
      <alignment horizontal="right"/>
    </xf>
    <xf numFmtId="3" fontId="58" fillId="28" borderId="11" xfId="0" applyNumberFormat="1" applyFont="1" applyFill="1" applyBorder="1" applyAlignment="1">
      <alignment horizontal="right"/>
    </xf>
    <xf numFmtId="3" fontId="61" fillId="0" borderId="11" xfId="0" applyNumberFormat="1" applyFont="1" applyBorder="1" applyAlignment="1">
      <alignment vertical="center"/>
    </xf>
    <xf numFmtId="0" fontId="27" fillId="24" borderId="11" xfId="0" applyFont="1" applyFill="1" applyBorder="1" applyAlignment="1">
      <alignment horizontal="left"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27" fillId="26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3" fontId="40" fillId="24" borderId="18" xfId="0" applyNumberFormat="1" applyFont="1" applyFill="1" applyBorder="1" applyAlignment="1">
      <alignment horizontal="center" vertical="center" wrapText="1"/>
    </xf>
    <xf numFmtId="3" fontId="40" fillId="24" borderId="14" xfId="0" applyNumberFormat="1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1" borderId="11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center" vertical="center"/>
    </xf>
    <xf numFmtId="3" fontId="2" fillId="0" borderId="4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3" fontId="2" fillId="24" borderId="64" xfId="0" applyNumberFormat="1" applyFont="1" applyFill="1" applyBorder="1" applyAlignment="1">
      <alignment horizontal="right" vertical="center"/>
    </xf>
    <xf numFmtId="0" fontId="2" fillId="0" borderId="66" xfId="0" applyFont="1" applyBorder="1" applyAlignment="1">
      <alignment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49" xfId="0" applyFont="1" applyBorder="1" applyAlignment="1">
      <alignment vertical="center"/>
    </xf>
    <xf numFmtId="3" fontId="2" fillId="24" borderId="23" xfId="0" applyNumberFormat="1" applyFont="1" applyFill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1" borderId="74" xfId="0" applyNumberFormat="1" applyFont="1" applyFill="1" applyBorder="1" applyAlignment="1">
      <alignment vertical="center"/>
    </xf>
    <xf numFmtId="3" fontId="49" fillId="0" borderId="12" xfId="0" applyNumberFormat="1" applyFont="1" applyBorder="1" applyAlignment="1">
      <alignment vertical="center"/>
    </xf>
    <xf numFmtId="3" fontId="2" fillId="0" borderId="74" xfId="0" applyNumberFormat="1" applyFont="1" applyBorder="1" applyAlignment="1">
      <alignment vertical="center"/>
    </xf>
    <xf numFmtId="3" fontId="2" fillId="24" borderId="75" xfId="0" applyNumberFormat="1" applyFont="1" applyFill="1" applyBorder="1" applyAlignment="1">
      <alignment vertical="center"/>
    </xf>
    <xf numFmtId="3" fontId="2" fillId="0" borderId="12" xfId="0" applyNumberFormat="1" applyFont="1" applyBorder="1" applyAlignment="1">
      <alignment horizontal="right" vertical="center"/>
    </xf>
    <xf numFmtId="3" fontId="2" fillId="24" borderId="13" xfId="0" applyNumberFormat="1" applyFont="1" applyFill="1" applyBorder="1" applyAlignment="1">
      <alignment horizontal="right" vertical="center"/>
    </xf>
    <xf numFmtId="3" fontId="2" fillId="0" borderId="76" xfId="0" applyNumberFormat="1" applyFont="1" applyFill="1" applyBorder="1" applyAlignment="1">
      <alignment horizontal="right" vertical="center"/>
    </xf>
    <xf numFmtId="0" fontId="0" fillId="0" borderId="0" xfId="0" applyFont="1"/>
    <xf numFmtId="3" fontId="41" fillId="24" borderId="11" xfId="0" applyNumberFormat="1" applyFont="1" applyFill="1" applyBorder="1" applyAlignment="1">
      <alignment horizontal="center" vertical="center" wrapText="1"/>
    </xf>
    <xf numFmtId="3" fontId="41" fillId="24" borderId="1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1" xfId="0" applyFont="1" applyBorder="1" applyAlignment="1">
      <alignment horizontal="center" vertical="top"/>
    </xf>
    <xf numFmtId="0" fontId="41" fillId="0" borderId="11" xfId="0" applyFont="1" applyBorder="1" applyAlignment="1">
      <alignment horizontal="right" vertical="top" wrapText="1"/>
    </xf>
    <xf numFmtId="0" fontId="41" fillId="0" borderId="11" xfId="0" applyFont="1" applyBorder="1" applyAlignment="1">
      <alignment horizontal="left" vertical="center" wrapText="1"/>
    </xf>
    <xf numFmtId="0" fontId="41" fillId="0" borderId="11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27" fillId="26" borderId="11" xfId="0" applyFont="1" applyFill="1" applyBorder="1" applyAlignment="1">
      <alignment horizontal="right" vertical="top" wrapText="1"/>
    </xf>
    <xf numFmtId="0" fontId="0" fillId="0" borderId="11" xfId="0" applyFont="1" applyBorder="1"/>
    <xf numFmtId="0" fontId="27" fillId="29" borderId="11" xfId="0" applyFont="1" applyFill="1" applyBorder="1" applyAlignment="1">
      <alignment horizontal="left" vertical="center" wrapText="1"/>
    </xf>
    <xf numFmtId="3" fontId="27" fillId="29" borderId="1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left" vertical="center" wrapText="1"/>
    </xf>
    <xf numFmtId="0" fontId="43" fillId="30" borderId="11" xfId="0" applyFont="1" applyFill="1" applyBorder="1" applyAlignment="1">
      <alignment horizontal="left"/>
    </xf>
    <xf numFmtId="3" fontId="43" fillId="30" borderId="11" xfId="0" applyNumberFormat="1" applyFont="1" applyFill="1" applyBorder="1" applyAlignment="1">
      <alignment horizontal="right"/>
    </xf>
    <xf numFmtId="0" fontId="0" fillId="0" borderId="11" xfId="0" applyFont="1" applyBorder="1" applyAlignment="1">
      <alignment horizontal="center"/>
    </xf>
    <xf numFmtId="3" fontId="0" fillId="0" borderId="0" xfId="0" applyNumberFormat="1" applyFont="1"/>
    <xf numFmtId="3" fontId="0" fillId="0" borderId="0" xfId="0" applyNumberFormat="1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27" fillId="24" borderId="11" xfId="0" applyFont="1" applyFill="1" applyBorder="1" applyAlignment="1">
      <alignment horizontal="right" vertical="center" wrapText="1"/>
    </xf>
    <xf numFmtId="0" fontId="27" fillId="31" borderId="14" xfId="0" applyFont="1" applyFill="1" applyBorder="1" applyAlignment="1">
      <alignment horizontal="left" vertical="center" wrapText="1"/>
    </xf>
    <xf numFmtId="3" fontId="27" fillId="31" borderId="11" xfId="0" applyNumberFormat="1" applyFont="1" applyFill="1" applyBorder="1" applyAlignment="1">
      <alignment horizontal="center" vertical="center" wrapText="1"/>
    </xf>
    <xf numFmtId="3" fontId="27" fillId="31" borderId="11" xfId="0" applyNumberFormat="1" applyFont="1" applyFill="1" applyBorder="1" applyAlignment="1">
      <alignment horizontal="right" vertical="center" wrapText="1"/>
    </xf>
    <xf numFmtId="0" fontId="27" fillId="31" borderId="14" xfId="0" applyFont="1" applyFill="1" applyBorder="1" applyAlignment="1">
      <alignment horizontal="right" vertical="center" wrapText="1"/>
    </xf>
    <xf numFmtId="3" fontId="0" fillId="0" borderId="0" xfId="0" applyNumberFormat="1" applyFont="1" applyAlignment="1">
      <alignment horizontal="center" vertical="center"/>
    </xf>
    <xf numFmtId="0" fontId="27" fillId="29" borderId="55" xfId="0" applyFont="1" applyFill="1" applyBorder="1" applyAlignment="1">
      <alignment horizontal="left" vertical="center" wrapText="1"/>
    </xf>
    <xf numFmtId="3" fontId="27" fillId="31" borderId="14" xfId="0" applyNumberFormat="1" applyFont="1" applyFill="1" applyBorder="1" applyAlignment="1">
      <alignment horizontal="right" vertical="center" wrapText="1"/>
    </xf>
    <xf numFmtId="0" fontId="0" fillId="0" borderId="11" xfId="0" applyFont="1" applyFill="1" applyBorder="1" applyAlignment="1">
      <alignment horizontal="center"/>
    </xf>
    <xf numFmtId="0" fontId="0" fillId="0" borderId="0" xfId="0" applyFont="1" applyFill="1"/>
    <xf numFmtId="0" fontId="27" fillId="0" borderId="1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41" fillId="0" borderId="11" xfId="0" applyFont="1" applyFill="1" applyBorder="1" applyAlignment="1">
      <alignment horizontal="left" vertical="center" wrapText="1"/>
    </xf>
    <xf numFmtId="3" fontId="41" fillId="0" borderId="11" xfId="0" applyNumberFormat="1" applyFont="1" applyFill="1" applyBorder="1" applyAlignment="1">
      <alignment horizontal="right" vertical="center" wrapText="1"/>
    </xf>
    <xf numFmtId="3" fontId="41" fillId="0" borderId="11" xfId="0" applyNumberFormat="1" applyFont="1" applyBorder="1" applyAlignment="1">
      <alignment horizontal="right" vertical="center"/>
    </xf>
    <xf numFmtId="3" fontId="40" fillId="24" borderId="79" xfId="0" applyNumberFormat="1" applyFont="1" applyFill="1" applyBorder="1" applyAlignment="1">
      <alignment horizontal="center" vertical="center" wrapText="1"/>
    </xf>
    <xf numFmtId="3" fontId="62" fillId="24" borderId="11" xfId="0" applyNumberFormat="1" applyFont="1" applyFill="1" applyBorder="1" applyAlignment="1">
      <alignment horizontal="center" vertical="center" wrapText="1"/>
    </xf>
    <xf numFmtId="3" fontId="63" fillId="0" borderId="11" xfId="0" applyNumberFormat="1" applyFont="1" applyBorder="1" applyAlignment="1">
      <alignment horizontal="right" vertical="top" wrapText="1"/>
    </xf>
    <xf numFmtId="3" fontId="63" fillId="0" borderId="18" xfId="0" applyNumberFormat="1" applyFont="1" applyBorder="1" applyAlignment="1">
      <alignment horizontal="right" vertical="top" wrapText="1"/>
    </xf>
    <xf numFmtId="3" fontId="41" fillId="0" borderId="80" xfId="0" applyNumberFormat="1" applyFont="1" applyBorder="1" applyAlignment="1">
      <alignment horizontal="right" vertical="top" wrapText="1"/>
    </xf>
    <xf numFmtId="3" fontId="64" fillId="0" borderId="11" xfId="0" applyNumberFormat="1" applyFont="1" applyBorder="1" applyAlignment="1">
      <alignment horizontal="right" vertical="top" wrapText="1"/>
    </xf>
    <xf numFmtId="3" fontId="64" fillId="0" borderId="18" xfId="0" applyNumberFormat="1" applyFont="1" applyBorder="1" applyAlignment="1">
      <alignment horizontal="right" vertical="top" wrapText="1"/>
    </xf>
    <xf numFmtId="3" fontId="59" fillId="0" borderId="80" xfId="0" applyNumberFormat="1" applyFont="1" applyBorder="1" applyAlignment="1">
      <alignment horizontal="right" vertical="top" wrapText="1"/>
    </xf>
    <xf numFmtId="3" fontId="63" fillId="0" borderId="11" xfId="0" applyNumberFormat="1" applyFont="1" applyFill="1" applyBorder="1" applyAlignment="1">
      <alignment horizontal="right" vertical="top" wrapText="1"/>
    </xf>
    <xf numFmtId="3" fontId="63" fillId="0" borderId="18" xfId="0" applyNumberFormat="1" applyFont="1" applyFill="1" applyBorder="1" applyAlignment="1">
      <alignment horizontal="right" vertical="top" wrapText="1"/>
    </xf>
    <xf numFmtId="3" fontId="56" fillId="26" borderId="11" xfId="0" applyNumberFormat="1" applyFont="1" applyFill="1" applyBorder="1" applyAlignment="1">
      <alignment horizontal="right" vertical="top" wrapText="1"/>
    </xf>
    <xf numFmtId="3" fontId="56" fillId="26" borderId="18" xfId="0" applyNumberFormat="1" applyFont="1" applyFill="1" applyBorder="1" applyAlignment="1">
      <alignment horizontal="right" vertical="top" wrapText="1"/>
    </xf>
    <xf numFmtId="3" fontId="27" fillId="26" borderId="80" xfId="0" applyNumberFormat="1" applyFont="1" applyFill="1" applyBorder="1" applyAlignment="1">
      <alignment horizontal="right" vertical="top" wrapText="1"/>
    </xf>
    <xf numFmtId="3" fontId="60" fillId="26" borderId="80" xfId="0" applyNumberFormat="1" applyFont="1" applyFill="1" applyBorder="1" applyAlignment="1">
      <alignment horizontal="right" vertical="top" wrapText="1"/>
    </xf>
    <xf numFmtId="3" fontId="56" fillId="24" borderId="11" xfId="0" applyNumberFormat="1" applyFont="1" applyFill="1" applyBorder="1" applyAlignment="1">
      <alignment horizontal="right" vertical="center" wrapText="1"/>
    </xf>
    <xf numFmtId="3" fontId="56" fillId="24" borderId="18" xfId="0" applyNumberFormat="1" applyFont="1" applyFill="1" applyBorder="1" applyAlignment="1">
      <alignment horizontal="right" vertical="center" wrapText="1"/>
    </xf>
    <xf numFmtId="3" fontId="27" fillId="24" borderId="80" xfId="0" applyNumberFormat="1" applyFont="1" applyFill="1" applyBorder="1" applyAlignment="1">
      <alignment horizontal="right" vertical="center" wrapText="1"/>
    </xf>
    <xf numFmtId="3" fontId="60" fillId="24" borderId="80" xfId="0" applyNumberFormat="1" applyFont="1" applyFill="1" applyBorder="1" applyAlignment="1">
      <alignment horizontal="right" vertical="center" wrapText="1"/>
    </xf>
    <xf numFmtId="3" fontId="65" fillId="26" borderId="11" xfId="0" applyNumberFormat="1" applyFont="1" applyFill="1" applyBorder="1" applyAlignment="1">
      <alignment horizontal="right" vertical="top" wrapText="1"/>
    </xf>
    <xf numFmtId="3" fontId="65" fillId="26" borderId="18" xfId="0" applyNumberFormat="1" applyFont="1" applyFill="1" applyBorder="1" applyAlignment="1">
      <alignment horizontal="right" vertical="top" wrapText="1"/>
    </xf>
    <xf numFmtId="3" fontId="65" fillId="24" borderId="11" xfId="0" applyNumberFormat="1" applyFont="1" applyFill="1" applyBorder="1" applyAlignment="1">
      <alignment horizontal="right" vertical="center" wrapText="1"/>
    </xf>
    <xf numFmtId="3" fontId="65" fillId="24" borderId="18" xfId="0" applyNumberFormat="1" applyFont="1" applyFill="1" applyBorder="1" applyAlignment="1">
      <alignment horizontal="right" vertical="center" wrapText="1"/>
    </xf>
    <xf numFmtId="0" fontId="0" fillId="0" borderId="11" xfId="0" applyFill="1" applyBorder="1"/>
    <xf numFmtId="3" fontId="41" fillId="0" borderId="80" xfId="0" applyNumberFormat="1" applyFont="1" applyFill="1" applyBorder="1" applyAlignment="1">
      <alignment horizontal="right" vertical="top" wrapText="1"/>
    </xf>
    <xf numFmtId="3" fontId="59" fillId="0" borderId="80" xfId="0" applyNumberFormat="1" applyFont="1" applyFill="1" applyBorder="1" applyAlignment="1">
      <alignment horizontal="right" vertical="top" wrapText="1"/>
    </xf>
    <xf numFmtId="0" fontId="1" fillId="0" borderId="11" xfId="0" applyFont="1" applyBorder="1"/>
    <xf numFmtId="0" fontId="1" fillId="0" borderId="0" xfId="0" applyFont="1"/>
    <xf numFmtId="3" fontId="56" fillId="24" borderId="18" xfId="0" applyNumberFormat="1" applyFont="1" applyFill="1" applyBorder="1" applyAlignment="1">
      <alignment horizontal="right" vertical="top" wrapText="1"/>
    </xf>
    <xf numFmtId="3" fontId="27" fillId="24" borderId="80" xfId="0" applyNumberFormat="1" applyFont="1" applyFill="1" applyBorder="1" applyAlignment="1">
      <alignment horizontal="right" vertical="top" wrapText="1"/>
    </xf>
    <xf numFmtId="0" fontId="27" fillId="0" borderId="11" xfId="0" applyFont="1" applyFill="1" applyBorder="1" applyAlignment="1">
      <alignment horizontal="left" vertical="top" wrapText="1"/>
    </xf>
    <xf numFmtId="3" fontId="27" fillId="0" borderId="80" xfId="0" applyNumberFormat="1" applyFont="1" applyFill="1" applyBorder="1" applyAlignment="1">
      <alignment horizontal="right" vertical="top" wrapText="1"/>
    </xf>
    <xf numFmtId="3" fontId="56" fillId="0" borderId="11" xfId="0" applyNumberFormat="1" applyFont="1" applyFill="1" applyBorder="1" applyAlignment="1">
      <alignment horizontal="right" vertical="top" wrapText="1"/>
    </xf>
    <xf numFmtId="3" fontId="56" fillId="0" borderId="18" xfId="0" applyNumberFormat="1" applyFont="1" applyFill="1" applyBorder="1" applyAlignment="1">
      <alignment horizontal="right" vertical="top" wrapText="1"/>
    </xf>
    <xf numFmtId="3" fontId="56" fillId="28" borderId="11" xfId="0" applyNumberFormat="1" applyFont="1" applyFill="1" applyBorder="1" applyAlignment="1">
      <alignment horizontal="right" vertical="center" wrapText="1"/>
    </xf>
    <xf numFmtId="3" fontId="56" fillId="28" borderId="18" xfId="0" applyNumberFormat="1" applyFont="1" applyFill="1" applyBorder="1" applyAlignment="1">
      <alignment horizontal="right" vertical="center" wrapText="1"/>
    </xf>
    <xf numFmtId="3" fontId="27" fillId="28" borderId="80" xfId="0" applyNumberFormat="1" applyFont="1" applyFill="1" applyBorder="1" applyAlignment="1">
      <alignment horizontal="right" vertical="center" wrapText="1"/>
    </xf>
    <xf numFmtId="3" fontId="60" fillId="28" borderId="80" xfId="0" applyNumberFormat="1" applyFont="1" applyFill="1" applyBorder="1" applyAlignment="1">
      <alignment horizontal="right" vertical="center" wrapText="1"/>
    </xf>
    <xf numFmtId="3" fontId="65" fillId="24" borderId="11" xfId="0" applyNumberFormat="1" applyFont="1" applyFill="1" applyBorder="1" applyAlignment="1">
      <alignment horizontal="right" vertical="top" wrapText="1"/>
    </xf>
    <xf numFmtId="3" fontId="65" fillId="24" borderId="18" xfId="0" applyNumberFormat="1" applyFont="1" applyFill="1" applyBorder="1" applyAlignment="1">
      <alignment horizontal="right" vertical="top" wrapText="1"/>
    </xf>
    <xf numFmtId="3" fontId="60" fillId="24" borderId="80" xfId="0" applyNumberFormat="1" applyFont="1" applyFill="1" applyBorder="1" applyAlignment="1">
      <alignment horizontal="right" vertical="top" wrapText="1"/>
    </xf>
    <xf numFmtId="3" fontId="56" fillId="24" borderId="80" xfId="0" applyNumberFormat="1" applyFont="1" applyFill="1" applyBorder="1" applyAlignment="1">
      <alignment horizontal="right" vertical="top" wrapText="1"/>
    </xf>
    <xf numFmtId="3" fontId="66" fillId="28" borderId="11" xfId="0" applyNumberFormat="1" applyFont="1" applyFill="1" applyBorder="1" applyAlignment="1">
      <alignment horizontal="right"/>
    </xf>
    <xf numFmtId="3" fontId="66" fillId="28" borderId="18" xfId="0" applyNumberFormat="1" applyFont="1" applyFill="1" applyBorder="1" applyAlignment="1">
      <alignment horizontal="right"/>
    </xf>
    <xf numFmtId="3" fontId="46" fillId="28" borderId="80" xfId="0" applyNumberFormat="1" applyFont="1" applyFill="1" applyBorder="1" applyAlignment="1">
      <alignment horizontal="right"/>
    </xf>
    <xf numFmtId="3" fontId="57" fillId="28" borderId="80" xfId="0" applyNumberFormat="1" applyFont="1" applyFill="1" applyBorder="1" applyAlignment="1">
      <alignment horizontal="right"/>
    </xf>
    <xf numFmtId="3" fontId="67" fillId="0" borderId="0" xfId="0" applyNumberFormat="1" applyFont="1"/>
    <xf numFmtId="9" fontId="43" fillId="0" borderId="0" xfId="0" applyNumberFormat="1" applyFont="1"/>
    <xf numFmtId="3" fontId="63" fillId="0" borderId="79" xfId="0" applyNumberFormat="1" applyFont="1" applyBorder="1" applyAlignment="1">
      <alignment horizontal="right" vertical="top" wrapText="1"/>
    </xf>
    <xf numFmtId="3" fontId="41" fillId="0" borderId="14" xfId="0" applyNumberFormat="1" applyFont="1" applyBorder="1" applyAlignment="1">
      <alignment horizontal="right" vertical="top" wrapText="1"/>
    </xf>
    <xf numFmtId="3" fontId="59" fillId="0" borderId="14" xfId="0" applyNumberFormat="1" applyFont="1" applyBorder="1" applyAlignment="1">
      <alignment horizontal="right" vertical="top" wrapText="1"/>
    </xf>
    <xf numFmtId="3" fontId="1" fillId="0" borderId="0" xfId="0" applyNumberFormat="1" applyFont="1"/>
    <xf numFmtId="3" fontId="56" fillId="24" borderId="79" xfId="0" applyNumberFormat="1" applyFont="1" applyFill="1" applyBorder="1" applyAlignment="1">
      <alignment horizontal="right" vertical="center" wrapText="1"/>
    </xf>
    <xf numFmtId="3" fontId="27" fillId="24" borderId="14" xfId="0" applyNumberFormat="1" applyFont="1" applyFill="1" applyBorder="1" applyAlignment="1">
      <alignment horizontal="right" vertical="center" wrapText="1"/>
    </xf>
    <xf numFmtId="3" fontId="60" fillId="24" borderId="14" xfId="0" applyNumberFormat="1" applyFont="1" applyFill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/>
    </xf>
    <xf numFmtId="3" fontId="65" fillId="24" borderId="79" xfId="0" applyNumberFormat="1" applyFont="1" applyFill="1" applyBorder="1" applyAlignment="1">
      <alignment horizontal="right" vertical="center" wrapText="1"/>
    </xf>
    <xf numFmtId="3" fontId="64" fillId="0" borderId="79" xfId="0" applyNumberFormat="1" applyFont="1" applyBorder="1" applyAlignment="1">
      <alignment horizontal="right" vertical="top" wrapText="1"/>
    </xf>
    <xf numFmtId="3" fontId="63" fillId="0" borderId="79" xfId="0" applyNumberFormat="1" applyFont="1" applyFill="1" applyBorder="1" applyAlignment="1">
      <alignment horizontal="right" vertical="top" wrapText="1"/>
    </xf>
    <xf numFmtId="3" fontId="27" fillId="0" borderId="14" xfId="0" applyNumberFormat="1" applyFont="1" applyFill="1" applyBorder="1" applyAlignment="1">
      <alignment horizontal="right" vertical="center" wrapText="1"/>
    </xf>
    <xf numFmtId="3" fontId="64" fillId="0" borderId="11" xfId="0" applyNumberFormat="1" applyFont="1" applyFill="1" applyBorder="1" applyAlignment="1">
      <alignment horizontal="right" vertical="top" wrapText="1"/>
    </xf>
    <xf numFmtId="3" fontId="64" fillId="0" borderId="79" xfId="0" applyNumberFormat="1" applyFont="1" applyFill="1" applyBorder="1" applyAlignment="1">
      <alignment horizontal="right" vertical="top" wrapText="1"/>
    </xf>
    <xf numFmtId="3" fontId="27" fillId="24" borderId="79" xfId="0" applyNumberFormat="1" applyFont="1" applyFill="1" applyBorder="1" applyAlignment="1">
      <alignment horizontal="right" vertical="center" wrapText="1"/>
    </xf>
    <xf numFmtId="3" fontId="41" fillId="0" borderId="79" xfId="0" applyNumberFormat="1" applyFont="1" applyBorder="1" applyAlignment="1">
      <alignment horizontal="right" vertical="top" wrapText="1"/>
    </xf>
    <xf numFmtId="3" fontId="56" fillId="28" borderId="79" xfId="0" applyNumberFormat="1" applyFont="1" applyFill="1" applyBorder="1" applyAlignment="1">
      <alignment horizontal="right" vertical="center" wrapText="1"/>
    </xf>
    <xf numFmtId="3" fontId="27" fillId="28" borderId="14" xfId="0" applyNumberFormat="1" applyFont="1" applyFill="1" applyBorder="1" applyAlignment="1">
      <alignment horizontal="right" vertical="center" wrapText="1"/>
    </xf>
    <xf numFmtId="3" fontId="60" fillId="28" borderId="14" xfId="0" applyNumberFormat="1" applyFont="1" applyFill="1" applyBorder="1" applyAlignment="1">
      <alignment horizontal="right" vertical="center" wrapText="1"/>
    </xf>
    <xf numFmtId="3" fontId="65" fillId="28" borderId="11" xfId="0" applyNumberFormat="1" applyFont="1" applyFill="1" applyBorder="1" applyAlignment="1">
      <alignment horizontal="right" vertical="center" wrapText="1"/>
    </xf>
    <xf numFmtId="3" fontId="65" fillId="28" borderId="79" xfId="0" applyNumberFormat="1" applyFont="1" applyFill="1" applyBorder="1" applyAlignment="1">
      <alignment horizontal="right" vertical="center" wrapText="1"/>
    </xf>
    <xf numFmtId="3" fontId="70" fillId="28" borderId="11" xfId="0" applyNumberFormat="1" applyFont="1" applyFill="1" applyBorder="1" applyAlignment="1">
      <alignment horizontal="right"/>
    </xf>
    <xf numFmtId="3" fontId="70" fillId="28" borderId="79" xfId="0" applyNumberFormat="1" applyFont="1" applyFill="1" applyBorder="1" applyAlignment="1">
      <alignment horizontal="right"/>
    </xf>
    <xf numFmtId="3" fontId="43" fillId="28" borderId="14" xfId="0" applyNumberFormat="1" applyFont="1" applyFill="1" applyBorder="1" applyAlignment="1">
      <alignment horizontal="right"/>
    </xf>
    <xf numFmtId="3" fontId="58" fillId="28" borderId="14" xfId="0" applyNumberFormat="1" applyFont="1" applyFill="1" applyBorder="1" applyAlignment="1">
      <alignment horizontal="right"/>
    </xf>
    <xf numFmtId="0" fontId="67" fillId="0" borderId="0" xfId="0" applyFont="1"/>
    <xf numFmtId="3" fontId="2" fillId="25" borderId="11" xfId="0" applyNumberFormat="1" applyFont="1" applyFill="1" applyBorder="1" applyAlignment="1">
      <alignment horizontal="right" vertical="center"/>
    </xf>
    <xf numFmtId="0" fontId="71" fillId="0" borderId="0" xfId="0" applyFont="1" applyBorder="1" applyAlignment="1">
      <alignment vertical="center"/>
    </xf>
    <xf numFmtId="3" fontId="61" fillId="0" borderId="11" xfId="0" applyNumberFormat="1" applyFont="1" applyBorder="1" applyAlignment="1">
      <alignment horizontal="right" vertical="center"/>
    </xf>
    <xf numFmtId="3" fontId="71" fillId="1" borderId="11" xfId="0" applyNumberFormat="1" applyFont="1" applyFill="1" applyBorder="1" applyAlignment="1">
      <alignment horizontal="right" vertical="center"/>
    </xf>
    <xf numFmtId="3" fontId="71" fillId="24" borderId="11" xfId="0" applyNumberFormat="1" applyFont="1" applyFill="1" applyBorder="1" applyAlignment="1">
      <alignment vertical="center"/>
    </xf>
    <xf numFmtId="0" fontId="51" fillId="1" borderId="0" xfId="0" applyFont="1" applyFill="1" applyBorder="1" applyAlignment="1">
      <alignment horizontal="left" vertical="center"/>
    </xf>
    <xf numFmtId="3" fontId="50" fillId="1" borderId="11" xfId="0" applyNumberFormat="1" applyFont="1" applyFill="1" applyBorder="1" applyAlignment="1">
      <alignment vertical="center"/>
    </xf>
    <xf numFmtId="3" fontId="49" fillId="0" borderId="0" xfId="0" applyNumberFormat="1" applyFont="1" applyBorder="1" applyAlignment="1">
      <alignment vertical="center"/>
    </xf>
    <xf numFmtId="3" fontId="2" fillId="24" borderId="23" xfId="0" applyNumberFormat="1" applyFont="1" applyFill="1" applyBorder="1" applyAlignment="1">
      <alignment vertical="center"/>
    </xf>
    <xf numFmtId="3" fontId="50" fillId="24" borderId="23" xfId="0" applyNumberFormat="1" applyFont="1" applyFill="1" applyBorder="1" applyAlignment="1">
      <alignment vertical="center"/>
    </xf>
    <xf numFmtId="3" fontId="71" fillId="24" borderId="26" xfId="0" applyNumberFormat="1" applyFont="1" applyFill="1" applyBorder="1" applyAlignment="1">
      <alignment vertical="center"/>
    </xf>
    <xf numFmtId="0" fontId="50" fillId="0" borderId="52" xfId="0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3" fontId="71" fillId="1" borderId="11" xfId="0" applyNumberFormat="1" applyFont="1" applyFill="1" applyBorder="1" applyAlignment="1">
      <alignment vertical="center"/>
    </xf>
    <xf numFmtId="0" fontId="3" fillId="0" borderId="45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2" fillId="0" borderId="74" xfId="0" applyFont="1" applyBorder="1" applyAlignment="1">
      <alignment horizontal="left" vertical="center"/>
    </xf>
    <xf numFmtId="3" fontId="71" fillId="1" borderId="12" xfId="0" applyNumberFormat="1" applyFont="1" applyFill="1" applyBorder="1" applyAlignment="1">
      <alignment vertical="center"/>
    </xf>
    <xf numFmtId="3" fontId="71" fillId="0" borderId="12" xfId="0" applyNumberFormat="1" applyFont="1" applyBorder="1" applyAlignment="1">
      <alignment vertical="center"/>
    </xf>
    <xf numFmtId="3" fontId="71" fillId="1" borderId="27" xfId="0" applyNumberFormat="1" applyFont="1" applyFill="1" applyBorder="1" applyAlignment="1">
      <alignment vertical="center"/>
    </xf>
    <xf numFmtId="3" fontId="71" fillId="1" borderId="74" xfId="0" applyNumberFormat="1" applyFont="1" applyFill="1" applyBorder="1" applyAlignment="1">
      <alignment vertical="center"/>
    </xf>
    <xf numFmtId="3" fontId="71" fillId="0" borderId="11" xfId="0" applyNumberFormat="1" applyFont="1" applyBorder="1" applyAlignment="1">
      <alignment vertical="center"/>
    </xf>
    <xf numFmtId="3" fontId="61" fillId="0" borderId="12" xfId="0" applyNumberFormat="1" applyFont="1" applyBorder="1" applyAlignment="1">
      <alignment vertical="center"/>
    </xf>
    <xf numFmtId="3" fontId="71" fillId="0" borderId="27" xfId="0" applyNumberFormat="1" applyFont="1" applyBorder="1" applyAlignment="1">
      <alignment vertical="center"/>
    </xf>
    <xf numFmtId="3" fontId="71" fillId="0" borderId="74" xfId="0" applyNumberFormat="1" applyFont="1" applyBorder="1" applyAlignment="1">
      <alignment vertical="center"/>
    </xf>
    <xf numFmtId="3" fontId="71" fillId="24" borderId="28" xfId="0" applyNumberFormat="1" applyFont="1" applyFill="1" applyBorder="1" applyAlignment="1">
      <alignment vertical="center"/>
    </xf>
    <xf numFmtId="3" fontId="71" fillId="24" borderId="75" xfId="0" applyNumberFormat="1" applyFont="1" applyFill="1" applyBorder="1" applyAlignment="1">
      <alignment vertical="center"/>
    </xf>
    <xf numFmtId="0" fontId="50" fillId="0" borderId="11" xfId="0" applyFont="1" applyBorder="1" applyAlignment="1">
      <alignment horizontal="left" vertical="center"/>
    </xf>
    <xf numFmtId="0" fontId="50" fillId="0" borderId="12" xfId="0" applyFont="1" applyBorder="1" applyAlignment="1">
      <alignment horizontal="left" vertical="center"/>
    </xf>
    <xf numFmtId="3" fontId="71" fillId="1" borderId="18" xfId="0" applyNumberFormat="1" applyFont="1" applyFill="1" applyBorder="1" applyAlignment="1">
      <alignment horizontal="right" vertical="center"/>
    </xf>
    <xf numFmtId="3" fontId="71" fillId="1" borderId="12" xfId="0" applyNumberFormat="1" applyFont="1" applyFill="1" applyBorder="1" applyAlignment="1">
      <alignment horizontal="right" vertical="center"/>
    </xf>
    <xf numFmtId="3" fontId="71" fillId="0" borderId="18" xfId="0" applyNumberFormat="1" applyFont="1" applyBorder="1" applyAlignment="1">
      <alignment horizontal="right" vertical="center"/>
    </xf>
    <xf numFmtId="3" fontId="71" fillId="0" borderId="12" xfId="0" applyNumberFormat="1" applyFont="1" applyBorder="1" applyAlignment="1">
      <alignment horizontal="right" vertical="center"/>
    </xf>
    <xf numFmtId="3" fontId="61" fillId="0" borderId="12" xfId="0" applyNumberFormat="1" applyFont="1" applyBorder="1" applyAlignment="1">
      <alignment horizontal="right" vertical="center"/>
    </xf>
    <xf numFmtId="3" fontId="71" fillId="24" borderId="64" xfId="0" applyNumberFormat="1" applyFont="1" applyFill="1" applyBorder="1" applyAlignment="1">
      <alignment horizontal="right" vertical="center"/>
    </xf>
    <xf numFmtId="3" fontId="71" fillId="24" borderId="13" xfId="0" applyNumberFormat="1" applyFont="1" applyFill="1" applyBorder="1" applyAlignment="1">
      <alignment horizontal="right" vertical="center"/>
    </xf>
    <xf numFmtId="3" fontId="50" fillId="0" borderId="40" xfId="0" applyNumberFormat="1" applyFont="1" applyFill="1" applyBorder="1" applyAlignment="1">
      <alignment horizontal="right" vertical="center"/>
    </xf>
    <xf numFmtId="3" fontId="50" fillId="0" borderId="76" xfId="0" applyNumberFormat="1" applyFont="1" applyFill="1" applyBorder="1" applyAlignment="1">
      <alignment horizontal="right" vertical="center"/>
    </xf>
    <xf numFmtId="3" fontId="71" fillId="24" borderId="23" xfId="0" applyNumberFormat="1" applyFont="1" applyFill="1" applyBorder="1" applyAlignment="1">
      <alignment horizontal="right" vertical="center"/>
    </xf>
    <xf numFmtId="3" fontId="71" fillId="0" borderId="40" xfId="0" applyNumberFormat="1" applyFont="1" applyFill="1" applyBorder="1" applyAlignment="1">
      <alignment horizontal="right" vertical="center"/>
    </xf>
    <xf numFmtId="3" fontId="71" fillId="0" borderId="76" xfId="0" applyNumberFormat="1" applyFont="1" applyFill="1" applyBorder="1" applyAlignment="1">
      <alignment horizontal="right" vertical="center"/>
    </xf>
    <xf numFmtId="3" fontId="71" fillId="24" borderId="67" xfId="0" applyNumberFormat="1" applyFont="1" applyFill="1" applyBorder="1" applyAlignment="1">
      <alignment horizontal="right" vertical="center"/>
    </xf>
    <xf numFmtId="3" fontId="71" fillId="24" borderId="15" xfId="0" applyNumberFormat="1" applyFont="1" applyFill="1" applyBorder="1" applyAlignment="1">
      <alignment horizontal="right" vertical="center"/>
    </xf>
    <xf numFmtId="3" fontId="2" fillId="25" borderId="32" xfId="0" applyNumberFormat="1" applyFont="1" applyFill="1" applyBorder="1" applyAlignment="1">
      <alignment horizontal="right" vertical="center"/>
    </xf>
    <xf numFmtId="3" fontId="2" fillId="1" borderId="32" xfId="0" applyNumberFormat="1" applyFont="1" applyFill="1" applyBorder="1" applyAlignment="1">
      <alignment horizontal="right" vertical="center"/>
    </xf>
    <xf numFmtId="3" fontId="61" fillId="0" borderId="32" xfId="0" applyNumberFormat="1" applyFont="1" applyBorder="1" applyAlignment="1">
      <alignment horizontal="right" vertical="center"/>
    </xf>
    <xf numFmtId="3" fontId="61" fillId="0" borderId="32" xfId="0" applyNumberFormat="1" applyFont="1" applyBorder="1" applyAlignment="1">
      <alignment vertical="center"/>
    </xf>
    <xf numFmtId="3" fontId="49" fillId="0" borderId="32" xfId="0" applyNumberFormat="1" applyFont="1" applyBorder="1" applyAlignment="1">
      <alignment vertical="center"/>
    </xf>
    <xf numFmtId="3" fontId="71" fillId="1" borderId="32" xfId="0" applyNumberFormat="1" applyFont="1" applyFill="1" applyBorder="1" applyAlignment="1">
      <alignment horizontal="right" vertical="center"/>
    </xf>
    <xf numFmtId="3" fontId="71" fillId="24" borderId="32" xfId="0" applyNumberFormat="1" applyFont="1" applyFill="1" applyBorder="1" applyAlignment="1">
      <alignment vertical="center"/>
    </xf>
    <xf numFmtId="3" fontId="50" fillId="1" borderId="32" xfId="0" applyNumberFormat="1" applyFont="1" applyFill="1" applyBorder="1" applyAlignment="1">
      <alignment vertical="center"/>
    </xf>
    <xf numFmtId="3" fontId="50" fillId="24" borderId="65" xfId="0" applyNumberFormat="1" applyFont="1" applyFill="1" applyBorder="1" applyAlignment="1">
      <alignment vertical="center"/>
    </xf>
    <xf numFmtId="3" fontId="71" fillId="24" borderId="52" xfId="0" applyNumberFormat="1" applyFont="1" applyFill="1" applyBorder="1" applyAlignment="1">
      <alignment vertical="center"/>
    </xf>
    <xf numFmtId="3" fontId="71" fillId="1" borderId="32" xfId="0" applyNumberFormat="1" applyFont="1" applyFill="1" applyBorder="1" applyAlignment="1">
      <alignment vertical="center"/>
    </xf>
    <xf numFmtId="3" fontId="2" fillId="24" borderId="32" xfId="0" applyNumberFormat="1" applyFont="1" applyFill="1" applyBorder="1" applyAlignment="1">
      <alignment vertical="center"/>
    </xf>
    <xf numFmtId="3" fontId="2" fillId="1" borderId="32" xfId="0" applyNumberFormat="1" applyFont="1" applyFill="1" applyBorder="1" applyAlignment="1">
      <alignment vertical="center"/>
    </xf>
    <xf numFmtId="3" fontId="2" fillId="24" borderId="65" xfId="0" applyNumberFormat="1" applyFont="1" applyFill="1" applyBorder="1" applyAlignment="1">
      <alignment vertical="center"/>
    </xf>
    <xf numFmtId="3" fontId="2" fillId="24" borderId="52" xfId="0" applyNumberFormat="1" applyFont="1" applyFill="1" applyBorder="1" applyAlignment="1">
      <alignment vertical="center"/>
    </xf>
    <xf numFmtId="3" fontId="40" fillId="24" borderId="80" xfId="0" applyNumberFormat="1" applyFont="1" applyFill="1" applyBorder="1" applyAlignment="1">
      <alignment horizontal="center" vertical="center" wrapText="1"/>
    </xf>
    <xf numFmtId="3" fontId="3" fillId="0" borderId="81" xfId="0" applyNumberFormat="1" applyFont="1" applyBorder="1" applyAlignment="1">
      <alignment vertical="center"/>
    </xf>
    <xf numFmtId="3" fontId="3" fillId="0" borderId="82" xfId="0" applyNumberFormat="1" applyFont="1" applyBorder="1" applyAlignment="1">
      <alignment vertical="center"/>
    </xf>
    <xf numFmtId="3" fontId="2" fillId="0" borderId="83" xfId="0" applyNumberFormat="1" applyFont="1" applyBorder="1" applyAlignment="1">
      <alignment vertical="center"/>
    </xf>
    <xf numFmtId="3" fontId="2" fillId="0" borderId="84" xfId="0" applyNumberFormat="1" applyFont="1" applyBorder="1" applyAlignment="1">
      <alignment vertical="center"/>
    </xf>
    <xf numFmtId="3" fontId="3" fillId="0" borderId="80" xfId="0" applyNumberFormat="1" applyFont="1" applyBorder="1" applyAlignment="1">
      <alignment vertical="center"/>
    </xf>
    <xf numFmtId="3" fontId="3" fillId="0" borderId="78" xfId="0" applyNumberFormat="1" applyFont="1" applyBorder="1" applyAlignment="1">
      <alignment vertical="center"/>
    </xf>
    <xf numFmtId="3" fontId="3" fillId="0" borderId="83" xfId="0" applyNumberFormat="1" applyFont="1" applyBorder="1" applyAlignment="1">
      <alignment vertical="center"/>
    </xf>
    <xf numFmtId="3" fontId="3" fillId="0" borderId="84" xfId="0" applyNumberFormat="1" applyFont="1" applyBorder="1" applyAlignment="1">
      <alignment vertical="center"/>
    </xf>
    <xf numFmtId="3" fontId="3" fillId="0" borderId="79" xfId="0" applyNumberFormat="1" applyFont="1" applyBorder="1" applyAlignment="1">
      <alignment vertical="center"/>
    </xf>
    <xf numFmtId="3" fontId="3" fillId="0" borderId="80" xfId="0" applyNumberFormat="1" applyFont="1" applyBorder="1" applyAlignment="1">
      <alignment horizontal="right" vertical="center"/>
    </xf>
    <xf numFmtId="3" fontId="3" fillId="0" borderId="79" xfId="0" applyNumberFormat="1" applyFont="1" applyBorder="1" applyAlignment="1">
      <alignment horizontal="right" vertical="center"/>
    </xf>
    <xf numFmtId="3" fontId="2" fillId="24" borderId="79" xfId="0" applyNumberFormat="1" applyFont="1" applyFill="1" applyBorder="1" applyAlignment="1">
      <alignment vertical="center"/>
    </xf>
    <xf numFmtId="3" fontId="3" fillId="1" borderId="83" xfId="0" applyNumberFormat="1" applyFont="1" applyFill="1" applyBorder="1" applyAlignment="1">
      <alignment vertical="center"/>
    </xf>
    <xf numFmtId="3" fontId="3" fillId="1" borderId="84" xfId="0" applyNumberFormat="1" applyFont="1" applyFill="1" applyBorder="1" applyAlignment="1">
      <alignment vertical="center"/>
    </xf>
    <xf numFmtId="3" fontId="2" fillId="24" borderId="85" xfId="0" applyNumberFormat="1" applyFont="1" applyFill="1" applyBorder="1" applyAlignment="1">
      <alignment vertical="center"/>
    </xf>
    <xf numFmtId="3" fontId="2" fillId="24" borderId="86" xfId="0" applyNumberFormat="1" applyFont="1" applyFill="1" applyBorder="1" applyAlignment="1">
      <alignment vertical="center"/>
    </xf>
    <xf numFmtId="3" fontId="3" fillId="0" borderId="87" xfId="0" applyNumberFormat="1" applyFont="1" applyBorder="1" applyAlignment="1">
      <alignment vertical="center"/>
    </xf>
    <xf numFmtId="3" fontId="3" fillId="0" borderId="88" xfId="0" applyNumberFormat="1" applyFont="1" applyBorder="1" applyAlignment="1">
      <alignment vertical="center"/>
    </xf>
    <xf numFmtId="3" fontId="2" fillId="24" borderId="80" xfId="0" applyNumberFormat="1" applyFont="1" applyFill="1" applyBorder="1" applyAlignment="1">
      <alignment vertical="center"/>
    </xf>
    <xf numFmtId="3" fontId="2" fillId="25" borderId="77" xfId="0" applyNumberFormat="1" applyFont="1" applyFill="1" applyBorder="1" applyAlignment="1">
      <alignment horizontal="right" vertical="center"/>
    </xf>
    <xf numFmtId="3" fontId="2" fillId="25" borderId="78" xfId="0" applyNumberFormat="1" applyFont="1" applyFill="1" applyBorder="1" applyAlignment="1">
      <alignment horizontal="right" vertical="center"/>
    </xf>
    <xf numFmtId="3" fontId="2" fillId="1" borderId="77" xfId="0" applyNumberFormat="1" applyFont="1" applyFill="1" applyBorder="1" applyAlignment="1">
      <alignment horizontal="right" vertical="center"/>
    </xf>
    <xf numFmtId="3" fontId="2" fillId="1" borderId="78" xfId="0" applyNumberFormat="1" applyFont="1" applyFill="1" applyBorder="1" applyAlignment="1">
      <alignment horizontal="right" vertical="center"/>
    </xf>
    <xf numFmtId="3" fontId="2" fillId="24" borderId="77" xfId="0" applyNumberFormat="1" applyFont="1" applyFill="1" applyBorder="1" applyAlignment="1">
      <alignment vertical="center"/>
    </xf>
    <xf numFmtId="3" fontId="2" fillId="24" borderId="78" xfId="0" applyNumberFormat="1" applyFont="1" applyFill="1" applyBorder="1" applyAlignment="1">
      <alignment vertical="center"/>
    </xf>
    <xf numFmtId="3" fontId="2" fillId="1" borderId="77" xfId="0" applyNumberFormat="1" applyFont="1" applyFill="1" applyBorder="1" applyAlignment="1">
      <alignment vertical="center"/>
    </xf>
    <xf numFmtId="3" fontId="2" fillId="1" borderId="78" xfId="0" applyNumberFormat="1" applyFont="1" applyFill="1" applyBorder="1" applyAlignment="1">
      <alignment vertical="center"/>
    </xf>
    <xf numFmtId="3" fontId="2" fillId="24" borderId="89" xfId="0" applyNumberFormat="1" applyFont="1" applyFill="1" applyBorder="1" applyAlignment="1">
      <alignment vertical="center"/>
    </xf>
    <xf numFmtId="3" fontId="2" fillId="24" borderId="90" xfId="0" applyNumberFormat="1" applyFont="1" applyFill="1" applyBorder="1" applyAlignment="1">
      <alignment vertical="center"/>
    </xf>
    <xf numFmtId="0" fontId="41" fillId="24" borderId="36" xfId="0" applyFont="1" applyFill="1" applyBorder="1" applyAlignment="1">
      <alignment vertical="center" wrapText="1"/>
    </xf>
    <xf numFmtId="3" fontId="41" fillId="0" borderId="11" xfId="0" applyNumberFormat="1" applyFont="1" applyBorder="1" applyAlignment="1">
      <alignment horizontal="right" vertical="center" wrapText="1"/>
    </xf>
    <xf numFmtId="166" fontId="35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4" xfId="0" applyNumberFormat="1" applyFont="1" applyBorder="1" applyAlignment="1">
      <alignment horizontal="left" vertical="center" wrapText="1" indent="1"/>
    </xf>
    <xf numFmtId="166" fontId="35" fillId="0" borderId="14" xfId="0" quotePrefix="1" applyNumberFormat="1" applyFont="1" applyBorder="1" applyAlignment="1">
      <alignment horizontal="left" vertical="center" wrapText="1" indent="6"/>
    </xf>
    <xf numFmtId="3" fontId="5" fillId="0" borderId="11" xfId="0" applyNumberFormat="1" applyFont="1" applyBorder="1" applyAlignment="1">
      <alignment horizontal="right" vertical="top" wrapText="1"/>
    </xf>
    <xf numFmtId="166" fontId="7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72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72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73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72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74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74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75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75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76" fillId="0" borderId="36" xfId="0" applyNumberFormat="1" applyFont="1" applyBorder="1" applyAlignment="1">
      <alignment horizontal="right" vertical="center" wrapText="1" indent="1"/>
    </xf>
    <xf numFmtId="166" fontId="74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74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76" fillId="0" borderId="11" xfId="0" applyNumberFormat="1" applyFont="1" applyBorder="1" applyAlignment="1">
      <alignment horizontal="right" vertical="center" wrapText="1" indent="1"/>
    </xf>
    <xf numFmtId="166" fontId="75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76" fillId="0" borderId="17" xfId="0" applyNumberFormat="1" applyFont="1" applyBorder="1" applyAlignment="1">
      <alignment horizontal="right" vertical="center" wrapText="1" indent="1"/>
    </xf>
    <xf numFmtId="166" fontId="75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75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74" fillId="0" borderId="17" xfId="0" applyNumberFormat="1" applyFont="1" applyBorder="1" applyAlignment="1" applyProtection="1">
      <alignment horizontal="right" vertical="center" wrapText="1" indent="1"/>
      <protection locked="0"/>
    </xf>
    <xf numFmtId="166" fontId="74" fillId="0" borderId="19" xfId="0" applyNumberFormat="1" applyFont="1" applyBorder="1" applyAlignment="1" applyProtection="1">
      <alignment horizontal="right" vertical="center" wrapText="1" indent="1"/>
      <protection locked="0"/>
    </xf>
    <xf numFmtId="0" fontId="27" fillId="26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27" fillId="24" borderId="11" xfId="0" applyFont="1" applyFill="1" applyBorder="1" applyAlignment="1">
      <alignment horizontal="left" vertical="top" wrapText="1"/>
    </xf>
    <xf numFmtId="0" fontId="60" fillId="28" borderId="11" xfId="0" applyFont="1" applyFill="1" applyBorder="1" applyAlignment="1">
      <alignment horizontal="left" vertical="center" wrapText="1"/>
    </xf>
    <xf numFmtId="0" fontId="27" fillId="24" borderId="11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27" fillId="28" borderId="18" xfId="0" applyFont="1" applyFill="1" applyBorder="1" applyAlignment="1">
      <alignment horizontal="left" vertical="center" wrapText="1"/>
    </xf>
    <xf numFmtId="0" fontId="27" fillId="28" borderId="32" xfId="0" applyFont="1" applyFill="1" applyBorder="1" applyAlignment="1">
      <alignment horizontal="left" vertical="center" wrapText="1"/>
    </xf>
    <xf numFmtId="0" fontId="27" fillId="28" borderId="14" xfId="0" applyFont="1" applyFill="1" applyBorder="1" applyAlignment="1">
      <alignment horizontal="left" vertical="center" wrapText="1"/>
    </xf>
    <xf numFmtId="0" fontId="46" fillId="28" borderId="11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3" fontId="40" fillId="24" borderId="18" xfId="0" applyNumberFormat="1" applyFont="1" applyFill="1" applyBorder="1" applyAlignment="1">
      <alignment horizontal="center" vertical="center" wrapText="1"/>
    </xf>
    <xf numFmtId="3" fontId="40" fillId="24" borderId="32" xfId="0" applyNumberFormat="1" applyFont="1" applyFill="1" applyBorder="1" applyAlignment="1">
      <alignment horizontal="center" vertical="center" wrapText="1"/>
    </xf>
    <xf numFmtId="3" fontId="40" fillId="24" borderId="77" xfId="0" applyNumberFormat="1" applyFont="1" applyFill="1" applyBorder="1" applyAlignment="1">
      <alignment horizontal="center" vertical="center" wrapText="1"/>
    </xf>
    <xf numFmtId="3" fontId="40" fillId="24" borderId="78" xfId="0" applyNumberFormat="1" applyFont="1" applyFill="1" applyBorder="1" applyAlignment="1">
      <alignment horizontal="center" vertical="center" wrapText="1"/>
    </xf>
    <xf numFmtId="3" fontId="40" fillId="24" borderId="14" xfId="0" applyNumberFormat="1" applyFont="1" applyFill="1" applyBorder="1" applyAlignment="1">
      <alignment horizontal="center" vertical="center" wrapText="1"/>
    </xf>
    <xf numFmtId="0" fontId="40" fillId="24" borderId="35" xfId="0" applyFont="1" applyFill="1" applyBorder="1" applyAlignment="1">
      <alignment horizontal="center" vertical="center" wrapText="1"/>
    </xf>
    <xf numFmtId="0" fontId="40" fillId="24" borderId="53" xfId="0" applyFont="1" applyFill="1" applyBorder="1" applyAlignment="1">
      <alignment horizontal="center" vertical="center" wrapText="1"/>
    </xf>
    <xf numFmtId="0" fontId="40" fillId="24" borderId="54" xfId="0" applyFont="1" applyFill="1" applyBorder="1" applyAlignment="1">
      <alignment horizontal="center" vertical="center" wrapText="1"/>
    </xf>
    <xf numFmtId="0" fontId="40" fillId="24" borderId="27" xfId="0" applyFont="1" applyFill="1" applyBorder="1" applyAlignment="1">
      <alignment horizontal="center" vertical="center" wrapText="1"/>
    </xf>
    <xf numFmtId="0" fontId="40" fillId="24" borderId="34" xfId="0" applyFont="1" applyFill="1" applyBorder="1" applyAlignment="1">
      <alignment horizontal="center" vertical="center" wrapText="1"/>
    </xf>
    <xf numFmtId="0" fontId="40" fillId="24" borderId="55" xfId="0" applyFont="1" applyFill="1" applyBorder="1" applyAlignment="1">
      <alignment horizontal="center" vertical="center" wrapText="1"/>
    </xf>
    <xf numFmtId="0" fontId="27" fillId="29" borderId="11" xfId="0" applyFont="1" applyFill="1" applyBorder="1" applyAlignment="1">
      <alignment horizontal="left" vertical="center" wrapText="1"/>
    </xf>
    <xf numFmtId="0" fontId="43" fillId="30" borderId="11" xfId="0" applyFont="1" applyFill="1" applyBorder="1" applyAlignment="1">
      <alignment horizontal="left"/>
    </xf>
    <xf numFmtId="0" fontId="42" fillId="24" borderId="11" xfId="0" applyFont="1" applyFill="1" applyBorder="1" applyAlignment="1">
      <alignment horizontal="left" vertical="top" wrapText="1"/>
    </xf>
    <xf numFmtId="0" fontId="42" fillId="26" borderId="11" xfId="0" applyFont="1" applyFill="1" applyBorder="1" applyAlignment="1">
      <alignment horizontal="left" vertical="top" wrapText="1"/>
    </xf>
    <xf numFmtId="0" fontId="42" fillId="24" borderId="11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41" fillId="24" borderId="35" xfId="0" applyFont="1" applyFill="1" applyBorder="1" applyAlignment="1">
      <alignment horizontal="center" vertical="center" wrapText="1"/>
    </xf>
    <xf numFmtId="0" fontId="41" fillId="24" borderId="53" xfId="0" applyFont="1" applyFill="1" applyBorder="1" applyAlignment="1">
      <alignment horizontal="center" vertical="center" wrapText="1"/>
    </xf>
    <xf numFmtId="0" fontId="41" fillId="24" borderId="54" xfId="0" applyFont="1" applyFill="1" applyBorder="1" applyAlignment="1">
      <alignment horizontal="center" vertical="center" wrapText="1"/>
    </xf>
    <xf numFmtId="0" fontId="41" fillId="24" borderId="40" xfId="0" applyFont="1" applyFill="1" applyBorder="1" applyAlignment="1">
      <alignment horizontal="center" vertical="center" wrapText="1"/>
    </xf>
    <xf numFmtId="0" fontId="41" fillId="24" borderId="0" xfId="0" applyFont="1" applyFill="1" applyBorder="1" applyAlignment="1">
      <alignment horizontal="center" vertical="center" wrapText="1"/>
    </xf>
    <xf numFmtId="0" fontId="41" fillId="24" borderId="72" xfId="0" applyFont="1" applyFill="1" applyBorder="1" applyAlignment="1">
      <alignment horizontal="center" vertical="center" wrapText="1"/>
    </xf>
    <xf numFmtId="0" fontId="41" fillId="24" borderId="27" xfId="0" applyFont="1" applyFill="1" applyBorder="1" applyAlignment="1">
      <alignment horizontal="center" vertical="center" wrapText="1"/>
    </xf>
    <xf numFmtId="0" fontId="41" fillId="24" borderId="34" xfId="0" applyFont="1" applyFill="1" applyBorder="1" applyAlignment="1">
      <alignment horizontal="center" vertical="center" wrapText="1"/>
    </xf>
    <xf numFmtId="0" fontId="41" fillId="24" borderId="55" xfId="0" applyFont="1" applyFill="1" applyBorder="1" applyAlignment="1">
      <alignment horizontal="center" vertical="center" wrapText="1"/>
    </xf>
    <xf numFmtId="0" fontId="41" fillId="24" borderId="19" xfId="0" applyFont="1" applyFill="1" applyBorder="1" applyAlignment="1">
      <alignment horizontal="center" vertical="center" wrapText="1"/>
    </xf>
    <xf numFmtId="0" fontId="41" fillId="24" borderId="36" xfId="0" applyFont="1" applyFill="1" applyBorder="1" applyAlignment="1">
      <alignment horizontal="center" vertical="center" wrapText="1"/>
    </xf>
    <xf numFmtId="0" fontId="41" fillId="24" borderId="17" xfId="0" applyFont="1" applyFill="1" applyBorder="1" applyAlignment="1">
      <alignment horizontal="center" vertical="center" wrapText="1"/>
    </xf>
    <xf numFmtId="3" fontId="41" fillId="24" borderId="35" xfId="0" applyNumberFormat="1" applyFont="1" applyFill="1" applyBorder="1" applyAlignment="1">
      <alignment horizontal="center" vertical="center" wrapText="1"/>
    </xf>
    <xf numFmtId="3" fontId="41" fillId="24" borderId="53" xfId="0" applyNumberFormat="1" applyFont="1" applyFill="1" applyBorder="1" applyAlignment="1">
      <alignment horizontal="center" vertical="center" wrapText="1"/>
    </xf>
    <xf numFmtId="3" fontId="41" fillId="24" borderId="54" xfId="0" applyNumberFormat="1" applyFont="1" applyFill="1" applyBorder="1" applyAlignment="1">
      <alignment horizontal="center" vertical="center" wrapText="1"/>
    </xf>
    <xf numFmtId="0" fontId="41" fillId="24" borderId="18" xfId="0" applyFont="1" applyFill="1" applyBorder="1" applyAlignment="1">
      <alignment horizontal="center" vertical="center" wrapText="1"/>
    </xf>
    <xf numFmtId="0" fontId="41" fillId="24" borderId="14" xfId="0" applyFont="1" applyFill="1" applyBorder="1" applyAlignment="1">
      <alignment horizontal="center" vertical="center" wrapText="1"/>
    </xf>
    <xf numFmtId="0" fontId="41" fillId="24" borderId="32" xfId="0" applyFont="1" applyFill="1" applyBorder="1" applyAlignment="1">
      <alignment horizontal="center" vertical="center" wrapText="1"/>
    </xf>
    <xf numFmtId="3" fontId="41" fillId="24" borderId="19" xfId="0" applyNumberFormat="1" applyFont="1" applyFill="1" applyBorder="1" applyAlignment="1">
      <alignment horizontal="center" vertical="center" wrapText="1"/>
    </xf>
    <xf numFmtId="3" fontId="41" fillId="24" borderId="17" xfId="0" applyNumberFormat="1" applyFont="1" applyFill="1" applyBorder="1" applyAlignment="1">
      <alignment horizontal="center" vertical="center" wrapText="1"/>
    </xf>
    <xf numFmtId="0" fontId="43" fillId="28" borderId="11" xfId="0" applyFont="1" applyFill="1" applyBorder="1" applyAlignment="1">
      <alignment horizontal="left"/>
    </xf>
    <xf numFmtId="0" fontId="1" fillId="0" borderId="3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7" fillId="28" borderId="27" xfId="0" applyFont="1" applyFill="1" applyBorder="1" applyAlignment="1">
      <alignment horizontal="left" vertical="center" wrapText="1"/>
    </xf>
    <xf numFmtId="0" fontId="27" fillId="28" borderId="34" xfId="0" applyFont="1" applyFill="1" applyBorder="1" applyAlignment="1">
      <alignment horizontal="left" vertical="center" wrapText="1"/>
    </xf>
    <xf numFmtId="0" fontId="27" fillId="28" borderId="55" xfId="0" applyFont="1" applyFill="1" applyBorder="1" applyAlignment="1">
      <alignment horizontal="left" vertical="center" wrapText="1"/>
    </xf>
    <xf numFmtId="0" fontId="27" fillId="28" borderId="11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27" fillId="31" borderId="18" xfId="0" applyFont="1" applyFill="1" applyBorder="1" applyAlignment="1">
      <alignment horizontal="left" vertical="center" wrapText="1"/>
    </xf>
    <xf numFmtId="0" fontId="27" fillId="31" borderId="14" xfId="0" applyFont="1" applyFill="1" applyBorder="1" applyAlignment="1">
      <alignment horizontal="left" vertical="center" wrapText="1"/>
    </xf>
    <xf numFmtId="0" fontId="27" fillId="29" borderId="27" xfId="0" applyFont="1" applyFill="1" applyBorder="1" applyAlignment="1">
      <alignment horizontal="left" vertical="center" wrapText="1"/>
    </xf>
    <xf numFmtId="0" fontId="27" fillId="29" borderId="34" xfId="0" applyFont="1" applyFill="1" applyBorder="1" applyAlignment="1">
      <alignment horizontal="left" vertical="center" wrapText="1"/>
    </xf>
    <xf numFmtId="0" fontId="27" fillId="29" borderId="55" xfId="0" applyFont="1" applyFill="1" applyBorder="1" applyAlignment="1">
      <alignment horizontal="left" vertical="center" wrapText="1"/>
    </xf>
    <xf numFmtId="0" fontId="45" fillId="0" borderId="34" xfId="0" applyFont="1" applyBorder="1" applyAlignment="1">
      <alignment horizontal="center"/>
    </xf>
    <xf numFmtId="166" fontId="29" fillId="0" borderId="0" xfId="0" applyNumberFormat="1" applyFont="1" applyAlignment="1">
      <alignment horizontal="center" textRotation="180" wrapText="1"/>
    </xf>
    <xf numFmtId="166" fontId="31" fillId="0" borderId="38" xfId="0" applyNumberFormat="1" applyFont="1" applyBorder="1" applyAlignment="1">
      <alignment horizontal="center" vertical="center" wrapText="1"/>
    </xf>
    <xf numFmtId="166" fontId="31" fillId="0" borderId="43" xfId="0" applyNumberFormat="1" applyFont="1" applyBorder="1" applyAlignment="1">
      <alignment horizontal="center" vertical="center" wrapText="1"/>
    </xf>
    <xf numFmtId="166" fontId="31" fillId="0" borderId="56" xfId="0" applyNumberFormat="1" applyFont="1" applyBorder="1" applyAlignment="1">
      <alignment horizontal="center" vertical="center" wrapText="1"/>
    </xf>
    <xf numFmtId="166" fontId="31" fillId="0" borderId="57" xfId="0" applyNumberFormat="1" applyFont="1" applyBorder="1" applyAlignment="1">
      <alignment horizontal="center" vertical="center" wrapText="1"/>
    </xf>
    <xf numFmtId="0" fontId="2" fillId="24" borderId="31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8" fillId="1" borderId="58" xfId="0" applyFont="1" applyFill="1" applyBorder="1" applyAlignment="1">
      <alignment horizontal="left" vertical="center"/>
    </xf>
    <xf numFmtId="0" fontId="8" fillId="1" borderId="53" xfId="0" applyFont="1" applyFill="1" applyBorder="1" applyAlignment="1">
      <alignment horizontal="left" vertical="center"/>
    </xf>
    <xf numFmtId="0" fontId="2" fillId="24" borderId="59" xfId="0" applyFont="1" applyFill="1" applyBorder="1" applyAlignment="1">
      <alignment horizontal="left" vertical="center"/>
    </xf>
    <xf numFmtId="0" fontId="2" fillId="24" borderId="60" xfId="0" applyFont="1" applyFill="1" applyBorder="1" applyAlignment="1">
      <alignment horizontal="left" vertical="center"/>
    </xf>
    <xf numFmtId="0" fontId="2" fillId="24" borderId="44" xfId="0" applyFont="1" applyFill="1" applyBorder="1" applyAlignment="1">
      <alignment horizontal="left" vertical="center"/>
    </xf>
    <xf numFmtId="0" fontId="2" fillId="24" borderId="51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center" vertical="top"/>
    </xf>
    <xf numFmtId="0" fontId="2" fillId="0" borderId="46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top"/>
    </xf>
    <xf numFmtId="0" fontId="2" fillId="1" borderId="18" xfId="0" applyFont="1" applyFill="1" applyBorder="1" applyAlignment="1">
      <alignment horizontal="left" vertical="center"/>
    </xf>
    <xf numFmtId="0" fontId="2" fillId="1" borderId="32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4" borderId="23" xfId="0" applyFont="1" applyFill="1" applyBorder="1" applyAlignment="1">
      <alignment horizontal="left" vertical="center"/>
    </xf>
    <xf numFmtId="0" fontId="2" fillId="0" borderId="45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1" borderId="11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2" fontId="2" fillId="0" borderId="18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24" borderId="26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top"/>
    </xf>
    <xf numFmtId="0" fontId="2" fillId="0" borderId="2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24" borderId="64" xfId="0" applyFont="1" applyFill="1" applyBorder="1" applyAlignment="1">
      <alignment horizontal="left" vertical="center"/>
    </xf>
    <xf numFmtId="0" fontId="2" fillId="24" borderId="65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66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24" borderId="19" xfId="0" applyFont="1" applyFill="1" applyBorder="1" applyAlignment="1">
      <alignment horizontal="center" vertical="center" wrapText="1"/>
    </xf>
    <xf numFmtId="0" fontId="2" fillId="24" borderId="17" xfId="0" applyFont="1" applyFill="1" applyBorder="1" applyAlignment="1">
      <alignment horizontal="center" vertical="center" wrapText="1"/>
    </xf>
    <xf numFmtId="166" fontId="32" fillId="0" borderId="38" xfId="0" applyNumberFormat="1" applyFont="1" applyBorder="1" applyAlignment="1">
      <alignment horizontal="center" vertical="center" wrapText="1"/>
    </xf>
    <xf numFmtId="166" fontId="32" fillId="0" borderId="43" xfId="0" applyNumberFormat="1" applyFont="1" applyBorder="1" applyAlignment="1">
      <alignment horizontal="center" vertical="center" wrapText="1"/>
    </xf>
    <xf numFmtId="166" fontId="32" fillId="0" borderId="63" xfId="0" applyNumberFormat="1" applyFont="1" applyBorder="1" applyAlignment="1">
      <alignment horizontal="center" vertical="center" wrapText="1"/>
    </xf>
    <xf numFmtId="166" fontId="32" fillId="0" borderId="21" xfId="0" applyNumberFormat="1" applyFont="1" applyBorder="1" applyAlignment="1">
      <alignment horizontal="center" vertical="center" wrapText="1"/>
    </xf>
    <xf numFmtId="166" fontId="32" fillId="0" borderId="70" xfId="0" applyNumberFormat="1" applyFont="1" applyBorder="1" applyAlignment="1">
      <alignment horizontal="center" vertical="center" wrapText="1"/>
    </xf>
    <xf numFmtId="166" fontId="32" fillId="0" borderId="16" xfId="0" applyNumberFormat="1" applyFont="1" applyBorder="1" applyAlignment="1">
      <alignment horizontal="center" vertical="center"/>
    </xf>
    <xf numFmtId="166" fontId="32" fillId="0" borderId="16" xfId="0" applyNumberFormat="1" applyFont="1" applyBorder="1" applyAlignment="1">
      <alignment horizontal="center" vertical="center" wrapText="1"/>
    </xf>
    <xf numFmtId="0" fontId="2" fillId="24" borderId="29" xfId="0" applyFont="1" applyFill="1" applyBorder="1" applyAlignment="1">
      <alignment horizontal="center" vertical="center" wrapText="1"/>
    </xf>
    <xf numFmtId="0" fontId="2" fillId="24" borderId="67" xfId="0" applyFont="1" applyFill="1" applyBorder="1" applyAlignment="1">
      <alignment horizontal="center" vertical="center" wrapText="1"/>
    </xf>
    <xf numFmtId="49" fontId="2" fillId="24" borderId="63" xfId="0" applyNumberFormat="1" applyFont="1" applyFill="1" applyBorder="1" applyAlignment="1">
      <alignment horizontal="center" vertical="center" wrapText="1"/>
    </xf>
    <xf numFmtId="49" fontId="2" fillId="24" borderId="21" xfId="0" applyNumberFormat="1" applyFont="1" applyFill="1" applyBorder="1" applyAlignment="1">
      <alignment horizontal="center" vertical="center" wrapText="1"/>
    </xf>
    <xf numFmtId="0" fontId="2" fillId="24" borderId="66" xfId="0" applyFont="1" applyFill="1" applyBorder="1" applyAlignment="1">
      <alignment horizontal="center" vertical="center" wrapText="1"/>
    </xf>
    <xf numFmtId="0" fontId="2" fillId="24" borderId="28" xfId="0" applyFont="1" applyFill="1" applyBorder="1" applyAlignment="1">
      <alignment horizontal="center" vertical="center" wrapText="1"/>
    </xf>
    <xf numFmtId="43" fontId="2" fillId="24" borderId="61" xfId="0" applyNumberFormat="1" applyFont="1" applyFill="1" applyBorder="1" applyAlignment="1">
      <alignment horizontal="center" vertical="center" wrapText="1"/>
    </xf>
    <xf numFmtId="43" fontId="2" fillId="24" borderId="49" xfId="0" applyNumberFormat="1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69" xfId="0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center" vertical="center" wrapText="1"/>
    </xf>
    <xf numFmtId="0" fontId="2" fillId="24" borderId="45" xfId="0" applyFont="1" applyFill="1" applyBorder="1" applyAlignment="1">
      <alignment horizontal="center" vertical="center" wrapText="1"/>
    </xf>
    <xf numFmtId="0" fontId="2" fillId="24" borderId="5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 wrapText="1"/>
    </xf>
    <xf numFmtId="0" fontId="0" fillId="0" borderId="37" xfId="0" applyBorder="1"/>
    <xf numFmtId="0" fontId="3" fillId="0" borderId="44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>
    <tabColor indexed="17"/>
    <pageSetUpPr fitToPage="1"/>
  </sheetPr>
  <dimension ref="A1:U59"/>
  <sheetViews>
    <sheetView view="pageBreakPreview" zoomScale="70" zoomScaleNormal="85" zoomScaleSheetLayoutView="70" workbookViewId="0">
      <selection activeCell="N28" sqref="N28"/>
    </sheetView>
  </sheetViews>
  <sheetFormatPr defaultRowHeight="12.75" x14ac:dyDescent="0.2"/>
  <cols>
    <col min="1" max="1" width="3.7109375" customWidth="1"/>
    <col min="2" max="2" width="3.140625" customWidth="1"/>
    <col min="3" max="3" width="52.7109375" customWidth="1"/>
    <col min="4" max="4" width="15.7109375" style="170" customWidth="1"/>
    <col min="5" max="6" width="13" style="170" customWidth="1"/>
    <col min="7" max="7" width="15.85546875" style="170" bestFit="1" customWidth="1"/>
    <col min="8" max="8" width="16.28515625" style="170" customWidth="1"/>
    <col min="9" max="9" width="14.42578125" style="149" customWidth="1"/>
    <col min="10" max="11" width="13" style="149" customWidth="1"/>
    <col min="12" max="12" width="13.5703125" style="149" bestFit="1" customWidth="1"/>
    <col min="13" max="13" width="12.7109375" style="149" customWidth="1"/>
    <col min="14" max="14" width="15.5703125" style="149" bestFit="1" customWidth="1"/>
    <col min="15" max="16" width="14.42578125" style="149" customWidth="1"/>
    <col min="17" max="17" width="15.7109375" style="149" bestFit="1" customWidth="1"/>
    <col min="18" max="18" width="14.42578125" style="149" customWidth="1"/>
  </cols>
  <sheetData>
    <row r="1" spans="1:21" ht="21.75" customHeight="1" x14ac:dyDescent="0.2">
      <c r="A1" s="592" t="s">
        <v>464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</row>
    <row r="2" spans="1:21" ht="28.5" customHeight="1" x14ac:dyDescent="0.2">
      <c r="A2" s="593" t="s">
        <v>121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</row>
    <row r="3" spans="1:21" ht="36.75" customHeight="1" x14ac:dyDescent="0.2">
      <c r="A3" s="599" t="s">
        <v>44</v>
      </c>
      <c r="B3" s="600"/>
      <c r="C3" s="601"/>
      <c r="D3" s="594" t="s">
        <v>222</v>
      </c>
      <c r="E3" s="595"/>
      <c r="F3" s="595"/>
      <c r="G3" s="595"/>
      <c r="H3" s="595"/>
      <c r="I3" s="596" t="s">
        <v>108</v>
      </c>
      <c r="J3" s="595"/>
      <c r="K3" s="595"/>
      <c r="L3" s="595"/>
      <c r="M3" s="597"/>
      <c r="N3" s="595" t="s">
        <v>393</v>
      </c>
      <c r="O3" s="595"/>
      <c r="P3" s="595"/>
      <c r="Q3" s="595"/>
      <c r="R3" s="598"/>
      <c r="T3" s="149"/>
      <c r="U3" s="149"/>
    </row>
    <row r="4" spans="1:21" ht="30" customHeight="1" x14ac:dyDescent="0.2">
      <c r="A4" s="602"/>
      <c r="B4" s="603"/>
      <c r="C4" s="604"/>
      <c r="D4" s="325" t="s">
        <v>465</v>
      </c>
      <c r="E4" s="159" t="s">
        <v>364</v>
      </c>
      <c r="F4" s="159" t="s">
        <v>466</v>
      </c>
      <c r="G4" s="159" t="s">
        <v>365</v>
      </c>
      <c r="H4" s="392" t="s">
        <v>366</v>
      </c>
      <c r="I4" s="325" t="s">
        <v>465</v>
      </c>
      <c r="J4" s="159" t="s">
        <v>364</v>
      </c>
      <c r="K4" s="159" t="s">
        <v>466</v>
      </c>
      <c r="L4" s="159" t="s">
        <v>365</v>
      </c>
      <c r="M4" s="392" t="s">
        <v>366</v>
      </c>
      <c r="N4" s="325" t="s">
        <v>378</v>
      </c>
      <c r="O4" s="159" t="s">
        <v>364</v>
      </c>
      <c r="P4" s="159" t="s">
        <v>466</v>
      </c>
      <c r="Q4" s="393" t="s">
        <v>365</v>
      </c>
      <c r="R4" s="159" t="s">
        <v>366</v>
      </c>
      <c r="T4" s="149"/>
      <c r="U4" s="149"/>
    </row>
    <row r="5" spans="1:21" ht="17.25" customHeight="1" x14ac:dyDescent="0.2">
      <c r="A5" s="582" t="s">
        <v>45</v>
      </c>
      <c r="B5" s="157"/>
      <c r="C5" s="154" t="s">
        <v>246</v>
      </c>
      <c r="D5" s="155">
        <v>76478545</v>
      </c>
      <c r="E5" s="155">
        <v>226691</v>
      </c>
      <c r="F5" s="155">
        <f>G5-D5-E5</f>
        <v>2342055</v>
      </c>
      <c r="G5" s="394">
        <v>79047291</v>
      </c>
      <c r="H5" s="395">
        <v>60692444</v>
      </c>
      <c r="I5" s="396">
        <v>0</v>
      </c>
      <c r="J5" s="155"/>
      <c r="K5" s="155">
        <f>L5-I5-J5</f>
        <v>0</v>
      </c>
      <c r="L5" s="397"/>
      <c r="M5" s="398"/>
      <c r="N5" s="399">
        <f>SUM(D5+I5)</f>
        <v>76478545</v>
      </c>
      <c r="O5" s="155">
        <v>226691</v>
      </c>
      <c r="P5" s="155">
        <f>F5+K5</f>
        <v>2342055</v>
      </c>
      <c r="Q5" s="394">
        <f>G5+L5</f>
        <v>79047291</v>
      </c>
      <c r="R5" s="394">
        <f>H5+M5</f>
        <v>60692444</v>
      </c>
    </row>
    <row r="6" spans="1:21" ht="25.5" x14ac:dyDescent="0.2">
      <c r="A6" s="582"/>
      <c r="B6" s="157"/>
      <c r="C6" s="154" t="s">
        <v>247</v>
      </c>
      <c r="D6" s="155">
        <v>144931549</v>
      </c>
      <c r="E6" s="155">
        <v>0</v>
      </c>
      <c r="F6" s="155">
        <f t="shared" ref="F6:F58" si="0">G6-D6-E6</f>
        <v>3293585</v>
      </c>
      <c r="G6" s="394">
        <v>148225134</v>
      </c>
      <c r="H6" s="395">
        <v>112592380</v>
      </c>
      <c r="I6" s="396">
        <v>0</v>
      </c>
      <c r="J6" s="155"/>
      <c r="K6" s="155">
        <f t="shared" ref="K6:K58" si="1">L6-I6-J6</f>
        <v>0</v>
      </c>
      <c r="L6" s="397"/>
      <c r="M6" s="398"/>
      <c r="N6" s="399">
        <f t="shared" ref="N6:N16" si="2">SUM(D6+I6)</f>
        <v>144931549</v>
      </c>
      <c r="O6" s="155">
        <v>0</v>
      </c>
      <c r="P6" s="155">
        <f t="shared" ref="P6:R58" si="3">F6+K6</f>
        <v>3293585</v>
      </c>
      <c r="Q6" s="394">
        <f t="shared" si="3"/>
        <v>148225134</v>
      </c>
      <c r="R6" s="394">
        <f t="shared" si="3"/>
        <v>112592380</v>
      </c>
    </row>
    <row r="7" spans="1:21" ht="25.5" x14ac:dyDescent="0.2">
      <c r="A7" s="582"/>
      <c r="B7" s="157"/>
      <c r="C7" s="154" t="s">
        <v>248</v>
      </c>
      <c r="D7" s="155">
        <v>50942903</v>
      </c>
      <c r="E7" s="155">
        <v>872725</v>
      </c>
      <c r="F7" s="155">
        <f t="shared" si="0"/>
        <v>2837326</v>
      </c>
      <c r="G7" s="394">
        <v>54652954</v>
      </c>
      <c r="H7" s="395">
        <v>42907964</v>
      </c>
      <c r="I7" s="396">
        <v>0</v>
      </c>
      <c r="J7" s="155"/>
      <c r="K7" s="155">
        <f t="shared" si="1"/>
        <v>0</v>
      </c>
      <c r="L7" s="397"/>
      <c r="M7" s="398"/>
      <c r="N7" s="399">
        <f t="shared" si="2"/>
        <v>50942903</v>
      </c>
      <c r="O7" s="155">
        <v>872725</v>
      </c>
      <c r="P7" s="155">
        <f t="shared" si="3"/>
        <v>2837326</v>
      </c>
      <c r="Q7" s="394">
        <f t="shared" si="3"/>
        <v>54652954</v>
      </c>
      <c r="R7" s="394">
        <f t="shared" si="3"/>
        <v>42907964</v>
      </c>
    </row>
    <row r="8" spans="1:21" ht="14.25" customHeight="1" x14ac:dyDescent="0.2">
      <c r="A8" s="582"/>
      <c r="B8" s="157"/>
      <c r="C8" s="154" t="s">
        <v>249</v>
      </c>
      <c r="D8" s="155">
        <v>4028090</v>
      </c>
      <c r="E8" s="155">
        <v>0</v>
      </c>
      <c r="F8" s="155">
        <f t="shared" si="0"/>
        <v>136000</v>
      </c>
      <c r="G8" s="394">
        <v>4164090</v>
      </c>
      <c r="H8" s="395">
        <v>3197347</v>
      </c>
      <c r="I8" s="396">
        <v>0</v>
      </c>
      <c r="J8" s="155"/>
      <c r="K8" s="155">
        <f t="shared" si="1"/>
        <v>0</v>
      </c>
      <c r="L8" s="397"/>
      <c r="M8" s="398"/>
      <c r="N8" s="399">
        <f t="shared" si="2"/>
        <v>4028090</v>
      </c>
      <c r="O8" s="155">
        <v>0</v>
      </c>
      <c r="P8" s="155">
        <f t="shared" si="3"/>
        <v>136000</v>
      </c>
      <c r="Q8" s="394">
        <f t="shared" si="3"/>
        <v>4164090</v>
      </c>
      <c r="R8" s="394">
        <f t="shared" si="3"/>
        <v>3197347</v>
      </c>
    </row>
    <row r="9" spans="1:21" ht="14.25" customHeight="1" x14ac:dyDescent="0.2">
      <c r="A9" s="582"/>
      <c r="B9" s="157"/>
      <c r="C9" s="307" t="s">
        <v>368</v>
      </c>
      <c r="D9" s="300">
        <v>0</v>
      </c>
      <c r="E9" s="300">
        <v>11072000</v>
      </c>
      <c r="F9" s="155">
        <f t="shared" si="0"/>
        <v>1489710</v>
      </c>
      <c r="G9" s="400">
        <v>12561710</v>
      </c>
      <c r="H9" s="401">
        <v>12561710</v>
      </c>
      <c r="I9" s="396"/>
      <c r="J9" s="155"/>
      <c r="K9" s="155">
        <f t="shared" si="1"/>
        <v>0</v>
      </c>
      <c r="L9" s="397"/>
      <c r="M9" s="398"/>
      <c r="N9" s="399">
        <f t="shared" si="2"/>
        <v>0</v>
      </c>
      <c r="O9" s="155">
        <v>11072000</v>
      </c>
      <c r="P9" s="155">
        <f t="shared" si="3"/>
        <v>1489710</v>
      </c>
      <c r="Q9" s="394">
        <f t="shared" si="3"/>
        <v>12561710</v>
      </c>
      <c r="R9" s="394">
        <f t="shared" si="3"/>
        <v>12561710</v>
      </c>
    </row>
    <row r="10" spans="1:21" ht="14.25" customHeight="1" x14ac:dyDescent="0.2">
      <c r="A10" s="582"/>
      <c r="B10" s="157"/>
      <c r="C10" s="307" t="s">
        <v>369</v>
      </c>
      <c r="D10" s="300">
        <v>0</v>
      </c>
      <c r="E10" s="300">
        <v>612850</v>
      </c>
      <c r="F10" s="155">
        <f t="shared" si="0"/>
        <v>2049693</v>
      </c>
      <c r="G10" s="400">
        <v>2662543</v>
      </c>
      <c r="H10" s="401">
        <v>2662543</v>
      </c>
      <c r="I10" s="396"/>
      <c r="J10" s="155"/>
      <c r="K10" s="155">
        <f t="shared" si="1"/>
        <v>0</v>
      </c>
      <c r="L10" s="397"/>
      <c r="M10" s="398"/>
      <c r="N10" s="399">
        <f t="shared" si="2"/>
        <v>0</v>
      </c>
      <c r="O10" s="155">
        <v>612850</v>
      </c>
      <c r="P10" s="155">
        <f t="shared" si="3"/>
        <v>2049693</v>
      </c>
      <c r="Q10" s="394">
        <f t="shared" si="3"/>
        <v>2662543</v>
      </c>
      <c r="R10" s="394">
        <f t="shared" si="3"/>
        <v>2662543</v>
      </c>
    </row>
    <row r="11" spans="1:21" ht="18" customHeight="1" x14ac:dyDescent="0.2">
      <c r="A11" s="582"/>
      <c r="B11" s="581" t="s">
        <v>250</v>
      </c>
      <c r="C11" s="581"/>
      <c r="D11" s="171">
        <f>SUM(D5:D10)</f>
        <v>276381087</v>
      </c>
      <c r="E11" s="171">
        <f>SUM(E5:E10)</f>
        <v>12784266</v>
      </c>
      <c r="F11" s="171">
        <f t="shared" si="0"/>
        <v>12148369</v>
      </c>
      <c r="G11" s="402">
        <f>SUM(G5:G10)</f>
        <v>301313722</v>
      </c>
      <c r="H11" s="403">
        <f>SUM(H5:H10)</f>
        <v>234614388</v>
      </c>
      <c r="I11" s="404">
        <f>SUM(I5:I8)</f>
        <v>0</v>
      </c>
      <c r="J11" s="171">
        <f t="shared" ref="J11:M11" si="4">SUM(J5:J8)</f>
        <v>0</v>
      </c>
      <c r="K11" s="171">
        <f t="shared" si="1"/>
        <v>0</v>
      </c>
      <c r="L11" s="402">
        <f t="shared" si="4"/>
        <v>0</v>
      </c>
      <c r="M11" s="403">
        <f t="shared" si="4"/>
        <v>0</v>
      </c>
      <c r="N11" s="405">
        <f>SUM(D11+I11)</f>
        <v>276381087</v>
      </c>
      <c r="O11" s="171">
        <v>12784266</v>
      </c>
      <c r="P11" s="171">
        <f t="shared" si="3"/>
        <v>12148369</v>
      </c>
      <c r="Q11" s="402">
        <f>G11+L11</f>
        <v>301313722</v>
      </c>
      <c r="R11" s="402">
        <f>H11+M11</f>
        <v>234614388</v>
      </c>
    </row>
    <row r="12" spans="1:21" x14ac:dyDescent="0.2">
      <c r="A12" s="582"/>
      <c r="B12" s="153"/>
      <c r="C12" s="186" t="s">
        <v>467</v>
      </c>
      <c r="D12" s="155">
        <v>2300000</v>
      </c>
      <c r="E12" s="155">
        <v>0</v>
      </c>
      <c r="F12" s="155">
        <f t="shared" si="0"/>
        <v>0</v>
      </c>
      <c r="G12" s="394">
        <v>2300000</v>
      </c>
      <c r="H12" s="395">
        <v>2297300</v>
      </c>
      <c r="I12" s="396">
        <v>0</v>
      </c>
      <c r="J12" s="155">
        <v>2230448</v>
      </c>
      <c r="K12" s="155">
        <f t="shared" si="1"/>
        <v>2420188</v>
      </c>
      <c r="L12" s="394">
        <v>4650636</v>
      </c>
      <c r="M12" s="395">
        <v>2335760</v>
      </c>
      <c r="N12" s="399">
        <f t="shared" si="2"/>
        <v>2300000</v>
      </c>
      <c r="O12" s="155">
        <v>2230448</v>
      </c>
      <c r="P12" s="155">
        <f t="shared" si="3"/>
        <v>2420188</v>
      </c>
      <c r="Q12" s="394">
        <f t="shared" si="3"/>
        <v>6950636</v>
      </c>
      <c r="R12" s="394">
        <f t="shared" si="3"/>
        <v>4633060</v>
      </c>
    </row>
    <row r="13" spans="1:21" x14ac:dyDescent="0.2">
      <c r="A13" s="582"/>
      <c r="B13" s="153"/>
      <c r="C13" s="186" t="s">
        <v>370</v>
      </c>
      <c r="D13" s="155"/>
      <c r="E13" s="155">
        <v>56430</v>
      </c>
      <c r="F13" s="155">
        <f t="shared" si="0"/>
        <v>0</v>
      </c>
      <c r="G13" s="394">
        <v>56430</v>
      </c>
      <c r="H13" s="395">
        <v>0</v>
      </c>
      <c r="I13" s="396"/>
      <c r="J13" s="155">
        <v>0</v>
      </c>
      <c r="K13" s="155">
        <f t="shared" si="1"/>
        <v>0</v>
      </c>
      <c r="L13" s="394"/>
      <c r="M13" s="395"/>
      <c r="N13" s="399">
        <f t="shared" si="2"/>
        <v>0</v>
      </c>
      <c r="O13" s="155">
        <v>56430</v>
      </c>
      <c r="P13" s="155">
        <f t="shared" si="3"/>
        <v>0</v>
      </c>
      <c r="Q13" s="394">
        <f t="shared" si="3"/>
        <v>56430</v>
      </c>
      <c r="R13" s="394">
        <f t="shared" si="3"/>
        <v>0</v>
      </c>
    </row>
    <row r="14" spans="1:21" x14ac:dyDescent="0.2">
      <c r="A14" s="582"/>
      <c r="B14" s="153"/>
      <c r="C14" s="186" t="s">
        <v>264</v>
      </c>
      <c r="D14" s="155">
        <v>14526000</v>
      </c>
      <c r="E14" s="155">
        <v>0</v>
      </c>
      <c r="F14" s="155">
        <f t="shared" si="0"/>
        <v>0</v>
      </c>
      <c r="G14" s="394">
        <v>14526000</v>
      </c>
      <c r="H14" s="395">
        <v>11380100</v>
      </c>
      <c r="I14" s="396"/>
      <c r="J14" s="155">
        <v>0</v>
      </c>
      <c r="K14" s="155">
        <f t="shared" si="1"/>
        <v>0</v>
      </c>
      <c r="L14" s="394"/>
      <c r="M14" s="395"/>
      <c r="N14" s="399">
        <f t="shared" si="2"/>
        <v>14526000</v>
      </c>
      <c r="O14" s="155">
        <v>0</v>
      </c>
      <c r="P14" s="155">
        <f t="shared" si="3"/>
        <v>0</v>
      </c>
      <c r="Q14" s="394">
        <f t="shared" si="3"/>
        <v>14526000</v>
      </c>
      <c r="R14" s="394">
        <f t="shared" si="3"/>
        <v>11380100</v>
      </c>
    </row>
    <row r="15" spans="1:21" x14ac:dyDescent="0.2">
      <c r="A15" s="582"/>
      <c r="B15" s="153"/>
      <c r="C15" s="186" t="s">
        <v>265</v>
      </c>
      <c r="D15" s="155">
        <v>4866514</v>
      </c>
      <c r="E15" s="155">
        <v>0</v>
      </c>
      <c r="F15" s="155">
        <f t="shared" si="0"/>
        <v>0</v>
      </c>
      <c r="G15" s="394">
        <v>4866514</v>
      </c>
      <c r="H15" s="395">
        <v>4526636</v>
      </c>
      <c r="I15" s="396">
        <v>0</v>
      </c>
      <c r="J15" s="155">
        <v>0</v>
      </c>
      <c r="K15" s="155">
        <f t="shared" si="1"/>
        <v>0</v>
      </c>
      <c r="L15" s="394"/>
      <c r="M15" s="395"/>
      <c r="N15" s="399">
        <f t="shared" si="2"/>
        <v>4866514</v>
      </c>
      <c r="O15" s="155">
        <v>0</v>
      </c>
      <c r="P15" s="155">
        <f t="shared" si="3"/>
        <v>0</v>
      </c>
      <c r="Q15" s="394">
        <f t="shared" si="3"/>
        <v>4866514</v>
      </c>
      <c r="R15" s="394">
        <f t="shared" si="3"/>
        <v>4526636</v>
      </c>
    </row>
    <row r="16" spans="1:21" x14ac:dyDescent="0.2">
      <c r="A16" s="582"/>
      <c r="B16" s="153"/>
      <c r="C16" s="186" t="s">
        <v>266</v>
      </c>
      <c r="D16" s="155">
        <v>16958507</v>
      </c>
      <c r="E16" s="155">
        <v>0</v>
      </c>
      <c r="F16" s="155">
        <f t="shared" si="0"/>
        <v>0</v>
      </c>
      <c r="G16" s="394">
        <v>16958507</v>
      </c>
      <c r="H16" s="395">
        <v>8009267</v>
      </c>
      <c r="I16" s="396">
        <v>0</v>
      </c>
      <c r="J16" s="155">
        <v>0</v>
      </c>
      <c r="K16" s="155">
        <f t="shared" si="1"/>
        <v>0</v>
      </c>
      <c r="L16" s="394"/>
      <c r="M16" s="395"/>
      <c r="N16" s="399">
        <f t="shared" si="2"/>
        <v>16958507</v>
      </c>
      <c r="O16" s="155">
        <v>0</v>
      </c>
      <c r="P16" s="155">
        <f t="shared" si="3"/>
        <v>0</v>
      </c>
      <c r="Q16" s="394">
        <f t="shared" si="3"/>
        <v>16958507</v>
      </c>
      <c r="R16" s="394">
        <f t="shared" si="3"/>
        <v>8009267</v>
      </c>
    </row>
    <row r="17" spans="1:18" s="150" customFormat="1" ht="32.25" customHeight="1" x14ac:dyDescent="0.2">
      <c r="A17" s="582"/>
      <c r="B17" s="581" t="s">
        <v>267</v>
      </c>
      <c r="C17" s="581"/>
      <c r="D17" s="171">
        <f>SUM(D12:D16)</f>
        <v>38651021</v>
      </c>
      <c r="E17" s="171">
        <f t="shared" ref="E17:G17" si="5">SUM(E12:E16)</f>
        <v>56430</v>
      </c>
      <c r="F17" s="171">
        <f t="shared" si="0"/>
        <v>0</v>
      </c>
      <c r="G17" s="402">
        <f t="shared" si="5"/>
        <v>38707451</v>
      </c>
      <c r="H17" s="403">
        <f>SUM(H12:H16)</f>
        <v>26213303</v>
      </c>
      <c r="I17" s="404">
        <f>SUM(I12:I16)</f>
        <v>0</v>
      </c>
      <c r="J17" s="171">
        <f t="shared" ref="J17:M17" si="6">SUM(J12:J16)</f>
        <v>2230448</v>
      </c>
      <c r="K17" s="171">
        <f t="shared" si="1"/>
        <v>2420188</v>
      </c>
      <c r="L17" s="402">
        <f t="shared" si="6"/>
        <v>4650636</v>
      </c>
      <c r="M17" s="403">
        <f t="shared" si="6"/>
        <v>2335760</v>
      </c>
      <c r="N17" s="405">
        <f>SUM(D17+I17)</f>
        <v>38651021</v>
      </c>
      <c r="O17" s="171">
        <v>2286878</v>
      </c>
      <c r="P17" s="171">
        <f t="shared" si="3"/>
        <v>2420188</v>
      </c>
      <c r="Q17" s="402">
        <f t="shared" si="3"/>
        <v>43358087</v>
      </c>
      <c r="R17" s="402">
        <f t="shared" si="3"/>
        <v>28549063</v>
      </c>
    </row>
    <row r="18" spans="1:18" s="152" customFormat="1" ht="22.5" customHeight="1" x14ac:dyDescent="0.2">
      <c r="A18" s="582"/>
      <c r="B18" s="585" t="s">
        <v>268</v>
      </c>
      <c r="C18" s="585"/>
      <c r="D18" s="172">
        <f>D11+D17</f>
        <v>315032108</v>
      </c>
      <c r="E18" s="172">
        <f>E11+E17</f>
        <v>12840696</v>
      </c>
      <c r="F18" s="172">
        <f t="shared" si="0"/>
        <v>12148369</v>
      </c>
      <c r="G18" s="406">
        <f>G11+G17</f>
        <v>340021173</v>
      </c>
      <c r="H18" s="407">
        <f>H11+H17</f>
        <v>260827691</v>
      </c>
      <c r="I18" s="408">
        <f>I11+I17</f>
        <v>0</v>
      </c>
      <c r="J18" s="172">
        <f t="shared" ref="J18:M18" si="7">J11+J17</f>
        <v>2230448</v>
      </c>
      <c r="K18" s="172">
        <f t="shared" si="1"/>
        <v>2420188</v>
      </c>
      <c r="L18" s="406">
        <f t="shared" si="7"/>
        <v>4650636</v>
      </c>
      <c r="M18" s="407">
        <f t="shared" si="7"/>
        <v>2335760</v>
      </c>
      <c r="N18" s="409">
        <f>D18+I18</f>
        <v>315032108</v>
      </c>
      <c r="O18" s="172">
        <v>15071144</v>
      </c>
      <c r="P18" s="172">
        <f t="shared" si="3"/>
        <v>14568557</v>
      </c>
      <c r="Q18" s="406">
        <f t="shared" si="3"/>
        <v>344671809</v>
      </c>
      <c r="R18" s="406">
        <f t="shared" si="3"/>
        <v>263163451</v>
      </c>
    </row>
    <row r="19" spans="1:18" x14ac:dyDescent="0.2">
      <c r="A19" s="323"/>
      <c r="B19" s="153"/>
      <c r="C19" s="186" t="s">
        <v>468</v>
      </c>
      <c r="D19" s="155">
        <v>0</v>
      </c>
      <c r="E19" s="155">
        <v>49996154</v>
      </c>
      <c r="F19" s="155">
        <f t="shared" si="0"/>
        <v>28955408</v>
      </c>
      <c r="G19" s="394">
        <v>78951562</v>
      </c>
      <c r="H19" s="395">
        <v>78951562</v>
      </c>
      <c r="I19" s="396">
        <v>0</v>
      </c>
      <c r="J19" s="155">
        <v>0</v>
      </c>
      <c r="K19" s="155">
        <f t="shared" si="1"/>
        <v>0</v>
      </c>
      <c r="L19" s="397"/>
      <c r="M19" s="398"/>
      <c r="N19" s="399">
        <f t="shared" ref="N19" si="8">SUM(D19+I19)</f>
        <v>0</v>
      </c>
      <c r="O19" s="155">
        <v>49996154</v>
      </c>
      <c r="P19" s="155">
        <f t="shared" si="3"/>
        <v>28955408</v>
      </c>
      <c r="Q19" s="394">
        <f t="shared" si="3"/>
        <v>78951562</v>
      </c>
      <c r="R19" s="394">
        <f t="shared" si="3"/>
        <v>78951562</v>
      </c>
    </row>
    <row r="20" spans="1:18" s="150" customFormat="1" ht="18.75" customHeight="1" x14ac:dyDescent="0.2">
      <c r="A20" s="323"/>
      <c r="B20" s="581" t="s">
        <v>373</v>
      </c>
      <c r="C20" s="581"/>
      <c r="D20" s="171">
        <f>SUM(D19)</f>
        <v>0</v>
      </c>
      <c r="E20" s="171">
        <f t="shared" ref="E20:H20" si="9">SUM(E19)</f>
        <v>49996154</v>
      </c>
      <c r="F20" s="171">
        <f t="shared" si="0"/>
        <v>28955408</v>
      </c>
      <c r="G20" s="402">
        <f t="shared" si="9"/>
        <v>78951562</v>
      </c>
      <c r="H20" s="403">
        <f t="shared" si="9"/>
        <v>78951562</v>
      </c>
      <c r="I20" s="404">
        <f>SUM(I19)</f>
        <v>0</v>
      </c>
      <c r="J20" s="171">
        <v>0</v>
      </c>
      <c r="K20" s="171">
        <f t="shared" si="1"/>
        <v>0</v>
      </c>
      <c r="L20" s="402">
        <f t="shared" ref="L20:M20" si="10">SUM(L19)</f>
        <v>0</v>
      </c>
      <c r="M20" s="403">
        <f t="shared" si="10"/>
        <v>0</v>
      </c>
      <c r="N20" s="405">
        <f>SUM(D20+I20)</f>
        <v>0</v>
      </c>
      <c r="O20" s="171">
        <v>49996154</v>
      </c>
      <c r="P20" s="171">
        <f t="shared" si="3"/>
        <v>28955408</v>
      </c>
      <c r="Q20" s="402">
        <f t="shared" si="3"/>
        <v>78951562</v>
      </c>
      <c r="R20" s="402">
        <f t="shared" si="3"/>
        <v>78951562</v>
      </c>
    </row>
    <row r="21" spans="1:18" s="152" customFormat="1" ht="22.5" customHeight="1" x14ac:dyDescent="0.2">
      <c r="A21" s="323"/>
      <c r="B21" s="585" t="s">
        <v>374</v>
      </c>
      <c r="C21" s="585"/>
      <c r="D21" s="172">
        <f>D20</f>
        <v>0</v>
      </c>
      <c r="E21" s="172">
        <f t="shared" ref="E21:H21" si="11">E20</f>
        <v>49996154</v>
      </c>
      <c r="F21" s="172">
        <f t="shared" si="0"/>
        <v>28955408</v>
      </c>
      <c r="G21" s="406">
        <f t="shared" si="11"/>
        <v>78951562</v>
      </c>
      <c r="H21" s="407">
        <f t="shared" si="11"/>
        <v>78951562</v>
      </c>
      <c r="I21" s="408">
        <f>I20</f>
        <v>0</v>
      </c>
      <c r="J21" s="172">
        <v>0</v>
      </c>
      <c r="K21" s="172">
        <f t="shared" si="1"/>
        <v>0</v>
      </c>
      <c r="L21" s="406">
        <f t="shared" ref="L21:M21" si="12">L20</f>
        <v>0</v>
      </c>
      <c r="M21" s="407">
        <f t="shared" si="12"/>
        <v>0</v>
      </c>
      <c r="N21" s="409">
        <f>D21+I21</f>
        <v>0</v>
      </c>
      <c r="O21" s="172">
        <v>49996154</v>
      </c>
      <c r="P21" s="172">
        <f t="shared" si="3"/>
        <v>28955408</v>
      </c>
      <c r="Q21" s="406">
        <f t="shared" si="3"/>
        <v>78951562</v>
      </c>
      <c r="R21" s="406">
        <f t="shared" si="3"/>
        <v>78951562</v>
      </c>
    </row>
    <row r="22" spans="1:18" s="150" customFormat="1" x14ac:dyDescent="0.2">
      <c r="A22" s="582" t="s">
        <v>46</v>
      </c>
      <c r="B22" s="581" t="s">
        <v>251</v>
      </c>
      <c r="C22" s="581"/>
      <c r="D22" s="171">
        <v>6400000</v>
      </c>
      <c r="E22" s="171">
        <v>0</v>
      </c>
      <c r="F22" s="171">
        <f t="shared" si="0"/>
        <v>0</v>
      </c>
      <c r="G22" s="402">
        <v>6400000</v>
      </c>
      <c r="H22" s="403">
        <v>5899578</v>
      </c>
      <c r="I22" s="404">
        <v>0</v>
      </c>
      <c r="J22" s="171"/>
      <c r="K22" s="171">
        <f t="shared" si="1"/>
        <v>0</v>
      </c>
      <c r="L22" s="410"/>
      <c r="M22" s="411"/>
      <c r="N22" s="405">
        <f>SUM(D22+I22)</f>
        <v>6400000</v>
      </c>
      <c r="O22" s="171">
        <v>0</v>
      </c>
      <c r="P22" s="171">
        <f t="shared" si="3"/>
        <v>0</v>
      </c>
      <c r="Q22" s="402">
        <f t="shared" si="3"/>
        <v>6400000</v>
      </c>
      <c r="R22" s="402">
        <f t="shared" si="3"/>
        <v>5899578</v>
      </c>
    </row>
    <row r="23" spans="1:18" x14ac:dyDescent="0.2">
      <c r="A23" s="582"/>
      <c r="B23" s="157" t="s">
        <v>45</v>
      </c>
      <c r="C23" s="154" t="s">
        <v>243</v>
      </c>
      <c r="D23" s="155">
        <v>150900000</v>
      </c>
      <c r="E23" s="155">
        <v>0</v>
      </c>
      <c r="F23" s="155">
        <f t="shared" si="0"/>
        <v>0</v>
      </c>
      <c r="G23" s="394">
        <v>150900000</v>
      </c>
      <c r="H23" s="395">
        <v>147808785</v>
      </c>
      <c r="I23" s="396">
        <v>0</v>
      </c>
      <c r="J23" s="155"/>
      <c r="K23" s="155">
        <f t="shared" si="1"/>
        <v>0</v>
      </c>
      <c r="L23" s="397"/>
      <c r="M23" s="398"/>
      <c r="N23" s="399">
        <f t="shared" ref="N23:N25" si="13">SUM(D23+I23)</f>
        <v>150900000</v>
      </c>
      <c r="O23" s="155">
        <v>0</v>
      </c>
      <c r="P23" s="155">
        <f t="shared" si="3"/>
        <v>0</v>
      </c>
      <c r="Q23" s="394">
        <f t="shared" si="3"/>
        <v>150900000</v>
      </c>
      <c r="R23" s="394">
        <f t="shared" si="3"/>
        <v>147808785</v>
      </c>
    </row>
    <row r="24" spans="1:18" x14ac:dyDescent="0.2">
      <c r="A24" s="582"/>
      <c r="B24" s="157" t="s">
        <v>46</v>
      </c>
      <c r="C24" s="154" t="s">
        <v>252</v>
      </c>
      <c r="D24" s="155">
        <v>12900000</v>
      </c>
      <c r="E24" s="155">
        <v>0</v>
      </c>
      <c r="F24" s="155">
        <f t="shared" si="0"/>
        <v>0</v>
      </c>
      <c r="G24" s="394">
        <v>12900000</v>
      </c>
      <c r="H24" s="395">
        <v>12227855</v>
      </c>
      <c r="I24" s="396">
        <v>0</v>
      </c>
      <c r="J24" s="155"/>
      <c r="K24" s="155">
        <f t="shared" si="1"/>
        <v>0</v>
      </c>
      <c r="L24" s="397"/>
      <c r="M24" s="398"/>
      <c r="N24" s="399">
        <f t="shared" si="13"/>
        <v>12900000</v>
      </c>
      <c r="O24" s="155">
        <v>0</v>
      </c>
      <c r="P24" s="155">
        <f t="shared" si="3"/>
        <v>0</v>
      </c>
      <c r="Q24" s="394">
        <f t="shared" si="3"/>
        <v>12900000</v>
      </c>
      <c r="R24" s="394">
        <f t="shared" si="3"/>
        <v>12227855</v>
      </c>
    </row>
    <row r="25" spans="1:18" x14ac:dyDescent="0.2">
      <c r="A25" s="582"/>
      <c r="B25" s="157" t="s">
        <v>47</v>
      </c>
      <c r="C25" s="154" t="s">
        <v>244</v>
      </c>
      <c r="D25" s="155">
        <v>600000</v>
      </c>
      <c r="E25" s="155">
        <v>0</v>
      </c>
      <c r="F25" s="155">
        <f t="shared" si="0"/>
        <v>0</v>
      </c>
      <c r="G25" s="394">
        <v>600000</v>
      </c>
      <c r="H25" s="395">
        <v>375400</v>
      </c>
      <c r="I25" s="396">
        <v>0</v>
      </c>
      <c r="J25" s="155"/>
      <c r="K25" s="155">
        <f t="shared" si="1"/>
        <v>0</v>
      </c>
      <c r="L25" s="397"/>
      <c r="M25" s="398"/>
      <c r="N25" s="399">
        <f t="shared" si="13"/>
        <v>600000</v>
      </c>
      <c r="O25" s="155">
        <v>0</v>
      </c>
      <c r="P25" s="155">
        <f t="shared" si="3"/>
        <v>0</v>
      </c>
      <c r="Q25" s="394">
        <f t="shared" si="3"/>
        <v>600000</v>
      </c>
      <c r="R25" s="394">
        <f t="shared" si="3"/>
        <v>375400</v>
      </c>
    </row>
    <row r="26" spans="1:18" ht="17.25" customHeight="1" x14ac:dyDescent="0.2">
      <c r="A26" s="582"/>
      <c r="B26" s="581" t="s">
        <v>298</v>
      </c>
      <c r="C26" s="581"/>
      <c r="D26" s="171">
        <f>SUM(D23:D25)</f>
        <v>164400000</v>
      </c>
      <c r="E26" s="171">
        <v>0</v>
      </c>
      <c r="F26" s="171">
        <f t="shared" si="0"/>
        <v>0</v>
      </c>
      <c r="G26" s="402">
        <f t="shared" ref="G26:H26" si="14">SUM(G23:G25)</f>
        <v>164400000</v>
      </c>
      <c r="H26" s="403">
        <f t="shared" si="14"/>
        <v>160412040</v>
      </c>
      <c r="I26" s="404">
        <f>SUM(I23:I25)</f>
        <v>0</v>
      </c>
      <c r="J26" s="171"/>
      <c r="K26" s="171">
        <f t="shared" si="1"/>
        <v>0</v>
      </c>
      <c r="L26" s="410"/>
      <c r="M26" s="411"/>
      <c r="N26" s="405">
        <f>SUM(D26+I26)</f>
        <v>164400000</v>
      </c>
      <c r="O26" s="171">
        <v>0</v>
      </c>
      <c r="P26" s="171">
        <f t="shared" si="3"/>
        <v>0</v>
      </c>
      <c r="Q26" s="402">
        <f t="shared" si="3"/>
        <v>164400000</v>
      </c>
      <c r="R26" s="402">
        <f t="shared" si="3"/>
        <v>160412040</v>
      </c>
    </row>
    <row r="27" spans="1:18" s="150" customFormat="1" ht="18.75" customHeight="1" x14ac:dyDescent="0.2">
      <c r="A27" s="582"/>
      <c r="B27" s="581" t="s">
        <v>245</v>
      </c>
      <c r="C27" s="581"/>
      <c r="D27" s="171">
        <v>100000</v>
      </c>
      <c r="E27" s="171">
        <v>0</v>
      </c>
      <c r="F27" s="171">
        <f t="shared" si="0"/>
        <v>0</v>
      </c>
      <c r="G27" s="402">
        <v>100000</v>
      </c>
      <c r="H27" s="403">
        <v>69916</v>
      </c>
      <c r="I27" s="404">
        <v>0</v>
      </c>
      <c r="J27" s="171"/>
      <c r="K27" s="171">
        <f t="shared" si="1"/>
        <v>0</v>
      </c>
      <c r="L27" s="410"/>
      <c r="M27" s="411"/>
      <c r="N27" s="405">
        <f>SUM(D27+I27)</f>
        <v>100000</v>
      </c>
      <c r="O27" s="171">
        <v>0</v>
      </c>
      <c r="P27" s="171">
        <f t="shared" si="3"/>
        <v>0</v>
      </c>
      <c r="Q27" s="402">
        <f t="shared" si="3"/>
        <v>100000</v>
      </c>
      <c r="R27" s="402">
        <f t="shared" si="3"/>
        <v>69916</v>
      </c>
    </row>
    <row r="28" spans="1:18" s="152" customFormat="1" ht="18" customHeight="1" x14ac:dyDescent="0.2">
      <c r="A28" s="582"/>
      <c r="B28" s="585" t="s">
        <v>253</v>
      </c>
      <c r="C28" s="585"/>
      <c r="D28" s="172">
        <f>D22+D26+D27</f>
        <v>170900000</v>
      </c>
      <c r="E28" s="172">
        <f t="shared" ref="E28:H28" si="15">E22+E26+E27</f>
        <v>0</v>
      </c>
      <c r="F28" s="172">
        <f t="shared" si="0"/>
        <v>0</v>
      </c>
      <c r="G28" s="406">
        <f t="shared" si="15"/>
        <v>170900000</v>
      </c>
      <c r="H28" s="407">
        <f t="shared" si="15"/>
        <v>166381534</v>
      </c>
      <c r="I28" s="408">
        <f>I22+I26+I27</f>
        <v>0</v>
      </c>
      <c r="J28" s="172"/>
      <c r="K28" s="172">
        <f t="shared" si="1"/>
        <v>0</v>
      </c>
      <c r="L28" s="412"/>
      <c r="M28" s="413"/>
      <c r="N28" s="409">
        <f>D28+I28</f>
        <v>170900000</v>
      </c>
      <c r="O28" s="172">
        <v>0</v>
      </c>
      <c r="P28" s="172">
        <f t="shared" si="3"/>
        <v>0</v>
      </c>
      <c r="Q28" s="406">
        <f t="shared" si="3"/>
        <v>170900000</v>
      </c>
      <c r="R28" s="406">
        <f t="shared" si="3"/>
        <v>166381534</v>
      </c>
    </row>
    <row r="29" spans="1:18" x14ac:dyDescent="0.2">
      <c r="A29" s="582" t="s">
        <v>47</v>
      </c>
      <c r="B29" s="158"/>
      <c r="C29" s="154" t="s">
        <v>255</v>
      </c>
      <c r="D29" s="155">
        <v>3827000</v>
      </c>
      <c r="E29" s="155">
        <v>0</v>
      </c>
      <c r="F29" s="155">
        <f t="shared" si="0"/>
        <v>0</v>
      </c>
      <c r="G29" s="394">
        <v>3827000</v>
      </c>
      <c r="H29" s="395">
        <v>2976003</v>
      </c>
      <c r="I29" s="396">
        <v>0</v>
      </c>
      <c r="J29" s="155"/>
      <c r="K29" s="155">
        <f t="shared" si="1"/>
        <v>0</v>
      </c>
      <c r="L29" s="397"/>
      <c r="M29" s="398"/>
      <c r="N29" s="399">
        <f t="shared" ref="N29:N46" si="16">SUM(D29+I29)</f>
        <v>3827000</v>
      </c>
      <c r="O29" s="155">
        <v>0</v>
      </c>
      <c r="P29" s="155">
        <f t="shared" si="3"/>
        <v>0</v>
      </c>
      <c r="Q29" s="394">
        <f t="shared" si="3"/>
        <v>3827000</v>
      </c>
      <c r="R29" s="394">
        <f t="shared" si="3"/>
        <v>2976003</v>
      </c>
    </row>
    <row r="30" spans="1:18" s="302" customFormat="1" x14ac:dyDescent="0.2">
      <c r="A30" s="582"/>
      <c r="B30" s="414"/>
      <c r="C30" s="307" t="s">
        <v>469</v>
      </c>
      <c r="D30" s="300">
        <v>0</v>
      </c>
      <c r="E30" s="300">
        <v>0</v>
      </c>
      <c r="F30" s="300">
        <f t="shared" si="0"/>
        <v>0</v>
      </c>
      <c r="G30" s="400">
        <v>0</v>
      </c>
      <c r="H30" s="401">
        <v>0</v>
      </c>
      <c r="I30" s="415">
        <v>0</v>
      </c>
      <c r="J30" s="300">
        <v>0</v>
      </c>
      <c r="K30" s="300">
        <f t="shared" si="1"/>
        <v>555427</v>
      </c>
      <c r="L30" s="400">
        <v>555427</v>
      </c>
      <c r="M30" s="401">
        <v>555427</v>
      </c>
      <c r="N30" s="416">
        <f t="shared" si="16"/>
        <v>0</v>
      </c>
      <c r="O30" s="300">
        <v>0</v>
      </c>
      <c r="P30" s="300">
        <f t="shared" si="3"/>
        <v>555427</v>
      </c>
      <c r="Q30" s="400">
        <f t="shared" si="3"/>
        <v>555427</v>
      </c>
      <c r="R30" s="400">
        <f t="shared" si="3"/>
        <v>555427</v>
      </c>
    </row>
    <row r="31" spans="1:18" x14ac:dyDescent="0.2">
      <c r="A31" s="582"/>
      <c r="B31" s="158"/>
      <c r="C31" s="154" t="s">
        <v>256</v>
      </c>
      <c r="D31" s="155">
        <v>112778</v>
      </c>
      <c r="E31" s="155">
        <v>606700</v>
      </c>
      <c r="F31" s="155">
        <f t="shared" si="0"/>
        <v>772502</v>
      </c>
      <c r="G31" s="394">
        <v>1491980</v>
      </c>
      <c r="H31" s="395">
        <v>1190572</v>
      </c>
      <c r="I31" s="396">
        <v>2000000</v>
      </c>
      <c r="J31" s="155">
        <v>0</v>
      </c>
      <c r="K31" s="155">
        <f t="shared" si="1"/>
        <v>104926</v>
      </c>
      <c r="L31" s="394">
        <v>2104926</v>
      </c>
      <c r="M31" s="395">
        <v>1506379</v>
      </c>
      <c r="N31" s="399">
        <f t="shared" si="16"/>
        <v>2112778</v>
      </c>
      <c r="O31" s="155">
        <v>606700</v>
      </c>
      <c r="P31" s="155">
        <f t="shared" si="3"/>
        <v>877428</v>
      </c>
      <c r="Q31" s="394">
        <f t="shared" si="3"/>
        <v>3596906</v>
      </c>
      <c r="R31" s="394">
        <f t="shared" si="3"/>
        <v>2696951</v>
      </c>
    </row>
    <row r="32" spans="1:18" x14ac:dyDescent="0.2">
      <c r="A32" s="582"/>
      <c r="B32" s="158"/>
      <c r="C32" s="154" t="s">
        <v>257</v>
      </c>
      <c r="D32" s="155">
        <v>0</v>
      </c>
      <c r="E32" s="155">
        <v>241671</v>
      </c>
      <c r="F32" s="155">
        <f t="shared" si="0"/>
        <v>120836</v>
      </c>
      <c r="G32" s="394">
        <v>362507</v>
      </c>
      <c r="H32" s="395">
        <v>362507</v>
      </c>
      <c r="I32" s="396">
        <v>0</v>
      </c>
      <c r="J32" s="155">
        <v>0</v>
      </c>
      <c r="K32" s="155">
        <f t="shared" si="1"/>
        <v>0</v>
      </c>
      <c r="L32" s="397"/>
      <c r="M32" s="398"/>
      <c r="N32" s="399">
        <f t="shared" si="16"/>
        <v>0</v>
      </c>
      <c r="O32" s="155">
        <v>241671</v>
      </c>
      <c r="P32" s="155">
        <f t="shared" si="3"/>
        <v>120836</v>
      </c>
      <c r="Q32" s="394">
        <f t="shared" si="3"/>
        <v>362507</v>
      </c>
      <c r="R32" s="394">
        <f t="shared" si="3"/>
        <v>362507</v>
      </c>
    </row>
    <row r="33" spans="1:18" x14ac:dyDescent="0.2">
      <c r="A33" s="582"/>
      <c r="B33" s="158"/>
      <c r="C33" s="154" t="s">
        <v>258</v>
      </c>
      <c r="D33" s="155">
        <v>6192650</v>
      </c>
      <c r="E33" s="155">
        <v>0</v>
      </c>
      <c r="F33" s="155">
        <f t="shared" si="0"/>
        <v>0</v>
      </c>
      <c r="G33" s="394">
        <v>6192650</v>
      </c>
      <c r="H33" s="395">
        <v>5305092</v>
      </c>
      <c r="I33" s="396">
        <v>0</v>
      </c>
      <c r="J33" s="155">
        <v>0</v>
      </c>
      <c r="K33" s="155">
        <f t="shared" si="1"/>
        <v>0</v>
      </c>
      <c r="L33" s="397"/>
      <c r="M33" s="398"/>
      <c r="N33" s="399">
        <f t="shared" si="16"/>
        <v>6192650</v>
      </c>
      <c r="O33" s="155">
        <v>0</v>
      </c>
      <c r="P33" s="155">
        <f t="shared" si="3"/>
        <v>0</v>
      </c>
      <c r="Q33" s="394">
        <f t="shared" si="3"/>
        <v>6192650</v>
      </c>
      <c r="R33" s="394">
        <f t="shared" si="3"/>
        <v>5305092</v>
      </c>
    </row>
    <row r="34" spans="1:18" x14ac:dyDescent="0.2">
      <c r="A34" s="582"/>
      <c r="B34" s="158"/>
      <c r="C34" s="154" t="s">
        <v>259</v>
      </c>
      <c r="D34" s="155">
        <v>1667426</v>
      </c>
      <c r="E34" s="155">
        <v>0</v>
      </c>
      <c r="F34" s="155">
        <f t="shared" si="0"/>
        <v>146215</v>
      </c>
      <c r="G34" s="394">
        <v>1813641</v>
      </c>
      <c r="H34" s="395">
        <v>1727953</v>
      </c>
      <c r="I34" s="396">
        <v>0</v>
      </c>
      <c r="J34" s="155">
        <v>0</v>
      </c>
      <c r="K34" s="155">
        <f t="shared" si="1"/>
        <v>0</v>
      </c>
      <c r="L34" s="397"/>
      <c r="M34" s="398"/>
      <c r="N34" s="399">
        <f t="shared" si="16"/>
        <v>1667426</v>
      </c>
      <c r="O34" s="155">
        <v>0</v>
      </c>
      <c r="P34" s="155">
        <f t="shared" si="3"/>
        <v>146215</v>
      </c>
      <c r="Q34" s="394">
        <f t="shared" si="3"/>
        <v>1813641</v>
      </c>
      <c r="R34" s="394">
        <f t="shared" si="3"/>
        <v>1727953</v>
      </c>
    </row>
    <row r="35" spans="1:18" x14ac:dyDescent="0.2">
      <c r="A35" s="582"/>
      <c r="B35" s="158"/>
      <c r="C35" s="154" t="s">
        <v>260</v>
      </c>
      <c r="D35" s="155">
        <v>3435000</v>
      </c>
      <c r="E35" s="155">
        <v>202990</v>
      </c>
      <c r="F35" s="155">
        <f t="shared" si="0"/>
        <v>593156</v>
      </c>
      <c r="G35" s="394">
        <v>4231146</v>
      </c>
      <c r="H35" s="395">
        <v>4231146</v>
      </c>
      <c r="I35" s="396">
        <v>0</v>
      </c>
      <c r="J35" s="155">
        <v>0</v>
      </c>
      <c r="K35" s="155">
        <f t="shared" si="1"/>
        <v>0</v>
      </c>
      <c r="L35" s="397"/>
      <c r="M35" s="398"/>
      <c r="N35" s="399">
        <f t="shared" si="16"/>
        <v>3435000</v>
      </c>
      <c r="O35" s="155">
        <v>202990</v>
      </c>
      <c r="P35" s="155">
        <f t="shared" si="3"/>
        <v>593156</v>
      </c>
      <c r="Q35" s="394">
        <f t="shared" si="3"/>
        <v>4231146</v>
      </c>
      <c r="R35" s="394">
        <f t="shared" si="3"/>
        <v>4231146</v>
      </c>
    </row>
    <row r="36" spans="1:18" s="418" customFormat="1" ht="13.5" customHeight="1" x14ac:dyDescent="0.2">
      <c r="A36" s="582"/>
      <c r="B36" s="417"/>
      <c r="C36" s="154" t="s">
        <v>239</v>
      </c>
      <c r="D36" s="155">
        <v>250000</v>
      </c>
      <c r="E36" s="155">
        <v>2398832</v>
      </c>
      <c r="F36" s="155">
        <f t="shared" si="0"/>
        <v>1715815</v>
      </c>
      <c r="G36" s="394">
        <v>4364647</v>
      </c>
      <c r="H36" s="395">
        <v>4364647</v>
      </c>
      <c r="I36" s="396">
        <v>1200</v>
      </c>
      <c r="J36" s="155">
        <v>-20</v>
      </c>
      <c r="K36" s="155">
        <f t="shared" si="1"/>
        <v>0</v>
      </c>
      <c r="L36" s="394">
        <v>1180</v>
      </c>
      <c r="M36" s="395">
        <v>1360</v>
      </c>
      <c r="N36" s="399">
        <f t="shared" si="16"/>
        <v>251200</v>
      </c>
      <c r="O36" s="155">
        <v>2398812</v>
      </c>
      <c r="P36" s="155">
        <f t="shared" si="3"/>
        <v>1715815</v>
      </c>
      <c r="Q36" s="394">
        <f t="shared" si="3"/>
        <v>4365827</v>
      </c>
      <c r="R36" s="394">
        <f t="shared" si="3"/>
        <v>4366007</v>
      </c>
    </row>
    <row r="37" spans="1:18" x14ac:dyDescent="0.2">
      <c r="A37" s="582"/>
      <c r="B37" s="158"/>
      <c r="C37" s="154" t="s">
        <v>470</v>
      </c>
      <c r="D37" s="155">
        <v>1000</v>
      </c>
      <c r="E37" s="155">
        <v>286725</v>
      </c>
      <c r="F37" s="155">
        <f t="shared" si="0"/>
        <v>107171</v>
      </c>
      <c r="G37" s="394">
        <v>394896</v>
      </c>
      <c r="H37" s="395">
        <v>7282118</v>
      </c>
      <c r="I37" s="396">
        <v>0</v>
      </c>
      <c r="J37" s="155">
        <v>107</v>
      </c>
      <c r="K37" s="155">
        <f t="shared" si="1"/>
        <v>0</v>
      </c>
      <c r="L37" s="394">
        <v>107</v>
      </c>
      <c r="M37" s="395">
        <v>110</v>
      </c>
      <c r="N37" s="399">
        <f t="shared" si="16"/>
        <v>1000</v>
      </c>
      <c r="O37" s="155">
        <v>286832</v>
      </c>
      <c r="P37" s="155">
        <f t="shared" si="3"/>
        <v>107171</v>
      </c>
      <c r="Q37" s="394">
        <f t="shared" si="3"/>
        <v>395003</v>
      </c>
      <c r="R37" s="394">
        <f t="shared" si="3"/>
        <v>7282228</v>
      </c>
    </row>
    <row r="38" spans="1:18" x14ac:dyDescent="0.2">
      <c r="A38" s="582"/>
      <c r="B38" s="583" t="s">
        <v>254</v>
      </c>
      <c r="C38" s="583"/>
      <c r="D38" s="173">
        <f>SUM(D29:D37)</f>
        <v>15485854</v>
      </c>
      <c r="E38" s="173">
        <f t="shared" ref="E38:H38" si="17">SUM(E29:E37)</f>
        <v>3736918</v>
      </c>
      <c r="F38" s="173">
        <f t="shared" si="0"/>
        <v>3455695</v>
      </c>
      <c r="G38" s="308">
        <f t="shared" si="17"/>
        <v>22678467</v>
      </c>
      <c r="H38" s="419">
        <f t="shared" si="17"/>
        <v>27440038</v>
      </c>
      <c r="I38" s="420">
        <f>SUM(I29:I37)</f>
        <v>2001200</v>
      </c>
      <c r="J38" s="173">
        <v>87</v>
      </c>
      <c r="K38" s="173">
        <f t="shared" si="1"/>
        <v>660353</v>
      </c>
      <c r="L38" s="308">
        <f t="shared" ref="L38:M38" si="18">SUM(L29:L37)</f>
        <v>2661640</v>
      </c>
      <c r="M38" s="419">
        <f t="shared" si="18"/>
        <v>2063276</v>
      </c>
      <c r="N38" s="409">
        <f>D38+I38</f>
        <v>17487054</v>
      </c>
      <c r="O38" s="172">
        <v>3737005</v>
      </c>
      <c r="P38" s="172">
        <f t="shared" si="3"/>
        <v>4116048</v>
      </c>
      <c r="Q38" s="406">
        <f t="shared" si="3"/>
        <v>25340107</v>
      </c>
      <c r="R38" s="406">
        <f t="shared" si="3"/>
        <v>29503314</v>
      </c>
    </row>
    <row r="39" spans="1:18" ht="20.25" customHeight="1" x14ac:dyDescent="0.2">
      <c r="A39" s="582" t="s">
        <v>48</v>
      </c>
      <c r="B39" s="158"/>
      <c r="C39" s="154" t="s">
        <v>262</v>
      </c>
      <c r="D39" s="155">
        <v>2372880</v>
      </c>
      <c r="E39" s="155">
        <v>0</v>
      </c>
      <c r="F39" s="155">
        <f t="shared" si="0"/>
        <v>0</v>
      </c>
      <c r="G39" s="394">
        <v>2372880</v>
      </c>
      <c r="H39" s="395">
        <v>1779660</v>
      </c>
      <c r="I39" s="396">
        <v>0</v>
      </c>
      <c r="J39" s="155"/>
      <c r="K39" s="155">
        <f t="shared" si="1"/>
        <v>0</v>
      </c>
      <c r="L39" s="397"/>
      <c r="M39" s="398"/>
      <c r="N39" s="399">
        <f t="shared" si="16"/>
        <v>2372880</v>
      </c>
      <c r="O39" s="155">
        <v>0</v>
      </c>
      <c r="P39" s="155">
        <f t="shared" si="3"/>
        <v>0</v>
      </c>
      <c r="Q39" s="394">
        <f t="shared" si="3"/>
        <v>2372880</v>
      </c>
      <c r="R39" s="394">
        <f t="shared" si="3"/>
        <v>1779660</v>
      </c>
    </row>
    <row r="40" spans="1:18" ht="20.25" customHeight="1" x14ac:dyDescent="0.2">
      <c r="A40" s="582"/>
      <c r="B40" s="158"/>
      <c r="C40" s="154" t="s">
        <v>377</v>
      </c>
      <c r="D40" s="155"/>
      <c r="E40" s="155"/>
      <c r="F40" s="155">
        <f t="shared" si="0"/>
        <v>0</v>
      </c>
      <c r="G40" s="397"/>
      <c r="H40" s="398"/>
      <c r="I40" s="396">
        <v>0</v>
      </c>
      <c r="J40" s="155">
        <v>1797839</v>
      </c>
      <c r="K40" s="155">
        <f t="shared" si="1"/>
        <v>-22697</v>
      </c>
      <c r="L40" s="394">
        <v>1775142</v>
      </c>
      <c r="M40" s="395">
        <v>1775142</v>
      </c>
      <c r="N40" s="399">
        <f t="shared" si="16"/>
        <v>0</v>
      </c>
      <c r="O40" s="155">
        <v>1797839</v>
      </c>
      <c r="P40" s="155">
        <f t="shared" si="3"/>
        <v>-22697</v>
      </c>
      <c r="Q40" s="394">
        <f t="shared" si="3"/>
        <v>1775142</v>
      </c>
      <c r="R40" s="394">
        <f t="shared" si="3"/>
        <v>1775142</v>
      </c>
    </row>
    <row r="41" spans="1:18" ht="16.5" customHeight="1" x14ac:dyDescent="0.2">
      <c r="A41" s="582"/>
      <c r="B41" s="583" t="s">
        <v>240</v>
      </c>
      <c r="C41" s="583"/>
      <c r="D41" s="173">
        <f>SUM(D39+D40)</f>
        <v>2372880</v>
      </c>
      <c r="E41" s="173">
        <f t="shared" ref="E41:M41" si="19">SUM(E39+E40)</f>
        <v>0</v>
      </c>
      <c r="F41" s="173">
        <f t="shared" si="0"/>
        <v>0</v>
      </c>
      <c r="G41" s="308">
        <f t="shared" si="19"/>
        <v>2372880</v>
      </c>
      <c r="H41" s="419">
        <f t="shared" si="19"/>
        <v>1779660</v>
      </c>
      <c r="I41" s="420">
        <f>SUM(I39+I40)</f>
        <v>0</v>
      </c>
      <c r="J41" s="173">
        <v>1797839</v>
      </c>
      <c r="K41" s="173">
        <f t="shared" si="1"/>
        <v>-22697</v>
      </c>
      <c r="L41" s="308">
        <f t="shared" si="19"/>
        <v>1775142</v>
      </c>
      <c r="M41" s="419">
        <f t="shared" si="19"/>
        <v>1775142</v>
      </c>
      <c r="N41" s="409">
        <f>D41+I41</f>
        <v>2372880</v>
      </c>
      <c r="O41" s="172">
        <v>1797839</v>
      </c>
      <c r="P41" s="172">
        <f t="shared" si="3"/>
        <v>-22697</v>
      </c>
      <c r="Q41" s="406">
        <f t="shared" si="3"/>
        <v>4148022</v>
      </c>
      <c r="R41" s="406">
        <f t="shared" si="3"/>
        <v>3554802</v>
      </c>
    </row>
    <row r="42" spans="1:18" x14ac:dyDescent="0.2">
      <c r="A42" s="323"/>
      <c r="B42" s="158"/>
      <c r="C42" s="154" t="s">
        <v>375</v>
      </c>
      <c r="D42" s="155">
        <v>0</v>
      </c>
      <c r="E42" s="155">
        <v>16654</v>
      </c>
      <c r="F42" s="155">
        <f t="shared" si="0"/>
        <v>0</v>
      </c>
      <c r="G42" s="394">
        <v>16654</v>
      </c>
      <c r="H42" s="395">
        <v>16654</v>
      </c>
      <c r="I42" s="396">
        <v>0</v>
      </c>
      <c r="J42" s="155">
        <v>0</v>
      </c>
      <c r="K42" s="155">
        <f t="shared" si="1"/>
        <v>0</v>
      </c>
      <c r="L42" s="394">
        <v>0</v>
      </c>
      <c r="M42" s="395">
        <v>0</v>
      </c>
      <c r="N42" s="399">
        <f t="shared" si="16"/>
        <v>0</v>
      </c>
      <c r="O42" s="155">
        <v>16654</v>
      </c>
      <c r="P42" s="155">
        <f t="shared" si="3"/>
        <v>0</v>
      </c>
      <c r="Q42" s="394">
        <f t="shared" si="3"/>
        <v>16654</v>
      </c>
      <c r="R42" s="394">
        <f t="shared" si="3"/>
        <v>16654</v>
      </c>
    </row>
    <row r="43" spans="1:18" x14ac:dyDescent="0.2">
      <c r="A43" s="323"/>
      <c r="B43" s="583" t="s">
        <v>376</v>
      </c>
      <c r="C43" s="583"/>
      <c r="D43" s="173">
        <f>D42</f>
        <v>0</v>
      </c>
      <c r="E43" s="173">
        <f t="shared" ref="E43:G43" si="20">E42</f>
        <v>16654</v>
      </c>
      <c r="F43" s="173">
        <f t="shared" si="0"/>
        <v>0</v>
      </c>
      <c r="G43" s="308">
        <f t="shared" si="20"/>
        <v>16654</v>
      </c>
      <c r="H43" s="419">
        <f>H42</f>
        <v>16654</v>
      </c>
      <c r="I43" s="420">
        <f t="shared" ref="I43:M43" si="21">I42</f>
        <v>0</v>
      </c>
      <c r="J43" s="173">
        <v>0</v>
      </c>
      <c r="K43" s="173">
        <f t="shared" si="1"/>
        <v>0</v>
      </c>
      <c r="L43" s="308">
        <f t="shared" si="21"/>
        <v>0</v>
      </c>
      <c r="M43" s="419">
        <f t="shared" si="21"/>
        <v>0</v>
      </c>
      <c r="N43" s="409">
        <f>D43+I43</f>
        <v>0</v>
      </c>
      <c r="O43" s="172">
        <v>16654</v>
      </c>
      <c r="P43" s="172">
        <f t="shared" si="3"/>
        <v>0</v>
      </c>
      <c r="Q43" s="406">
        <f t="shared" si="3"/>
        <v>16654</v>
      </c>
      <c r="R43" s="406">
        <f t="shared" si="3"/>
        <v>16654</v>
      </c>
    </row>
    <row r="44" spans="1:18" s="302" customFormat="1" ht="25.5" x14ac:dyDescent="0.2">
      <c r="A44" s="305"/>
      <c r="B44" s="421"/>
      <c r="C44" s="307" t="s">
        <v>371</v>
      </c>
      <c r="D44" s="300">
        <v>0</v>
      </c>
      <c r="E44" s="300">
        <v>1049525</v>
      </c>
      <c r="F44" s="300">
        <f t="shared" si="0"/>
        <v>0</v>
      </c>
      <c r="G44" s="400">
        <v>1049525</v>
      </c>
      <c r="H44" s="401">
        <v>1049525</v>
      </c>
      <c r="I44" s="422"/>
      <c r="J44" s="306"/>
      <c r="K44" s="306">
        <f t="shared" si="1"/>
        <v>0</v>
      </c>
      <c r="L44" s="423"/>
      <c r="M44" s="424"/>
      <c r="N44" s="399">
        <f t="shared" si="16"/>
        <v>0</v>
      </c>
      <c r="O44" s="155">
        <v>1049525</v>
      </c>
      <c r="P44" s="155">
        <f t="shared" si="3"/>
        <v>0</v>
      </c>
      <c r="Q44" s="394">
        <f t="shared" si="3"/>
        <v>1049525</v>
      </c>
      <c r="R44" s="394">
        <f t="shared" si="3"/>
        <v>1049525</v>
      </c>
    </row>
    <row r="45" spans="1:18" ht="25.5" x14ac:dyDescent="0.2">
      <c r="A45" s="582" t="s">
        <v>49</v>
      </c>
      <c r="B45" s="158"/>
      <c r="C45" s="154" t="s">
        <v>263</v>
      </c>
      <c r="D45" s="155">
        <v>701680</v>
      </c>
      <c r="E45" s="155">
        <v>0</v>
      </c>
      <c r="F45" s="155">
        <f t="shared" si="0"/>
        <v>7280000</v>
      </c>
      <c r="G45" s="394">
        <v>7981680</v>
      </c>
      <c r="H45" s="395">
        <v>7672980</v>
      </c>
      <c r="I45" s="396">
        <v>0</v>
      </c>
      <c r="J45" s="155"/>
      <c r="K45" s="155">
        <f t="shared" si="1"/>
        <v>0</v>
      </c>
      <c r="L45" s="394"/>
      <c r="M45" s="395"/>
      <c r="N45" s="399">
        <f t="shared" si="16"/>
        <v>701680</v>
      </c>
      <c r="O45" s="155">
        <v>0</v>
      </c>
      <c r="P45" s="155">
        <f t="shared" si="3"/>
        <v>7280000</v>
      </c>
      <c r="Q45" s="394">
        <f t="shared" si="3"/>
        <v>7981680</v>
      </c>
      <c r="R45" s="394">
        <f t="shared" si="3"/>
        <v>7672980</v>
      </c>
    </row>
    <row r="46" spans="1:18" x14ac:dyDescent="0.2">
      <c r="A46" s="582"/>
      <c r="B46" s="158"/>
      <c r="C46" s="154" t="s">
        <v>338</v>
      </c>
      <c r="D46" s="155">
        <v>7280000</v>
      </c>
      <c r="E46" s="155">
        <v>0</v>
      </c>
      <c r="F46" s="155">
        <f t="shared" si="0"/>
        <v>-7280000</v>
      </c>
      <c r="G46" s="394">
        <v>0</v>
      </c>
      <c r="H46" s="395">
        <v>934892</v>
      </c>
      <c r="I46" s="396"/>
      <c r="J46" s="155"/>
      <c r="K46" s="155">
        <f t="shared" si="1"/>
        <v>0</v>
      </c>
      <c r="L46" s="394"/>
      <c r="M46" s="395"/>
      <c r="N46" s="399">
        <f t="shared" si="16"/>
        <v>7280000</v>
      </c>
      <c r="O46" s="155">
        <v>0</v>
      </c>
      <c r="P46" s="155">
        <f t="shared" si="3"/>
        <v>-7280000</v>
      </c>
      <c r="Q46" s="394">
        <f t="shared" si="3"/>
        <v>0</v>
      </c>
      <c r="R46" s="394">
        <f t="shared" si="3"/>
        <v>934892</v>
      </c>
    </row>
    <row r="47" spans="1:18" x14ac:dyDescent="0.2">
      <c r="A47" s="582"/>
      <c r="B47" s="583" t="s">
        <v>241</v>
      </c>
      <c r="C47" s="583"/>
      <c r="D47" s="173">
        <f>SUM(D44:D46)</f>
        <v>7981680</v>
      </c>
      <c r="E47" s="173">
        <f>SUM(E44:E46)</f>
        <v>1049525</v>
      </c>
      <c r="F47" s="173">
        <f t="shared" si="0"/>
        <v>0</v>
      </c>
      <c r="G47" s="308">
        <f>SUM(G44:G46)</f>
        <v>9031205</v>
      </c>
      <c r="H47" s="419">
        <f>SUM(H44:H46)</f>
        <v>9657397</v>
      </c>
      <c r="I47" s="420">
        <f>SUM(I45)</f>
        <v>0</v>
      </c>
      <c r="J47" s="173">
        <v>0</v>
      </c>
      <c r="K47" s="173">
        <f t="shared" si="1"/>
        <v>0</v>
      </c>
      <c r="L47" s="308">
        <f t="shared" ref="L47:M47" si="22">SUM(L45)</f>
        <v>0</v>
      </c>
      <c r="M47" s="419">
        <f t="shared" si="22"/>
        <v>0</v>
      </c>
      <c r="N47" s="409">
        <f>D47+I47</f>
        <v>7981680</v>
      </c>
      <c r="O47" s="172">
        <v>1049525</v>
      </c>
      <c r="P47" s="172">
        <f t="shared" si="3"/>
        <v>0</v>
      </c>
      <c r="Q47" s="406">
        <f t="shared" si="3"/>
        <v>9031205</v>
      </c>
      <c r="R47" s="406">
        <f t="shared" si="3"/>
        <v>9657397</v>
      </c>
    </row>
    <row r="48" spans="1:18" s="151" customFormat="1" ht="24.75" customHeight="1" x14ac:dyDescent="0.2">
      <c r="A48" s="588" t="s">
        <v>242</v>
      </c>
      <c r="B48" s="589"/>
      <c r="C48" s="590"/>
      <c r="D48" s="312">
        <f>D18+D28+D38+D41+D47+D43</f>
        <v>511772522</v>
      </c>
      <c r="E48" s="312">
        <f>E18+E28+E38+E41+E47+E21+E43</f>
        <v>67639947</v>
      </c>
      <c r="F48" s="312">
        <f t="shared" si="0"/>
        <v>44559472</v>
      </c>
      <c r="G48" s="425">
        <f>G18+G28+G38+G41+G47+G21+G43</f>
        <v>623971941</v>
      </c>
      <c r="H48" s="426">
        <f>H18+H28+H38+H41+H47+H21+H43</f>
        <v>545054536</v>
      </c>
      <c r="I48" s="427">
        <f>I18+I28+I38+I41+I47</f>
        <v>2001200</v>
      </c>
      <c r="J48" s="312">
        <f>J18+J28+J38+J41+J47+J43</f>
        <v>4028374</v>
      </c>
      <c r="K48" s="312">
        <f t="shared" si="1"/>
        <v>3057844</v>
      </c>
      <c r="L48" s="425">
        <f>L18+L28+L38+L41+L47</f>
        <v>9087418</v>
      </c>
      <c r="M48" s="426">
        <f>M18+M28+M38+M41+M47</f>
        <v>6174178</v>
      </c>
      <c r="N48" s="428">
        <f>N18+N28+N38+N41+N47+N43</f>
        <v>513773722</v>
      </c>
      <c r="O48" s="311">
        <v>71668321</v>
      </c>
      <c r="P48" s="311">
        <f t="shared" si="3"/>
        <v>47617316</v>
      </c>
      <c r="Q48" s="425">
        <f>Q18+Q28+Q38+Q41+Q47+Q21+Q43</f>
        <v>633059359</v>
      </c>
      <c r="R48" s="425">
        <f>R18+R28+R38+R41+R47+R43+R21</f>
        <v>551228714</v>
      </c>
    </row>
    <row r="49" spans="1:18" ht="24" customHeight="1" x14ac:dyDescent="0.2">
      <c r="A49" s="370"/>
      <c r="B49" s="158"/>
      <c r="C49" s="154" t="s">
        <v>305</v>
      </c>
      <c r="D49" s="155">
        <v>400000000</v>
      </c>
      <c r="E49" s="155">
        <v>0</v>
      </c>
      <c r="F49" s="155">
        <f t="shared" si="0"/>
        <v>0</v>
      </c>
      <c r="G49" s="394">
        <v>400000000</v>
      </c>
      <c r="H49" s="395">
        <v>0</v>
      </c>
      <c r="I49" s="396">
        <v>0</v>
      </c>
      <c r="J49" s="155"/>
      <c r="K49" s="155">
        <f t="shared" si="1"/>
        <v>0</v>
      </c>
      <c r="L49" s="397"/>
      <c r="M49" s="398"/>
      <c r="N49" s="399">
        <f t="shared" ref="N49:N55" si="23">SUM(D49+I49)</f>
        <v>400000000</v>
      </c>
      <c r="O49" s="309">
        <v>0</v>
      </c>
      <c r="P49" s="309">
        <f t="shared" si="3"/>
        <v>0</v>
      </c>
      <c r="Q49" s="394">
        <f>G49+L49</f>
        <v>400000000</v>
      </c>
      <c r="R49" s="394">
        <f>H49+M49</f>
        <v>0</v>
      </c>
    </row>
    <row r="50" spans="1:18" ht="18.75" customHeight="1" x14ac:dyDescent="0.2">
      <c r="A50" s="370"/>
      <c r="B50" s="583" t="s">
        <v>306</v>
      </c>
      <c r="C50" s="583"/>
      <c r="D50" s="173">
        <f>SUM(D49)</f>
        <v>400000000</v>
      </c>
      <c r="E50" s="173">
        <f t="shared" ref="E50:H50" si="24">SUM(E49)</f>
        <v>0</v>
      </c>
      <c r="F50" s="173">
        <f t="shared" si="0"/>
        <v>0</v>
      </c>
      <c r="G50" s="308">
        <f t="shared" si="24"/>
        <v>400000000</v>
      </c>
      <c r="H50" s="419">
        <f t="shared" si="24"/>
        <v>0</v>
      </c>
      <c r="I50" s="420">
        <f>SUM(I49)</f>
        <v>0</v>
      </c>
      <c r="J50" s="173"/>
      <c r="K50" s="173">
        <f t="shared" si="1"/>
        <v>0</v>
      </c>
      <c r="L50" s="429"/>
      <c r="M50" s="430"/>
      <c r="N50" s="431">
        <f>SUM(N49)</f>
        <v>400000000</v>
      </c>
      <c r="O50" s="310">
        <v>0</v>
      </c>
      <c r="P50" s="310">
        <f t="shared" si="3"/>
        <v>0</v>
      </c>
      <c r="Q50" s="308">
        <f t="shared" ref="Q50:R50" si="25">SUM(Q49)</f>
        <v>400000000</v>
      </c>
      <c r="R50" s="308">
        <f t="shared" si="25"/>
        <v>0</v>
      </c>
    </row>
    <row r="51" spans="1:18" ht="17.25" customHeight="1" x14ac:dyDescent="0.2">
      <c r="A51" s="582" t="s">
        <v>56</v>
      </c>
      <c r="B51" s="158"/>
      <c r="C51" s="154" t="s">
        <v>270</v>
      </c>
      <c r="D51" s="155">
        <v>131883904</v>
      </c>
      <c r="E51" s="155">
        <v>0</v>
      </c>
      <c r="F51" s="155">
        <f t="shared" si="0"/>
        <v>0</v>
      </c>
      <c r="G51" s="394">
        <v>131883904</v>
      </c>
      <c r="H51" s="395">
        <v>66883904</v>
      </c>
      <c r="I51" s="396">
        <v>0</v>
      </c>
      <c r="J51" s="155"/>
      <c r="K51" s="155">
        <f t="shared" si="1"/>
        <v>0</v>
      </c>
      <c r="L51" s="397"/>
      <c r="M51" s="398"/>
      <c r="N51" s="399">
        <f t="shared" si="23"/>
        <v>131883904</v>
      </c>
      <c r="O51" s="309">
        <v>0</v>
      </c>
      <c r="P51" s="309">
        <f t="shared" si="3"/>
        <v>0</v>
      </c>
      <c r="Q51" s="394">
        <f>G51+L51</f>
        <v>131883904</v>
      </c>
      <c r="R51" s="394">
        <f>H51+M51</f>
        <v>66883904</v>
      </c>
    </row>
    <row r="52" spans="1:18" ht="18.75" customHeight="1" x14ac:dyDescent="0.2">
      <c r="A52" s="582"/>
      <c r="B52" s="583" t="s">
        <v>269</v>
      </c>
      <c r="C52" s="583"/>
      <c r="D52" s="173">
        <f>SUM(D51)</f>
        <v>131883904</v>
      </c>
      <c r="E52" s="173">
        <f t="shared" ref="E52:H52" si="26">SUM(E51)</f>
        <v>0</v>
      </c>
      <c r="F52" s="173">
        <f t="shared" si="0"/>
        <v>0</v>
      </c>
      <c r="G52" s="308">
        <f t="shared" si="26"/>
        <v>131883904</v>
      </c>
      <c r="H52" s="419">
        <f t="shared" si="26"/>
        <v>66883904</v>
      </c>
      <c r="I52" s="420">
        <f>SUM(I51)</f>
        <v>0</v>
      </c>
      <c r="J52" s="173"/>
      <c r="K52" s="173">
        <f t="shared" si="1"/>
        <v>0</v>
      </c>
      <c r="L52" s="429"/>
      <c r="M52" s="430"/>
      <c r="N52" s="431">
        <f>SUM(N51)</f>
        <v>131883904</v>
      </c>
      <c r="O52" s="310">
        <v>0</v>
      </c>
      <c r="P52" s="310">
        <f t="shared" si="3"/>
        <v>0</v>
      </c>
      <c r="Q52" s="308">
        <f t="shared" ref="Q52:R52" si="27">SUM(Q51)</f>
        <v>131883904</v>
      </c>
      <c r="R52" s="308">
        <f t="shared" si="27"/>
        <v>66883904</v>
      </c>
    </row>
    <row r="53" spans="1:18" ht="15" customHeight="1" x14ac:dyDescent="0.2">
      <c r="A53" s="582" t="s">
        <v>58</v>
      </c>
      <c r="B53" s="158"/>
      <c r="C53" s="154" t="s">
        <v>299</v>
      </c>
      <c r="D53" s="155">
        <v>47915639</v>
      </c>
      <c r="E53" s="155">
        <v>0</v>
      </c>
      <c r="F53" s="155">
        <f t="shared" si="0"/>
        <v>0</v>
      </c>
      <c r="G53" s="394">
        <v>47915639</v>
      </c>
      <c r="H53" s="395">
        <v>47915639</v>
      </c>
      <c r="I53" s="396">
        <v>357716</v>
      </c>
      <c r="J53" s="155">
        <v>0</v>
      </c>
      <c r="K53" s="155">
        <f t="shared" si="1"/>
        <v>0</v>
      </c>
      <c r="L53" s="394">
        <v>357716</v>
      </c>
      <c r="M53" s="395">
        <v>357716</v>
      </c>
      <c r="N53" s="399">
        <f t="shared" si="23"/>
        <v>48273355</v>
      </c>
      <c r="O53" s="309">
        <v>0</v>
      </c>
      <c r="P53" s="309">
        <f t="shared" si="3"/>
        <v>0</v>
      </c>
      <c r="Q53" s="394">
        <f>G53+L53</f>
        <v>48273355</v>
      </c>
      <c r="R53" s="394">
        <f>H53+M53</f>
        <v>48273355</v>
      </c>
    </row>
    <row r="54" spans="1:18" ht="17.25" customHeight="1" x14ac:dyDescent="0.2">
      <c r="A54" s="582"/>
      <c r="B54" s="583" t="s">
        <v>271</v>
      </c>
      <c r="C54" s="583"/>
      <c r="D54" s="173">
        <f>SUM(D53)</f>
        <v>47915639</v>
      </c>
      <c r="E54" s="173">
        <f t="shared" ref="E54:H54" si="28">SUM(E53)</f>
        <v>0</v>
      </c>
      <c r="F54" s="173">
        <f t="shared" si="0"/>
        <v>0</v>
      </c>
      <c r="G54" s="308">
        <f t="shared" si="28"/>
        <v>47915639</v>
      </c>
      <c r="H54" s="419">
        <f t="shared" si="28"/>
        <v>47915639</v>
      </c>
      <c r="I54" s="420">
        <f>SUM(I53)</f>
        <v>357716</v>
      </c>
      <c r="J54" s="173">
        <v>0</v>
      </c>
      <c r="K54" s="173">
        <f t="shared" si="1"/>
        <v>0</v>
      </c>
      <c r="L54" s="308">
        <f t="shared" ref="L54:M54" si="29">SUM(L53)</f>
        <v>357716</v>
      </c>
      <c r="M54" s="419">
        <f t="shared" si="29"/>
        <v>357716</v>
      </c>
      <c r="N54" s="431">
        <f>SUM(N53)</f>
        <v>48273355</v>
      </c>
      <c r="O54" s="310">
        <v>0</v>
      </c>
      <c r="P54" s="310">
        <f t="shared" si="3"/>
        <v>0</v>
      </c>
      <c r="Q54" s="308">
        <f t="shared" ref="Q54:R54" si="30">SUM(Q53)</f>
        <v>48273355</v>
      </c>
      <c r="R54" s="308">
        <f t="shared" si="30"/>
        <v>48273355</v>
      </c>
    </row>
    <row r="55" spans="1:18" ht="15.75" customHeight="1" x14ac:dyDescent="0.2">
      <c r="A55" s="586" t="s">
        <v>59</v>
      </c>
      <c r="B55" s="158"/>
      <c r="C55" s="154" t="s">
        <v>302</v>
      </c>
      <c r="D55" s="155">
        <v>0</v>
      </c>
      <c r="E55" s="155"/>
      <c r="F55" s="155">
        <f t="shared" si="0"/>
        <v>0</v>
      </c>
      <c r="G55" s="397"/>
      <c r="H55" s="398"/>
      <c r="I55" s="396">
        <v>102023405</v>
      </c>
      <c r="J55" s="155">
        <v>997200</v>
      </c>
      <c r="K55" s="155">
        <f t="shared" si="1"/>
        <v>1595599</v>
      </c>
      <c r="L55" s="394">
        <v>104616204</v>
      </c>
      <c r="M55" s="395">
        <v>77179165</v>
      </c>
      <c r="N55" s="399">
        <f t="shared" si="23"/>
        <v>102023405</v>
      </c>
      <c r="O55" s="309">
        <v>997200</v>
      </c>
      <c r="P55" s="309">
        <f t="shared" si="3"/>
        <v>1595599</v>
      </c>
      <c r="Q55" s="394">
        <f>G55+L55</f>
        <v>104616204</v>
      </c>
      <c r="R55" s="394">
        <f>H55+M55</f>
        <v>77179165</v>
      </c>
    </row>
    <row r="56" spans="1:18" ht="18" customHeight="1" x14ac:dyDescent="0.2">
      <c r="A56" s="587"/>
      <c r="B56" s="583" t="s">
        <v>303</v>
      </c>
      <c r="C56" s="583"/>
      <c r="D56" s="173">
        <f>SUM(D55)</f>
        <v>0</v>
      </c>
      <c r="E56" s="173">
        <f t="shared" ref="E56:H56" si="31">SUM(E55)</f>
        <v>0</v>
      </c>
      <c r="F56" s="173">
        <f t="shared" si="0"/>
        <v>0</v>
      </c>
      <c r="G56" s="308">
        <f t="shared" si="31"/>
        <v>0</v>
      </c>
      <c r="H56" s="419">
        <f t="shared" si="31"/>
        <v>0</v>
      </c>
      <c r="I56" s="432">
        <f>SUM(I55+I54)</f>
        <v>102381121</v>
      </c>
      <c r="J56" s="308">
        <v>997200</v>
      </c>
      <c r="K56" s="308">
        <f t="shared" si="1"/>
        <v>1595599</v>
      </c>
      <c r="L56" s="308">
        <f t="shared" ref="L56:M56" si="32">SUM(L55+L54)</f>
        <v>104973920</v>
      </c>
      <c r="M56" s="419">
        <f t="shared" si="32"/>
        <v>77536881</v>
      </c>
      <c r="N56" s="431">
        <f>SUM(N55)</f>
        <v>102023405</v>
      </c>
      <c r="O56" s="310">
        <v>997200</v>
      </c>
      <c r="P56" s="310">
        <f t="shared" si="3"/>
        <v>1595599</v>
      </c>
      <c r="Q56" s="308">
        <f t="shared" ref="Q56:R56" si="33">SUM(Q55)</f>
        <v>104616204</v>
      </c>
      <c r="R56" s="308">
        <f t="shared" si="33"/>
        <v>77179165</v>
      </c>
    </row>
    <row r="57" spans="1:18" s="152" customFormat="1" ht="21.75" customHeight="1" x14ac:dyDescent="0.2">
      <c r="A57" s="584" t="s">
        <v>272</v>
      </c>
      <c r="B57" s="584"/>
      <c r="C57" s="584"/>
      <c r="D57" s="311">
        <f>D52+D54+D56+D50</f>
        <v>579799543</v>
      </c>
      <c r="E57" s="311">
        <f t="shared" ref="E57:H57" si="34">E52+E54+E56+E50</f>
        <v>0</v>
      </c>
      <c r="F57" s="311">
        <f t="shared" si="0"/>
        <v>0</v>
      </c>
      <c r="G57" s="425">
        <f t="shared" si="34"/>
        <v>579799543</v>
      </c>
      <c r="H57" s="426">
        <f t="shared" si="34"/>
        <v>114799543</v>
      </c>
      <c r="I57" s="428">
        <f>I56</f>
        <v>102381121</v>
      </c>
      <c r="J57" s="311">
        <f t="shared" ref="J57:M57" si="35">J56</f>
        <v>997200</v>
      </c>
      <c r="K57" s="311">
        <f t="shared" si="1"/>
        <v>1595599</v>
      </c>
      <c r="L57" s="425">
        <f t="shared" si="35"/>
        <v>104973920</v>
      </c>
      <c r="M57" s="426">
        <f t="shared" si="35"/>
        <v>77536881</v>
      </c>
      <c r="N57" s="428">
        <f t="shared" ref="N57:R57" si="36">N52+N54+N56+N50</f>
        <v>682180664</v>
      </c>
      <c r="O57" s="311">
        <f t="shared" si="36"/>
        <v>997200</v>
      </c>
      <c r="P57" s="311">
        <f t="shared" si="3"/>
        <v>1595599</v>
      </c>
      <c r="Q57" s="425">
        <f t="shared" si="36"/>
        <v>684773463</v>
      </c>
      <c r="R57" s="425">
        <f t="shared" si="36"/>
        <v>192336424</v>
      </c>
    </row>
    <row r="58" spans="1:18" s="160" customFormat="1" ht="22.5" customHeight="1" x14ac:dyDescent="0.25">
      <c r="A58" s="591" t="s">
        <v>273</v>
      </c>
      <c r="B58" s="591"/>
      <c r="C58" s="591"/>
      <c r="D58" s="313">
        <f>D48+D57</f>
        <v>1091572065</v>
      </c>
      <c r="E58" s="313">
        <f t="shared" ref="E58:R58" si="37">E48+E57</f>
        <v>67639947</v>
      </c>
      <c r="F58" s="313">
        <f t="shared" si="0"/>
        <v>44559472</v>
      </c>
      <c r="G58" s="433">
        <f t="shared" si="37"/>
        <v>1203771484</v>
      </c>
      <c r="H58" s="434">
        <f t="shared" si="37"/>
        <v>659854079</v>
      </c>
      <c r="I58" s="435">
        <f t="shared" si="37"/>
        <v>104382321</v>
      </c>
      <c r="J58" s="313">
        <f t="shared" si="37"/>
        <v>5025574</v>
      </c>
      <c r="K58" s="313">
        <f t="shared" si="1"/>
        <v>4653443</v>
      </c>
      <c r="L58" s="433">
        <f t="shared" si="37"/>
        <v>114061338</v>
      </c>
      <c r="M58" s="434">
        <f t="shared" si="37"/>
        <v>83711059</v>
      </c>
      <c r="N58" s="436">
        <f t="shared" si="37"/>
        <v>1195954386</v>
      </c>
      <c r="O58" s="314">
        <f t="shared" si="37"/>
        <v>72665521</v>
      </c>
      <c r="P58" s="314">
        <f t="shared" si="3"/>
        <v>49212915</v>
      </c>
      <c r="Q58" s="433">
        <f t="shared" si="37"/>
        <v>1317832822</v>
      </c>
      <c r="R58" s="433">
        <f t="shared" si="37"/>
        <v>743565138</v>
      </c>
    </row>
    <row r="59" spans="1:18" s="150" customFormat="1" ht="20.25" customHeight="1" x14ac:dyDescent="0.2">
      <c r="D59" s="437"/>
      <c r="E59" s="437"/>
      <c r="F59" s="437"/>
      <c r="G59" s="437"/>
      <c r="H59" s="438">
        <f>H58/G58</f>
        <v>0.54815559910704781</v>
      </c>
      <c r="I59" s="184"/>
      <c r="J59" s="184"/>
      <c r="K59" s="184"/>
      <c r="L59" s="184"/>
      <c r="M59" s="438">
        <f>M58/L58</f>
        <v>0.73391265145425522</v>
      </c>
      <c r="N59" s="184"/>
      <c r="O59" s="184"/>
      <c r="P59" s="184"/>
      <c r="Q59" s="184"/>
      <c r="R59" s="438"/>
    </row>
  </sheetData>
  <mergeCells count="34">
    <mergeCell ref="B21:C21"/>
    <mergeCell ref="B43:C43"/>
    <mergeCell ref="A29:A38"/>
    <mergeCell ref="B38:C38"/>
    <mergeCell ref="A58:C58"/>
    <mergeCell ref="A1:R1"/>
    <mergeCell ref="A2:R2"/>
    <mergeCell ref="D3:H3"/>
    <mergeCell ref="I3:M3"/>
    <mergeCell ref="N3:R3"/>
    <mergeCell ref="B11:C11"/>
    <mergeCell ref="B17:C17"/>
    <mergeCell ref="A5:A18"/>
    <mergeCell ref="A3:C4"/>
    <mergeCell ref="B18:C18"/>
    <mergeCell ref="B22:C22"/>
    <mergeCell ref="B26:C26"/>
    <mergeCell ref="B20:C20"/>
    <mergeCell ref="B27:C27"/>
    <mergeCell ref="A39:A41"/>
    <mergeCell ref="B41:C41"/>
    <mergeCell ref="A57:C57"/>
    <mergeCell ref="B28:C28"/>
    <mergeCell ref="A22:A28"/>
    <mergeCell ref="A51:A52"/>
    <mergeCell ref="B52:C52"/>
    <mergeCell ref="A53:A54"/>
    <mergeCell ref="B54:C54"/>
    <mergeCell ref="B50:C50"/>
    <mergeCell ref="A55:A56"/>
    <mergeCell ref="B56:C56"/>
    <mergeCell ref="A45:A47"/>
    <mergeCell ref="B47:C47"/>
    <mergeCell ref="A48:C48"/>
  </mergeCells>
  <phoneticPr fontId="0" type="noConversion"/>
  <printOptions horizontalCentered="1"/>
  <pageMargins left="3.937007874015748E-2" right="3.937007874015748E-2" top="0.35433070866141736" bottom="0.35433070866141736" header="0.31496062992125984" footer="0.31496062992125984"/>
  <pageSetup paperSize="9" scale="48" firstPageNumber="39" orientation="landscape" r:id="rId1"/>
  <headerFooter alignWithMargins="0">
    <oddHeader>&amp;R&amp;"Times New Roman,Normál"1. számú melléklet</oddHeader>
    <oddFooter>&amp;C&amp;"Times New Roman,Normál"&amp;P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A2" sqref="A2"/>
    </sheetView>
  </sheetViews>
  <sheetFormatPr defaultRowHeight="15" customHeight="1" x14ac:dyDescent="0.2"/>
  <cols>
    <col min="1" max="1" width="6.5703125" style="64" customWidth="1"/>
    <col min="2" max="2" width="39.28515625" style="2" customWidth="1"/>
    <col min="3" max="3" width="17.85546875" style="2" customWidth="1"/>
    <col min="4" max="4" width="16.28515625" style="2" customWidth="1"/>
    <col min="5" max="5" width="12.28515625" style="2" customWidth="1"/>
    <col min="6" max="6" width="16.5703125" style="66" customWidth="1"/>
    <col min="7" max="7" width="12" style="2" bestFit="1" customWidth="1"/>
    <col min="8" max="8" width="9.140625" style="2"/>
    <col min="9" max="9" width="14.140625" style="2" customWidth="1"/>
    <col min="10" max="10" width="9.5703125" style="2" bestFit="1" customWidth="1"/>
    <col min="11" max="16384" width="9.140625" style="2"/>
  </cols>
  <sheetData>
    <row r="1" spans="1:6" ht="15" customHeight="1" x14ac:dyDescent="0.2">
      <c r="A1" s="592" t="s">
        <v>464</v>
      </c>
      <c r="B1" s="592"/>
      <c r="C1" s="592"/>
      <c r="D1" s="592"/>
      <c r="E1" s="592"/>
      <c r="F1" s="11"/>
    </row>
    <row r="2" spans="1:6" ht="15" customHeight="1" x14ac:dyDescent="0.2">
      <c r="F2" s="65"/>
    </row>
    <row r="3" spans="1:6" ht="15" customHeight="1" thickBot="1" x14ac:dyDescent="0.25"/>
    <row r="4" spans="1:6" ht="42" customHeight="1" thickBot="1" x14ac:dyDescent="0.25">
      <c r="A4" s="709" t="s">
        <v>104</v>
      </c>
      <c r="B4" s="711" t="s">
        <v>105</v>
      </c>
      <c r="C4" s="713" t="s">
        <v>339</v>
      </c>
      <c r="D4" s="714"/>
      <c r="E4" s="67" t="s">
        <v>106</v>
      </c>
    </row>
    <row r="5" spans="1:6" ht="25.5" customHeight="1" thickBot="1" x14ac:dyDescent="0.25">
      <c r="A5" s="710"/>
      <c r="B5" s="712"/>
      <c r="C5" s="68" t="s">
        <v>107</v>
      </c>
      <c r="D5" s="148" t="s">
        <v>108</v>
      </c>
      <c r="E5" s="69"/>
    </row>
    <row r="6" spans="1:6" ht="15" customHeight="1" x14ac:dyDescent="0.2">
      <c r="A6" s="70" t="s">
        <v>45</v>
      </c>
      <c r="B6" s="71" t="s">
        <v>109</v>
      </c>
      <c r="C6" s="72">
        <v>1</v>
      </c>
      <c r="D6" s="73"/>
      <c r="E6" s="73"/>
    </row>
    <row r="7" spans="1:6" ht="15" customHeight="1" x14ac:dyDescent="0.2">
      <c r="A7" s="70" t="s">
        <v>46</v>
      </c>
      <c r="B7" s="74" t="s">
        <v>110</v>
      </c>
      <c r="C7" s="75">
        <v>1</v>
      </c>
      <c r="D7" s="76"/>
      <c r="E7" s="73"/>
    </row>
    <row r="8" spans="1:6" ht="15" customHeight="1" x14ac:dyDescent="0.2">
      <c r="A8" s="70" t="s">
        <v>47</v>
      </c>
      <c r="B8" s="77" t="s">
        <v>111</v>
      </c>
      <c r="C8" s="75">
        <v>2</v>
      </c>
      <c r="D8" s="76"/>
      <c r="E8" s="73"/>
    </row>
    <row r="9" spans="1:6" ht="15" customHeight="1" x14ac:dyDescent="0.2">
      <c r="A9" s="70" t="s">
        <v>48</v>
      </c>
      <c r="B9" s="74" t="s">
        <v>112</v>
      </c>
      <c r="C9" s="75">
        <v>1</v>
      </c>
      <c r="D9" s="76"/>
      <c r="E9" s="73"/>
    </row>
    <row r="10" spans="1:6" ht="15" customHeight="1" x14ac:dyDescent="0.2">
      <c r="A10" s="70" t="s">
        <v>49</v>
      </c>
      <c r="B10" s="74" t="s">
        <v>113</v>
      </c>
      <c r="C10" s="75">
        <v>2</v>
      </c>
      <c r="D10" s="76"/>
      <c r="E10" s="73"/>
    </row>
    <row r="11" spans="1:6" ht="15" customHeight="1" x14ac:dyDescent="0.2">
      <c r="A11" s="70" t="s">
        <v>56</v>
      </c>
      <c r="B11" s="77" t="s">
        <v>114</v>
      </c>
      <c r="C11" s="75">
        <v>1</v>
      </c>
      <c r="D11" s="76"/>
      <c r="E11" s="73"/>
    </row>
    <row r="12" spans="1:6" ht="15" customHeight="1" x14ac:dyDescent="0.2">
      <c r="A12" s="70" t="s">
        <v>58</v>
      </c>
      <c r="B12" s="77" t="s">
        <v>115</v>
      </c>
      <c r="C12" s="75">
        <v>7</v>
      </c>
      <c r="D12" s="76"/>
      <c r="E12" s="73"/>
    </row>
    <row r="13" spans="1:6" ht="15" customHeight="1" x14ac:dyDescent="0.2">
      <c r="A13" s="70" t="s">
        <v>59</v>
      </c>
      <c r="B13" s="11" t="s">
        <v>223</v>
      </c>
      <c r="C13" s="75">
        <v>0</v>
      </c>
      <c r="D13" s="76"/>
      <c r="E13" s="73"/>
    </row>
    <row r="14" spans="1:6" ht="15" customHeight="1" x14ac:dyDescent="0.2">
      <c r="A14" s="70" t="s">
        <v>60</v>
      </c>
      <c r="B14" s="77" t="s">
        <v>116</v>
      </c>
      <c r="C14" s="78"/>
      <c r="D14" s="79">
        <v>16</v>
      </c>
      <c r="E14" s="73"/>
    </row>
    <row r="15" spans="1:6" ht="15" customHeight="1" x14ac:dyDescent="0.2">
      <c r="A15" s="70" t="s">
        <v>61</v>
      </c>
      <c r="B15" s="74" t="s">
        <v>117</v>
      </c>
      <c r="C15" s="78"/>
      <c r="D15" s="79">
        <v>1</v>
      </c>
      <c r="E15" s="73"/>
    </row>
    <row r="16" spans="1:6" ht="15" customHeight="1" x14ac:dyDescent="0.2">
      <c r="A16" s="70" t="s">
        <v>29</v>
      </c>
      <c r="B16" s="74" t="s">
        <v>224</v>
      </c>
      <c r="C16" s="75">
        <v>1</v>
      </c>
      <c r="D16" s="79"/>
      <c r="E16" s="73"/>
    </row>
    <row r="17" spans="1:6" ht="15" customHeight="1" x14ac:dyDescent="0.2">
      <c r="A17" s="70" t="s">
        <v>29</v>
      </c>
      <c r="B17" s="74"/>
      <c r="C17" s="75"/>
      <c r="D17" s="76"/>
      <c r="E17" s="73"/>
    </row>
    <row r="18" spans="1:6" ht="15" customHeight="1" x14ac:dyDescent="0.2">
      <c r="A18" s="70" t="s">
        <v>30</v>
      </c>
      <c r="B18" s="77"/>
      <c r="C18" s="75"/>
      <c r="D18" s="76"/>
      <c r="E18" s="73"/>
    </row>
    <row r="19" spans="1:6" ht="15" customHeight="1" x14ac:dyDescent="0.2">
      <c r="A19" s="70" t="s">
        <v>36</v>
      </c>
      <c r="B19" s="80"/>
      <c r="C19" s="75"/>
      <c r="D19" s="76"/>
      <c r="E19" s="73"/>
    </row>
    <row r="20" spans="1:6" ht="15" customHeight="1" x14ac:dyDescent="0.2">
      <c r="A20" s="70"/>
      <c r="B20" s="80"/>
      <c r="C20" s="75"/>
      <c r="D20" s="76"/>
      <c r="E20" s="73"/>
    </row>
    <row r="21" spans="1:6" ht="15" customHeight="1" x14ac:dyDescent="0.2">
      <c r="A21" s="70" t="s">
        <v>31</v>
      </c>
      <c r="B21" s="77"/>
      <c r="C21" s="75"/>
      <c r="D21" s="76"/>
      <c r="E21" s="73"/>
    </row>
    <row r="22" spans="1:6" ht="15" customHeight="1" thickBot="1" x14ac:dyDescent="0.25">
      <c r="A22" s="70" t="s">
        <v>64</v>
      </c>
      <c r="B22" s="71"/>
      <c r="C22" s="81"/>
      <c r="D22" s="73"/>
      <c r="E22" s="82"/>
    </row>
    <row r="23" spans="1:6" s="11" customFormat="1" ht="18" customHeight="1" thickBot="1" x14ac:dyDescent="0.25">
      <c r="A23" s="707" t="s">
        <v>118</v>
      </c>
      <c r="B23" s="708"/>
      <c r="C23" s="83">
        <f>SUM(C6:C22)</f>
        <v>16</v>
      </c>
      <c r="D23" s="84">
        <f>SUM(D6:D22)</f>
        <v>17</v>
      </c>
      <c r="E23" s="85">
        <f>SUM(C23:D23)</f>
        <v>33</v>
      </c>
    </row>
    <row r="28" spans="1:6" ht="15" customHeight="1" x14ac:dyDescent="0.2">
      <c r="B28" s="11"/>
      <c r="C28" s="11"/>
      <c r="D28" s="11"/>
      <c r="E28" s="11"/>
      <c r="F28" s="86"/>
    </row>
    <row r="29" spans="1:6" ht="15" customHeight="1" x14ac:dyDescent="0.2">
      <c r="B29" s="11"/>
      <c r="C29" s="11"/>
      <c r="D29" s="11"/>
      <c r="E29" s="11"/>
      <c r="F29" s="86"/>
    </row>
    <row r="30" spans="1:6" ht="15" customHeight="1" x14ac:dyDescent="0.2">
      <c r="B30" s="11"/>
      <c r="C30" s="11"/>
      <c r="D30" s="11"/>
      <c r="E30" s="11"/>
      <c r="F30" s="86"/>
    </row>
    <row r="31" spans="1:6" ht="15" customHeight="1" x14ac:dyDescent="0.2">
      <c r="B31" s="11"/>
      <c r="C31" s="11"/>
      <c r="D31" s="11"/>
      <c r="E31" s="11"/>
      <c r="F31" s="86"/>
    </row>
    <row r="36" spans="2:6" ht="15" customHeight="1" x14ac:dyDescent="0.2">
      <c r="B36" s="11"/>
      <c r="C36" s="11"/>
      <c r="D36" s="11"/>
      <c r="E36" s="11"/>
      <c r="F36" s="86"/>
    </row>
    <row r="42" spans="2:6" ht="15" customHeight="1" x14ac:dyDescent="0.2">
      <c r="B42" s="11"/>
      <c r="C42" s="11"/>
      <c r="D42" s="11"/>
      <c r="E42" s="11"/>
      <c r="F42" s="86"/>
    </row>
    <row r="44" spans="2:6" ht="15" customHeight="1" x14ac:dyDescent="0.2">
      <c r="B44" s="11"/>
      <c r="C44" s="11"/>
      <c r="D44" s="11"/>
      <c r="E44" s="11"/>
      <c r="F44" s="86"/>
    </row>
  </sheetData>
  <mergeCells count="5">
    <mergeCell ref="A23:B23"/>
    <mergeCell ref="A1:E1"/>
    <mergeCell ref="A4:A5"/>
    <mergeCell ref="B4:B5"/>
    <mergeCell ref="C4:D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&amp;R8.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G17"/>
  <sheetViews>
    <sheetView workbookViewId="0">
      <selection activeCell="A2" sqref="A2"/>
    </sheetView>
  </sheetViews>
  <sheetFormatPr defaultRowHeight="12.75" x14ac:dyDescent="0.2"/>
  <cols>
    <col min="1" max="1" width="4.85546875" customWidth="1"/>
    <col min="3" max="3" width="36.140625" customWidth="1"/>
    <col min="4" max="4" width="23.42578125" bestFit="1" customWidth="1"/>
    <col min="5" max="5" width="14.140625" customWidth="1"/>
    <col min="6" max="6" width="16.5703125" customWidth="1"/>
    <col min="7" max="7" width="23.42578125" customWidth="1"/>
  </cols>
  <sheetData>
    <row r="1" spans="1:7" x14ac:dyDescent="0.2">
      <c r="A1" s="592" t="s">
        <v>464</v>
      </c>
      <c r="B1" s="592"/>
      <c r="C1" s="592"/>
      <c r="D1" s="592"/>
      <c r="E1" s="592"/>
      <c r="F1" s="592"/>
      <c r="G1" s="592"/>
    </row>
    <row r="2" spans="1:7" x14ac:dyDescent="0.2">
      <c r="A2" s="3"/>
      <c r="B2" s="3"/>
      <c r="C2" s="3"/>
      <c r="D2" s="139"/>
      <c r="E2" s="139"/>
      <c r="F2" s="139"/>
      <c r="G2" s="139"/>
    </row>
    <row r="3" spans="1:7" x14ac:dyDescent="0.2">
      <c r="A3" s="3"/>
      <c r="B3" s="3"/>
      <c r="C3" s="3"/>
      <c r="D3" s="139"/>
      <c r="E3" s="139"/>
      <c r="F3" s="139"/>
      <c r="G3" s="139"/>
    </row>
    <row r="4" spans="1:7" x14ac:dyDescent="0.2">
      <c r="A4" s="3"/>
      <c r="B4" s="3"/>
      <c r="C4" s="3"/>
      <c r="D4" s="139"/>
      <c r="E4" s="139"/>
      <c r="F4" s="139"/>
      <c r="G4" s="139"/>
    </row>
    <row r="5" spans="1:7" x14ac:dyDescent="0.2">
      <c r="A5" s="3"/>
      <c r="B5" s="3"/>
      <c r="C5" s="3"/>
      <c r="E5" s="15"/>
      <c r="F5" s="15"/>
      <c r="G5" s="15" t="s">
        <v>300</v>
      </c>
    </row>
    <row r="6" spans="1:7" ht="13.5" thickBot="1" x14ac:dyDescent="0.25">
      <c r="A6" s="1"/>
      <c r="B6" s="1"/>
      <c r="C6" s="2"/>
      <c r="D6" s="15"/>
      <c r="E6" s="15"/>
      <c r="F6" s="15"/>
      <c r="G6" s="15"/>
    </row>
    <row r="7" spans="1:7" ht="12.75" customHeight="1" x14ac:dyDescent="0.2">
      <c r="A7" s="715" t="s">
        <v>44</v>
      </c>
      <c r="B7" s="716"/>
      <c r="C7" s="717"/>
      <c r="D7" s="140" t="s">
        <v>320</v>
      </c>
      <c r="E7" s="159" t="s">
        <v>364</v>
      </c>
      <c r="F7" s="159" t="s">
        <v>365</v>
      </c>
      <c r="G7" s="159" t="s">
        <v>366</v>
      </c>
    </row>
    <row r="8" spans="1:7" x14ac:dyDescent="0.2">
      <c r="A8" s="718"/>
      <c r="B8" s="719"/>
      <c r="C8" s="698"/>
      <c r="D8" s="141" t="s">
        <v>107</v>
      </c>
      <c r="E8" s="141" t="s">
        <v>107</v>
      </c>
      <c r="F8" s="141" t="s">
        <v>107</v>
      </c>
      <c r="G8" s="141" t="s">
        <v>107</v>
      </c>
    </row>
    <row r="9" spans="1:7" x14ac:dyDescent="0.2">
      <c r="A9" s="4"/>
      <c r="B9" s="720"/>
      <c r="C9" s="720"/>
      <c r="D9" s="63"/>
      <c r="E9" s="5"/>
      <c r="F9" s="5"/>
      <c r="G9" s="5"/>
    </row>
    <row r="10" spans="1:7" x14ac:dyDescent="0.2">
      <c r="A10" s="4" t="s">
        <v>46</v>
      </c>
      <c r="B10" s="720" t="s">
        <v>219</v>
      </c>
      <c r="C10" s="720"/>
      <c r="D10" s="63">
        <v>157900000</v>
      </c>
      <c r="E10" s="5">
        <f>F10-D10</f>
        <v>0</v>
      </c>
      <c r="F10" s="5">
        <v>157900000</v>
      </c>
      <c r="G10" s="5">
        <f>5899578+147808785+375400</f>
        <v>154083763</v>
      </c>
    </row>
    <row r="11" spans="1:7" x14ac:dyDescent="0.2">
      <c r="A11" s="4" t="s">
        <v>47</v>
      </c>
      <c r="B11" s="720" t="s">
        <v>257</v>
      </c>
      <c r="C11" s="720"/>
      <c r="D11" s="63">
        <v>0</v>
      </c>
      <c r="E11" s="5">
        <f t="shared" ref="E11:E13" si="0">F11-D11</f>
        <v>0</v>
      </c>
      <c r="F11" s="5">
        <v>0</v>
      </c>
      <c r="G11" s="5"/>
    </row>
    <row r="12" spans="1:7" x14ac:dyDescent="0.2">
      <c r="A12" s="4" t="s">
        <v>48</v>
      </c>
      <c r="B12" s="720" t="s">
        <v>313</v>
      </c>
      <c r="C12" s="720"/>
      <c r="D12" s="63">
        <v>100000</v>
      </c>
      <c r="E12" s="5">
        <f t="shared" si="0"/>
        <v>0</v>
      </c>
      <c r="F12" s="5">
        <v>100000</v>
      </c>
      <c r="G12" s="5">
        <v>69916</v>
      </c>
    </row>
    <row r="13" spans="1:7" ht="13.5" thickBot="1" x14ac:dyDescent="0.25">
      <c r="A13" s="4" t="s">
        <v>49</v>
      </c>
      <c r="B13" s="722" t="s">
        <v>314</v>
      </c>
      <c r="C13" s="722"/>
      <c r="D13" s="297">
        <v>2372880</v>
      </c>
      <c r="E13" s="5">
        <f t="shared" si="0"/>
        <v>0</v>
      </c>
      <c r="F13" s="21">
        <v>2372880</v>
      </c>
      <c r="G13" s="21">
        <v>1779660</v>
      </c>
    </row>
    <row r="14" spans="1:7" ht="13.5" thickBot="1" x14ac:dyDescent="0.25">
      <c r="A14" s="723" t="s">
        <v>220</v>
      </c>
      <c r="B14" s="724"/>
      <c r="C14" s="724"/>
      <c r="D14" s="298">
        <f>SUM(D9:D13)</f>
        <v>160372880</v>
      </c>
      <c r="E14" s="298">
        <f t="shared" ref="E14:G14" si="1">SUM(E9:E13)</f>
        <v>0</v>
      </c>
      <c r="F14" s="298">
        <f t="shared" si="1"/>
        <v>160372880</v>
      </c>
      <c r="G14" s="298">
        <f t="shared" si="1"/>
        <v>155933339</v>
      </c>
    </row>
    <row r="15" spans="1:7" ht="13.5" thickBot="1" x14ac:dyDescent="0.25">
      <c r="A15" s="725" t="s">
        <v>221</v>
      </c>
      <c r="B15" s="726"/>
      <c r="C15" s="727"/>
      <c r="D15" s="299">
        <f>D14*0.5</f>
        <v>80186440</v>
      </c>
      <c r="E15" s="299">
        <f t="shared" ref="E15:G15" si="2">E14*0.5</f>
        <v>0</v>
      </c>
      <c r="F15" s="299">
        <f t="shared" si="2"/>
        <v>80186440</v>
      </c>
      <c r="G15" s="299">
        <f t="shared" si="2"/>
        <v>77966669.5</v>
      </c>
    </row>
    <row r="16" spans="1:7" x14ac:dyDescent="0.2">
      <c r="A16" s="728"/>
      <c r="B16" s="728"/>
      <c r="C16" s="728"/>
      <c r="D16" s="142"/>
      <c r="E16" s="271"/>
      <c r="F16" s="271"/>
      <c r="G16" s="271"/>
    </row>
    <row r="17" spans="1:7" x14ac:dyDescent="0.2">
      <c r="A17" s="1"/>
      <c r="B17" s="721"/>
      <c r="C17" s="721"/>
      <c r="D17" s="10"/>
      <c r="E17" s="10"/>
      <c r="F17" s="10"/>
      <c r="G17" s="10"/>
    </row>
  </sheetData>
  <mergeCells count="11">
    <mergeCell ref="A1:G1"/>
    <mergeCell ref="A7:C8"/>
    <mergeCell ref="B9:C9"/>
    <mergeCell ref="B10:C10"/>
    <mergeCell ref="B17:C17"/>
    <mergeCell ref="B11:C11"/>
    <mergeCell ref="B12:C12"/>
    <mergeCell ref="B13:C13"/>
    <mergeCell ref="A14:C14"/>
    <mergeCell ref="A15:C15"/>
    <mergeCell ref="A16:C16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&amp;R9.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workbookViewId="0">
      <selection activeCell="N32" sqref="N32"/>
    </sheetView>
  </sheetViews>
  <sheetFormatPr defaultRowHeight="12.75" x14ac:dyDescent="0.2"/>
  <cols>
    <col min="1" max="2" width="2.5703125" style="356" bestFit="1" customWidth="1"/>
    <col min="3" max="3" width="52.7109375" style="356" customWidth="1"/>
    <col min="4" max="4" width="6.28515625" style="356" bestFit="1" customWidth="1"/>
    <col min="5" max="5" width="12.7109375" style="356" bestFit="1" customWidth="1"/>
    <col min="6" max="6" width="10.140625" style="356" bestFit="1" customWidth="1"/>
    <col min="7" max="7" width="10.140625" style="356" customWidth="1"/>
    <col min="8" max="8" width="11.140625" style="356" bestFit="1" customWidth="1"/>
    <col min="9" max="10" width="10.7109375" style="356" customWidth="1"/>
    <col min="11" max="11" width="12.7109375" style="356" bestFit="1" customWidth="1"/>
    <col min="12" max="17" width="9.140625" style="356"/>
    <col min="18" max="18" width="9.42578125" style="356" bestFit="1" customWidth="1"/>
    <col min="19" max="19" width="6.42578125" style="356" customWidth="1"/>
    <col min="20" max="20" width="7.42578125" style="356" customWidth="1"/>
    <col min="21" max="21" width="9.42578125" style="356" bestFit="1" customWidth="1"/>
    <col min="22" max="22" width="13.140625" style="356" bestFit="1" customWidth="1"/>
    <col min="23" max="16384" width="9.140625" style="356"/>
  </cols>
  <sheetData>
    <row r="1" spans="1:22" x14ac:dyDescent="0.2">
      <c r="A1" s="592" t="s">
        <v>474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</row>
    <row r="2" spans="1:22" ht="15.75" x14ac:dyDescent="0.2">
      <c r="A2" s="593" t="s">
        <v>121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</row>
    <row r="3" spans="1:22" x14ac:dyDescent="0.2">
      <c r="A3" s="613" t="s">
        <v>44</v>
      </c>
      <c r="B3" s="614"/>
      <c r="C3" s="615"/>
      <c r="D3" s="622" t="s">
        <v>391</v>
      </c>
      <c r="E3" s="625" t="s">
        <v>455</v>
      </c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26"/>
      <c r="S3" s="626"/>
      <c r="T3" s="626"/>
      <c r="U3" s="626"/>
      <c r="V3" s="627"/>
    </row>
    <row r="4" spans="1:22" ht="12.75" customHeight="1" x14ac:dyDescent="0.2">
      <c r="A4" s="616"/>
      <c r="B4" s="617"/>
      <c r="C4" s="618"/>
      <c r="D4" s="623"/>
      <c r="E4" s="628" t="s">
        <v>392</v>
      </c>
      <c r="F4" s="630"/>
      <c r="G4" s="630"/>
      <c r="H4" s="630"/>
      <c r="I4" s="630"/>
      <c r="J4" s="630"/>
      <c r="K4" s="629"/>
      <c r="L4" s="628" t="s">
        <v>394</v>
      </c>
      <c r="M4" s="630"/>
      <c r="N4" s="630"/>
      <c r="O4" s="630"/>
      <c r="P4" s="630"/>
      <c r="Q4" s="630"/>
      <c r="R4" s="629"/>
      <c r="S4" s="628" t="s">
        <v>395</v>
      </c>
      <c r="T4" s="629"/>
      <c r="U4" s="622" t="s">
        <v>393</v>
      </c>
      <c r="V4" s="631" t="s">
        <v>118</v>
      </c>
    </row>
    <row r="5" spans="1:22" s="359" customFormat="1" ht="51" x14ac:dyDescent="0.2">
      <c r="A5" s="619"/>
      <c r="B5" s="620"/>
      <c r="C5" s="621"/>
      <c r="D5" s="624"/>
      <c r="E5" s="358" t="s">
        <v>456</v>
      </c>
      <c r="F5" s="358" t="s">
        <v>475</v>
      </c>
      <c r="G5" s="358" t="s">
        <v>476</v>
      </c>
      <c r="H5" s="358" t="s">
        <v>457</v>
      </c>
      <c r="I5" s="358" t="s">
        <v>475</v>
      </c>
      <c r="J5" s="358" t="s">
        <v>476</v>
      </c>
      <c r="K5" s="554" t="s">
        <v>393</v>
      </c>
      <c r="L5" s="358" t="s">
        <v>456</v>
      </c>
      <c r="M5" s="358" t="s">
        <v>475</v>
      </c>
      <c r="N5" s="358" t="s">
        <v>476</v>
      </c>
      <c r="O5" s="358" t="s">
        <v>457</v>
      </c>
      <c r="P5" s="358" t="s">
        <v>475</v>
      </c>
      <c r="Q5" s="358" t="s">
        <v>476</v>
      </c>
      <c r="R5" s="554" t="s">
        <v>393</v>
      </c>
      <c r="S5" s="357" t="s">
        <v>456</v>
      </c>
      <c r="T5" s="357" t="s">
        <v>457</v>
      </c>
      <c r="U5" s="624"/>
      <c r="V5" s="632"/>
    </row>
    <row r="6" spans="1:22" x14ac:dyDescent="0.2">
      <c r="A6" s="610" t="s">
        <v>45</v>
      </c>
      <c r="B6" s="360"/>
      <c r="C6" s="154" t="s">
        <v>246</v>
      </c>
      <c r="D6" s="154" t="s">
        <v>396</v>
      </c>
      <c r="E6" s="155">
        <v>76478545</v>
      </c>
      <c r="F6" s="155">
        <v>226691</v>
      </c>
      <c r="G6" s="155">
        <v>2342055</v>
      </c>
      <c r="H6" s="361">
        <v>0</v>
      </c>
      <c r="I6" s="361">
        <v>0</v>
      </c>
      <c r="J6" s="361"/>
      <c r="K6" s="155">
        <f>SUM(E6:J6)</f>
        <v>79047291</v>
      </c>
      <c r="L6" s="361">
        <v>0</v>
      </c>
      <c r="M6" s="361">
        <v>0</v>
      </c>
      <c r="N6" s="361"/>
      <c r="O6" s="361">
        <v>0</v>
      </c>
      <c r="P6" s="361">
        <v>0</v>
      </c>
      <c r="Q6" s="361"/>
      <c r="R6" s="361">
        <f>SUM(L6:Q6)</f>
        <v>0</v>
      </c>
      <c r="S6" s="361">
        <v>0</v>
      </c>
      <c r="T6" s="361">
        <v>0</v>
      </c>
      <c r="U6" s="361">
        <f>SUM(S6:T6)</f>
        <v>0</v>
      </c>
      <c r="V6" s="155">
        <f>K6+R6+U6</f>
        <v>79047291</v>
      </c>
    </row>
    <row r="7" spans="1:22" ht="25.5" x14ac:dyDescent="0.2">
      <c r="A7" s="610"/>
      <c r="B7" s="360"/>
      <c r="C7" s="154" t="s">
        <v>247</v>
      </c>
      <c r="D7" s="154" t="s">
        <v>397</v>
      </c>
      <c r="E7" s="155">
        <v>144931549</v>
      </c>
      <c r="F7" s="155">
        <v>0</v>
      </c>
      <c r="G7" s="155">
        <v>3293585</v>
      </c>
      <c r="H7" s="361">
        <v>0</v>
      </c>
      <c r="I7" s="361">
        <v>0</v>
      </c>
      <c r="J7" s="361"/>
      <c r="K7" s="155">
        <f t="shared" ref="K7:K59" si="0">SUM(E7:J7)</f>
        <v>148225134</v>
      </c>
      <c r="L7" s="361">
        <v>0</v>
      </c>
      <c r="M7" s="361">
        <v>0</v>
      </c>
      <c r="N7" s="361"/>
      <c r="O7" s="361">
        <v>0</v>
      </c>
      <c r="P7" s="361">
        <v>0</v>
      </c>
      <c r="Q7" s="361"/>
      <c r="R7" s="361">
        <f t="shared" ref="R7:R59" si="1">SUM(L7:Q7)</f>
        <v>0</v>
      </c>
      <c r="S7" s="361">
        <v>0</v>
      </c>
      <c r="T7" s="361">
        <v>0</v>
      </c>
      <c r="U7" s="361">
        <f t="shared" ref="U7:U11" si="2">SUM(S7:T7)</f>
        <v>0</v>
      </c>
      <c r="V7" s="155">
        <f t="shared" ref="V7:V17" si="3">K7+R7+U7</f>
        <v>148225134</v>
      </c>
    </row>
    <row r="8" spans="1:22" ht="25.5" x14ac:dyDescent="0.2">
      <c r="A8" s="610"/>
      <c r="B8" s="360"/>
      <c r="C8" s="154" t="s">
        <v>248</v>
      </c>
      <c r="D8" s="154" t="s">
        <v>398</v>
      </c>
      <c r="E8" s="155">
        <v>50942903</v>
      </c>
      <c r="F8" s="155">
        <v>872725</v>
      </c>
      <c r="G8" s="155">
        <v>2837326</v>
      </c>
      <c r="H8" s="361">
        <v>0</v>
      </c>
      <c r="I8" s="361">
        <v>0</v>
      </c>
      <c r="J8" s="361"/>
      <c r="K8" s="155">
        <f t="shared" si="0"/>
        <v>54652954</v>
      </c>
      <c r="L8" s="361">
        <v>0</v>
      </c>
      <c r="M8" s="361">
        <v>0</v>
      </c>
      <c r="N8" s="361"/>
      <c r="O8" s="361">
        <v>0</v>
      </c>
      <c r="P8" s="361">
        <v>0</v>
      </c>
      <c r="Q8" s="361"/>
      <c r="R8" s="361">
        <f t="shared" si="1"/>
        <v>0</v>
      </c>
      <c r="S8" s="361">
        <v>0</v>
      </c>
      <c r="T8" s="361">
        <v>0</v>
      </c>
      <c r="U8" s="361">
        <f t="shared" si="2"/>
        <v>0</v>
      </c>
      <c r="V8" s="155">
        <f t="shared" si="3"/>
        <v>54652954</v>
      </c>
    </row>
    <row r="9" spans="1:22" ht="25.5" x14ac:dyDescent="0.2">
      <c r="A9" s="610"/>
      <c r="B9" s="360"/>
      <c r="C9" s="154" t="s">
        <v>249</v>
      </c>
      <c r="D9" s="154" t="s">
        <v>399</v>
      </c>
      <c r="E9" s="155">
        <v>4028090</v>
      </c>
      <c r="F9" s="155">
        <v>0</v>
      </c>
      <c r="G9" s="155">
        <v>136000</v>
      </c>
      <c r="H9" s="361">
        <v>0</v>
      </c>
      <c r="I9" s="361">
        <v>0</v>
      </c>
      <c r="J9" s="361"/>
      <c r="K9" s="155">
        <f t="shared" si="0"/>
        <v>4164090</v>
      </c>
      <c r="L9" s="361">
        <v>0</v>
      </c>
      <c r="M9" s="361">
        <v>0</v>
      </c>
      <c r="N9" s="361"/>
      <c r="O9" s="361">
        <v>0</v>
      </c>
      <c r="P9" s="361">
        <v>0</v>
      </c>
      <c r="Q9" s="361"/>
      <c r="R9" s="361">
        <f t="shared" si="1"/>
        <v>0</v>
      </c>
      <c r="S9" s="361">
        <v>0</v>
      </c>
      <c r="T9" s="361">
        <v>0</v>
      </c>
      <c r="U9" s="361">
        <f t="shared" si="2"/>
        <v>0</v>
      </c>
      <c r="V9" s="155">
        <f t="shared" si="3"/>
        <v>4164090</v>
      </c>
    </row>
    <row r="10" spans="1:22" x14ac:dyDescent="0.2">
      <c r="A10" s="610"/>
      <c r="B10" s="360"/>
      <c r="C10" s="307" t="s">
        <v>368</v>
      </c>
      <c r="D10" s="154" t="s">
        <v>458</v>
      </c>
      <c r="E10" s="155">
        <v>0</v>
      </c>
      <c r="F10" s="155">
        <v>11072000</v>
      </c>
      <c r="G10" s="155">
        <v>1489710</v>
      </c>
      <c r="H10" s="361">
        <v>0</v>
      </c>
      <c r="I10" s="361">
        <v>0</v>
      </c>
      <c r="J10" s="361"/>
      <c r="K10" s="155">
        <f t="shared" si="0"/>
        <v>12561710</v>
      </c>
      <c r="L10" s="361"/>
      <c r="M10" s="361">
        <v>0</v>
      </c>
      <c r="N10" s="361"/>
      <c r="O10" s="361">
        <v>0</v>
      </c>
      <c r="P10" s="361">
        <v>0</v>
      </c>
      <c r="Q10" s="361"/>
      <c r="R10" s="361">
        <f t="shared" si="1"/>
        <v>0</v>
      </c>
      <c r="S10" s="361">
        <v>0</v>
      </c>
      <c r="T10" s="361">
        <v>0</v>
      </c>
      <c r="U10" s="361">
        <f t="shared" si="2"/>
        <v>0</v>
      </c>
      <c r="V10" s="155">
        <f t="shared" si="3"/>
        <v>12561710</v>
      </c>
    </row>
    <row r="11" spans="1:22" x14ac:dyDescent="0.2">
      <c r="A11" s="610"/>
      <c r="B11" s="360"/>
      <c r="C11" s="307" t="s">
        <v>369</v>
      </c>
      <c r="D11" s="154" t="s">
        <v>459</v>
      </c>
      <c r="E11" s="155">
        <v>0</v>
      </c>
      <c r="F11" s="155">
        <v>612850</v>
      </c>
      <c r="G11" s="155">
        <v>2049693</v>
      </c>
      <c r="H11" s="361">
        <v>0</v>
      </c>
      <c r="I11" s="361">
        <v>0</v>
      </c>
      <c r="J11" s="361"/>
      <c r="K11" s="155">
        <f t="shared" si="0"/>
        <v>2662543</v>
      </c>
      <c r="L11" s="361"/>
      <c r="M11" s="361">
        <v>0</v>
      </c>
      <c r="N11" s="361"/>
      <c r="O11" s="361">
        <v>0</v>
      </c>
      <c r="P11" s="361">
        <v>0</v>
      </c>
      <c r="Q11" s="361"/>
      <c r="R11" s="361">
        <f t="shared" si="1"/>
        <v>0</v>
      </c>
      <c r="S11" s="361">
        <v>0</v>
      </c>
      <c r="T11" s="361">
        <v>0</v>
      </c>
      <c r="U11" s="361">
        <f t="shared" si="2"/>
        <v>0</v>
      </c>
      <c r="V11" s="155">
        <f t="shared" si="3"/>
        <v>2662543</v>
      </c>
    </row>
    <row r="12" spans="1:22" x14ac:dyDescent="0.2">
      <c r="A12" s="610"/>
      <c r="B12" s="581" t="s">
        <v>250</v>
      </c>
      <c r="C12" s="581"/>
      <c r="D12" s="322" t="s">
        <v>400</v>
      </c>
      <c r="E12" s="171">
        <f>SUM(E6:E11)</f>
        <v>276381087</v>
      </c>
      <c r="F12" s="171">
        <f t="shared" ref="F12:V12" si="4">SUM(F6:F11)</f>
        <v>12784266</v>
      </c>
      <c r="G12" s="171">
        <f t="shared" si="4"/>
        <v>12148369</v>
      </c>
      <c r="H12" s="171">
        <f t="shared" si="4"/>
        <v>0</v>
      </c>
      <c r="I12" s="171">
        <f t="shared" si="4"/>
        <v>0</v>
      </c>
      <c r="J12" s="171">
        <f t="shared" si="4"/>
        <v>0</v>
      </c>
      <c r="K12" s="171">
        <f t="shared" si="0"/>
        <v>301313722</v>
      </c>
      <c r="L12" s="171">
        <f t="shared" si="4"/>
        <v>0</v>
      </c>
      <c r="M12" s="171">
        <f t="shared" si="4"/>
        <v>0</v>
      </c>
      <c r="N12" s="171">
        <f t="shared" si="4"/>
        <v>0</v>
      </c>
      <c r="O12" s="171">
        <f t="shared" si="4"/>
        <v>0</v>
      </c>
      <c r="P12" s="171">
        <f t="shared" si="4"/>
        <v>0</v>
      </c>
      <c r="Q12" s="171">
        <f t="shared" si="4"/>
        <v>0</v>
      </c>
      <c r="R12" s="171">
        <f t="shared" si="1"/>
        <v>0</v>
      </c>
      <c r="S12" s="171">
        <f t="shared" si="4"/>
        <v>0</v>
      </c>
      <c r="T12" s="171">
        <f t="shared" si="4"/>
        <v>0</v>
      </c>
      <c r="U12" s="171">
        <f t="shared" si="4"/>
        <v>0</v>
      </c>
      <c r="V12" s="171">
        <f t="shared" si="4"/>
        <v>301313722</v>
      </c>
    </row>
    <row r="13" spans="1:22" ht="25.5" x14ac:dyDescent="0.2">
      <c r="A13" s="610"/>
      <c r="B13" s="153"/>
      <c r="C13" s="362" t="s">
        <v>337</v>
      </c>
      <c r="D13" s="362" t="s">
        <v>401</v>
      </c>
      <c r="E13" s="555">
        <v>2300000</v>
      </c>
      <c r="F13" s="555">
        <v>0</v>
      </c>
      <c r="G13" s="555">
        <v>0</v>
      </c>
      <c r="H13" s="363">
        <v>0</v>
      </c>
      <c r="I13" s="391">
        <v>2230448</v>
      </c>
      <c r="J13" s="391">
        <v>2420188</v>
      </c>
      <c r="K13" s="555">
        <f t="shared" si="0"/>
        <v>6950636</v>
      </c>
      <c r="L13" s="363">
        <v>0</v>
      </c>
      <c r="M13" s="363">
        <v>0</v>
      </c>
      <c r="N13" s="363"/>
      <c r="O13" s="363">
        <v>0</v>
      </c>
      <c r="P13" s="363">
        <v>0</v>
      </c>
      <c r="Q13" s="363"/>
      <c r="R13" s="361">
        <f t="shared" si="1"/>
        <v>0</v>
      </c>
      <c r="S13" s="363">
        <v>0</v>
      </c>
      <c r="T13" s="363">
        <v>0</v>
      </c>
      <c r="U13" s="363">
        <f>SUM(S13:T13)</f>
        <v>0</v>
      </c>
      <c r="V13" s="155">
        <f t="shared" si="3"/>
        <v>6950636</v>
      </c>
    </row>
    <row r="14" spans="1:22" x14ac:dyDescent="0.2">
      <c r="A14" s="610"/>
      <c r="B14" s="153"/>
      <c r="C14" s="186" t="s">
        <v>370</v>
      </c>
      <c r="D14" s="362" t="s">
        <v>401</v>
      </c>
      <c r="E14" s="155">
        <v>0</v>
      </c>
      <c r="F14" s="155">
        <v>56430</v>
      </c>
      <c r="G14" s="155">
        <v>0</v>
      </c>
      <c r="H14" s="363"/>
      <c r="I14" s="363">
        <v>0</v>
      </c>
      <c r="J14" s="363"/>
      <c r="K14" s="155">
        <f t="shared" si="0"/>
        <v>56430</v>
      </c>
      <c r="L14" s="363"/>
      <c r="M14" s="363"/>
      <c r="N14" s="363"/>
      <c r="O14" s="363"/>
      <c r="P14" s="363">
        <v>0</v>
      </c>
      <c r="Q14" s="363"/>
      <c r="R14" s="361">
        <f t="shared" si="1"/>
        <v>0</v>
      </c>
      <c r="S14" s="363"/>
      <c r="T14" s="363"/>
      <c r="U14" s="363">
        <f>SUM(S14:T14)</f>
        <v>0</v>
      </c>
      <c r="V14" s="155">
        <f t="shared" si="3"/>
        <v>56430</v>
      </c>
    </row>
    <row r="15" spans="1:22" x14ac:dyDescent="0.2">
      <c r="A15" s="610"/>
      <c r="B15" s="153"/>
      <c r="C15" s="186" t="s">
        <v>264</v>
      </c>
      <c r="D15" s="362" t="s">
        <v>401</v>
      </c>
      <c r="E15" s="155">
        <v>14526000</v>
      </c>
      <c r="F15" s="155">
        <v>0</v>
      </c>
      <c r="G15" s="155">
        <v>0</v>
      </c>
      <c r="H15" s="363">
        <v>0</v>
      </c>
      <c r="I15" s="363">
        <v>0</v>
      </c>
      <c r="J15" s="363"/>
      <c r="K15" s="155">
        <f t="shared" si="0"/>
        <v>14526000</v>
      </c>
      <c r="L15" s="363">
        <v>0</v>
      </c>
      <c r="M15" s="363">
        <v>0</v>
      </c>
      <c r="N15" s="363"/>
      <c r="O15" s="363">
        <v>0</v>
      </c>
      <c r="P15" s="363">
        <v>0</v>
      </c>
      <c r="Q15" s="363"/>
      <c r="R15" s="361">
        <f t="shared" si="1"/>
        <v>0</v>
      </c>
      <c r="S15" s="363">
        <v>0</v>
      </c>
      <c r="T15" s="363">
        <v>0</v>
      </c>
      <c r="U15" s="363">
        <f t="shared" ref="U15:U17" si="5">SUM(S15:T15)</f>
        <v>0</v>
      </c>
      <c r="V15" s="155">
        <f t="shared" si="3"/>
        <v>14526000</v>
      </c>
    </row>
    <row r="16" spans="1:22" x14ac:dyDescent="0.2">
      <c r="A16" s="610"/>
      <c r="B16" s="153"/>
      <c r="C16" s="186" t="s">
        <v>265</v>
      </c>
      <c r="D16" s="362" t="s">
        <v>401</v>
      </c>
      <c r="E16" s="155">
        <v>4866514</v>
      </c>
      <c r="F16" s="155">
        <v>0</v>
      </c>
      <c r="G16" s="155">
        <v>0</v>
      </c>
      <c r="H16" s="363">
        <v>0</v>
      </c>
      <c r="I16" s="363">
        <v>0</v>
      </c>
      <c r="J16" s="363"/>
      <c r="K16" s="155">
        <f t="shared" si="0"/>
        <v>4866514</v>
      </c>
      <c r="L16" s="363">
        <v>0</v>
      </c>
      <c r="M16" s="363">
        <v>0</v>
      </c>
      <c r="N16" s="363"/>
      <c r="O16" s="363">
        <v>0</v>
      </c>
      <c r="P16" s="363">
        <v>0</v>
      </c>
      <c r="Q16" s="363"/>
      <c r="R16" s="361">
        <f t="shared" si="1"/>
        <v>0</v>
      </c>
      <c r="S16" s="363">
        <v>0</v>
      </c>
      <c r="T16" s="363">
        <v>0</v>
      </c>
      <c r="U16" s="363">
        <f t="shared" si="5"/>
        <v>0</v>
      </c>
      <c r="V16" s="155">
        <f t="shared" si="3"/>
        <v>4866514</v>
      </c>
    </row>
    <row r="17" spans="1:22" x14ac:dyDescent="0.2">
      <c r="A17" s="610"/>
      <c r="B17" s="153"/>
      <c r="C17" s="186" t="s">
        <v>266</v>
      </c>
      <c r="D17" s="362" t="s">
        <v>401</v>
      </c>
      <c r="E17" s="155">
        <v>16958507</v>
      </c>
      <c r="F17" s="155">
        <v>0</v>
      </c>
      <c r="G17" s="155">
        <v>0</v>
      </c>
      <c r="H17" s="363">
        <v>0</v>
      </c>
      <c r="I17" s="363">
        <v>0</v>
      </c>
      <c r="J17" s="363"/>
      <c r="K17" s="155">
        <f t="shared" si="0"/>
        <v>16958507</v>
      </c>
      <c r="L17" s="363">
        <v>0</v>
      </c>
      <c r="M17" s="363">
        <v>0</v>
      </c>
      <c r="N17" s="363"/>
      <c r="O17" s="363">
        <v>0</v>
      </c>
      <c r="P17" s="363">
        <v>0</v>
      </c>
      <c r="Q17" s="363"/>
      <c r="R17" s="361">
        <f t="shared" si="1"/>
        <v>0</v>
      </c>
      <c r="S17" s="363">
        <v>0</v>
      </c>
      <c r="T17" s="363">
        <v>0</v>
      </c>
      <c r="U17" s="363">
        <f t="shared" si="5"/>
        <v>0</v>
      </c>
      <c r="V17" s="155">
        <f t="shared" si="3"/>
        <v>16958507</v>
      </c>
    </row>
    <row r="18" spans="1:22" s="150" customFormat="1" x14ac:dyDescent="0.2">
      <c r="A18" s="610"/>
      <c r="B18" s="581" t="s">
        <v>267</v>
      </c>
      <c r="C18" s="581"/>
      <c r="D18" s="322" t="s">
        <v>401</v>
      </c>
      <c r="E18" s="171">
        <f t="shared" ref="E18:V18" si="6">SUM(E13:E17)</f>
        <v>38651021</v>
      </c>
      <c r="F18" s="171">
        <f t="shared" si="6"/>
        <v>56430</v>
      </c>
      <c r="G18" s="171">
        <f t="shared" si="6"/>
        <v>0</v>
      </c>
      <c r="H18" s="171">
        <f t="shared" si="6"/>
        <v>0</v>
      </c>
      <c r="I18" s="171">
        <f t="shared" si="6"/>
        <v>2230448</v>
      </c>
      <c r="J18" s="171">
        <f t="shared" si="6"/>
        <v>2420188</v>
      </c>
      <c r="K18" s="171">
        <f t="shared" si="0"/>
        <v>43358087</v>
      </c>
      <c r="L18" s="171">
        <f t="shared" si="6"/>
        <v>0</v>
      </c>
      <c r="M18" s="171">
        <f t="shared" si="6"/>
        <v>0</v>
      </c>
      <c r="N18" s="171"/>
      <c r="O18" s="171">
        <f t="shared" si="6"/>
        <v>0</v>
      </c>
      <c r="P18" s="171">
        <f t="shared" si="6"/>
        <v>0</v>
      </c>
      <c r="Q18" s="171"/>
      <c r="R18" s="171">
        <f t="shared" si="1"/>
        <v>0</v>
      </c>
      <c r="S18" s="171">
        <f t="shared" si="6"/>
        <v>0</v>
      </c>
      <c r="T18" s="171">
        <f t="shared" si="6"/>
        <v>0</v>
      </c>
      <c r="U18" s="171">
        <f t="shared" si="6"/>
        <v>0</v>
      </c>
      <c r="V18" s="171">
        <f t="shared" si="6"/>
        <v>43358087</v>
      </c>
    </row>
    <row r="19" spans="1:22" s="364" customFormat="1" x14ac:dyDescent="0.2">
      <c r="A19" s="610"/>
      <c r="B19" s="585" t="s">
        <v>268</v>
      </c>
      <c r="C19" s="585"/>
      <c r="D19" s="320" t="s">
        <v>402</v>
      </c>
      <c r="E19" s="172">
        <f t="shared" ref="E19:V19" si="7">E12+E18</f>
        <v>315032108</v>
      </c>
      <c r="F19" s="172">
        <f t="shared" si="7"/>
        <v>12840696</v>
      </c>
      <c r="G19" s="172">
        <f t="shared" si="7"/>
        <v>12148369</v>
      </c>
      <c r="H19" s="172">
        <f t="shared" si="7"/>
        <v>0</v>
      </c>
      <c r="I19" s="172">
        <f t="shared" si="7"/>
        <v>2230448</v>
      </c>
      <c r="J19" s="172">
        <f t="shared" si="7"/>
        <v>2420188</v>
      </c>
      <c r="K19" s="172">
        <f t="shared" si="0"/>
        <v>344671809</v>
      </c>
      <c r="L19" s="172">
        <f t="shared" si="7"/>
        <v>0</v>
      </c>
      <c r="M19" s="172">
        <f t="shared" si="7"/>
        <v>0</v>
      </c>
      <c r="N19" s="172"/>
      <c r="O19" s="172">
        <f t="shared" si="7"/>
        <v>0</v>
      </c>
      <c r="P19" s="172">
        <f t="shared" si="7"/>
        <v>0</v>
      </c>
      <c r="Q19" s="172"/>
      <c r="R19" s="172">
        <f t="shared" si="1"/>
        <v>0</v>
      </c>
      <c r="S19" s="172">
        <f t="shared" si="7"/>
        <v>0</v>
      </c>
      <c r="T19" s="172">
        <f t="shared" si="7"/>
        <v>0</v>
      </c>
      <c r="U19" s="172">
        <f t="shared" si="7"/>
        <v>0</v>
      </c>
      <c r="V19" s="172">
        <f t="shared" si="7"/>
        <v>344671809</v>
      </c>
    </row>
    <row r="20" spans="1:22" s="388" customFormat="1" x14ac:dyDescent="0.2">
      <c r="A20" s="385"/>
      <c r="B20" s="153"/>
      <c r="C20" s="186" t="s">
        <v>372</v>
      </c>
      <c r="D20" s="389" t="s">
        <v>463</v>
      </c>
      <c r="E20" s="390">
        <v>0</v>
      </c>
      <c r="F20" s="390">
        <v>49996154</v>
      </c>
      <c r="G20" s="390">
        <v>28955408</v>
      </c>
      <c r="H20" s="390">
        <v>0</v>
      </c>
      <c r="I20" s="390">
        <v>0</v>
      </c>
      <c r="J20" s="390"/>
      <c r="K20" s="155">
        <f t="shared" si="0"/>
        <v>78951562</v>
      </c>
      <c r="L20" s="390">
        <v>0</v>
      </c>
      <c r="M20" s="390">
        <v>0</v>
      </c>
      <c r="N20" s="390"/>
      <c r="O20" s="390">
        <v>0</v>
      </c>
      <c r="P20" s="390"/>
      <c r="Q20" s="390"/>
      <c r="R20" s="361">
        <f t="shared" si="1"/>
        <v>0</v>
      </c>
      <c r="S20" s="390">
        <v>0</v>
      </c>
      <c r="T20" s="390">
        <v>0</v>
      </c>
      <c r="U20" s="363">
        <f>SUM(S20:T20)</f>
        <v>0</v>
      </c>
      <c r="V20" s="155">
        <f t="shared" ref="V20" si="8">K20+R20+U20</f>
        <v>78951562</v>
      </c>
    </row>
    <row r="21" spans="1:22" s="388" customFormat="1" ht="12.75" customHeight="1" x14ac:dyDescent="0.2">
      <c r="A21" s="385"/>
      <c r="B21" s="581" t="s">
        <v>373</v>
      </c>
      <c r="C21" s="608"/>
      <c r="D21" s="387" t="s">
        <v>462</v>
      </c>
      <c r="E21" s="301">
        <f>SUM(E20)</f>
        <v>0</v>
      </c>
      <c r="F21" s="301">
        <f t="shared" ref="F21:V22" si="9">SUM(F20)</f>
        <v>49996154</v>
      </c>
      <c r="G21" s="301">
        <f t="shared" si="9"/>
        <v>28955408</v>
      </c>
      <c r="H21" s="301">
        <f t="shared" si="9"/>
        <v>0</v>
      </c>
      <c r="I21" s="301">
        <f t="shared" si="9"/>
        <v>0</v>
      </c>
      <c r="J21" s="301"/>
      <c r="K21" s="301">
        <f t="shared" si="0"/>
        <v>78951562</v>
      </c>
      <c r="L21" s="301">
        <f t="shared" si="9"/>
        <v>0</v>
      </c>
      <c r="M21" s="301">
        <f t="shared" si="9"/>
        <v>0</v>
      </c>
      <c r="N21" s="301"/>
      <c r="O21" s="301">
        <f t="shared" si="9"/>
        <v>0</v>
      </c>
      <c r="P21" s="301">
        <f t="shared" si="9"/>
        <v>0</v>
      </c>
      <c r="Q21" s="301"/>
      <c r="R21" s="301">
        <f t="shared" si="1"/>
        <v>0</v>
      </c>
      <c r="S21" s="301">
        <f t="shared" si="9"/>
        <v>0</v>
      </c>
      <c r="T21" s="301">
        <f t="shared" si="9"/>
        <v>0</v>
      </c>
      <c r="U21" s="301">
        <f t="shared" si="9"/>
        <v>0</v>
      </c>
      <c r="V21" s="301">
        <f t="shared" si="9"/>
        <v>78951562</v>
      </c>
    </row>
    <row r="22" spans="1:22" s="364" customFormat="1" ht="12.75" customHeight="1" x14ac:dyDescent="0.2">
      <c r="A22" s="373"/>
      <c r="B22" s="585" t="s">
        <v>374</v>
      </c>
      <c r="C22" s="609"/>
      <c r="D22" s="320" t="s">
        <v>462</v>
      </c>
      <c r="E22" s="172">
        <f>SUM(E21)</f>
        <v>0</v>
      </c>
      <c r="F22" s="172">
        <f t="shared" si="9"/>
        <v>49996154</v>
      </c>
      <c r="G22" s="172">
        <f t="shared" si="9"/>
        <v>28955408</v>
      </c>
      <c r="H22" s="172">
        <f t="shared" si="9"/>
        <v>0</v>
      </c>
      <c r="I22" s="172">
        <f t="shared" si="9"/>
        <v>0</v>
      </c>
      <c r="J22" s="172">
        <f t="shared" si="9"/>
        <v>0</v>
      </c>
      <c r="K22" s="172">
        <f t="shared" si="0"/>
        <v>78951562</v>
      </c>
      <c r="L22" s="172">
        <f t="shared" si="9"/>
        <v>0</v>
      </c>
      <c r="M22" s="172">
        <f t="shared" si="9"/>
        <v>0</v>
      </c>
      <c r="N22" s="172"/>
      <c r="O22" s="172">
        <f t="shared" si="9"/>
        <v>0</v>
      </c>
      <c r="P22" s="172">
        <f t="shared" si="9"/>
        <v>0</v>
      </c>
      <c r="Q22" s="172"/>
      <c r="R22" s="172">
        <f t="shared" si="1"/>
        <v>0</v>
      </c>
      <c r="S22" s="172">
        <f t="shared" si="9"/>
        <v>0</v>
      </c>
      <c r="T22" s="172">
        <f t="shared" si="9"/>
        <v>0</v>
      </c>
      <c r="U22" s="172">
        <f t="shared" si="9"/>
        <v>0</v>
      </c>
      <c r="V22" s="172">
        <f t="shared" si="9"/>
        <v>78951562</v>
      </c>
    </row>
    <row r="23" spans="1:22" s="150" customFormat="1" x14ac:dyDescent="0.2">
      <c r="A23" s="610" t="s">
        <v>46</v>
      </c>
      <c r="B23" s="581" t="s">
        <v>251</v>
      </c>
      <c r="C23" s="581"/>
      <c r="D23" s="322" t="s">
        <v>403</v>
      </c>
      <c r="E23" s="171">
        <v>6400000</v>
      </c>
      <c r="F23" s="171">
        <v>0</v>
      </c>
      <c r="G23" s="171"/>
      <c r="H23" s="365">
        <v>0</v>
      </c>
      <c r="I23" s="365">
        <v>0</v>
      </c>
      <c r="J23" s="365"/>
      <c r="K23" s="171">
        <f t="shared" si="0"/>
        <v>6400000</v>
      </c>
      <c r="L23" s="365">
        <v>0</v>
      </c>
      <c r="M23" s="365"/>
      <c r="N23" s="365"/>
      <c r="O23" s="365">
        <v>0</v>
      </c>
      <c r="P23" s="365"/>
      <c r="Q23" s="365"/>
      <c r="R23" s="365">
        <f t="shared" si="1"/>
        <v>0</v>
      </c>
      <c r="S23" s="365">
        <v>0</v>
      </c>
      <c r="T23" s="365">
        <v>0</v>
      </c>
      <c r="U23" s="365">
        <f>SUM(S23:T23)</f>
        <v>0</v>
      </c>
      <c r="V23" s="171">
        <f>K23+R23+U23</f>
        <v>6400000</v>
      </c>
    </row>
    <row r="24" spans="1:22" x14ac:dyDescent="0.2">
      <c r="A24" s="610"/>
      <c r="B24" s="360" t="s">
        <v>45</v>
      </c>
      <c r="C24" s="154" t="s">
        <v>243</v>
      </c>
      <c r="D24" s="154" t="s">
        <v>404</v>
      </c>
      <c r="E24" s="155">
        <v>150900000</v>
      </c>
      <c r="F24" s="155">
        <v>0</v>
      </c>
      <c r="G24" s="155"/>
      <c r="H24" s="361">
        <v>0</v>
      </c>
      <c r="I24" s="361">
        <v>0</v>
      </c>
      <c r="J24" s="361"/>
      <c r="K24" s="155">
        <f t="shared" si="0"/>
        <v>150900000</v>
      </c>
      <c r="L24" s="361">
        <v>0</v>
      </c>
      <c r="M24" s="361">
        <v>0</v>
      </c>
      <c r="N24" s="361"/>
      <c r="O24" s="361">
        <v>0</v>
      </c>
      <c r="P24" s="361">
        <v>0</v>
      </c>
      <c r="Q24" s="361"/>
      <c r="R24" s="361">
        <f t="shared" si="1"/>
        <v>0</v>
      </c>
      <c r="S24" s="361">
        <v>0</v>
      </c>
      <c r="T24" s="361">
        <v>0</v>
      </c>
      <c r="U24" s="361">
        <f>SUM(S24:T24)</f>
        <v>0</v>
      </c>
      <c r="V24" s="155">
        <f t="shared" ref="V24:V26" si="10">K24+R24+U24</f>
        <v>150900000</v>
      </c>
    </row>
    <row r="25" spans="1:22" x14ac:dyDescent="0.2">
      <c r="A25" s="610"/>
      <c r="B25" s="360" t="s">
        <v>46</v>
      </c>
      <c r="C25" s="154" t="s">
        <v>252</v>
      </c>
      <c r="D25" s="154" t="s">
        <v>405</v>
      </c>
      <c r="E25" s="155">
        <v>12900000</v>
      </c>
      <c r="F25" s="155">
        <v>0</v>
      </c>
      <c r="G25" s="155"/>
      <c r="H25" s="361">
        <v>0</v>
      </c>
      <c r="I25" s="361">
        <v>0</v>
      </c>
      <c r="J25" s="361"/>
      <c r="K25" s="155">
        <f t="shared" si="0"/>
        <v>12900000</v>
      </c>
      <c r="L25" s="361">
        <v>0</v>
      </c>
      <c r="M25" s="361">
        <v>0</v>
      </c>
      <c r="N25" s="361"/>
      <c r="O25" s="361">
        <v>0</v>
      </c>
      <c r="P25" s="361">
        <v>0</v>
      </c>
      <c r="Q25" s="361"/>
      <c r="R25" s="361">
        <f t="shared" si="1"/>
        <v>0</v>
      </c>
      <c r="S25" s="361">
        <v>0</v>
      </c>
      <c r="T25" s="361">
        <v>0</v>
      </c>
      <c r="U25" s="361">
        <f>SUM(S25:T25)</f>
        <v>0</v>
      </c>
      <c r="V25" s="155">
        <f t="shared" si="10"/>
        <v>12900000</v>
      </c>
    </row>
    <row r="26" spans="1:22" x14ac:dyDescent="0.2">
      <c r="A26" s="610"/>
      <c r="B26" s="360" t="s">
        <v>47</v>
      </c>
      <c r="C26" s="154" t="s">
        <v>244</v>
      </c>
      <c r="D26" s="154" t="s">
        <v>406</v>
      </c>
      <c r="E26" s="155">
        <v>600000</v>
      </c>
      <c r="F26" s="155">
        <v>0</v>
      </c>
      <c r="G26" s="155"/>
      <c r="H26" s="361">
        <v>0</v>
      </c>
      <c r="I26" s="361">
        <v>0</v>
      </c>
      <c r="J26" s="361"/>
      <c r="K26" s="155">
        <f t="shared" si="0"/>
        <v>600000</v>
      </c>
      <c r="L26" s="361">
        <v>0</v>
      </c>
      <c r="M26" s="361">
        <v>0</v>
      </c>
      <c r="N26" s="361"/>
      <c r="O26" s="361">
        <v>0</v>
      </c>
      <c r="P26" s="361">
        <v>0</v>
      </c>
      <c r="Q26" s="361"/>
      <c r="R26" s="361">
        <f t="shared" si="1"/>
        <v>0</v>
      </c>
      <c r="S26" s="361">
        <v>0</v>
      </c>
      <c r="T26" s="361">
        <v>0</v>
      </c>
      <c r="U26" s="361">
        <f>SUM(S26:T26)</f>
        <v>0</v>
      </c>
      <c r="V26" s="155">
        <f t="shared" si="10"/>
        <v>600000</v>
      </c>
    </row>
    <row r="27" spans="1:22" x14ac:dyDescent="0.2">
      <c r="A27" s="610"/>
      <c r="B27" s="581" t="s">
        <v>298</v>
      </c>
      <c r="C27" s="581"/>
      <c r="D27" s="322" t="s">
        <v>407</v>
      </c>
      <c r="E27" s="171">
        <f t="shared" ref="E27:U27" si="11">SUM(E24:E26)</f>
        <v>164400000</v>
      </c>
      <c r="F27" s="171">
        <f t="shared" si="11"/>
        <v>0</v>
      </c>
      <c r="G27" s="171"/>
      <c r="H27" s="171">
        <f t="shared" si="11"/>
        <v>0</v>
      </c>
      <c r="I27" s="171">
        <f t="shared" si="11"/>
        <v>0</v>
      </c>
      <c r="J27" s="171"/>
      <c r="K27" s="171">
        <f t="shared" si="0"/>
        <v>164400000</v>
      </c>
      <c r="L27" s="171">
        <f t="shared" si="11"/>
        <v>0</v>
      </c>
      <c r="M27" s="171">
        <f t="shared" si="11"/>
        <v>0</v>
      </c>
      <c r="N27" s="171"/>
      <c r="O27" s="171">
        <f t="shared" si="11"/>
        <v>0</v>
      </c>
      <c r="P27" s="171">
        <f t="shared" si="11"/>
        <v>0</v>
      </c>
      <c r="Q27" s="171"/>
      <c r="R27" s="171">
        <f t="shared" si="1"/>
        <v>0</v>
      </c>
      <c r="S27" s="171">
        <f t="shared" si="11"/>
        <v>0</v>
      </c>
      <c r="T27" s="171">
        <f t="shared" si="11"/>
        <v>0</v>
      </c>
      <c r="U27" s="171">
        <f t="shared" si="11"/>
        <v>0</v>
      </c>
      <c r="V27" s="171">
        <f>SUM(V24:V26)</f>
        <v>164400000</v>
      </c>
    </row>
    <row r="28" spans="1:22" s="150" customFormat="1" x14ac:dyDescent="0.2">
      <c r="A28" s="610"/>
      <c r="B28" s="581" t="s">
        <v>245</v>
      </c>
      <c r="C28" s="581"/>
      <c r="D28" s="322" t="s">
        <v>408</v>
      </c>
      <c r="E28" s="171">
        <v>100000</v>
      </c>
      <c r="F28" s="171">
        <v>0</v>
      </c>
      <c r="G28" s="171"/>
      <c r="H28" s="365">
        <v>0</v>
      </c>
      <c r="I28" s="365">
        <v>0</v>
      </c>
      <c r="J28" s="365"/>
      <c r="K28" s="171">
        <f t="shared" si="0"/>
        <v>100000</v>
      </c>
      <c r="L28" s="365">
        <v>0</v>
      </c>
      <c r="M28" s="365"/>
      <c r="N28" s="365"/>
      <c r="O28" s="365">
        <v>0</v>
      </c>
      <c r="P28" s="365"/>
      <c r="Q28" s="365"/>
      <c r="R28" s="365">
        <f t="shared" si="1"/>
        <v>0</v>
      </c>
      <c r="S28" s="365">
        <v>0</v>
      </c>
      <c r="T28" s="365">
        <v>0</v>
      </c>
      <c r="U28" s="365">
        <f>SUM(S28:T28)</f>
        <v>0</v>
      </c>
      <c r="V28" s="171">
        <f>K28+R28+U28</f>
        <v>100000</v>
      </c>
    </row>
    <row r="29" spans="1:22" s="364" customFormat="1" x14ac:dyDescent="0.2">
      <c r="A29" s="610"/>
      <c r="B29" s="585" t="s">
        <v>253</v>
      </c>
      <c r="C29" s="585"/>
      <c r="D29" s="320" t="s">
        <v>409</v>
      </c>
      <c r="E29" s="172">
        <f t="shared" ref="E29:U29" si="12">E23+E27+E28</f>
        <v>170900000</v>
      </c>
      <c r="F29" s="172">
        <f t="shared" si="12"/>
        <v>0</v>
      </c>
      <c r="G29" s="172"/>
      <c r="H29" s="172">
        <f t="shared" si="12"/>
        <v>0</v>
      </c>
      <c r="I29" s="172">
        <f t="shared" si="12"/>
        <v>0</v>
      </c>
      <c r="J29" s="172"/>
      <c r="K29" s="172">
        <f t="shared" si="0"/>
        <v>170900000</v>
      </c>
      <c r="L29" s="172">
        <f t="shared" si="12"/>
        <v>0</v>
      </c>
      <c r="M29" s="172">
        <f t="shared" si="12"/>
        <v>0</v>
      </c>
      <c r="N29" s="172"/>
      <c r="O29" s="172">
        <f t="shared" si="12"/>
        <v>0</v>
      </c>
      <c r="P29" s="172">
        <f t="shared" si="12"/>
        <v>0</v>
      </c>
      <c r="Q29" s="172"/>
      <c r="R29" s="172">
        <f t="shared" si="1"/>
        <v>0</v>
      </c>
      <c r="S29" s="172">
        <f t="shared" si="12"/>
        <v>0</v>
      </c>
      <c r="T29" s="172">
        <f t="shared" si="12"/>
        <v>0</v>
      </c>
      <c r="U29" s="172">
        <f t="shared" si="12"/>
        <v>0</v>
      </c>
      <c r="V29" s="172">
        <f>V23+V27+V28</f>
        <v>170900000</v>
      </c>
    </row>
    <row r="30" spans="1:22" x14ac:dyDescent="0.2">
      <c r="A30" s="610" t="s">
        <v>47</v>
      </c>
      <c r="B30" s="366"/>
      <c r="C30" s="154" t="s">
        <v>255</v>
      </c>
      <c r="D30" s="154" t="s">
        <v>410</v>
      </c>
      <c r="E30" s="155">
        <v>227000</v>
      </c>
      <c r="F30" s="155">
        <v>0</v>
      </c>
      <c r="G30" s="155"/>
      <c r="H30" s="361">
        <v>0</v>
      </c>
      <c r="I30" s="361">
        <v>0</v>
      </c>
      <c r="J30" s="361"/>
      <c r="K30" s="155">
        <f t="shared" si="0"/>
        <v>227000</v>
      </c>
      <c r="L30" s="155">
        <v>3600000</v>
      </c>
      <c r="M30" s="155">
        <v>0</v>
      </c>
      <c r="N30" s="155"/>
      <c r="O30" s="155">
        <v>0</v>
      </c>
      <c r="P30" s="155">
        <v>0</v>
      </c>
      <c r="Q30" s="155"/>
      <c r="R30" s="155">
        <f t="shared" si="1"/>
        <v>3600000</v>
      </c>
      <c r="S30" s="155">
        <v>0</v>
      </c>
      <c r="T30" s="155">
        <v>0</v>
      </c>
      <c r="U30" s="361">
        <f>SUM(S30:T30)</f>
        <v>0</v>
      </c>
      <c r="V30" s="155">
        <f t="shared" ref="V30:V47" si="13">K30+R30+U30</f>
        <v>3827000</v>
      </c>
    </row>
    <row r="31" spans="1:22" x14ac:dyDescent="0.2">
      <c r="A31" s="610"/>
      <c r="B31" s="366"/>
      <c r="C31" s="307" t="s">
        <v>469</v>
      </c>
      <c r="D31" s="154"/>
      <c r="E31" s="155">
        <v>0</v>
      </c>
      <c r="F31" s="155">
        <v>0</v>
      </c>
      <c r="G31" s="155"/>
      <c r="H31" s="361">
        <v>0</v>
      </c>
      <c r="I31" s="361">
        <v>0</v>
      </c>
      <c r="J31" s="155">
        <v>555427</v>
      </c>
      <c r="K31" s="155">
        <f t="shared" si="0"/>
        <v>555427</v>
      </c>
      <c r="L31" s="155">
        <v>0</v>
      </c>
      <c r="M31" s="155">
        <v>0</v>
      </c>
      <c r="N31" s="155"/>
      <c r="O31" s="155"/>
      <c r="P31" s="155"/>
      <c r="Q31" s="155"/>
      <c r="R31" s="155">
        <f t="shared" si="1"/>
        <v>0</v>
      </c>
      <c r="S31" s="155">
        <v>0</v>
      </c>
      <c r="T31" s="155">
        <v>0</v>
      </c>
      <c r="U31" s="361">
        <f>SUM(S31:T31)</f>
        <v>0</v>
      </c>
      <c r="V31" s="155">
        <f t="shared" si="13"/>
        <v>555427</v>
      </c>
    </row>
    <row r="32" spans="1:22" x14ac:dyDescent="0.2">
      <c r="A32" s="610"/>
      <c r="B32" s="366"/>
      <c r="C32" s="154" t="s">
        <v>256</v>
      </c>
      <c r="D32" s="154" t="s">
        <v>411</v>
      </c>
      <c r="E32" s="361">
        <v>0</v>
      </c>
      <c r="F32" s="361">
        <v>0</v>
      </c>
      <c r="G32" s="361"/>
      <c r="H32" s="361">
        <v>0</v>
      </c>
      <c r="I32" s="361">
        <v>0</v>
      </c>
      <c r="J32" s="361"/>
      <c r="K32" s="155">
        <f t="shared" si="0"/>
        <v>0</v>
      </c>
      <c r="L32" s="155">
        <v>112778</v>
      </c>
      <c r="M32" s="155">
        <v>606700</v>
      </c>
      <c r="N32" s="155">
        <v>772502</v>
      </c>
      <c r="O32" s="155">
        <v>2000000</v>
      </c>
      <c r="P32" s="155">
        <v>0</v>
      </c>
      <c r="Q32" s="155">
        <v>104926</v>
      </c>
      <c r="R32" s="155">
        <f>SUM(L32:Q32)</f>
        <v>3596906</v>
      </c>
      <c r="S32" s="361">
        <v>0</v>
      </c>
      <c r="T32" s="361">
        <v>0</v>
      </c>
      <c r="U32" s="361">
        <f t="shared" ref="U32:U38" si="14">SUM(S32:T32)</f>
        <v>0</v>
      </c>
      <c r="V32" s="155">
        <f t="shared" si="13"/>
        <v>3596906</v>
      </c>
    </row>
    <row r="33" spans="1:22" x14ac:dyDescent="0.2">
      <c r="A33" s="610"/>
      <c r="B33" s="366"/>
      <c r="C33" s="154" t="s">
        <v>257</v>
      </c>
      <c r="D33" s="154" t="s">
        <v>412</v>
      </c>
      <c r="E33" s="155">
        <v>0</v>
      </c>
      <c r="F33" s="155">
        <v>241671</v>
      </c>
      <c r="G33" s="155">
        <v>120836</v>
      </c>
      <c r="H33" s="155">
        <v>0</v>
      </c>
      <c r="I33" s="155">
        <v>0</v>
      </c>
      <c r="J33" s="155"/>
      <c r="K33" s="155">
        <f t="shared" si="0"/>
        <v>362507</v>
      </c>
      <c r="L33" s="361">
        <v>0</v>
      </c>
      <c r="M33" s="361">
        <v>0</v>
      </c>
      <c r="N33" s="361"/>
      <c r="O33" s="361">
        <v>0</v>
      </c>
      <c r="P33" s="361">
        <v>0</v>
      </c>
      <c r="Q33" s="361"/>
      <c r="R33" s="155">
        <f t="shared" si="1"/>
        <v>0</v>
      </c>
      <c r="S33" s="361">
        <v>0</v>
      </c>
      <c r="T33" s="361">
        <v>0</v>
      </c>
      <c r="U33" s="361">
        <f t="shared" si="14"/>
        <v>0</v>
      </c>
      <c r="V33" s="155">
        <f t="shared" si="13"/>
        <v>362507</v>
      </c>
    </row>
    <row r="34" spans="1:22" x14ac:dyDescent="0.2">
      <c r="A34" s="610"/>
      <c r="B34" s="366"/>
      <c r="C34" s="154" t="s">
        <v>258</v>
      </c>
      <c r="D34" s="154" t="s">
        <v>413</v>
      </c>
      <c r="E34" s="155">
        <v>6192650</v>
      </c>
      <c r="F34" s="155">
        <v>0</v>
      </c>
      <c r="G34" s="155"/>
      <c r="H34" s="155">
        <v>0</v>
      </c>
      <c r="I34" s="155">
        <v>0</v>
      </c>
      <c r="J34" s="155"/>
      <c r="K34" s="155">
        <f t="shared" si="0"/>
        <v>6192650</v>
      </c>
      <c r="L34" s="361">
        <v>0</v>
      </c>
      <c r="M34" s="361">
        <v>0</v>
      </c>
      <c r="N34" s="361"/>
      <c r="O34" s="361">
        <v>0</v>
      </c>
      <c r="P34" s="361">
        <v>0</v>
      </c>
      <c r="Q34" s="361"/>
      <c r="R34" s="155">
        <f t="shared" si="1"/>
        <v>0</v>
      </c>
      <c r="S34" s="361">
        <v>0</v>
      </c>
      <c r="T34" s="361">
        <v>0</v>
      </c>
      <c r="U34" s="361">
        <f t="shared" si="14"/>
        <v>0</v>
      </c>
      <c r="V34" s="155">
        <f t="shared" si="13"/>
        <v>6192650</v>
      </c>
    </row>
    <row r="35" spans="1:22" x14ac:dyDescent="0.2">
      <c r="A35" s="610"/>
      <c r="B35" s="366"/>
      <c r="C35" s="154" t="s">
        <v>259</v>
      </c>
      <c r="D35" s="154" t="s">
        <v>414</v>
      </c>
      <c r="E35" s="155">
        <v>1667426</v>
      </c>
      <c r="F35" s="155">
        <v>0</v>
      </c>
      <c r="G35" s="155">
        <v>146215</v>
      </c>
      <c r="H35" s="155">
        <v>0</v>
      </c>
      <c r="I35" s="155">
        <v>0</v>
      </c>
      <c r="J35" s="155"/>
      <c r="K35" s="155">
        <f t="shared" si="0"/>
        <v>1813641</v>
      </c>
      <c r="L35" s="361">
        <v>0</v>
      </c>
      <c r="M35" s="361">
        <v>0</v>
      </c>
      <c r="N35" s="361"/>
      <c r="O35" s="361">
        <v>0</v>
      </c>
      <c r="P35" s="361">
        <v>0</v>
      </c>
      <c r="Q35" s="361"/>
      <c r="R35" s="155">
        <f t="shared" si="1"/>
        <v>0</v>
      </c>
      <c r="S35" s="361">
        <v>0</v>
      </c>
      <c r="T35" s="361">
        <v>0</v>
      </c>
      <c r="U35" s="361">
        <f t="shared" si="14"/>
        <v>0</v>
      </c>
      <c r="V35" s="155">
        <f t="shared" si="13"/>
        <v>1813641</v>
      </c>
    </row>
    <row r="36" spans="1:22" x14ac:dyDescent="0.2">
      <c r="A36" s="610"/>
      <c r="B36" s="366"/>
      <c r="C36" s="154" t="s">
        <v>260</v>
      </c>
      <c r="D36" s="154" t="s">
        <v>415</v>
      </c>
      <c r="E36" s="155">
        <v>3435000</v>
      </c>
      <c r="F36" s="155">
        <v>202990</v>
      </c>
      <c r="G36" s="155">
        <v>593156</v>
      </c>
      <c r="H36" s="155">
        <v>0</v>
      </c>
      <c r="I36" s="155">
        <v>0</v>
      </c>
      <c r="J36" s="155"/>
      <c r="K36" s="155">
        <f t="shared" si="0"/>
        <v>4231146</v>
      </c>
      <c r="L36" s="361">
        <v>0</v>
      </c>
      <c r="M36" s="361">
        <v>0</v>
      </c>
      <c r="N36" s="361"/>
      <c r="O36" s="361">
        <v>0</v>
      </c>
      <c r="P36" s="361">
        <v>0</v>
      </c>
      <c r="Q36" s="361"/>
      <c r="R36" s="155">
        <f t="shared" si="1"/>
        <v>0</v>
      </c>
      <c r="S36" s="361">
        <v>0</v>
      </c>
      <c r="T36" s="361">
        <v>0</v>
      </c>
      <c r="U36" s="361">
        <f t="shared" si="14"/>
        <v>0</v>
      </c>
      <c r="V36" s="155">
        <f t="shared" si="13"/>
        <v>4231146</v>
      </c>
    </row>
    <row r="37" spans="1:22" x14ac:dyDescent="0.2">
      <c r="A37" s="610"/>
      <c r="B37" s="366"/>
      <c r="C37" s="154" t="s">
        <v>239</v>
      </c>
      <c r="D37" s="154" t="s">
        <v>416</v>
      </c>
      <c r="E37" s="155">
        <v>250000</v>
      </c>
      <c r="F37" s="155">
        <v>2398832</v>
      </c>
      <c r="G37" s="155">
        <v>1715815</v>
      </c>
      <c r="H37" s="155">
        <v>1200</v>
      </c>
      <c r="I37" s="155">
        <v>-20</v>
      </c>
      <c r="J37" s="155"/>
      <c r="K37" s="155">
        <f t="shared" si="0"/>
        <v>4365827</v>
      </c>
      <c r="L37" s="361">
        <v>0</v>
      </c>
      <c r="M37" s="361">
        <v>0</v>
      </c>
      <c r="N37" s="361"/>
      <c r="O37" s="361">
        <v>0</v>
      </c>
      <c r="P37" s="361">
        <v>0</v>
      </c>
      <c r="Q37" s="361"/>
      <c r="R37" s="155">
        <f t="shared" si="1"/>
        <v>0</v>
      </c>
      <c r="S37" s="361">
        <v>0</v>
      </c>
      <c r="T37" s="361">
        <v>0</v>
      </c>
      <c r="U37" s="361">
        <f t="shared" si="14"/>
        <v>0</v>
      </c>
      <c r="V37" s="155">
        <f t="shared" si="13"/>
        <v>4365827</v>
      </c>
    </row>
    <row r="38" spans="1:22" x14ac:dyDescent="0.2">
      <c r="A38" s="610"/>
      <c r="B38" s="366"/>
      <c r="C38" s="154" t="s">
        <v>261</v>
      </c>
      <c r="D38" s="154" t="s">
        <v>417</v>
      </c>
      <c r="E38" s="155">
        <v>1000</v>
      </c>
      <c r="F38" s="155">
        <v>286725</v>
      </c>
      <c r="G38" s="155">
        <v>107171</v>
      </c>
      <c r="H38" s="155">
        <v>0</v>
      </c>
      <c r="I38" s="155">
        <v>107</v>
      </c>
      <c r="J38" s="155"/>
      <c r="K38" s="155">
        <f t="shared" si="0"/>
        <v>395003</v>
      </c>
      <c r="L38" s="361">
        <v>0</v>
      </c>
      <c r="M38" s="361">
        <v>0</v>
      </c>
      <c r="N38" s="361"/>
      <c r="O38" s="361">
        <v>0</v>
      </c>
      <c r="P38" s="361">
        <v>0</v>
      </c>
      <c r="Q38" s="361"/>
      <c r="R38" s="155">
        <f t="shared" si="1"/>
        <v>0</v>
      </c>
      <c r="S38" s="361">
        <v>0</v>
      </c>
      <c r="T38" s="361">
        <v>0</v>
      </c>
      <c r="U38" s="361">
        <f t="shared" si="14"/>
        <v>0</v>
      </c>
      <c r="V38" s="155">
        <f t="shared" si="13"/>
        <v>395003</v>
      </c>
    </row>
    <row r="39" spans="1:22" x14ac:dyDescent="0.2">
      <c r="A39" s="610"/>
      <c r="B39" s="583" t="s">
        <v>254</v>
      </c>
      <c r="C39" s="583"/>
      <c r="D39" s="321" t="s">
        <v>418</v>
      </c>
      <c r="E39" s="173">
        <f t="shared" ref="E39:U39" si="15">SUM(E30:E38)</f>
        <v>11773076</v>
      </c>
      <c r="F39" s="173">
        <f t="shared" si="15"/>
        <v>3130218</v>
      </c>
      <c r="G39" s="173"/>
      <c r="H39" s="173">
        <f t="shared" si="15"/>
        <v>1200</v>
      </c>
      <c r="I39" s="173">
        <f t="shared" si="15"/>
        <v>87</v>
      </c>
      <c r="J39" s="173"/>
      <c r="K39" s="173">
        <f t="shared" si="0"/>
        <v>14904581</v>
      </c>
      <c r="L39" s="173">
        <f t="shared" si="15"/>
        <v>3712778</v>
      </c>
      <c r="M39" s="173">
        <f t="shared" si="15"/>
        <v>606700</v>
      </c>
      <c r="N39" s="173"/>
      <c r="O39" s="173">
        <f t="shared" si="15"/>
        <v>2000000</v>
      </c>
      <c r="P39" s="173">
        <f t="shared" si="15"/>
        <v>0</v>
      </c>
      <c r="Q39" s="173"/>
      <c r="R39" s="173">
        <f t="shared" si="1"/>
        <v>6319478</v>
      </c>
      <c r="S39" s="173">
        <f t="shared" si="15"/>
        <v>0</v>
      </c>
      <c r="T39" s="173">
        <f t="shared" si="15"/>
        <v>0</v>
      </c>
      <c r="U39" s="173">
        <f t="shared" si="15"/>
        <v>0</v>
      </c>
      <c r="V39" s="173">
        <f>SUM(V30:V38)</f>
        <v>25340107</v>
      </c>
    </row>
    <row r="40" spans="1:22" x14ac:dyDescent="0.2">
      <c r="A40" s="610" t="s">
        <v>48</v>
      </c>
      <c r="B40" s="366"/>
      <c r="C40" s="154" t="s">
        <v>262</v>
      </c>
      <c r="D40" s="154" t="s">
        <v>419</v>
      </c>
      <c r="E40" s="155">
        <v>2372880</v>
      </c>
      <c r="F40" s="155">
        <v>0</v>
      </c>
      <c r="G40" s="155"/>
      <c r="H40" s="361">
        <v>0</v>
      </c>
      <c r="I40" s="361">
        <v>0</v>
      </c>
      <c r="J40" s="361"/>
      <c r="K40" s="155">
        <f t="shared" si="0"/>
        <v>2372880</v>
      </c>
      <c r="L40" s="361">
        <v>0</v>
      </c>
      <c r="M40" s="361">
        <v>0</v>
      </c>
      <c r="N40" s="361"/>
      <c r="O40" s="361">
        <v>0</v>
      </c>
      <c r="P40" s="361">
        <v>0</v>
      </c>
      <c r="Q40" s="361"/>
      <c r="R40" s="155">
        <f t="shared" si="1"/>
        <v>0</v>
      </c>
      <c r="S40" s="361">
        <v>0</v>
      </c>
      <c r="T40" s="361">
        <v>0</v>
      </c>
      <c r="U40" s="361">
        <f>SUM(S40:T40)</f>
        <v>0</v>
      </c>
      <c r="V40" s="155">
        <f t="shared" si="13"/>
        <v>2372880</v>
      </c>
    </row>
    <row r="41" spans="1:22" x14ac:dyDescent="0.2">
      <c r="A41" s="610"/>
      <c r="B41" s="366"/>
      <c r="C41" s="154" t="s">
        <v>377</v>
      </c>
      <c r="D41" s="154"/>
      <c r="E41" s="155">
        <v>0</v>
      </c>
      <c r="F41" s="155">
        <v>0</v>
      </c>
      <c r="G41" s="155"/>
      <c r="H41" s="361">
        <v>0</v>
      </c>
      <c r="I41" s="155">
        <v>1797839</v>
      </c>
      <c r="J41" s="155">
        <v>-22697</v>
      </c>
      <c r="K41" s="155">
        <f t="shared" si="0"/>
        <v>1775142</v>
      </c>
      <c r="L41" s="361">
        <v>0</v>
      </c>
      <c r="M41" s="361">
        <v>0</v>
      </c>
      <c r="N41" s="361"/>
      <c r="O41" s="361">
        <v>0</v>
      </c>
      <c r="P41" s="361">
        <v>0</v>
      </c>
      <c r="Q41" s="361"/>
      <c r="R41" s="155">
        <f t="shared" si="1"/>
        <v>0</v>
      </c>
      <c r="S41" s="361">
        <v>0</v>
      </c>
      <c r="T41" s="361">
        <v>0</v>
      </c>
      <c r="U41" s="361">
        <f>SUM(S41:T41)</f>
        <v>0</v>
      </c>
      <c r="V41" s="155">
        <f t="shared" si="13"/>
        <v>1775142</v>
      </c>
    </row>
    <row r="42" spans="1:22" x14ac:dyDescent="0.2">
      <c r="A42" s="610"/>
      <c r="B42" s="583" t="s">
        <v>240</v>
      </c>
      <c r="C42" s="583"/>
      <c r="D42" s="321" t="s">
        <v>419</v>
      </c>
      <c r="E42" s="173">
        <f>SUM(E40:E41)</f>
        <v>2372880</v>
      </c>
      <c r="F42" s="173">
        <f t="shared" ref="F42:V42" si="16">SUM(F40:F41)</f>
        <v>0</v>
      </c>
      <c r="G42" s="173">
        <f t="shared" si="16"/>
        <v>0</v>
      </c>
      <c r="H42" s="173">
        <f t="shared" si="16"/>
        <v>0</v>
      </c>
      <c r="I42" s="173">
        <f t="shared" si="16"/>
        <v>1797839</v>
      </c>
      <c r="J42" s="173">
        <f t="shared" si="16"/>
        <v>-22697</v>
      </c>
      <c r="K42" s="173">
        <f t="shared" si="0"/>
        <v>4148022</v>
      </c>
      <c r="L42" s="173">
        <f t="shared" si="16"/>
        <v>0</v>
      </c>
      <c r="M42" s="173">
        <f t="shared" si="16"/>
        <v>0</v>
      </c>
      <c r="N42" s="173"/>
      <c r="O42" s="173">
        <f t="shared" si="16"/>
        <v>0</v>
      </c>
      <c r="P42" s="173">
        <f t="shared" si="16"/>
        <v>0</v>
      </c>
      <c r="Q42" s="173"/>
      <c r="R42" s="173">
        <f t="shared" si="1"/>
        <v>0</v>
      </c>
      <c r="S42" s="173">
        <f t="shared" si="16"/>
        <v>0</v>
      </c>
      <c r="T42" s="173">
        <f t="shared" si="16"/>
        <v>0</v>
      </c>
      <c r="U42" s="173">
        <f t="shared" si="16"/>
        <v>0</v>
      </c>
      <c r="V42" s="173">
        <f t="shared" si="16"/>
        <v>4148022</v>
      </c>
    </row>
    <row r="43" spans="1:22" s="386" customFormat="1" x14ac:dyDescent="0.2">
      <c r="A43" s="385"/>
      <c r="B43" s="366"/>
      <c r="C43" s="154" t="s">
        <v>375</v>
      </c>
      <c r="D43" s="307" t="s">
        <v>460</v>
      </c>
      <c r="E43" s="300">
        <v>0</v>
      </c>
      <c r="F43" s="300">
        <v>16654</v>
      </c>
      <c r="G43" s="300"/>
      <c r="H43" s="300"/>
      <c r="I43" s="300"/>
      <c r="J43" s="300"/>
      <c r="K43" s="155">
        <f t="shared" si="0"/>
        <v>16654</v>
      </c>
      <c r="L43" s="300">
        <v>0</v>
      </c>
      <c r="M43" s="300">
        <v>0</v>
      </c>
      <c r="N43" s="300"/>
      <c r="O43" s="300">
        <v>0</v>
      </c>
      <c r="P43" s="300">
        <v>0</v>
      </c>
      <c r="Q43" s="300"/>
      <c r="R43" s="155">
        <f t="shared" si="1"/>
        <v>0</v>
      </c>
      <c r="S43" s="300">
        <v>0</v>
      </c>
      <c r="T43" s="300">
        <v>0</v>
      </c>
      <c r="U43" s="361">
        <v>0</v>
      </c>
      <c r="V43" s="155">
        <f t="shared" si="13"/>
        <v>16654</v>
      </c>
    </row>
    <row r="44" spans="1:22" x14ac:dyDescent="0.2">
      <c r="A44" s="373"/>
      <c r="B44" s="583" t="s">
        <v>376</v>
      </c>
      <c r="C44" s="607"/>
      <c r="D44" s="321" t="s">
        <v>460</v>
      </c>
      <c r="E44" s="173">
        <f>SUM(E43)</f>
        <v>0</v>
      </c>
      <c r="F44" s="173">
        <f t="shared" ref="F44:V44" si="17">SUM(F43)</f>
        <v>16654</v>
      </c>
      <c r="G44" s="173">
        <f t="shared" si="17"/>
        <v>0</v>
      </c>
      <c r="H44" s="173">
        <f t="shared" si="17"/>
        <v>0</v>
      </c>
      <c r="I44" s="173">
        <f t="shared" si="17"/>
        <v>0</v>
      </c>
      <c r="J44" s="173">
        <f t="shared" si="17"/>
        <v>0</v>
      </c>
      <c r="K44" s="173">
        <f t="shared" si="0"/>
        <v>16654</v>
      </c>
      <c r="L44" s="173">
        <f t="shared" si="17"/>
        <v>0</v>
      </c>
      <c r="M44" s="173">
        <f t="shared" si="17"/>
        <v>0</v>
      </c>
      <c r="N44" s="173"/>
      <c r="O44" s="173">
        <f t="shared" si="17"/>
        <v>0</v>
      </c>
      <c r="P44" s="173">
        <f t="shared" si="17"/>
        <v>0</v>
      </c>
      <c r="Q44" s="173"/>
      <c r="R44" s="173">
        <f t="shared" si="1"/>
        <v>0</v>
      </c>
      <c r="S44" s="173">
        <f t="shared" si="17"/>
        <v>0</v>
      </c>
      <c r="T44" s="173">
        <f t="shared" si="17"/>
        <v>0</v>
      </c>
      <c r="U44" s="173">
        <f t="shared" si="17"/>
        <v>0</v>
      </c>
      <c r="V44" s="173">
        <f t="shared" si="17"/>
        <v>16654</v>
      </c>
    </row>
    <row r="45" spans="1:22" s="386" customFormat="1" ht="25.5" x14ac:dyDescent="0.2">
      <c r="A45" s="385"/>
      <c r="B45" s="307"/>
      <c r="C45" s="307" t="s">
        <v>371</v>
      </c>
      <c r="D45" s="307" t="s">
        <v>461</v>
      </c>
      <c r="E45" s="300">
        <v>0</v>
      </c>
      <c r="F45" s="300">
        <v>1049525</v>
      </c>
      <c r="G45" s="300"/>
      <c r="H45" s="300"/>
      <c r="I45" s="300">
        <v>0</v>
      </c>
      <c r="J45" s="300"/>
      <c r="K45" s="155">
        <f t="shared" si="0"/>
        <v>1049525</v>
      </c>
      <c r="L45" s="300">
        <v>0</v>
      </c>
      <c r="M45" s="300">
        <v>0</v>
      </c>
      <c r="N45" s="300"/>
      <c r="O45" s="300">
        <v>0</v>
      </c>
      <c r="P45" s="300">
        <v>0</v>
      </c>
      <c r="Q45" s="300"/>
      <c r="R45" s="361">
        <f t="shared" si="1"/>
        <v>0</v>
      </c>
      <c r="S45" s="300">
        <v>0</v>
      </c>
      <c r="T45" s="300">
        <v>0</v>
      </c>
      <c r="U45" s="361">
        <f>SUM(S45:T45)</f>
        <v>0</v>
      </c>
      <c r="V45" s="155">
        <f t="shared" si="13"/>
        <v>1049525</v>
      </c>
    </row>
    <row r="46" spans="1:22" ht="25.5" x14ac:dyDescent="0.2">
      <c r="A46" s="610" t="s">
        <v>49</v>
      </c>
      <c r="B46" s="366"/>
      <c r="C46" s="154" t="s">
        <v>263</v>
      </c>
      <c r="D46" s="154" t="s">
        <v>420</v>
      </c>
      <c r="E46" s="155">
        <v>701680</v>
      </c>
      <c r="F46" s="155">
        <v>0</v>
      </c>
      <c r="G46" s="155"/>
      <c r="H46" s="361">
        <v>7280000</v>
      </c>
      <c r="I46" s="361">
        <v>0</v>
      </c>
      <c r="J46" s="361"/>
      <c r="K46" s="155">
        <f t="shared" si="0"/>
        <v>7981680</v>
      </c>
      <c r="L46" s="361">
        <v>0</v>
      </c>
      <c r="M46" s="361">
        <v>0</v>
      </c>
      <c r="N46" s="361"/>
      <c r="O46" s="361">
        <v>0</v>
      </c>
      <c r="P46" s="361">
        <v>0</v>
      </c>
      <c r="Q46" s="361"/>
      <c r="R46" s="361">
        <f t="shared" si="1"/>
        <v>0</v>
      </c>
      <c r="S46" s="361">
        <v>0</v>
      </c>
      <c r="T46" s="361">
        <v>0</v>
      </c>
      <c r="U46" s="361">
        <f>SUM(S46:T46)</f>
        <v>0</v>
      </c>
      <c r="V46" s="155">
        <f t="shared" si="13"/>
        <v>7981680</v>
      </c>
    </row>
    <row r="47" spans="1:22" x14ac:dyDescent="0.2">
      <c r="A47" s="610"/>
      <c r="B47" s="366"/>
      <c r="C47" s="154" t="s">
        <v>338</v>
      </c>
      <c r="D47" s="154" t="s">
        <v>421</v>
      </c>
      <c r="E47" s="155">
        <v>7280000</v>
      </c>
      <c r="F47" s="155">
        <v>0</v>
      </c>
      <c r="G47" s="155"/>
      <c r="H47" s="361">
        <v>-7280000</v>
      </c>
      <c r="I47" s="361">
        <v>0</v>
      </c>
      <c r="J47" s="361"/>
      <c r="K47" s="155">
        <f t="shared" si="0"/>
        <v>0</v>
      </c>
      <c r="L47" s="361">
        <v>0</v>
      </c>
      <c r="M47" s="361">
        <v>0</v>
      </c>
      <c r="N47" s="361"/>
      <c r="O47" s="361">
        <v>0</v>
      </c>
      <c r="P47" s="361">
        <v>0</v>
      </c>
      <c r="Q47" s="361"/>
      <c r="R47" s="361">
        <f t="shared" si="1"/>
        <v>0</v>
      </c>
      <c r="S47" s="361">
        <v>0</v>
      </c>
      <c r="T47" s="361">
        <v>0</v>
      </c>
      <c r="U47" s="361">
        <f>SUM(S47:T47)</f>
        <v>0</v>
      </c>
      <c r="V47" s="155">
        <f t="shared" si="13"/>
        <v>0</v>
      </c>
    </row>
    <row r="48" spans="1:22" x14ac:dyDescent="0.2">
      <c r="A48" s="610"/>
      <c r="B48" s="583" t="s">
        <v>241</v>
      </c>
      <c r="C48" s="583"/>
      <c r="D48" s="321" t="s">
        <v>422</v>
      </c>
      <c r="E48" s="173">
        <f>SUM(E45:E47)</f>
        <v>7981680</v>
      </c>
      <c r="F48" s="173">
        <f t="shared" ref="F48:V48" si="18">SUM(F45:F47)</f>
        <v>1049525</v>
      </c>
      <c r="G48" s="173"/>
      <c r="H48" s="173">
        <f t="shared" si="18"/>
        <v>0</v>
      </c>
      <c r="I48" s="173">
        <f t="shared" si="18"/>
        <v>0</v>
      </c>
      <c r="J48" s="173"/>
      <c r="K48" s="173">
        <f t="shared" si="0"/>
        <v>9031205</v>
      </c>
      <c r="L48" s="173">
        <f t="shared" si="18"/>
        <v>0</v>
      </c>
      <c r="M48" s="173">
        <f t="shared" si="18"/>
        <v>0</v>
      </c>
      <c r="N48" s="173"/>
      <c r="O48" s="173">
        <f t="shared" si="18"/>
        <v>0</v>
      </c>
      <c r="P48" s="173">
        <f t="shared" si="18"/>
        <v>0</v>
      </c>
      <c r="Q48" s="173"/>
      <c r="R48" s="173">
        <f t="shared" si="1"/>
        <v>0</v>
      </c>
      <c r="S48" s="173">
        <f t="shared" si="18"/>
        <v>0</v>
      </c>
      <c r="T48" s="173">
        <f t="shared" si="18"/>
        <v>0</v>
      </c>
      <c r="U48" s="173">
        <f t="shared" si="18"/>
        <v>0</v>
      </c>
      <c r="V48" s="173">
        <f t="shared" si="18"/>
        <v>9031205</v>
      </c>
    </row>
    <row r="49" spans="1:22" s="369" customFormat="1" x14ac:dyDescent="0.2">
      <c r="A49" s="605" t="s">
        <v>242</v>
      </c>
      <c r="B49" s="605"/>
      <c r="C49" s="605"/>
      <c r="D49" s="367" t="s">
        <v>423</v>
      </c>
      <c r="E49" s="368">
        <f>E19+E29+E39+E42+E48+E22+E44</f>
        <v>508059744</v>
      </c>
      <c r="F49" s="368">
        <f t="shared" ref="F49:V49" si="19">F19+F29+F39+F42+F48+F22+F44</f>
        <v>67033247</v>
      </c>
      <c r="G49" s="368"/>
      <c r="H49" s="368">
        <f t="shared" si="19"/>
        <v>1200</v>
      </c>
      <c r="I49" s="368">
        <f t="shared" si="19"/>
        <v>4028374</v>
      </c>
      <c r="J49" s="368"/>
      <c r="K49" s="368">
        <f t="shared" si="0"/>
        <v>579122565</v>
      </c>
      <c r="L49" s="368">
        <f t="shared" si="19"/>
        <v>3712778</v>
      </c>
      <c r="M49" s="368">
        <f t="shared" si="19"/>
        <v>606700</v>
      </c>
      <c r="N49" s="368"/>
      <c r="O49" s="368">
        <f t="shared" si="19"/>
        <v>2000000</v>
      </c>
      <c r="P49" s="368">
        <f t="shared" si="19"/>
        <v>0</v>
      </c>
      <c r="Q49" s="368"/>
      <c r="R49" s="368">
        <f t="shared" si="1"/>
        <v>6319478</v>
      </c>
      <c r="S49" s="368">
        <f t="shared" si="19"/>
        <v>0</v>
      </c>
      <c r="T49" s="368">
        <f t="shared" si="19"/>
        <v>0</v>
      </c>
      <c r="U49" s="368">
        <f t="shared" si="19"/>
        <v>0</v>
      </c>
      <c r="V49" s="368">
        <f t="shared" si="19"/>
        <v>633059359</v>
      </c>
    </row>
    <row r="50" spans="1:22" ht="25.5" x14ac:dyDescent="0.2">
      <c r="A50" s="370"/>
      <c r="B50" s="366"/>
      <c r="C50" s="154" t="s">
        <v>305</v>
      </c>
      <c r="D50" s="154" t="s">
        <v>424</v>
      </c>
      <c r="E50" s="155">
        <v>400000000</v>
      </c>
      <c r="F50" s="155">
        <v>0</v>
      </c>
      <c r="G50" s="155"/>
      <c r="H50" s="361">
        <v>0</v>
      </c>
      <c r="I50" s="361">
        <v>0</v>
      </c>
      <c r="J50" s="361"/>
      <c r="K50" s="155">
        <f t="shared" si="0"/>
        <v>400000000</v>
      </c>
      <c r="L50" s="361">
        <v>0</v>
      </c>
      <c r="M50" s="361">
        <v>0</v>
      </c>
      <c r="N50" s="361"/>
      <c r="O50" s="361">
        <v>0</v>
      </c>
      <c r="P50" s="361">
        <v>0</v>
      </c>
      <c r="Q50" s="361"/>
      <c r="R50" s="361">
        <f t="shared" si="1"/>
        <v>0</v>
      </c>
      <c r="S50" s="361">
        <v>0</v>
      </c>
      <c r="T50" s="361">
        <v>0</v>
      </c>
      <c r="U50" s="361">
        <f>SUM(S50:T50)</f>
        <v>0</v>
      </c>
      <c r="V50" s="155">
        <f t="shared" ref="V50:V56" si="20">K50+R50+U50</f>
        <v>400000000</v>
      </c>
    </row>
    <row r="51" spans="1:22" x14ac:dyDescent="0.2">
      <c r="A51" s="370"/>
      <c r="B51" s="583" t="s">
        <v>306</v>
      </c>
      <c r="C51" s="583"/>
      <c r="D51" s="321" t="s">
        <v>425</v>
      </c>
      <c r="E51" s="173">
        <f t="shared" ref="E51:V51" si="21">SUM(E50)</f>
        <v>400000000</v>
      </c>
      <c r="F51" s="173">
        <f t="shared" si="21"/>
        <v>0</v>
      </c>
      <c r="G51" s="173"/>
      <c r="H51" s="173">
        <f t="shared" si="21"/>
        <v>0</v>
      </c>
      <c r="I51" s="173">
        <f t="shared" si="21"/>
        <v>0</v>
      </c>
      <c r="J51" s="173"/>
      <c r="K51" s="173">
        <f t="shared" si="0"/>
        <v>400000000</v>
      </c>
      <c r="L51" s="173">
        <f t="shared" si="21"/>
        <v>0</v>
      </c>
      <c r="M51" s="173">
        <f t="shared" si="21"/>
        <v>0</v>
      </c>
      <c r="N51" s="173"/>
      <c r="O51" s="173">
        <f t="shared" si="21"/>
        <v>0</v>
      </c>
      <c r="P51" s="173">
        <f t="shared" si="21"/>
        <v>0</v>
      </c>
      <c r="Q51" s="173"/>
      <c r="R51" s="173">
        <f t="shared" si="1"/>
        <v>0</v>
      </c>
      <c r="S51" s="173">
        <f t="shared" si="21"/>
        <v>0</v>
      </c>
      <c r="T51" s="173">
        <f t="shared" si="21"/>
        <v>0</v>
      </c>
      <c r="U51" s="173">
        <f t="shared" si="21"/>
        <v>0</v>
      </c>
      <c r="V51" s="173">
        <f t="shared" si="21"/>
        <v>400000000</v>
      </c>
    </row>
    <row r="52" spans="1:22" x14ac:dyDescent="0.2">
      <c r="A52" s="610" t="s">
        <v>56</v>
      </c>
      <c r="B52" s="366"/>
      <c r="C52" s="154" t="s">
        <v>270</v>
      </c>
      <c r="D52" s="154" t="s">
        <v>426</v>
      </c>
      <c r="E52" s="155">
        <v>131883904</v>
      </c>
      <c r="F52" s="155"/>
      <c r="G52" s="155"/>
      <c r="H52" s="361">
        <v>0</v>
      </c>
      <c r="I52" s="361">
        <v>0</v>
      </c>
      <c r="J52" s="361"/>
      <c r="K52" s="155">
        <f t="shared" si="0"/>
        <v>131883904</v>
      </c>
      <c r="L52" s="361">
        <v>0</v>
      </c>
      <c r="M52" s="361">
        <v>0</v>
      </c>
      <c r="N52" s="361"/>
      <c r="O52" s="361">
        <v>0</v>
      </c>
      <c r="P52" s="361">
        <v>0</v>
      </c>
      <c r="Q52" s="361"/>
      <c r="R52" s="155">
        <f t="shared" si="1"/>
        <v>0</v>
      </c>
      <c r="S52" s="361">
        <v>0</v>
      </c>
      <c r="T52" s="361">
        <v>0</v>
      </c>
      <c r="U52" s="361">
        <f>SUM(S52:T52)</f>
        <v>0</v>
      </c>
      <c r="V52" s="155">
        <f t="shared" si="20"/>
        <v>131883904</v>
      </c>
    </row>
    <row r="53" spans="1:22" x14ac:dyDescent="0.2">
      <c r="A53" s="610"/>
      <c r="B53" s="583" t="s">
        <v>269</v>
      </c>
      <c r="C53" s="583"/>
      <c r="D53" s="321" t="s">
        <v>426</v>
      </c>
      <c r="E53" s="173">
        <f t="shared" ref="E53:V53" si="22">SUM(E52)</f>
        <v>131883904</v>
      </c>
      <c r="F53" s="173">
        <f t="shared" si="22"/>
        <v>0</v>
      </c>
      <c r="G53" s="173"/>
      <c r="H53" s="173">
        <f t="shared" si="22"/>
        <v>0</v>
      </c>
      <c r="I53" s="173">
        <f t="shared" si="22"/>
        <v>0</v>
      </c>
      <c r="J53" s="173"/>
      <c r="K53" s="173">
        <f t="shared" si="0"/>
        <v>131883904</v>
      </c>
      <c r="L53" s="173">
        <f t="shared" si="22"/>
        <v>0</v>
      </c>
      <c r="M53" s="173">
        <f t="shared" si="22"/>
        <v>0</v>
      </c>
      <c r="N53" s="173"/>
      <c r="O53" s="173">
        <f t="shared" si="22"/>
        <v>0</v>
      </c>
      <c r="P53" s="173">
        <f t="shared" si="22"/>
        <v>0</v>
      </c>
      <c r="Q53" s="173"/>
      <c r="R53" s="173">
        <f t="shared" si="1"/>
        <v>0</v>
      </c>
      <c r="S53" s="173">
        <f t="shared" si="22"/>
        <v>0</v>
      </c>
      <c r="T53" s="173">
        <f t="shared" si="22"/>
        <v>0</v>
      </c>
      <c r="U53" s="173">
        <f t="shared" si="22"/>
        <v>0</v>
      </c>
      <c r="V53" s="173">
        <f t="shared" si="22"/>
        <v>131883904</v>
      </c>
    </row>
    <row r="54" spans="1:22" x14ac:dyDescent="0.2">
      <c r="A54" s="610" t="s">
        <v>58</v>
      </c>
      <c r="B54" s="366"/>
      <c r="C54" s="154" t="s">
        <v>299</v>
      </c>
      <c r="D54" s="154" t="s">
        <v>427</v>
      </c>
      <c r="E54" s="155">
        <v>47915639</v>
      </c>
      <c r="F54" s="155"/>
      <c r="G54" s="155"/>
      <c r="H54" s="155">
        <v>357716</v>
      </c>
      <c r="I54" s="155">
        <v>0</v>
      </c>
      <c r="J54" s="155"/>
      <c r="K54" s="155">
        <f t="shared" si="0"/>
        <v>48273355</v>
      </c>
      <c r="L54" s="361">
        <v>0</v>
      </c>
      <c r="M54" s="361">
        <v>0</v>
      </c>
      <c r="N54" s="361"/>
      <c r="O54" s="361">
        <v>0</v>
      </c>
      <c r="P54" s="361">
        <v>0</v>
      </c>
      <c r="Q54" s="361"/>
      <c r="R54" s="155">
        <f t="shared" si="1"/>
        <v>0</v>
      </c>
      <c r="S54" s="361">
        <v>0</v>
      </c>
      <c r="T54" s="361">
        <v>0</v>
      </c>
      <c r="U54" s="361">
        <f>SUM(S54:T54)</f>
        <v>0</v>
      </c>
      <c r="V54" s="155">
        <f t="shared" si="20"/>
        <v>48273355</v>
      </c>
    </row>
    <row r="55" spans="1:22" x14ac:dyDescent="0.2">
      <c r="A55" s="610"/>
      <c r="B55" s="583" t="s">
        <v>271</v>
      </c>
      <c r="C55" s="583"/>
      <c r="D55" s="321" t="s">
        <v>427</v>
      </c>
      <c r="E55" s="173">
        <f t="shared" ref="E55:U55" si="23">SUM(E54)</f>
        <v>47915639</v>
      </c>
      <c r="F55" s="173">
        <f t="shared" si="23"/>
        <v>0</v>
      </c>
      <c r="G55" s="173"/>
      <c r="H55" s="173">
        <f t="shared" si="23"/>
        <v>357716</v>
      </c>
      <c r="I55" s="173">
        <f t="shared" si="23"/>
        <v>0</v>
      </c>
      <c r="J55" s="173"/>
      <c r="K55" s="173">
        <f t="shared" si="0"/>
        <v>48273355</v>
      </c>
      <c r="L55" s="173">
        <f t="shared" si="23"/>
        <v>0</v>
      </c>
      <c r="M55" s="173">
        <f t="shared" si="23"/>
        <v>0</v>
      </c>
      <c r="N55" s="173"/>
      <c r="O55" s="173">
        <f t="shared" si="23"/>
        <v>0</v>
      </c>
      <c r="P55" s="173">
        <f t="shared" si="23"/>
        <v>0</v>
      </c>
      <c r="Q55" s="173"/>
      <c r="R55" s="173">
        <f t="shared" si="1"/>
        <v>0</v>
      </c>
      <c r="S55" s="173">
        <f t="shared" si="23"/>
        <v>0</v>
      </c>
      <c r="T55" s="173">
        <f t="shared" si="23"/>
        <v>0</v>
      </c>
      <c r="U55" s="173">
        <f t="shared" si="23"/>
        <v>0</v>
      </c>
      <c r="V55" s="173">
        <f>SUM(V54)</f>
        <v>48273355</v>
      </c>
    </row>
    <row r="56" spans="1:22" x14ac:dyDescent="0.2">
      <c r="A56" s="611" t="s">
        <v>59</v>
      </c>
      <c r="B56" s="366"/>
      <c r="C56" s="154" t="s">
        <v>302</v>
      </c>
      <c r="D56" s="154" t="s">
        <v>428</v>
      </c>
      <c r="E56" s="361">
        <v>0</v>
      </c>
      <c r="F56" s="361"/>
      <c r="G56" s="361"/>
      <c r="H56" s="155">
        <v>102023405</v>
      </c>
      <c r="I56" s="155">
        <v>997200</v>
      </c>
      <c r="J56" s="155">
        <v>1595599</v>
      </c>
      <c r="K56" s="155">
        <f t="shared" si="0"/>
        <v>104616204</v>
      </c>
      <c r="L56" s="361">
        <v>0</v>
      </c>
      <c r="M56" s="361">
        <v>0</v>
      </c>
      <c r="N56" s="361"/>
      <c r="O56" s="361">
        <v>0</v>
      </c>
      <c r="P56" s="361">
        <v>0</v>
      </c>
      <c r="Q56" s="361"/>
      <c r="R56" s="155">
        <f t="shared" si="1"/>
        <v>0</v>
      </c>
      <c r="S56" s="361">
        <v>0</v>
      </c>
      <c r="T56" s="361">
        <v>0</v>
      </c>
      <c r="U56" s="361">
        <f>SUM(S56:T56)</f>
        <v>0</v>
      </c>
      <c r="V56" s="155">
        <f t="shared" si="20"/>
        <v>104616204</v>
      </c>
    </row>
    <row r="57" spans="1:22" x14ac:dyDescent="0.2">
      <c r="A57" s="612"/>
      <c r="B57" s="583" t="s">
        <v>303</v>
      </c>
      <c r="C57" s="583"/>
      <c r="D57" s="321" t="s">
        <v>429</v>
      </c>
      <c r="E57" s="173">
        <f t="shared" ref="E57:U57" si="24">SUM(E56)</f>
        <v>0</v>
      </c>
      <c r="F57" s="173">
        <f t="shared" si="24"/>
        <v>0</v>
      </c>
      <c r="G57" s="173"/>
      <c r="H57" s="173">
        <f t="shared" si="24"/>
        <v>102023405</v>
      </c>
      <c r="I57" s="173">
        <f t="shared" si="24"/>
        <v>997200</v>
      </c>
      <c r="J57" s="173"/>
      <c r="K57" s="173">
        <f t="shared" si="0"/>
        <v>103020605</v>
      </c>
      <c r="L57" s="173">
        <f t="shared" si="24"/>
        <v>0</v>
      </c>
      <c r="M57" s="173">
        <f t="shared" si="24"/>
        <v>0</v>
      </c>
      <c r="N57" s="173"/>
      <c r="O57" s="173">
        <f t="shared" si="24"/>
        <v>0</v>
      </c>
      <c r="P57" s="173">
        <f t="shared" si="24"/>
        <v>0</v>
      </c>
      <c r="Q57" s="173"/>
      <c r="R57" s="173">
        <f t="shared" si="1"/>
        <v>0</v>
      </c>
      <c r="S57" s="173">
        <f t="shared" si="24"/>
        <v>0</v>
      </c>
      <c r="T57" s="173">
        <f t="shared" si="24"/>
        <v>0</v>
      </c>
      <c r="U57" s="173">
        <f t="shared" si="24"/>
        <v>0</v>
      </c>
      <c r="V57" s="173">
        <f>SUM(V56)</f>
        <v>104616204</v>
      </c>
    </row>
    <row r="58" spans="1:22" s="364" customFormat="1" x14ac:dyDescent="0.2">
      <c r="A58" s="605" t="s">
        <v>272</v>
      </c>
      <c r="B58" s="605"/>
      <c r="C58" s="605"/>
      <c r="D58" s="367" t="s">
        <v>430</v>
      </c>
      <c r="E58" s="368">
        <f>E53+E55+E57+E51</f>
        <v>579799543</v>
      </c>
      <c r="F58" s="368">
        <f t="shared" ref="F58:T58" si="25">F53+F55+F57+F51</f>
        <v>0</v>
      </c>
      <c r="G58" s="368"/>
      <c r="H58" s="368">
        <f t="shared" si="25"/>
        <v>102381121</v>
      </c>
      <c r="I58" s="368">
        <f t="shared" si="25"/>
        <v>997200</v>
      </c>
      <c r="J58" s="368"/>
      <c r="K58" s="368">
        <f t="shared" si="0"/>
        <v>683177864</v>
      </c>
      <c r="L58" s="368">
        <f t="shared" si="25"/>
        <v>0</v>
      </c>
      <c r="M58" s="368">
        <f t="shared" si="25"/>
        <v>0</v>
      </c>
      <c r="N58" s="368"/>
      <c r="O58" s="368">
        <f t="shared" si="25"/>
        <v>0</v>
      </c>
      <c r="P58" s="368">
        <f t="shared" si="25"/>
        <v>0</v>
      </c>
      <c r="Q58" s="368"/>
      <c r="R58" s="368">
        <f t="shared" si="1"/>
        <v>0</v>
      </c>
      <c r="S58" s="368">
        <f t="shared" si="25"/>
        <v>0</v>
      </c>
      <c r="T58" s="368">
        <f t="shared" si="25"/>
        <v>0</v>
      </c>
      <c r="U58" s="368">
        <f t="shared" ref="U58" si="26">U53+U55+U57+U51</f>
        <v>0</v>
      </c>
      <c r="V58" s="368">
        <f>V53+V55+V57+V51</f>
        <v>684773463</v>
      </c>
    </row>
    <row r="59" spans="1:22" s="150" customFormat="1" x14ac:dyDescent="0.2">
      <c r="A59" s="606" t="s">
        <v>273</v>
      </c>
      <c r="B59" s="606"/>
      <c r="C59" s="606"/>
      <c r="D59" s="371"/>
      <c r="E59" s="372">
        <f t="shared" ref="E59:U59" si="27">E49+E58</f>
        <v>1087859287</v>
      </c>
      <c r="F59" s="372">
        <f t="shared" si="27"/>
        <v>67033247</v>
      </c>
      <c r="G59" s="372"/>
      <c r="H59" s="372">
        <f t="shared" si="27"/>
        <v>102382321</v>
      </c>
      <c r="I59" s="372">
        <f t="shared" si="27"/>
        <v>5025574</v>
      </c>
      <c r="J59" s="372"/>
      <c r="K59" s="372">
        <f t="shared" si="0"/>
        <v>1262300429</v>
      </c>
      <c r="L59" s="372">
        <f t="shared" si="27"/>
        <v>3712778</v>
      </c>
      <c r="M59" s="372">
        <f t="shared" si="27"/>
        <v>606700</v>
      </c>
      <c r="N59" s="372"/>
      <c r="O59" s="372">
        <f t="shared" si="27"/>
        <v>2000000</v>
      </c>
      <c r="P59" s="372">
        <f t="shared" si="27"/>
        <v>0</v>
      </c>
      <c r="Q59" s="372"/>
      <c r="R59" s="372">
        <f t="shared" si="1"/>
        <v>6319478</v>
      </c>
      <c r="S59" s="372">
        <f t="shared" si="27"/>
        <v>0</v>
      </c>
      <c r="T59" s="372">
        <f t="shared" si="27"/>
        <v>0</v>
      </c>
      <c r="U59" s="372">
        <f t="shared" si="27"/>
        <v>0</v>
      </c>
      <c r="V59" s="372">
        <f>V49+V58</f>
        <v>1317832822</v>
      </c>
    </row>
  </sheetData>
  <mergeCells count="38">
    <mergeCell ref="B48:C48"/>
    <mergeCell ref="A1:V1"/>
    <mergeCell ref="A2:V2"/>
    <mergeCell ref="A3:C5"/>
    <mergeCell ref="D3:D5"/>
    <mergeCell ref="E3:V3"/>
    <mergeCell ref="S4:T4"/>
    <mergeCell ref="E4:K4"/>
    <mergeCell ref="L4:R4"/>
    <mergeCell ref="U4:U5"/>
    <mergeCell ref="V4:V5"/>
    <mergeCell ref="A30:A39"/>
    <mergeCell ref="B39:C39"/>
    <mergeCell ref="A6:A19"/>
    <mergeCell ref="B12:C12"/>
    <mergeCell ref="B18:C18"/>
    <mergeCell ref="B19:C19"/>
    <mergeCell ref="A23:A29"/>
    <mergeCell ref="B23:C23"/>
    <mergeCell ref="B27:C27"/>
    <mergeCell ref="B28:C28"/>
    <mergeCell ref="B29:C29"/>
    <mergeCell ref="A58:C58"/>
    <mergeCell ref="A59:C59"/>
    <mergeCell ref="B44:C44"/>
    <mergeCell ref="B21:C21"/>
    <mergeCell ref="B22:C22"/>
    <mergeCell ref="A52:A53"/>
    <mergeCell ref="B53:C53"/>
    <mergeCell ref="A54:A55"/>
    <mergeCell ref="B55:C55"/>
    <mergeCell ref="A56:A57"/>
    <mergeCell ref="B57:C57"/>
    <mergeCell ref="A40:A42"/>
    <mergeCell ref="B42:C42"/>
    <mergeCell ref="A46:A48"/>
    <mergeCell ref="A49:C49"/>
    <mergeCell ref="B51:C5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&amp;R1.1.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11"/>
    <pageSetUpPr fitToPage="1"/>
  </sheetPr>
  <dimension ref="A1:U32"/>
  <sheetViews>
    <sheetView view="pageBreakPreview" topLeftCell="A4" zoomScaleNormal="80" zoomScaleSheetLayoutView="100" workbookViewId="0">
      <pane xSplit="1" topLeftCell="B1" activePane="topRight" state="frozen"/>
      <selection pane="topRight" activeCell="N7" sqref="N7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13.5703125" bestFit="1" customWidth="1"/>
    <col min="5" max="5" width="12.5703125" customWidth="1"/>
    <col min="6" max="6" width="14" customWidth="1"/>
    <col min="7" max="7" width="13.5703125" bestFit="1" customWidth="1"/>
    <col min="8" max="8" width="17" customWidth="1"/>
    <col min="9" max="9" width="14.5703125" style="174" bestFit="1" customWidth="1"/>
    <col min="10" max="13" width="14.5703125" style="174" customWidth="1"/>
    <col min="14" max="18" width="14" customWidth="1"/>
    <col min="20" max="21" width="12.7109375" style="149" bestFit="1" customWidth="1"/>
  </cols>
  <sheetData>
    <row r="1" spans="1:21" ht="21.75" customHeight="1" x14ac:dyDescent="0.2">
      <c r="A1" s="592" t="s">
        <v>464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</row>
    <row r="2" spans="1:21" ht="28.5" customHeight="1" x14ac:dyDescent="0.2">
      <c r="A2" s="593" t="s">
        <v>122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</row>
    <row r="3" spans="1:21" ht="36.75" customHeight="1" x14ac:dyDescent="0.2">
      <c r="A3" s="599" t="s">
        <v>44</v>
      </c>
      <c r="B3" s="600"/>
      <c r="C3" s="601"/>
      <c r="D3" s="594" t="s">
        <v>222</v>
      </c>
      <c r="E3" s="595"/>
      <c r="F3" s="595"/>
      <c r="G3" s="595"/>
      <c r="H3" s="595"/>
      <c r="I3" s="596" t="s">
        <v>108</v>
      </c>
      <c r="J3" s="595"/>
      <c r="K3" s="595"/>
      <c r="L3" s="595"/>
      <c r="M3" s="597"/>
      <c r="N3" s="595" t="s">
        <v>393</v>
      </c>
      <c r="O3" s="595"/>
      <c r="P3" s="595"/>
      <c r="Q3" s="595"/>
      <c r="R3" s="598"/>
    </row>
    <row r="4" spans="1:21" ht="30" customHeight="1" x14ac:dyDescent="0.2">
      <c r="A4" s="602"/>
      <c r="B4" s="603"/>
      <c r="C4" s="604"/>
      <c r="D4" s="325" t="s">
        <v>465</v>
      </c>
      <c r="E4" s="159" t="s">
        <v>364</v>
      </c>
      <c r="F4" s="159" t="s">
        <v>466</v>
      </c>
      <c r="G4" s="159" t="s">
        <v>365</v>
      </c>
      <c r="H4" s="392" t="s">
        <v>366</v>
      </c>
      <c r="I4" s="325" t="s">
        <v>465</v>
      </c>
      <c r="J4" s="159" t="s">
        <v>364</v>
      </c>
      <c r="K4" s="159" t="s">
        <v>466</v>
      </c>
      <c r="L4" s="159" t="s">
        <v>365</v>
      </c>
      <c r="M4" s="392" t="s">
        <v>366</v>
      </c>
      <c r="N4" s="325" t="s">
        <v>378</v>
      </c>
      <c r="O4" s="159" t="s">
        <v>364</v>
      </c>
      <c r="P4" s="159" t="s">
        <v>466</v>
      </c>
      <c r="Q4" s="393" t="s">
        <v>365</v>
      </c>
      <c r="R4" s="159" t="s">
        <v>366</v>
      </c>
    </row>
    <row r="5" spans="1:21" s="418" customFormat="1" ht="16.5" customHeight="1" x14ac:dyDescent="0.2">
      <c r="A5" s="640" t="s">
        <v>45</v>
      </c>
      <c r="B5" s="153"/>
      <c r="C5" s="154" t="s">
        <v>275</v>
      </c>
      <c r="D5" s="155">
        <v>29673740</v>
      </c>
      <c r="E5" s="155">
        <v>0</v>
      </c>
      <c r="F5" s="155">
        <f>G5-D5-E5</f>
        <v>0</v>
      </c>
      <c r="G5" s="394">
        <v>29673740</v>
      </c>
      <c r="H5" s="439">
        <v>19652054</v>
      </c>
      <c r="I5" s="440">
        <v>78449844</v>
      </c>
      <c r="J5" s="155">
        <v>278300</v>
      </c>
      <c r="K5" s="155">
        <f t="shared" ref="K5:K31" si="0">L5-I5-J5</f>
        <v>850027</v>
      </c>
      <c r="L5" s="394">
        <v>79578171</v>
      </c>
      <c r="M5" s="439">
        <v>57432575</v>
      </c>
      <c r="N5" s="441">
        <f t="shared" ref="N5:N26" si="1">D5+I5</f>
        <v>108123584</v>
      </c>
      <c r="O5" s="155">
        <v>278300</v>
      </c>
      <c r="P5" s="155">
        <f t="shared" ref="P5:P31" si="2">Q5-N5-O5</f>
        <v>850027</v>
      </c>
      <c r="Q5" s="394">
        <f t="shared" ref="Q5:R20" si="3">G5+L5</f>
        <v>109251911</v>
      </c>
      <c r="R5" s="394">
        <f t="shared" si="3"/>
        <v>77084629</v>
      </c>
      <c r="T5" s="149"/>
      <c r="U5" s="442"/>
    </row>
    <row r="6" spans="1:21" s="418" customFormat="1" ht="16.5" customHeight="1" x14ac:dyDescent="0.2">
      <c r="A6" s="640"/>
      <c r="B6" s="153"/>
      <c r="C6" s="154" t="s">
        <v>276</v>
      </c>
      <c r="D6" s="155">
        <v>14761386</v>
      </c>
      <c r="E6" s="155">
        <v>-883682</v>
      </c>
      <c r="F6" s="155">
        <f t="shared" ref="F6:F31" si="4">G6-D6-E6</f>
        <v>-1129794</v>
      </c>
      <c r="G6" s="394">
        <v>12747910</v>
      </c>
      <c r="H6" s="439">
        <v>8461674</v>
      </c>
      <c r="I6" s="440">
        <v>100000</v>
      </c>
      <c r="J6" s="155">
        <v>1921968</v>
      </c>
      <c r="K6" s="155">
        <f t="shared" si="0"/>
        <v>2174421</v>
      </c>
      <c r="L6" s="394">
        <v>4196389</v>
      </c>
      <c r="M6" s="439">
        <v>2535969</v>
      </c>
      <c r="N6" s="441">
        <f t="shared" si="1"/>
        <v>14861386</v>
      </c>
      <c r="O6" s="155">
        <v>1038286</v>
      </c>
      <c r="P6" s="155">
        <f t="shared" si="2"/>
        <v>1044627</v>
      </c>
      <c r="Q6" s="394">
        <f t="shared" si="3"/>
        <v>16944299</v>
      </c>
      <c r="R6" s="394">
        <f t="shared" si="3"/>
        <v>10997643</v>
      </c>
      <c r="T6" s="149"/>
      <c r="U6" s="442"/>
    </row>
    <row r="7" spans="1:21" s="152" customFormat="1" ht="21.75" customHeight="1" x14ac:dyDescent="0.2">
      <c r="A7" s="640"/>
      <c r="B7" s="585" t="s">
        <v>274</v>
      </c>
      <c r="C7" s="585"/>
      <c r="D7" s="172">
        <f>SUM(D5:D6)</f>
        <v>44435126</v>
      </c>
      <c r="E7" s="172">
        <v>-883682</v>
      </c>
      <c r="F7" s="172">
        <f t="shared" si="4"/>
        <v>-1129794</v>
      </c>
      <c r="G7" s="406">
        <f t="shared" ref="G7:H7" si="5">SUM(G5:G6)</f>
        <v>42421650</v>
      </c>
      <c r="H7" s="443">
        <f t="shared" si="5"/>
        <v>28113728</v>
      </c>
      <c r="I7" s="444">
        <f>SUM(I5:I6)</f>
        <v>78549844</v>
      </c>
      <c r="J7" s="172">
        <v>2200268</v>
      </c>
      <c r="K7" s="172">
        <f t="shared" si="0"/>
        <v>3024448</v>
      </c>
      <c r="L7" s="406">
        <f t="shared" ref="L7:M7" si="6">SUM(L5:L6)</f>
        <v>83774560</v>
      </c>
      <c r="M7" s="443">
        <f t="shared" si="6"/>
        <v>59968544</v>
      </c>
      <c r="N7" s="445">
        <f t="shared" si="1"/>
        <v>122984970</v>
      </c>
      <c r="O7" s="172">
        <v>1316586</v>
      </c>
      <c r="P7" s="172">
        <f t="shared" si="2"/>
        <v>1894654</v>
      </c>
      <c r="Q7" s="406">
        <f t="shared" si="3"/>
        <v>126196210</v>
      </c>
      <c r="R7" s="406">
        <f t="shared" si="3"/>
        <v>88082272</v>
      </c>
      <c r="T7" s="149"/>
      <c r="U7" s="182"/>
    </row>
    <row r="8" spans="1:21" s="152" customFormat="1" ht="22.5" customHeight="1" x14ac:dyDescent="0.2">
      <c r="A8" s="446" t="s">
        <v>46</v>
      </c>
      <c r="B8" s="585" t="s">
        <v>277</v>
      </c>
      <c r="C8" s="585"/>
      <c r="D8" s="172">
        <v>8215177</v>
      </c>
      <c r="E8" s="172">
        <v>-172318</v>
      </c>
      <c r="F8" s="172">
        <f t="shared" si="4"/>
        <v>-312228</v>
      </c>
      <c r="G8" s="406">
        <v>7730631</v>
      </c>
      <c r="H8" s="443">
        <v>5048848</v>
      </c>
      <c r="I8" s="444">
        <v>15474402</v>
      </c>
      <c r="J8" s="172">
        <v>332976</v>
      </c>
      <c r="K8" s="172">
        <f t="shared" si="0"/>
        <v>648197</v>
      </c>
      <c r="L8" s="406">
        <v>16455575</v>
      </c>
      <c r="M8" s="443">
        <v>11503737</v>
      </c>
      <c r="N8" s="445">
        <f t="shared" si="1"/>
        <v>23689579</v>
      </c>
      <c r="O8" s="172">
        <v>160658</v>
      </c>
      <c r="P8" s="172">
        <f t="shared" si="2"/>
        <v>335969</v>
      </c>
      <c r="Q8" s="406">
        <f t="shared" si="3"/>
        <v>24186206</v>
      </c>
      <c r="R8" s="406">
        <f t="shared" si="3"/>
        <v>16552585</v>
      </c>
      <c r="T8" s="182"/>
      <c r="U8" s="182"/>
    </row>
    <row r="9" spans="1:21" s="418" customFormat="1" ht="13.5" customHeight="1" x14ac:dyDescent="0.2">
      <c r="A9" s="582" t="s">
        <v>47</v>
      </c>
      <c r="B9" s="153"/>
      <c r="C9" s="154" t="s">
        <v>278</v>
      </c>
      <c r="D9" s="155">
        <v>7522671</v>
      </c>
      <c r="E9" s="155">
        <v>0</v>
      </c>
      <c r="F9" s="155">
        <f t="shared" si="4"/>
        <v>309838</v>
      </c>
      <c r="G9" s="394">
        <v>7832509</v>
      </c>
      <c r="H9" s="439">
        <v>5945139</v>
      </c>
      <c r="I9" s="440">
        <v>2040720</v>
      </c>
      <c r="J9" s="155">
        <v>6932</v>
      </c>
      <c r="K9" s="155">
        <f t="shared" si="0"/>
        <v>705530</v>
      </c>
      <c r="L9" s="394">
        <v>2753182</v>
      </c>
      <c r="M9" s="439">
        <v>2492328</v>
      </c>
      <c r="N9" s="441">
        <f t="shared" si="1"/>
        <v>9563391</v>
      </c>
      <c r="O9" s="155">
        <v>6932</v>
      </c>
      <c r="P9" s="155">
        <f t="shared" si="2"/>
        <v>1015368</v>
      </c>
      <c r="Q9" s="394">
        <f t="shared" si="3"/>
        <v>10585691</v>
      </c>
      <c r="R9" s="394">
        <f t="shared" si="3"/>
        <v>8437467</v>
      </c>
      <c r="T9" s="442"/>
      <c r="U9" s="442"/>
    </row>
    <row r="10" spans="1:21" s="418" customFormat="1" ht="13.5" customHeight="1" x14ac:dyDescent="0.2">
      <c r="A10" s="582"/>
      <c r="B10" s="153"/>
      <c r="C10" s="154" t="s">
        <v>279</v>
      </c>
      <c r="D10" s="155">
        <v>1650480</v>
      </c>
      <c r="E10" s="155">
        <v>0</v>
      </c>
      <c r="F10" s="155">
        <f t="shared" si="4"/>
        <v>0</v>
      </c>
      <c r="G10" s="394">
        <v>1650480</v>
      </c>
      <c r="H10" s="439">
        <v>1246598</v>
      </c>
      <c r="I10" s="440">
        <v>440000</v>
      </c>
      <c r="J10" s="155">
        <v>0</v>
      </c>
      <c r="K10" s="155">
        <f t="shared" si="0"/>
        <v>-105000</v>
      </c>
      <c r="L10" s="394">
        <v>335000</v>
      </c>
      <c r="M10" s="439">
        <v>216310</v>
      </c>
      <c r="N10" s="441">
        <f t="shared" si="1"/>
        <v>2090480</v>
      </c>
      <c r="O10" s="155">
        <v>0</v>
      </c>
      <c r="P10" s="155">
        <f t="shared" si="2"/>
        <v>-105000</v>
      </c>
      <c r="Q10" s="394">
        <f t="shared" si="3"/>
        <v>1985480</v>
      </c>
      <c r="R10" s="394">
        <f t="shared" si="3"/>
        <v>1462908</v>
      </c>
      <c r="T10" s="442"/>
      <c r="U10" s="442"/>
    </row>
    <row r="11" spans="1:21" s="418" customFormat="1" ht="13.5" customHeight="1" x14ac:dyDescent="0.2">
      <c r="A11" s="582"/>
      <c r="B11" s="153"/>
      <c r="C11" s="154" t="s">
        <v>280</v>
      </c>
      <c r="D11" s="155">
        <v>54431630</v>
      </c>
      <c r="E11" s="155">
        <v>1415403</v>
      </c>
      <c r="F11" s="155">
        <f t="shared" si="4"/>
        <v>870318</v>
      </c>
      <c r="G11" s="394">
        <v>56717351</v>
      </c>
      <c r="H11" s="439">
        <v>45050845</v>
      </c>
      <c r="I11" s="440">
        <v>4925300</v>
      </c>
      <c r="J11" s="155">
        <v>62400</v>
      </c>
      <c r="K11" s="155">
        <f t="shared" si="0"/>
        <v>807986</v>
      </c>
      <c r="L11" s="394">
        <v>5795686</v>
      </c>
      <c r="M11" s="439">
        <v>4662374</v>
      </c>
      <c r="N11" s="441">
        <f t="shared" si="1"/>
        <v>59356930</v>
      </c>
      <c r="O11" s="155">
        <v>1477803</v>
      </c>
      <c r="P11" s="155">
        <f t="shared" si="2"/>
        <v>1678304</v>
      </c>
      <c r="Q11" s="394">
        <f t="shared" si="3"/>
        <v>62513037</v>
      </c>
      <c r="R11" s="394">
        <f t="shared" si="3"/>
        <v>49713219</v>
      </c>
      <c r="T11" s="442"/>
      <c r="U11" s="442"/>
    </row>
    <row r="12" spans="1:21" s="418" customFormat="1" ht="13.5" customHeight="1" x14ac:dyDescent="0.2">
      <c r="A12" s="582"/>
      <c r="B12" s="153"/>
      <c r="C12" s="154" t="s">
        <v>281</v>
      </c>
      <c r="D12" s="155">
        <v>598000</v>
      </c>
      <c r="E12" s="155">
        <v>0</v>
      </c>
      <c r="F12" s="155">
        <f t="shared" si="4"/>
        <v>0</v>
      </c>
      <c r="G12" s="394">
        <v>598000</v>
      </c>
      <c r="H12" s="439">
        <v>88264</v>
      </c>
      <c r="I12" s="440">
        <v>1330000</v>
      </c>
      <c r="J12" s="155">
        <v>61000</v>
      </c>
      <c r="K12" s="155">
        <f t="shared" si="0"/>
        <v>56000</v>
      </c>
      <c r="L12" s="394">
        <v>1447000</v>
      </c>
      <c r="M12" s="439">
        <v>861049</v>
      </c>
      <c r="N12" s="441">
        <f t="shared" si="1"/>
        <v>1928000</v>
      </c>
      <c r="O12" s="155">
        <v>61000</v>
      </c>
      <c r="P12" s="155">
        <f t="shared" si="2"/>
        <v>56000</v>
      </c>
      <c r="Q12" s="394">
        <f t="shared" si="3"/>
        <v>2045000</v>
      </c>
      <c r="R12" s="394">
        <f t="shared" si="3"/>
        <v>949313</v>
      </c>
      <c r="T12" s="442"/>
      <c r="U12" s="442"/>
    </row>
    <row r="13" spans="1:21" s="418" customFormat="1" ht="13.5" customHeight="1" x14ac:dyDescent="0.2">
      <c r="A13" s="582"/>
      <c r="B13" s="153"/>
      <c r="C13" s="154" t="s">
        <v>282</v>
      </c>
      <c r="D13" s="155">
        <v>30830205</v>
      </c>
      <c r="E13" s="155">
        <v>17749709</v>
      </c>
      <c r="F13" s="155">
        <f t="shared" si="4"/>
        <v>5356967</v>
      </c>
      <c r="G13" s="394">
        <v>53936881</v>
      </c>
      <c r="H13" s="439">
        <v>44763325</v>
      </c>
      <c r="I13" s="440">
        <v>1133850</v>
      </c>
      <c r="J13" s="155">
        <v>35363</v>
      </c>
      <c r="K13" s="155">
        <f t="shared" si="0"/>
        <v>35000</v>
      </c>
      <c r="L13" s="394">
        <v>1204213</v>
      </c>
      <c r="M13" s="439">
        <v>883791</v>
      </c>
      <c r="N13" s="441">
        <f t="shared" si="1"/>
        <v>31964055</v>
      </c>
      <c r="O13" s="155">
        <v>17785072</v>
      </c>
      <c r="P13" s="155">
        <f t="shared" si="2"/>
        <v>5391967</v>
      </c>
      <c r="Q13" s="394">
        <f t="shared" si="3"/>
        <v>55141094</v>
      </c>
      <c r="R13" s="394">
        <f t="shared" si="3"/>
        <v>45647116</v>
      </c>
      <c r="T13" s="442"/>
      <c r="U13" s="442"/>
    </row>
    <row r="14" spans="1:21" s="152" customFormat="1" ht="19.5" customHeight="1" x14ac:dyDescent="0.2">
      <c r="A14" s="582"/>
      <c r="B14" s="585" t="s">
        <v>283</v>
      </c>
      <c r="C14" s="585"/>
      <c r="D14" s="172">
        <f>SUM(D9:D13)</f>
        <v>95032986</v>
      </c>
      <c r="E14" s="172">
        <v>19165112</v>
      </c>
      <c r="F14" s="172">
        <f t="shared" si="4"/>
        <v>6537123</v>
      </c>
      <c r="G14" s="406">
        <f t="shared" ref="G14:H14" si="7">SUM(G9:G13)</f>
        <v>120735221</v>
      </c>
      <c r="H14" s="443">
        <f t="shared" si="7"/>
        <v>97094171</v>
      </c>
      <c r="I14" s="444">
        <f>SUM(I9:I13)</f>
        <v>9869870</v>
      </c>
      <c r="J14" s="172">
        <v>165695</v>
      </c>
      <c r="K14" s="172">
        <f t="shared" si="0"/>
        <v>1499516</v>
      </c>
      <c r="L14" s="406">
        <f t="shared" ref="L14:M14" si="8">SUM(L9:L13)</f>
        <v>11535081</v>
      </c>
      <c r="M14" s="443">
        <f t="shared" si="8"/>
        <v>9115852</v>
      </c>
      <c r="N14" s="445">
        <f t="shared" si="1"/>
        <v>104902856</v>
      </c>
      <c r="O14" s="172">
        <v>19330807</v>
      </c>
      <c r="P14" s="172">
        <f t="shared" si="2"/>
        <v>8036639</v>
      </c>
      <c r="Q14" s="406">
        <f t="shared" si="3"/>
        <v>132270302</v>
      </c>
      <c r="R14" s="406">
        <f t="shared" si="3"/>
        <v>106210023</v>
      </c>
      <c r="T14" s="182"/>
      <c r="U14" s="182"/>
    </row>
    <row r="15" spans="1:21" s="152" customFormat="1" ht="25.5" customHeight="1" x14ac:dyDescent="0.2">
      <c r="A15" s="156" t="s">
        <v>48</v>
      </c>
      <c r="B15" s="585" t="s">
        <v>125</v>
      </c>
      <c r="C15" s="585"/>
      <c r="D15" s="172">
        <v>1400000</v>
      </c>
      <c r="E15" s="172">
        <v>0</v>
      </c>
      <c r="F15" s="172">
        <f t="shared" si="4"/>
        <v>1489710</v>
      </c>
      <c r="G15" s="406">
        <v>2889710</v>
      </c>
      <c r="H15" s="443">
        <v>472975</v>
      </c>
      <c r="I15" s="444">
        <v>0</v>
      </c>
      <c r="J15" s="172">
        <v>564300</v>
      </c>
      <c r="K15" s="172">
        <f t="shared" si="0"/>
        <v>-564300</v>
      </c>
      <c r="L15" s="406">
        <v>0</v>
      </c>
      <c r="M15" s="443">
        <v>0</v>
      </c>
      <c r="N15" s="445">
        <f t="shared" si="1"/>
        <v>1400000</v>
      </c>
      <c r="O15" s="172">
        <v>564300</v>
      </c>
      <c r="P15" s="172">
        <f t="shared" si="2"/>
        <v>925410</v>
      </c>
      <c r="Q15" s="406">
        <f t="shared" si="3"/>
        <v>2889710</v>
      </c>
      <c r="R15" s="406">
        <f t="shared" si="3"/>
        <v>472975</v>
      </c>
      <c r="T15" s="182"/>
      <c r="U15" s="182"/>
    </row>
    <row r="16" spans="1:21" s="152" customFormat="1" ht="25.5" customHeight="1" x14ac:dyDescent="0.2">
      <c r="A16" s="156" t="s">
        <v>49</v>
      </c>
      <c r="B16" s="585" t="s">
        <v>284</v>
      </c>
      <c r="C16" s="585"/>
      <c r="D16" s="172">
        <v>0</v>
      </c>
      <c r="E16" s="172"/>
      <c r="F16" s="172">
        <f t="shared" si="4"/>
        <v>0</v>
      </c>
      <c r="G16" s="412"/>
      <c r="H16" s="447"/>
      <c r="I16" s="444">
        <v>0</v>
      </c>
      <c r="J16" s="172"/>
      <c r="K16" s="172">
        <f t="shared" si="0"/>
        <v>0</v>
      </c>
      <c r="L16" s="412"/>
      <c r="M16" s="447"/>
      <c r="N16" s="445">
        <f t="shared" si="1"/>
        <v>0</v>
      </c>
      <c r="O16" s="172">
        <v>0</v>
      </c>
      <c r="P16" s="172">
        <f t="shared" si="2"/>
        <v>0</v>
      </c>
      <c r="Q16" s="406">
        <f t="shared" si="3"/>
        <v>0</v>
      </c>
      <c r="R16" s="406">
        <f t="shared" si="3"/>
        <v>0</v>
      </c>
      <c r="T16" s="182"/>
      <c r="U16" s="182"/>
    </row>
    <row r="17" spans="1:21" x14ac:dyDescent="0.2">
      <c r="A17" s="586" t="s">
        <v>56</v>
      </c>
      <c r="B17" s="153"/>
      <c r="C17" s="154" t="s">
        <v>285</v>
      </c>
      <c r="D17" s="155">
        <v>243693052</v>
      </c>
      <c r="E17" s="155">
        <v>0</v>
      </c>
      <c r="F17" s="155">
        <f t="shared" si="4"/>
        <v>97500</v>
      </c>
      <c r="G17" s="394">
        <v>243790552</v>
      </c>
      <c r="H17" s="439">
        <v>164945189</v>
      </c>
      <c r="I17" s="440">
        <v>488205</v>
      </c>
      <c r="J17" s="155">
        <v>11923</v>
      </c>
      <c r="K17" s="155">
        <f t="shared" si="0"/>
        <v>20852</v>
      </c>
      <c r="L17" s="394">
        <v>520980</v>
      </c>
      <c r="M17" s="439">
        <v>500128</v>
      </c>
      <c r="N17" s="441">
        <f t="shared" si="1"/>
        <v>244181257</v>
      </c>
      <c r="O17" s="155">
        <v>11923</v>
      </c>
      <c r="P17" s="155">
        <f t="shared" si="2"/>
        <v>118352</v>
      </c>
      <c r="Q17" s="394">
        <f t="shared" si="3"/>
        <v>244311532</v>
      </c>
      <c r="R17" s="394">
        <f t="shared" si="3"/>
        <v>165445317</v>
      </c>
    </row>
    <row r="18" spans="1:21" x14ac:dyDescent="0.2">
      <c r="A18" s="641"/>
      <c r="B18" s="153"/>
      <c r="C18" s="154" t="s">
        <v>286</v>
      </c>
      <c r="D18" s="155">
        <v>25570215</v>
      </c>
      <c r="E18" s="155">
        <v>1056000</v>
      </c>
      <c r="F18" s="155">
        <f t="shared" si="4"/>
        <v>5508401</v>
      </c>
      <c r="G18" s="394">
        <v>32134616</v>
      </c>
      <c r="H18" s="439">
        <v>25477815</v>
      </c>
      <c r="I18" s="440">
        <v>0</v>
      </c>
      <c r="J18" s="155">
        <v>0</v>
      </c>
      <c r="K18" s="155">
        <f t="shared" si="0"/>
        <v>0</v>
      </c>
      <c r="L18" s="397"/>
      <c r="M18" s="448"/>
      <c r="N18" s="441">
        <f t="shared" si="1"/>
        <v>25570215</v>
      </c>
      <c r="O18" s="155">
        <v>1056000</v>
      </c>
      <c r="P18" s="155">
        <f t="shared" si="2"/>
        <v>5508401</v>
      </c>
      <c r="Q18" s="394">
        <f t="shared" si="3"/>
        <v>32134616</v>
      </c>
      <c r="R18" s="394">
        <f t="shared" si="3"/>
        <v>25477815</v>
      </c>
    </row>
    <row r="19" spans="1:21" s="302" customFormat="1" ht="12.75" customHeight="1" x14ac:dyDescent="0.2">
      <c r="A19" s="641"/>
      <c r="C19" s="154" t="s">
        <v>128</v>
      </c>
      <c r="D19" s="304">
        <v>50254587</v>
      </c>
      <c r="E19" s="155">
        <v>57928422</v>
      </c>
      <c r="F19" s="155">
        <f t="shared" si="4"/>
        <v>27923015</v>
      </c>
      <c r="G19" s="400">
        <v>136106024</v>
      </c>
      <c r="H19" s="449">
        <v>0</v>
      </c>
      <c r="I19" s="450">
        <v>0</v>
      </c>
      <c r="J19" s="155">
        <v>0</v>
      </c>
      <c r="K19" s="155">
        <f t="shared" si="0"/>
        <v>0</v>
      </c>
      <c r="L19" s="451"/>
      <c r="M19" s="452"/>
      <c r="N19" s="441">
        <f t="shared" si="1"/>
        <v>50254587</v>
      </c>
      <c r="O19" s="155">
        <v>57928422</v>
      </c>
      <c r="P19" s="155">
        <f t="shared" si="2"/>
        <v>27923015</v>
      </c>
      <c r="Q19" s="394">
        <f t="shared" si="3"/>
        <v>136106024</v>
      </c>
      <c r="R19" s="394">
        <f t="shared" si="3"/>
        <v>0</v>
      </c>
      <c r="T19" s="303"/>
      <c r="U19" s="303"/>
    </row>
    <row r="20" spans="1:21" ht="25.5" customHeight="1" x14ac:dyDescent="0.2">
      <c r="A20" s="587"/>
      <c r="B20" s="585" t="s">
        <v>287</v>
      </c>
      <c r="C20" s="585"/>
      <c r="D20" s="172">
        <f>SUM(D17:D19)</f>
        <v>319517854</v>
      </c>
      <c r="E20" s="172">
        <v>58984422</v>
      </c>
      <c r="F20" s="172">
        <f t="shared" si="4"/>
        <v>33528916</v>
      </c>
      <c r="G20" s="406">
        <f t="shared" ref="G20:H20" si="9">SUM(G17:G19)</f>
        <v>412031192</v>
      </c>
      <c r="H20" s="443">
        <f t="shared" si="9"/>
        <v>190423004</v>
      </c>
      <c r="I20" s="444">
        <f t="shared" ref="I20:M20" si="10">SUM(I17:I18)</f>
        <v>488205</v>
      </c>
      <c r="J20" s="172">
        <v>11923</v>
      </c>
      <c r="K20" s="172">
        <f t="shared" si="0"/>
        <v>20852</v>
      </c>
      <c r="L20" s="406">
        <f t="shared" si="10"/>
        <v>520980</v>
      </c>
      <c r="M20" s="443">
        <f t="shared" si="10"/>
        <v>500128</v>
      </c>
      <c r="N20" s="445">
        <f t="shared" si="1"/>
        <v>320006059</v>
      </c>
      <c r="O20" s="172">
        <v>58996345</v>
      </c>
      <c r="P20" s="172">
        <f t="shared" si="2"/>
        <v>33549768</v>
      </c>
      <c r="Q20" s="406">
        <f t="shared" si="3"/>
        <v>412552172</v>
      </c>
      <c r="R20" s="406">
        <f t="shared" si="3"/>
        <v>190923132</v>
      </c>
    </row>
    <row r="21" spans="1:21" s="161" customFormat="1" ht="19.5" customHeight="1" x14ac:dyDescent="0.2">
      <c r="A21" s="323" t="s">
        <v>58</v>
      </c>
      <c r="B21" s="585" t="s">
        <v>288</v>
      </c>
      <c r="C21" s="585"/>
      <c r="D21" s="172">
        <v>466274973</v>
      </c>
      <c r="E21" s="172">
        <v>-10450787</v>
      </c>
      <c r="F21" s="172">
        <f t="shared" si="4"/>
        <v>1850147</v>
      </c>
      <c r="G21" s="406">
        <v>457674333</v>
      </c>
      <c r="H21" s="443">
        <v>104534232</v>
      </c>
      <c r="I21" s="444">
        <v>0</v>
      </c>
      <c r="J21" s="172">
        <v>1750412</v>
      </c>
      <c r="K21" s="172">
        <f t="shared" si="0"/>
        <v>24730</v>
      </c>
      <c r="L21" s="406">
        <v>1775142</v>
      </c>
      <c r="M21" s="443">
        <v>1775142</v>
      </c>
      <c r="N21" s="445">
        <f t="shared" si="1"/>
        <v>466274973</v>
      </c>
      <c r="O21" s="172">
        <v>-8700375</v>
      </c>
      <c r="P21" s="172">
        <f t="shared" si="2"/>
        <v>1874877</v>
      </c>
      <c r="Q21" s="406">
        <f t="shared" ref="Q21:R26" si="11">G21+L21</f>
        <v>459449475</v>
      </c>
      <c r="R21" s="406">
        <f t="shared" si="11"/>
        <v>106309374</v>
      </c>
      <c r="T21" s="183"/>
      <c r="U21" s="183"/>
    </row>
    <row r="22" spans="1:21" s="161" customFormat="1" ht="18.75" customHeight="1" x14ac:dyDescent="0.2">
      <c r="A22" s="323" t="s">
        <v>59</v>
      </c>
      <c r="B22" s="585" t="s">
        <v>172</v>
      </c>
      <c r="C22" s="585"/>
      <c r="D22" s="172">
        <v>43561791</v>
      </c>
      <c r="E22" s="172">
        <v>0</v>
      </c>
      <c r="F22" s="172">
        <f t="shared" si="4"/>
        <v>999999</v>
      </c>
      <c r="G22" s="406">
        <v>44561790</v>
      </c>
      <c r="H22" s="443">
        <v>40154579</v>
      </c>
      <c r="I22" s="444">
        <v>0</v>
      </c>
      <c r="J22" s="172">
        <v>0</v>
      </c>
      <c r="K22" s="172">
        <f t="shared" si="0"/>
        <v>0</v>
      </c>
      <c r="L22" s="172">
        <v>0</v>
      </c>
      <c r="M22" s="453">
        <v>0</v>
      </c>
      <c r="N22" s="445">
        <f t="shared" si="1"/>
        <v>43561791</v>
      </c>
      <c r="O22" s="172">
        <v>0</v>
      </c>
      <c r="P22" s="172">
        <f t="shared" si="2"/>
        <v>999999</v>
      </c>
      <c r="Q22" s="406">
        <f t="shared" si="11"/>
        <v>44561790</v>
      </c>
      <c r="R22" s="406">
        <f t="shared" si="11"/>
        <v>40154579</v>
      </c>
      <c r="T22" s="183"/>
      <c r="U22" s="183"/>
    </row>
    <row r="23" spans="1:21" ht="25.5" x14ac:dyDescent="0.2">
      <c r="A23" s="586" t="s">
        <v>60</v>
      </c>
      <c r="B23" s="153"/>
      <c r="C23" s="154" t="s">
        <v>289</v>
      </c>
      <c r="D23" s="155">
        <v>0</v>
      </c>
      <c r="E23" s="155"/>
      <c r="F23" s="155">
        <f t="shared" si="4"/>
        <v>0</v>
      </c>
      <c r="G23" s="397"/>
      <c r="H23" s="439"/>
      <c r="I23" s="440">
        <v>0</v>
      </c>
      <c r="J23" s="155">
        <v>0</v>
      </c>
      <c r="K23" s="155">
        <f t="shared" si="0"/>
        <v>0</v>
      </c>
      <c r="L23" s="155">
        <v>0</v>
      </c>
      <c r="M23" s="454">
        <v>0</v>
      </c>
      <c r="N23" s="441">
        <f t="shared" si="1"/>
        <v>0</v>
      </c>
      <c r="O23" s="155">
        <v>0</v>
      </c>
      <c r="P23" s="155">
        <f t="shared" si="2"/>
        <v>0</v>
      </c>
      <c r="Q23" s="394">
        <f t="shared" si="11"/>
        <v>0</v>
      </c>
      <c r="R23" s="394">
        <f t="shared" si="11"/>
        <v>0</v>
      </c>
    </row>
    <row r="24" spans="1:21" ht="25.5" x14ac:dyDescent="0.2">
      <c r="A24" s="634"/>
      <c r="B24" s="153"/>
      <c r="C24" s="154" t="s">
        <v>290</v>
      </c>
      <c r="D24" s="155">
        <v>2000000</v>
      </c>
      <c r="E24" s="155">
        <v>0</v>
      </c>
      <c r="F24" s="155">
        <f t="shared" si="4"/>
        <v>0</v>
      </c>
      <c r="G24" s="394">
        <v>2000000</v>
      </c>
      <c r="H24" s="439">
        <v>0</v>
      </c>
      <c r="I24" s="440">
        <v>0</v>
      </c>
      <c r="J24" s="155">
        <v>0</v>
      </c>
      <c r="K24" s="155">
        <f t="shared" si="0"/>
        <v>0</v>
      </c>
      <c r="L24" s="155">
        <v>0</v>
      </c>
      <c r="M24" s="454">
        <v>0</v>
      </c>
      <c r="N24" s="441">
        <f t="shared" si="1"/>
        <v>2000000</v>
      </c>
      <c r="O24" s="155">
        <v>0</v>
      </c>
      <c r="P24" s="155">
        <f t="shared" si="2"/>
        <v>0</v>
      </c>
      <c r="Q24" s="394">
        <f t="shared" si="11"/>
        <v>2000000</v>
      </c>
      <c r="R24" s="394">
        <f t="shared" si="11"/>
        <v>0</v>
      </c>
    </row>
    <row r="25" spans="1:21" x14ac:dyDescent="0.2">
      <c r="A25" s="634"/>
      <c r="B25" s="153"/>
      <c r="C25" s="154" t="s">
        <v>291</v>
      </c>
      <c r="D25" s="155">
        <v>0</v>
      </c>
      <c r="E25" s="155"/>
      <c r="F25" s="155">
        <f t="shared" si="4"/>
        <v>0</v>
      </c>
      <c r="G25" s="397"/>
      <c r="H25" s="439"/>
      <c r="I25" s="440">
        <v>0</v>
      </c>
      <c r="J25" s="155">
        <v>0</v>
      </c>
      <c r="K25" s="155">
        <f t="shared" si="0"/>
        <v>0</v>
      </c>
      <c r="L25" s="155">
        <v>0</v>
      </c>
      <c r="M25" s="454">
        <v>0</v>
      </c>
      <c r="N25" s="441">
        <f t="shared" si="1"/>
        <v>0</v>
      </c>
      <c r="O25" s="155">
        <v>0</v>
      </c>
      <c r="P25" s="155">
        <f t="shared" si="2"/>
        <v>0</v>
      </c>
      <c r="Q25" s="394">
        <f t="shared" si="11"/>
        <v>0</v>
      </c>
      <c r="R25" s="394">
        <f t="shared" si="11"/>
        <v>0</v>
      </c>
    </row>
    <row r="26" spans="1:21" s="152" customFormat="1" ht="25.5" customHeight="1" x14ac:dyDescent="0.2">
      <c r="A26" s="635"/>
      <c r="B26" s="585" t="s">
        <v>292</v>
      </c>
      <c r="C26" s="585"/>
      <c r="D26" s="172">
        <f>SUM(D23:D25)</f>
        <v>2000000</v>
      </c>
      <c r="E26" s="172">
        <v>0</v>
      </c>
      <c r="F26" s="172">
        <f t="shared" si="4"/>
        <v>0</v>
      </c>
      <c r="G26" s="406">
        <f t="shared" ref="G26:H26" si="12">SUM(G23:G25)</f>
        <v>2000000</v>
      </c>
      <c r="H26" s="443">
        <f t="shared" si="12"/>
        <v>0</v>
      </c>
      <c r="I26" s="444">
        <f>SUM(I23:I25)</f>
        <v>0</v>
      </c>
      <c r="J26" s="444">
        <f t="shared" ref="J26:M26" si="13">SUM(J23:J25)</f>
        <v>0</v>
      </c>
      <c r="K26" s="444">
        <f t="shared" si="13"/>
        <v>0</v>
      </c>
      <c r="L26" s="444">
        <f t="shared" si="13"/>
        <v>0</v>
      </c>
      <c r="M26" s="453">
        <f t="shared" si="13"/>
        <v>0</v>
      </c>
      <c r="N26" s="445">
        <f t="shared" si="1"/>
        <v>2000000</v>
      </c>
      <c r="O26" s="172">
        <v>0</v>
      </c>
      <c r="P26" s="172">
        <f t="shared" si="2"/>
        <v>0</v>
      </c>
      <c r="Q26" s="406">
        <f t="shared" si="11"/>
        <v>2000000</v>
      </c>
      <c r="R26" s="406">
        <f t="shared" si="11"/>
        <v>0</v>
      </c>
      <c r="T26" s="182"/>
      <c r="U26" s="182"/>
    </row>
    <row r="27" spans="1:21" s="152" customFormat="1" ht="25.5" customHeight="1" x14ac:dyDescent="0.2">
      <c r="A27" s="639" t="s">
        <v>293</v>
      </c>
      <c r="B27" s="639"/>
      <c r="C27" s="639"/>
      <c r="D27" s="312">
        <f>D7+D8+D14+D15+D16+D20+D21+D22+D26</f>
        <v>980437907</v>
      </c>
      <c r="E27" s="312">
        <v>66642747</v>
      </c>
      <c r="F27" s="312">
        <f t="shared" si="4"/>
        <v>42963873</v>
      </c>
      <c r="G27" s="425">
        <f t="shared" ref="G27:H27" si="14">G7+G8+G14+G15+G16+G20+G21+G22+G26</f>
        <v>1090044527</v>
      </c>
      <c r="H27" s="455">
        <f t="shared" si="14"/>
        <v>465841537</v>
      </c>
      <c r="I27" s="456">
        <f>I7+I8+I14+I15+I16+I20+I21+I22+I26+I19</f>
        <v>104382321</v>
      </c>
      <c r="J27" s="312">
        <v>5025574</v>
      </c>
      <c r="K27" s="312">
        <f t="shared" si="0"/>
        <v>4653443</v>
      </c>
      <c r="L27" s="425">
        <f t="shared" ref="L27:M27" si="15">L7+L8+L14+L15+L16+L20+L21+L22+L26+L19</f>
        <v>114061338</v>
      </c>
      <c r="M27" s="455">
        <f t="shared" si="15"/>
        <v>82863403</v>
      </c>
      <c r="N27" s="457">
        <f>N7+N8+N14+N15+N16+N20+N21+N22+N26</f>
        <v>1084820228</v>
      </c>
      <c r="O27" s="311">
        <v>71668321</v>
      </c>
      <c r="P27" s="311">
        <f t="shared" si="2"/>
        <v>47617316</v>
      </c>
      <c r="Q27" s="425">
        <f t="shared" ref="Q27:R27" si="16">Q7+Q8+Q14+Q15+Q16+Q20+Q21+Q22+Q26</f>
        <v>1204105865</v>
      </c>
      <c r="R27" s="425">
        <f t="shared" si="16"/>
        <v>548704940</v>
      </c>
      <c r="T27" s="182"/>
      <c r="U27" s="182"/>
    </row>
    <row r="28" spans="1:21" x14ac:dyDescent="0.2">
      <c r="A28" s="586" t="s">
        <v>61</v>
      </c>
      <c r="B28" s="153"/>
      <c r="C28" s="154" t="s">
        <v>296</v>
      </c>
      <c r="D28" s="155">
        <v>9110753</v>
      </c>
      <c r="E28" s="155">
        <v>0</v>
      </c>
      <c r="F28" s="155">
        <f t="shared" si="4"/>
        <v>0</v>
      </c>
      <c r="G28" s="394">
        <v>9110753</v>
      </c>
      <c r="H28" s="439">
        <v>9110753</v>
      </c>
      <c r="I28" s="440">
        <v>0</v>
      </c>
      <c r="J28" s="155"/>
      <c r="K28" s="155">
        <f t="shared" si="0"/>
        <v>0</v>
      </c>
      <c r="L28" s="397"/>
      <c r="M28" s="448"/>
      <c r="N28" s="441">
        <f>D28+I28</f>
        <v>9110753</v>
      </c>
      <c r="O28" s="155">
        <v>0</v>
      </c>
      <c r="P28" s="155">
        <f t="shared" si="2"/>
        <v>0</v>
      </c>
      <c r="Q28" s="394">
        <f>G28+L28</f>
        <v>9110753</v>
      </c>
      <c r="R28" s="394">
        <f>H28+M28</f>
        <v>9110753</v>
      </c>
    </row>
    <row r="29" spans="1:21" x14ac:dyDescent="0.2">
      <c r="A29" s="587"/>
      <c r="B29" s="153"/>
      <c r="C29" s="154" t="s">
        <v>297</v>
      </c>
      <c r="D29" s="155">
        <v>102023405</v>
      </c>
      <c r="E29" s="155">
        <v>997200</v>
      </c>
      <c r="F29" s="155">
        <f t="shared" si="4"/>
        <v>1595599</v>
      </c>
      <c r="G29" s="394">
        <v>104616204</v>
      </c>
      <c r="H29" s="439">
        <v>77179165</v>
      </c>
      <c r="I29" s="440">
        <v>0</v>
      </c>
      <c r="J29" s="155"/>
      <c r="K29" s="155">
        <f t="shared" si="0"/>
        <v>0</v>
      </c>
      <c r="L29" s="397"/>
      <c r="M29" s="448"/>
      <c r="N29" s="441">
        <f>D29+I29</f>
        <v>102023405</v>
      </c>
      <c r="O29" s="155">
        <v>997200</v>
      </c>
      <c r="P29" s="155">
        <f t="shared" si="2"/>
        <v>1595599</v>
      </c>
      <c r="Q29" s="394">
        <f>G29+L29</f>
        <v>104616204</v>
      </c>
      <c r="R29" s="394">
        <f>H29+M29</f>
        <v>77179165</v>
      </c>
    </row>
    <row r="30" spans="1:21" s="152" customFormat="1" ht="22.5" customHeight="1" x14ac:dyDescent="0.2">
      <c r="A30" s="636" t="s">
        <v>294</v>
      </c>
      <c r="B30" s="637"/>
      <c r="C30" s="638"/>
      <c r="D30" s="312">
        <f>SUM(D28:D29)</f>
        <v>111134158</v>
      </c>
      <c r="E30" s="312">
        <v>997200</v>
      </c>
      <c r="F30" s="312">
        <f t="shared" si="4"/>
        <v>1595599</v>
      </c>
      <c r="G30" s="425">
        <f t="shared" ref="G30:H30" si="17">SUM(G28:G29)</f>
        <v>113726957</v>
      </c>
      <c r="H30" s="455">
        <f t="shared" si="17"/>
        <v>86289918</v>
      </c>
      <c r="I30" s="456">
        <f>SUM(I28:I29)</f>
        <v>0</v>
      </c>
      <c r="J30" s="312"/>
      <c r="K30" s="312">
        <f t="shared" si="0"/>
        <v>0</v>
      </c>
      <c r="L30" s="458"/>
      <c r="M30" s="459"/>
      <c r="N30" s="457">
        <f>SUM(N28:N29)</f>
        <v>111134158</v>
      </c>
      <c r="O30" s="311">
        <v>997200</v>
      </c>
      <c r="P30" s="311">
        <f t="shared" si="2"/>
        <v>1595599</v>
      </c>
      <c r="Q30" s="425">
        <f t="shared" ref="Q30:R30" si="18">SUM(Q28:Q29)</f>
        <v>113726957</v>
      </c>
      <c r="R30" s="425">
        <f t="shared" si="18"/>
        <v>86289918</v>
      </c>
      <c r="T30" s="182"/>
      <c r="U30" s="182"/>
    </row>
    <row r="31" spans="1:21" s="150" customFormat="1" ht="22.5" customHeight="1" x14ac:dyDescent="0.2">
      <c r="A31" s="633" t="s">
        <v>295</v>
      </c>
      <c r="B31" s="633"/>
      <c r="C31" s="633"/>
      <c r="D31" s="317">
        <f>D27+D30</f>
        <v>1091572065</v>
      </c>
      <c r="E31" s="317">
        <v>67639947</v>
      </c>
      <c r="F31" s="317">
        <f t="shared" si="4"/>
        <v>44559472</v>
      </c>
      <c r="G31" s="460">
        <f t="shared" ref="G31:H31" si="19">G27+G30</f>
        <v>1203771484</v>
      </c>
      <c r="H31" s="461">
        <f t="shared" si="19"/>
        <v>552131455</v>
      </c>
      <c r="I31" s="462">
        <f>I27+I30</f>
        <v>104382321</v>
      </c>
      <c r="J31" s="317">
        <v>5025574</v>
      </c>
      <c r="K31" s="317">
        <f t="shared" si="0"/>
        <v>4653443</v>
      </c>
      <c r="L31" s="460">
        <f t="shared" ref="L31:M31" si="20">L27+L30</f>
        <v>114061338</v>
      </c>
      <c r="M31" s="461">
        <f t="shared" si="20"/>
        <v>82863403</v>
      </c>
      <c r="N31" s="463">
        <f>N27+N30</f>
        <v>1195954386</v>
      </c>
      <c r="O31" s="318">
        <v>72665521</v>
      </c>
      <c r="P31" s="318">
        <f t="shared" si="2"/>
        <v>49212915</v>
      </c>
      <c r="Q31" s="460">
        <f t="shared" ref="Q31:R31" si="21">Q27+Q30</f>
        <v>1317832822</v>
      </c>
      <c r="R31" s="460">
        <f t="shared" si="21"/>
        <v>634994858</v>
      </c>
      <c r="T31" s="184"/>
      <c r="U31" s="184"/>
    </row>
    <row r="32" spans="1:21" s="150" customFormat="1" x14ac:dyDescent="0.2">
      <c r="H32" s="438">
        <f>H31/G31</f>
        <v>0.45866799665774438</v>
      </c>
      <c r="I32" s="464"/>
      <c r="J32" s="464"/>
      <c r="K32" s="464"/>
      <c r="L32" s="464"/>
      <c r="M32" s="438">
        <f>M31/L31</f>
        <v>0.72648107108825954</v>
      </c>
      <c r="T32" s="184"/>
      <c r="U32" s="184"/>
    </row>
  </sheetData>
  <mergeCells count="23">
    <mergeCell ref="B8:C8"/>
    <mergeCell ref="A5:A7"/>
    <mergeCell ref="B20:C20"/>
    <mergeCell ref="A17:A20"/>
    <mergeCell ref="B14:C14"/>
    <mergeCell ref="A9:A14"/>
    <mergeCell ref="B15:C15"/>
    <mergeCell ref="B16:C16"/>
    <mergeCell ref="A3:C4"/>
    <mergeCell ref="B7:C7"/>
    <mergeCell ref="A1:R1"/>
    <mergeCell ref="A2:R2"/>
    <mergeCell ref="D3:H3"/>
    <mergeCell ref="I3:M3"/>
    <mergeCell ref="N3:R3"/>
    <mergeCell ref="A31:C31"/>
    <mergeCell ref="B26:C26"/>
    <mergeCell ref="B21:C21"/>
    <mergeCell ref="B22:C22"/>
    <mergeCell ref="A23:A26"/>
    <mergeCell ref="A28:A29"/>
    <mergeCell ref="A30:C30"/>
    <mergeCell ref="A27:C27"/>
  </mergeCells>
  <phoneticPr fontId="0" type="noConversion"/>
  <printOptions horizontalCentered="1"/>
  <pageMargins left="0.39370078740157483" right="0.15748031496062992" top="0.62992125984251968" bottom="0.43307086614173229" header="0.19685039370078741" footer="0.19685039370078741"/>
  <pageSetup paperSize="9" scale="53" firstPageNumber="41" orientation="landscape" r:id="rId1"/>
  <headerFooter alignWithMargins="0">
    <oddHeader>&amp;R&amp;"Times New Roman,Normál"2. számú melléklet</oddHeader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A7" workbookViewId="0">
      <selection activeCell="K21" sqref="K21"/>
    </sheetView>
  </sheetViews>
  <sheetFormatPr defaultRowHeight="12.75" x14ac:dyDescent="0.2"/>
  <cols>
    <col min="1" max="1" width="3.5703125" style="356" bestFit="1" customWidth="1"/>
    <col min="2" max="2" width="2.85546875" style="356" customWidth="1"/>
    <col min="3" max="3" width="51.42578125" style="356" customWidth="1"/>
    <col min="4" max="4" width="6.28515625" style="356" bestFit="1" customWidth="1"/>
    <col min="5" max="5" width="12.7109375" style="356" bestFit="1" customWidth="1"/>
    <col min="6" max="6" width="10.7109375" style="356" bestFit="1" customWidth="1"/>
    <col min="7" max="7" width="10.7109375" style="356" customWidth="1"/>
    <col min="8" max="8" width="11.140625" style="356" bestFit="1" customWidth="1"/>
    <col min="9" max="9" width="9.140625" style="356" bestFit="1" customWidth="1"/>
    <col min="10" max="10" width="9.140625" style="356" customWidth="1"/>
    <col min="11" max="11" width="12.7109375" style="356" bestFit="1" customWidth="1"/>
    <col min="12" max="12" width="10.140625" style="356" bestFit="1" customWidth="1"/>
    <col min="13" max="13" width="9.140625" style="374" bestFit="1" customWidth="1"/>
    <col min="14" max="14" width="9.140625" style="374" customWidth="1"/>
    <col min="15" max="15" width="9.140625" style="356" bestFit="1" customWidth="1"/>
    <col min="16" max="16" width="7.140625" style="356" bestFit="1" customWidth="1"/>
    <col min="17" max="17" width="7.5703125" style="356" bestFit="1" customWidth="1"/>
    <col min="18" max="18" width="10.140625" style="356" bestFit="1" customWidth="1"/>
    <col min="19" max="19" width="7" style="356" customWidth="1"/>
    <col min="20" max="20" width="9.42578125" style="356" customWidth="1"/>
    <col min="21" max="21" width="9.42578125" style="356" bestFit="1" customWidth="1"/>
    <col min="22" max="22" width="13.140625" style="356" bestFit="1" customWidth="1"/>
    <col min="23" max="24" width="12.7109375" style="374" bestFit="1" customWidth="1"/>
    <col min="25" max="16384" width="9.140625" style="356"/>
  </cols>
  <sheetData>
    <row r="1" spans="1:24" x14ac:dyDescent="0.2">
      <c r="A1" s="592" t="s">
        <v>474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</row>
    <row r="2" spans="1:24" ht="15.75" x14ac:dyDescent="0.25">
      <c r="A2" s="648" t="s">
        <v>122</v>
      </c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</row>
    <row r="3" spans="1:24" x14ac:dyDescent="0.2">
      <c r="A3" s="613" t="s">
        <v>44</v>
      </c>
      <c r="B3" s="614"/>
      <c r="C3" s="615"/>
      <c r="D3" s="622" t="s">
        <v>391</v>
      </c>
      <c r="E3" s="625" t="s">
        <v>455</v>
      </c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26"/>
      <c r="S3" s="626"/>
      <c r="T3" s="626"/>
      <c r="U3" s="626"/>
      <c r="V3" s="627"/>
      <c r="W3" s="356"/>
      <c r="X3" s="356"/>
    </row>
    <row r="4" spans="1:24" ht="12.75" customHeight="1" x14ac:dyDescent="0.2">
      <c r="A4" s="616"/>
      <c r="B4" s="617"/>
      <c r="C4" s="618"/>
      <c r="D4" s="623"/>
      <c r="E4" s="628" t="s">
        <v>392</v>
      </c>
      <c r="F4" s="630"/>
      <c r="G4" s="630"/>
      <c r="H4" s="630"/>
      <c r="I4" s="630"/>
      <c r="J4" s="630"/>
      <c r="K4" s="629"/>
      <c r="L4" s="628" t="s">
        <v>394</v>
      </c>
      <c r="M4" s="630"/>
      <c r="N4" s="630"/>
      <c r="O4" s="630"/>
      <c r="P4" s="630"/>
      <c r="Q4" s="630"/>
      <c r="R4" s="629"/>
      <c r="S4" s="628" t="s">
        <v>395</v>
      </c>
      <c r="T4" s="629"/>
      <c r="U4" s="622" t="s">
        <v>393</v>
      </c>
      <c r="V4" s="631" t="s">
        <v>118</v>
      </c>
      <c r="W4" s="356"/>
      <c r="X4" s="356"/>
    </row>
    <row r="5" spans="1:24" s="359" customFormat="1" ht="38.25" x14ac:dyDescent="0.2">
      <c r="A5" s="619"/>
      <c r="B5" s="620"/>
      <c r="C5" s="621"/>
      <c r="D5" s="624"/>
      <c r="E5" s="358" t="s">
        <v>456</v>
      </c>
      <c r="F5" s="358" t="s">
        <v>475</v>
      </c>
      <c r="G5" s="358" t="s">
        <v>476</v>
      </c>
      <c r="H5" s="358" t="s">
        <v>457</v>
      </c>
      <c r="I5" s="358" t="s">
        <v>475</v>
      </c>
      <c r="J5" s="358" t="s">
        <v>476</v>
      </c>
      <c r="K5" s="554" t="s">
        <v>393</v>
      </c>
      <c r="L5" s="358" t="s">
        <v>456</v>
      </c>
      <c r="M5" s="358" t="s">
        <v>475</v>
      </c>
      <c r="N5" s="358" t="s">
        <v>476</v>
      </c>
      <c r="O5" s="358" t="s">
        <v>457</v>
      </c>
      <c r="P5" s="358" t="s">
        <v>475</v>
      </c>
      <c r="Q5" s="358" t="s">
        <v>476</v>
      </c>
      <c r="R5" s="554" t="s">
        <v>393</v>
      </c>
      <c r="S5" s="357" t="s">
        <v>456</v>
      </c>
      <c r="T5" s="357" t="s">
        <v>457</v>
      </c>
      <c r="U5" s="624"/>
      <c r="V5" s="632"/>
    </row>
    <row r="6" spans="1:24" x14ac:dyDescent="0.2">
      <c r="A6" s="610" t="s">
        <v>45</v>
      </c>
      <c r="B6" s="153"/>
      <c r="C6" s="154" t="s">
        <v>275</v>
      </c>
      <c r="D6" s="154" t="s">
        <v>431</v>
      </c>
      <c r="E6" s="155">
        <v>29673740</v>
      </c>
      <c r="F6" s="155">
        <v>0</v>
      </c>
      <c r="G6" s="155">
        <v>0</v>
      </c>
      <c r="H6" s="155">
        <v>78449844</v>
      </c>
      <c r="I6" s="155">
        <v>278300</v>
      </c>
      <c r="J6" s="155">
        <v>850027</v>
      </c>
      <c r="K6" s="155">
        <f>SUM(E6:J6)</f>
        <v>109251911</v>
      </c>
      <c r="L6" s="361">
        <v>0</v>
      </c>
      <c r="M6" s="155">
        <v>0</v>
      </c>
      <c r="N6" s="155"/>
      <c r="O6" s="361">
        <v>0</v>
      </c>
      <c r="P6" s="361">
        <v>0</v>
      </c>
      <c r="Q6" s="361"/>
      <c r="R6" s="155">
        <f>SUM(L6:Q6)</f>
        <v>0</v>
      </c>
      <c r="S6" s="361">
        <v>0</v>
      </c>
      <c r="T6" s="361">
        <v>0</v>
      </c>
      <c r="U6" s="155">
        <f>SUM(S6:T6)</f>
        <v>0</v>
      </c>
      <c r="V6" s="155">
        <f>K6+R6+U6</f>
        <v>109251911</v>
      </c>
    </row>
    <row r="7" spans="1:24" x14ac:dyDescent="0.2">
      <c r="A7" s="610"/>
      <c r="B7" s="153"/>
      <c r="C7" s="154" t="s">
        <v>276</v>
      </c>
      <c r="D7" s="154" t="s">
        <v>432</v>
      </c>
      <c r="E7" s="155">
        <v>14761386</v>
      </c>
      <c r="F7" s="155">
        <v>-883682</v>
      </c>
      <c r="G7" s="155">
        <v>-1129794</v>
      </c>
      <c r="H7" s="155">
        <v>100000</v>
      </c>
      <c r="I7" s="155">
        <v>1921968</v>
      </c>
      <c r="J7" s="155">
        <v>2174421</v>
      </c>
      <c r="K7" s="155">
        <f t="shared" ref="K7:K33" si="0">SUM(E7:J7)</f>
        <v>16944299</v>
      </c>
      <c r="L7" s="361">
        <v>0</v>
      </c>
      <c r="M7" s="155">
        <v>0</v>
      </c>
      <c r="N7" s="155"/>
      <c r="O7" s="361">
        <v>0</v>
      </c>
      <c r="P7" s="361">
        <v>0</v>
      </c>
      <c r="Q7" s="361"/>
      <c r="R7" s="155">
        <f t="shared" ref="R7:R31" si="1">SUM(L7:Q7)</f>
        <v>0</v>
      </c>
      <c r="S7" s="361">
        <v>0</v>
      </c>
      <c r="T7" s="361">
        <v>0</v>
      </c>
      <c r="U7" s="155">
        <f>SUM(S7:T7)</f>
        <v>0</v>
      </c>
      <c r="V7" s="155">
        <f>K7+R7+U7</f>
        <v>16944299</v>
      </c>
    </row>
    <row r="8" spans="1:24" s="364" customFormat="1" ht="21.75" customHeight="1" x14ac:dyDescent="0.2">
      <c r="A8" s="610"/>
      <c r="B8" s="585" t="s">
        <v>274</v>
      </c>
      <c r="C8" s="585"/>
      <c r="D8" s="320" t="s">
        <v>433</v>
      </c>
      <c r="E8" s="172">
        <f>SUM(E6:E7)</f>
        <v>44435126</v>
      </c>
      <c r="F8" s="172">
        <f>SUM(F6:F7)</f>
        <v>-883682</v>
      </c>
      <c r="G8" s="172">
        <f t="shared" ref="G8:J8" si="2">SUM(G6:G7)</f>
        <v>-1129794</v>
      </c>
      <c r="H8" s="172">
        <f t="shared" si="2"/>
        <v>78549844</v>
      </c>
      <c r="I8" s="172">
        <f t="shared" si="2"/>
        <v>2200268</v>
      </c>
      <c r="J8" s="172">
        <f t="shared" si="2"/>
        <v>3024448</v>
      </c>
      <c r="K8" s="172">
        <f t="shared" si="0"/>
        <v>126196210</v>
      </c>
      <c r="L8" s="172">
        <f t="shared" ref="L8:V8" si="3">SUM(L6:L7)</f>
        <v>0</v>
      </c>
      <c r="M8" s="172">
        <f t="shared" si="3"/>
        <v>0</v>
      </c>
      <c r="N8" s="172">
        <f t="shared" si="3"/>
        <v>0</v>
      </c>
      <c r="O8" s="172">
        <f t="shared" si="3"/>
        <v>0</v>
      </c>
      <c r="P8" s="172">
        <f t="shared" si="3"/>
        <v>0</v>
      </c>
      <c r="Q8" s="172">
        <f t="shared" si="3"/>
        <v>0</v>
      </c>
      <c r="R8" s="172">
        <f t="shared" si="1"/>
        <v>0</v>
      </c>
      <c r="S8" s="172">
        <f t="shared" si="3"/>
        <v>0</v>
      </c>
      <c r="T8" s="172">
        <f t="shared" si="3"/>
        <v>0</v>
      </c>
      <c r="U8" s="172">
        <f>SUM(U6:U7)</f>
        <v>0</v>
      </c>
      <c r="V8" s="172">
        <f t="shared" si="3"/>
        <v>126196210</v>
      </c>
      <c r="W8" s="375"/>
      <c r="X8" s="375"/>
    </row>
    <row r="9" spans="1:24" s="364" customFormat="1" ht="22.5" customHeight="1" x14ac:dyDescent="0.2">
      <c r="A9" s="376" t="s">
        <v>46</v>
      </c>
      <c r="B9" s="585" t="s">
        <v>277</v>
      </c>
      <c r="C9" s="585"/>
      <c r="D9" s="320" t="s">
        <v>434</v>
      </c>
      <c r="E9" s="172">
        <v>8215177</v>
      </c>
      <c r="F9" s="172">
        <v>-172318</v>
      </c>
      <c r="G9" s="172">
        <v>-312228</v>
      </c>
      <c r="H9" s="172">
        <v>15474402</v>
      </c>
      <c r="I9" s="172">
        <v>332976</v>
      </c>
      <c r="J9" s="172">
        <v>648197</v>
      </c>
      <c r="K9" s="172">
        <f t="shared" si="0"/>
        <v>24186206</v>
      </c>
      <c r="L9" s="172">
        <v>0</v>
      </c>
      <c r="M9" s="172">
        <v>0</v>
      </c>
      <c r="N9" s="172">
        <v>0</v>
      </c>
      <c r="O9" s="172">
        <v>0</v>
      </c>
      <c r="P9" s="172">
        <v>0</v>
      </c>
      <c r="Q9" s="172">
        <v>0</v>
      </c>
      <c r="R9" s="172">
        <f t="shared" si="1"/>
        <v>0</v>
      </c>
      <c r="S9" s="172">
        <v>0</v>
      </c>
      <c r="T9" s="172">
        <v>0</v>
      </c>
      <c r="U9" s="172">
        <f t="shared" ref="U9:U15" si="4">SUM(S9:T9)</f>
        <v>0</v>
      </c>
      <c r="V9" s="172">
        <f>K9+R9+U9</f>
        <v>24186206</v>
      </c>
      <c r="W9" s="375"/>
      <c r="X9" s="375"/>
    </row>
    <row r="10" spans="1:24" x14ac:dyDescent="0.2">
      <c r="A10" s="610" t="s">
        <v>47</v>
      </c>
      <c r="B10" s="153"/>
      <c r="C10" s="154" t="s">
        <v>278</v>
      </c>
      <c r="D10" s="154" t="s">
        <v>435</v>
      </c>
      <c r="E10" s="155">
        <v>7522671</v>
      </c>
      <c r="F10" s="155">
        <v>0</v>
      </c>
      <c r="G10" s="155">
        <v>309838</v>
      </c>
      <c r="H10" s="155">
        <v>2040720</v>
      </c>
      <c r="I10" s="155">
        <v>6932</v>
      </c>
      <c r="J10" s="155">
        <v>705530</v>
      </c>
      <c r="K10" s="155">
        <f t="shared" si="0"/>
        <v>10585691</v>
      </c>
      <c r="L10" s="361">
        <v>0</v>
      </c>
      <c r="M10" s="155">
        <v>0</v>
      </c>
      <c r="N10" s="155"/>
      <c r="O10" s="361">
        <v>0</v>
      </c>
      <c r="P10" s="361">
        <v>0</v>
      </c>
      <c r="Q10" s="361"/>
      <c r="R10" s="155">
        <f t="shared" si="1"/>
        <v>0</v>
      </c>
      <c r="S10" s="361">
        <v>0</v>
      </c>
      <c r="T10" s="361">
        <v>0</v>
      </c>
      <c r="U10" s="155">
        <f t="shared" si="4"/>
        <v>0</v>
      </c>
      <c r="V10" s="155">
        <f t="shared" ref="V10:V15" si="5">K10+R10+U10</f>
        <v>10585691</v>
      </c>
    </row>
    <row r="11" spans="1:24" x14ac:dyDescent="0.2">
      <c r="A11" s="610"/>
      <c r="B11" s="153"/>
      <c r="C11" s="154" t="s">
        <v>279</v>
      </c>
      <c r="D11" s="154" t="s">
        <v>436</v>
      </c>
      <c r="E11" s="155">
        <v>1650480</v>
      </c>
      <c r="F11" s="155">
        <v>0</v>
      </c>
      <c r="G11" s="155">
        <v>0</v>
      </c>
      <c r="H11" s="155">
        <v>440000</v>
      </c>
      <c r="I11" s="155">
        <v>0</v>
      </c>
      <c r="J11" s="155">
        <v>-105000</v>
      </c>
      <c r="K11" s="155">
        <f t="shared" si="0"/>
        <v>1985480</v>
      </c>
      <c r="L11" s="361">
        <v>0</v>
      </c>
      <c r="M11" s="155">
        <v>0</v>
      </c>
      <c r="N11" s="155"/>
      <c r="O11" s="361">
        <v>0</v>
      </c>
      <c r="P11" s="361">
        <v>0</v>
      </c>
      <c r="Q11" s="361"/>
      <c r="R11" s="155">
        <f t="shared" si="1"/>
        <v>0</v>
      </c>
      <c r="S11" s="361">
        <v>0</v>
      </c>
      <c r="T11" s="361">
        <v>0</v>
      </c>
      <c r="U11" s="155">
        <f t="shared" si="4"/>
        <v>0</v>
      </c>
      <c r="V11" s="155">
        <f t="shared" si="5"/>
        <v>1985480</v>
      </c>
    </row>
    <row r="12" spans="1:24" x14ac:dyDescent="0.2">
      <c r="A12" s="610"/>
      <c r="B12" s="153"/>
      <c r="C12" s="154" t="s">
        <v>280</v>
      </c>
      <c r="D12" s="154" t="s">
        <v>437</v>
      </c>
      <c r="E12" s="155">
        <v>54318852</v>
      </c>
      <c r="F12" s="155">
        <v>0</v>
      </c>
      <c r="G12" s="155">
        <v>870318</v>
      </c>
      <c r="H12" s="155">
        <v>3325300</v>
      </c>
      <c r="I12" s="155">
        <v>62400</v>
      </c>
      <c r="J12" s="155">
        <v>703060</v>
      </c>
      <c r="K12" s="155">
        <f t="shared" si="0"/>
        <v>59279930</v>
      </c>
      <c r="L12" s="361">
        <v>0</v>
      </c>
      <c r="M12" s="155">
        <v>0</v>
      </c>
      <c r="N12" s="155">
        <v>0</v>
      </c>
      <c r="O12" s="155">
        <v>1600000</v>
      </c>
      <c r="P12" s="361">
        <v>0</v>
      </c>
      <c r="Q12" s="155">
        <v>104926</v>
      </c>
      <c r="R12" s="155">
        <f t="shared" si="1"/>
        <v>1704926</v>
      </c>
      <c r="S12" s="361">
        <v>0</v>
      </c>
      <c r="T12" s="361">
        <v>0</v>
      </c>
      <c r="U12" s="155">
        <f t="shared" si="4"/>
        <v>0</v>
      </c>
      <c r="V12" s="155">
        <f>K12+R12+U12</f>
        <v>60984856</v>
      </c>
    </row>
    <row r="13" spans="1:24" x14ac:dyDescent="0.2">
      <c r="A13" s="610"/>
      <c r="B13" s="153"/>
      <c r="C13" s="154" t="s">
        <v>438</v>
      </c>
      <c r="D13" s="154" t="s">
        <v>439</v>
      </c>
      <c r="E13" s="155">
        <v>0</v>
      </c>
      <c r="F13" s="155">
        <v>190000</v>
      </c>
      <c r="G13" s="155">
        <v>0</v>
      </c>
      <c r="H13" s="155">
        <v>0</v>
      </c>
      <c r="I13" s="155">
        <v>0</v>
      </c>
      <c r="J13" s="155">
        <v>0</v>
      </c>
      <c r="K13" s="155">
        <f t="shared" si="0"/>
        <v>190000</v>
      </c>
      <c r="L13" s="155">
        <v>112778</v>
      </c>
      <c r="M13" s="155">
        <v>1225403</v>
      </c>
      <c r="N13" s="155"/>
      <c r="O13" s="361">
        <v>0</v>
      </c>
      <c r="P13" s="361">
        <v>0</v>
      </c>
      <c r="Q13" s="361"/>
      <c r="R13" s="155">
        <f t="shared" si="1"/>
        <v>1338181</v>
      </c>
      <c r="S13" s="361">
        <v>0</v>
      </c>
      <c r="T13" s="361">
        <v>0</v>
      </c>
      <c r="U13" s="155">
        <f t="shared" si="4"/>
        <v>0</v>
      </c>
      <c r="V13" s="155">
        <f t="shared" si="5"/>
        <v>1528181</v>
      </c>
    </row>
    <row r="14" spans="1:24" x14ac:dyDescent="0.2">
      <c r="A14" s="610"/>
      <c r="B14" s="153"/>
      <c r="C14" s="154" t="s">
        <v>281</v>
      </c>
      <c r="D14" s="154" t="s">
        <v>440</v>
      </c>
      <c r="E14" s="155">
        <v>598000</v>
      </c>
      <c r="F14" s="155">
        <v>0</v>
      </c>
      <c r="G14" s="155">
        <v>0</v>
      </c>
      <c r="H14" s="155">
        <v>1330000</v>
      </c>
      <c r="I14" s="155">
        <v>61000</v>
      </c>
      <c r="J14" s="155">
        <v>56000</v>
      </c>
      <c r="K14" s="155">
        <f t="shared" si="0"/>
        <v>2045000</v>
      </c>
      <c r="L14" s="361">
        <v>0</v>
      </c>
      <c r="M14" s="155">
        <v>0</v>
      </c>
      <c r="N14" s="155"/>
      <c r="O14" s="361">
        <v>0</v>
      </c>
      <c r="P14" s="361">
        <v>0</v>
      </c>
      <c r="Q14" s="361"/>
      <c r="R14" s="155">
        <f t="shared" si="1"/>
        <v>0</v>
      </c>
      <c r="S14" s="361">
        <v>0</v>
      </c>
      <c r="T14" s="361">
        <v>0</v>
      </c>
      <c r="U14" s="155">
        <f t="shared" si="4"/>
        <v>0</v>
      </c>
      <c r="V14" s="155">
        <f t="shared" si="5"/>
        <v>2045000</v>
      </c>
    </row>
    <row r="15" spans="1:24" x14ac:dyDescent="0.2">
      <c r="A15" s="610"/>
      <c r="B15" s="153"/>
      <c r="C15" s="154" t="s">
        <v>282</v>
      </c>
      <c r="D15" s="154" t="s">
        <v>441</v>
      </c>
      <c r="E15" s="155">
        <v>30830205</v>
      </c>
      <c r="F15" s="155">
        <v>17749709</v>
      </c>
      <c r="G15" s="155">
        <v>5356967</v>
      </c>
      <c r="H15" s="155">
        <v>1133850</v>
      </c>
      <c r="I15" s="155">
        <v>35363</v>
      </c>
      <c r="J15" s="155">
        <v>35000</v>
      </c>
      <c r="K15" s="155">
        <f t="shared" si="0"/>
        <v>55141094</v>
      </c>
      <c r="L15" s="361">
        <v>0</v>
      </c>
      <c r="M15" s="155">
        <v>0</v>
      </c>
      <c r="N15" s="155"/>
      <c r="O15" s="361">
        <v>0</v>
      </c>
      <c r="P15" s="361">
        <v>0</v>
      </c>
      <c r="Q15" s="361"/>
      <c r="R15" s="155">
        <f t="shared" si="1"/>
        <v>0</v>
      </c>
      <c r="S15" s="361">
        <v>0</v>
      </c>
      <c r="T15" s="361">
        <v>0</v>
      </c>
      <c r="U15" s="155">
        <f t="shared" si="4"/>
        <v>0</v>
      </c>
      <c r="V15" s="155">
        <f t="shared" si="5"/>
        <v>55141094</v>
      </c>
    </row>
    <row r="16" spans="1:24" s="364" customFormat="1" ht="19.5" customHeight="1" x14ac:dyDescent="0.2">
      <c r="A16" s="610"/>
      <c r="B16" s="585" t="s">
        <v>283</v>
      </c>
      <c r="C16" s="585"/>
      <c r="D16" s="320" t="s">
        <v>442</v>
      </c>
      <c r="E16" s="172">
        <f>SUM(E10:E15)</f>
        <v>94920208</v>
      </c>
      <c r="F16" s="172">
        <f t="shared" ref="F16:V16" si="6">SUM(F10:F15)</f>
        <v>17939709</v>
      </c>
      <c r="G16" s="172">
        <f t="shared" si="6"/>
        <v>6537123</v>
      </c>
      <c r="H16" s="172">
        <f t="shared" si="6"/>
        <v>8269870</v>
      </c>
      <c r="I16" s="172">
        <f t="shared" si="6"/>
        <v>165695</v>
      </c>
      <c r="J16" s="172">
        <f t="shared" si="6"/>
        <v>1394590</v>
      </c>
      <c r="K16" s="172">
        <f t="shared" si="0"/>
        <v>129227195</v>
      </c>
      <c r="L16" s="172">
        <f t="shared" si="6"/>
        <v>112778</v>
      </c>
      <c r="M16" s="172">
        <f t="shared" si="6"/>
        <v>1225403</v>
      </c>
      <c r="N16" s="172">
        <f t="shared" si="6"/>
        <v>0</v>
      </c>
      <c r="O16" s="172">
        <f t="shared" si="6"/>
        <v>1600000</v>
      </c>
      <c r="P16" s="172">
        <f t="shared" si="6"/>
        <v>0</v>
      </c>
      <c r="Q16" s="172">
        <f t="shared" si="6"/>
        <v>104926</v>
      </c>
      <c r="R16" s="172">
        <f t="shared" si="1"/>
        <v>3043107</v>
      </c>
      <c r="S16" s="172">
        <f t="shared" si="6"/>
        <v>0</v>
      </c>
      <c r="T16" s="172">
        <f t="shared" si="6"/>
        <v>0</v>
      </c>
      <c r="U16" s="172">
        <f t="shared" si="6"/>
        <v>0</v>
      </c>
      <c r="V16" s="172">
        <f t="shared" si="6"/>
        <v>132270302</v>
      </c>
      <c r="W16" s="375"/>
      <c r="X16" s="375"/>
    </row>
    <row r="17" spans="1:24" s="364" customFormat="1" ht="25.5" customHeight="1" x14ac:dyDescent="0.2">
      <c r="A17" s="376" t="s">
        <v>48</v>
      </c>
      <c r="B17" s="585" t="s">
        <v>125</v>
      </c>
      <c r="C17" s="585"/>
      <c r="D17" s="320" t="s">
        <v>443</v>
      </c>
      <c r="E17" s="172">
        <v>1400000</v>
      </c>
      <c r="F17" s="172">
        <v>0</v>
      </c>
      <c r="G17" s="172">
        <v>1489710</v>
      </c>
      <c r="H17" s="172">
        <v>0</v>
      </c>
      <c r="I17" s="172">
        <v>564300</v>
      </c>
      <c r="J17" s="172">
        <v>-564300</v>
      </c>
      <c r="K17" s="172">
        <f t="shared" si="0"/>
        <v>2889710</v>
      </c>
      <c r="L17" s="377">
        <v>0</v>
      </c>
      <c r="M17" s="172">
        <v>0</v>
      </c>
      <c r="N17" s="172"/>
      <c r="O17" s="377">
        <v>0</v>
      </c>
      <c r="P17" s="377">
        <v>0</v>
      </c>
      <c r="Q17" s="377"/>
      <c r="R17" s="172">
        <f t="shared" si="1"/>
        <v>0</v>
      </c>
      <c r="S17" s="377">
        <v>0</v>
      </c>
      <c r="T17" s="377">
        <v>0</v>
      </c>
      <c r="U17" s="172">
        <f t="shared" ref="U17:U19" si="7">SUM(S17:T17)</f>
        <v>0</v>
      </c>
      <c r="V17" s="172">
        <f>K17+R17+U17</f>
        <v>2889710</v>
      </c>
      <c r="W17" s="375"/>
      <c r="X17" s="375"/>
    </row>
    <row r="18" spans="1:24" s="364" customFormat="1" ht="25.5" customHeight="1" x14ac:dyDescent="0.2">
      <c r="A18" s="376" t="s">
        <v>49</v>
      </c>
      <c r="B18" s="585" t="s">
        <v>284</v>
      </c>
      <c r="C18" s="585"/>
      <c r="D18" s="320" t="s">
        <v>444</v>
      </c>
      <c r="E18" s="172">
        <v>0</v>
      </c>
      <c r="F18" s="172">
        <v>0</v>
      </c>
      <c r="G18" s="172">
        <v>0</v>
      </c>
      <c r="H18" s="172">
        <v>0</v>
      </c>
      <c r="I18" s="172">
        <v>0</v>
      </c>
      <c r="J18" s="172">
        <v>0</v>
      </c>
      <c r="K18" s="172">
        <f t="shared" si="0"/>
        <v>0</v>
      </c>
      <c r="L18" s="377">
        <v>0</v>
      </c>
      <c r="M18" s="172">
        <v>0</v>
      </c>
      <c r="N18" s="172"/>
      <c r="O18" s="377">
        <v>0</v>
      </c>
      <c r="P18" s="377">
        <v>0</v>
      </c>
      <c r="Q18" s="377"/>
      <c r="R18" s="172">
        <f t="shared" si="1"/>
        <v>0</v>
      </c>
      <c r="S18" s="377">
        <v>0</v>
      </c>
      <c r="T18" s="377">
        <v>0</v>
      </c>
      <c r="U18" s="172">
        <f t="shared" si="7"/>
        <v>0</v>
      </c>
      <c r="V18" s="172">
        <f>K18+R18+U18</f>
        <v>0</v>
      </c>
      <c r="W18" s="375"/>
      <c r="X18" s="375"/>
    </row>
    <row r="19" spans="1:24" ht="25.5" x14ac:dyDescent="0.2">
      <c r="A19" s="611" t="s">
        <v>56</v>
      </c>
      <c r="B19" s="153"/>
      <c r="C19" s="154" t="s">
        <v>285</v>
      </c>
      <c r="D19" s="154" t="s">
        <v>445</v>
      </c>
      <c r="E19" s="155">
        <v>243693052</v>
      </c>
      <c r="F19" s="155">
        <v>0</v>
      </c>
      <c r="G19" s="155">
        <v>97500</v>
      </c>
      <c r="H19" s="155">
        <v>488205</v>
      </c>
      <c r="I19" s="155">
        <v>11923</v>
      </c>
      <c r="J19" s="155">
        <v>20852</v>
      </c>
      <c r="K19" s="155">
        <f t="shared" si="0"/>
        <v>244311532</v>
      </c>
      <c r="L19" s="361">
        <v>0</v>
      </c>
      <c r="M19" s="155">
        <v>0</v>
      </c>
      <c r="N19" s="155"/>
      <c r="O19" s="361">
        <v>0</v>
      </c>
      <c r="P19" s="361">
        <v>0</v>
      </c>
      <c r="Q19" s="361"/>
      <c r="R19" s="155">
        <f t="shared" si="1"/>
        <v>0</v>
      </c>
      <c r="S19" s="361">
        <v>0</v>
      </c>
      <c r="T19" s="361">
        <v>0</v>
      </c>
      <c r="U19" s="155">
        <f t="shared" si="7"/>
        <v>0</v>
      </c>
      <c r="V19" s="155">
        <f t="shared" ref="V19:V20" si="8">K19+R19+U19</f>
        <v>244311532</v>
      </c>
    </row>
    <row r="20" spans="1:24" ht="25.5" x14ac:dyDescent="0.2">
      <c r="A20" s="642"/>
      <c r="B20" s="153"/>
      <c r="C20" s="154" t="s">
        <v>286</v>
      </c>
      <c r="D20" s="154" t="s">
        <v>446</v>
      </c>
      <c r="E20" s="361">
        <v>0</v>
      </c>
      <c r="F20" s="361">
        <v>0</v>
      </c>
      <c r="G20" s="361">
        <v>0</v>
      </c>
      <c r="H20" s="361">
        <v>0</v>
      </c>
      <c r="I20" s="361">
        <v>0</v>
      </c>
      <c r="J20" s="361"/>
      <c r="K20" s="361">
        <f t="shared" si="0"/>
        <v>0</v>
      </c>
      <c r="L20" s="155">
        <v>25570215</v>
      </c>
      <c r="M20" s="155">
        <v>1056000</v>
      </c>
      <c r="N20" s="155">
        <v>5508401</v>
      </c>
      <c r="O20" s="155">
        <v>0</v>
      </c>
      <c r="P20" s="155">
        <v>0</v>
      </c>
      <c r="Q20" s="155"/>
      <c r="R20" s="155">
        <f t="shared" si="1"/>
        <v>32134616</v>
      </c>
      <c r="S20" s="361">
        <v>0</v>
      </c>
      <c r="T20" s="361">
        <v>0</v>
      </c>
      <c r="U20" s="361">
        <v>0</v>
      </c>
      <c r="V20" s="155">
        <f t="shared" si="8"/>
        <v>32134616</v>
      </c>
    </row>
    <row r="21" spans="1:24" ht="25.5" customHeight="1" x14ac:dyDescent="0.2">
      <c r="A21" s="612"/>
      <c r="B21" s="585" t="s">
        <v>287</v>
      </c>
      <c r="C21" s="585"/>
      <c r="D21" s="320"/>
      <c r="E21" s="172">
        <f>SUM(E19:E20)</f>
        <v>243693052</v>
      </c>
      <c r="F21" s="172">
        <f t="shared" ref="F21:Q21" si="9">SUM(F19:F20)</f>
        <v>0</v>
      </c>
      <c r="G21" s="172">
        <f t="shared" si="9"/>
        <v>97500</v>
      </c>
      <c r="H21" s="172">
        <f t="shared" si="9"/>
        <v>488205</v>
      </c>
      <c r="I21" s="172">
        <f t="shared" si="9"/>
        <v>11923</v>
      </c>
      <c r="J21" s="172">
        <f t="shared" si="9"/>
        <v>20852</v>
      </c>
      <c r="K21" s="172">
        <f t="shared" si="9"/>
        <v>244311532</v>
      </c>
      <c r="L21" s="172">
        <f t="shared" si="9"/>
        <v>25570215</v>
      </c>
      <c r="M21" s="172">
        <f t="shared" si="9"/>
        <v>1056000</v>
      </c>
      <c r="N21" s="172">
        <f t="shared" si="9"/>
        <v>5508401</v>
      </c>
      <c r="O21" s="172">
        <f t="shared" si="9"/>
        <v>0</v>
      </c>
      <c r="P21" s="172">
        <f t="shared" si="9"/>
        <v>0</v>
      </c>
      <c r="Q21" s="172">
        <f t="shared" si="9"/>
        <v>0</v>
      </c>
      <c r="R21" s="172">
        <f t="shared" si="1"/>
        <v>32134616</v>
      </c>
      <c r="S21" s="172">
        <f t="shared" ref="S21:V21" si="10">SUM(S19:S20)</f>
        <v>0</v>
      </c>
      <c r="T21" s="172">
        <f t="shared" si="10"/>
        <v>0</v>
      </c>
      <c r="U21" s="172">
        <f t="shared" ref="U21:U25" si="11">SUM(S21:T21)</f>
        <v>0</v>
      </c>
      <c r="V21" s="172">
        <f t="shared" si="10"/>
        <v>276446148</v>
      </c>
    </row>
    <row r="22" spans="1:24" s="369" customFormat="1" ht="25.5" customHeight="1" x14ac:dyDescent="0.2">
      <c r="A22" s="376" t="s">
        <v>58</v>
      </c>
      <c r="B22" s="643" t="s">
        <v>128</v>
      </c>
      <c r="C22" s="644"/>
      <c r="D22" s="378" t="s">
        <v>447</v>
      </c>
      <c r="E22" s="379">
        <v>50254587</v>
      </c>
      <c r="F22" s="379">
        <v>57928422</v>
      </c>
      <c r="G22" s="379">
        <v>27923015</v>
      </c>
      <c r="H22" s="380">
        <v>0</v>
      </c>
      <c r="I22" s="380">
        <v>0</v>
      </c>
      <c r="J22" s="380">
        <v>0</v>
      </c>
      <c r="K22" s="380">
        <f t="shared" si="0"/>
        <v>136106024</v>
      </c>
      <c r="L22" s="381">
        <v>0</v>
      </c>
      <c r="M22" s="384">
        <v>0</v>
      </c>
      <c r="N22" s="384"/>
      <c r="O22" s="381">
        <v>0</v>
      </c>
      <c r="P22" s="381">
        <v>0</v>
      </c>
      <c r="Q22" s="381"/>
      <c r="R22" s="380">
        <f t="shared" si="1"/>
        <v>0</v>
      </c>
      <c r="S22" s="381">
        <v>0</v>
      </c>
      <c r="T22" s="381">
        <v>0</v>
      </c>
      <c r="U22" s="380">
        <f t="shared" si="11"/>
        <v>0</v>
      </c>
      <c r="V22" s="172">
        <f>K22+R22+U22</f>
        <v>136106024</v>
      </c>
      <c r="W22" s="382"/>
      <c r="X22" s="382"/>
    </row>
    <row r="23" spans="1:24" s="161" customFormat="1" ht="19.5" customHeight="1" x14ac:dyDescent="0.2">
      <c r="A23" s="373" t="s">
        <v>59</v>
      </c>
      <c r="B23" s="585" t="s">
        <v>288</v>
      </c>
      <c r="C23" s="585"/>
      <c r="D23" s="320" t="s">
        <v>448</v>
      </c>
      <c r="E23" s="172">
        <v>466274973</v>
      </c>
      <c r="F23" s="172">
        <v>-10450787</v>
      </c>
      <c r="G23" s="172">
        <v>1850147</v>
      </c>
      <c r="H23" s="172">
        <v>0</v>
      </c>
      <c r="I23" s="172">
        <v>1750412</v>
      </c>
      <c r="J23" s="172">
        <v>24730</v>
      </c>
      <c r="K23" s="172">
        <f t="shared" si="0"/>
        <v>459449475</v>
      </c>
      <c r="L23" s="377">
        <v>0</v>
      </c>
      <c r="M23" s="172">
        <v>0</v>
      </c>
      <c r="N23" s="172"/>
      <c r="O23" s="377">
        <v>0</v>
      </c>
      <c r="P23" s="377">
        <v>0</v>
      </c>
      <c r="Q23" s="377"/>
      <c r="R23" s="172">
        <f t="shared" si="1"/>
        <v>0</v>
      </c>
      <c r="S23" s="377">
        <v>0</v>
      </c>
      <c r="T23" s="377">
        <v>0</v>
      </c>
      <c r="U23" s="172">
        <f t="shared" si="11"/>
        <v>0</v>
      </c>
      <c r="V23" s="172">
        <f>K23+R23+U23</f>
        <v>459449475</v>
      </c>
      <c r="W23" s="183"/>
      <c r="X23" s="183"/>
    </row>
    <row r="24" spans="1:24" s="161" customFormat="1" ht="18.75" customHeight="1" x14ac:dyDescent="0.2">
      <c r="A24" s="373" t="s">
        <v>60</v>
      </c>
      <c r="B24" s="585" t="s">
        <v>172</v>
      </c>
      <c r="C24" s="585"/>
      <c r="D24" s="320" t="s">
        <v>449</v>
      </c>
      <c r="E24" s="172">
        <v>43561791</v>
      </c>
      <c r="F24" s="172">
        <v>0</v>
      </c>
      <c r="G24" s="172">
        <v>999999</v>
      </c>
      <c r="H24" s="172">
        <v>0</v>
      </c>
      <c r="I24" s="172">
        <v>0</v>
      </c>
      <c r="J24" s="172">
        <v>0</v>
      </c>
      <c r="K24" s="172">
        <f t="shared" si="0"/>
        <v>44561790</v>
      </c>
      <c r="L24" s="377">
        <v>0</v>
      </c>
      <c r="M24" s="172">
        <v>0</v>
      </c>
      <c r="N24" s="172"/>
      <c r="O24" s="377">
        <v>0</v>
      </c>
      <c r="P24" s="377">
        <v>0</v>
      </c>
      <c r="Q24" s="377"/>
      <c r="R24" s="172">
        <f t="shared" si="1"/>
        <v>0</v>
      </c>
      <c r="S24" s="377">
        <v>0</v>
      </c>
      <c r="T24" s="377">
        <v>0</v>
      </c>
      <c r="U24" s="172">
        <f t="shared" si="11"/>
        <v>0</v>
      </c>
      <c r="V24" s="172">
        <f>K24+R24+U24</f>
        <v>44561790</v>
      </c>
      <c r="W24" s="183"/>
      <c r="X24" s="183"/>
    </row>
    <row r="25" spans="1:24" ht="25.5" x14ac:dyDescent="0.2">
      <c r="A25" s="611" t="s">
        <v>61</v>
      </c>
      <c r="B25" s="153"/>
      <c r="C25" s="154" t="s">
        <v>289</v>
      </c>
      <c r="D25" s="154" t="s">
        <v>450</v>
      </c>
      <c r="E25" s="155">
        <v>0</v>
      </c>
      <c r="F25" s="155">
        <v>0</v>
      </c>
      <c r="G25" s="155">
        <v>0</v>
      </c>
      <c r="H25" s="155">
        <v>0</v>
      </c>
      <c r="I25" s="155">
        <v>0</v>
      </c>
      <c r="J25" s="155">
        <v>0</v>
      </c>
      <c r="K25" s="155">
        <f t="shared" si="0"/>
        <v>0</v>
      </c>
      <c r="L25" s="361">
        <v>0</v>
      </c>
      <c r="M25" s="155">
        <v>0</v>
      </c>
      <c r="N25" s="155"/>
      <c r="O25" s="361">
        <v>0</v>
      </c>
      <c r="P25" s="361">
        <v>0</v>
      </c>
      <c r="Q25" s="361"/>
      <c r="R25" s="155">
        <f t="shared" si="1"/>
        <v>0</v>
      </c>
      <c r="S25" s="361">
        <v>0</v>
      </c>
      <c r="T25" s="361">
        <v>0</v>
      </c>
      <c r="U25" s="155">
        <f t="shared" si="11"/>
        <v>0</v>
      </c>
      <c r="V25" s="155">
        <f t="shared" ref="V25:V27" si="12">K25+R25+U25</f>
        <v>0</v>
      </c>
    </row>
    <row r="26" spans="1:24" ht="25.5" x14ac:dyDescent="0.2">
      <c r="A26" s="642"/>
      <c r="B26" s="153"/>
      <c r="C26" s="154" t="s">
        <v>290</v>
      </c>
      <c r="D26" s="154" t="s">
        <v>88</v>
      </c>
      <c r="E26" s="361">
        <v>0</v>
      </c>
      <c r="F26" s="361">
        <v>0</v>
      </c>
      <c r="G26" s="361">
        <v>0</v>
      </c>
      <c r="H26" s="361">
        <v>0</v>
      </c>
      <c r="I26" s="361">
        <v>0</v>
      </c>
      <c r="J26" s="361">
        <v>0</v>
      </c>
      <c r="K26" s="361">
        <f t="shared" si="0"/>
        <v>0</v>
      </c>
      <c r="L26" s="155">
        <v>2000000</v>
      </c>
      <c r="M26" s="155">
        <v>0</v>
      </c>
      <c r="N26" s="155"/>
      <c r="O26" s="155">
        <v>0</v>
      </c>
      <c r="P26" s="155">
        <v>0</v>
      </c>
      <c r="Q26" s="155"/>
      <c r="R26" s="155">
        <f t="shared" si="1"/>
        <v>2000000</v>
      </c>
      <c r="S26" s="361">
        <v>0</v>
      </c>
      <c r="T26" s="361">
        <v>0</v>
      </c>
      <c r="U26" s="361">
        <v>0</v>
      </c>
      <c r="V26" s="155">
        <f t="shared" si="12"/>
        <v>2000000</v>
      </c>
    </row>
    <row r="27" spans="1:24" ht="25.5" x14ac:dyDescent="0.2">
      <c r="A27" s="642"/>
      <c r="B27" s="153"/>
      <c r="C27" s="154" t="s">
        <v>291</v>
      </c>
      <c r="D27" s="154" t="s">
        <v>87</v>
      </c>
      <c r="E27" s="155">
        <v>0</v>
      </c>
      <c r="F27" s="155">
        <v>0</v>
      </c>
      <c r="G27" s="155">
        <v>0</v>
      </c>
      <c r="H27" s="155">
        <v>0</v>
      </c>
      <c r="I27" s="155">
        <v>0</v>
      </c>
      <c r="J27" s="155">
        <v>0</v>
      </c>
      <c r="K27" s="155">
        <f t="shared" si="0"/>
        <v>0</v>
      </c>
      <c r="L27" s="361">
        <v>0</v>
      </c>
      <c r="M27" s="155">
        <v>0</v>
      </c>
      <c r="N27" s="155"/>
      <c r="O27" s="361">
        <v>0</v>
      </c>
      <c r="P27" s="361">
        <v>0</v>
      </c>
      <c r="Q27" s="361"/>
      <c r="R27" s="155">
        <f t="shared" si="1"/>
        <v>0</v>
      </c>
      <c r="S27" s="361">
        <v>0</v>
      </c>
      <c r="T27" s="361">
        <v>0</v>
      </c>
      <c r="U27" s="155">
        <f t="shared" ref="U27" si="13">SUM(S27:T27)</f>
        <v>0</v>
      </c>
      <c r="V27" s="155">
        <f t="shared" si="12"/>
        <v>0</v>
      </c>
    </row>
    <row r="28" spans="1:24" s="364" customFormat="1" ht="25.5" customHeight="1" x14ac:dyDescent="0.2">
      <c r="A28" s="612"/>
      <c r="B28" s="585" t="s">
        <v>292</v>
      </c>
      <c r="C28" s="585"/>
      <c r="D28" s="320" t="s">
        <v>451</v>
      </c>
      <c r="E28" s="172">
        <f>SUM(E25:E27)</f>
        <v>0</v>
      </c>
      <c r="F28" s="172">
        <f>SUM(F25:F27)</f>
        <v>0</v>
      </c>
      <c r="G28" s="172">
        <f t="shared" ref="G28:K28" si="14">SUM(G25:G27)</f>
        <v>0</v>
      </c>
      <c r="H28" s="172">
        <f t="shared" si="14"/>
        <v>0</v>
      </c>
      <c r="I28" s="172">
        <f t="shared" si="14"/>
        <v>0</v>
      </c>
      <c r="J28" s="172">
        <f t="shared" si="14"/>
        <v>0</v>
      </c>
      <c r="K28" s="172">
        <f t="shared" si="14"/>
        <v>0</v>
      </c>
      <c r="L28" s="172">
        <f t="shared" ref="L28:T28" si="15">SUM(L25:L27)</f>
        <v>2000000</v>
      </c>
      <c r="M28" s="172">
        <f t="shared" si="15"/>
        <v>0</v>
      </c>
      <c r="N28" s="172">
        <f t="shared" si="15"/>
        <v>0</v>
      </c>
      <c r="O28" s="172">
        <f t="shared" si="15"/>
        <v>0</v>
      </c>
      <c r="P28" s="172">
        <f t="shared" si="15"/>
        <v>0</v>
      </c>
      <c r="Q28" s="172">
        <f t="shared" si="15"/>
        <v>0</v>
      </c>
      <c r="R28" s="172">
        <f t="shared" si="1"/>
        <v>2000000</v>
      </c>
      <c r="S28" s="172">
        <f t="shared" si="15"/>
        <v>0</v>
      </c>
      <c r="T28" s="172">
        <f t="shared" si="15"/>
        <v>0</v>
      </c>
      <c r="U28" s="172">
        <f>SUM(U25:U27)</f>
        <v>0</v>
      </c>
      <c r="V28" s="172">
        <f>K28+R28+U28</f>
        <v>2000000</v>
      </c>
      <c r="W28" s="375"/>
      <c r="X28" s="375"/>
    </row>
    <row r="29" spans="1:24" s="364" customFormat="1" ht="25.5" customHeight="1" x14ac:dyDescent="0.2">
      <c r="A29" s="605" t="s">
        <v>293</v>
      </c>
      <c r="B29" s="605"/>
      <c r="C29" s="605"/>
      <c r="D29" s="367" t="s">
        <v>452</v>
      </c>
      <c r="E29" s="368">
        <f>E8+E9+E16+E17+E18+E21+E23+E24+E28+E22</f>
        <v>952754914</v>
      </c>
      <c r="F29" s="368">
        <f>F8+F9+F16+F17+F18+F21+F23+F24+F28+F22</f>
        <v>64361344</v>
      </c>
      <c r="G29" s="368">
        <f t="shared" ref="G29:J29" si="16">G8+G9+G16+G17+G18+G21+G23+G24+G28+G22</f>
        <v>37455472</v>
      </c>
      <c r="H29" s="368">
        <f t="shared" si="16"/>
        <v>102782321</v>
      </c>
      <c r="I29" s="368">
        <f t="shared" si="16"/>
        <v>5025574</v>
      </c>
      <c r="J29" s="368">
        <f t="shared" si="16"/>
        <v>4548517</v>
      </c>
      <c r="K29" s="368">
        <f t="shared" si="0"/>
        <v>1166928142</v>
      </c>
      <c r="L29" s="368">
        <f t="shared" ref="L29:V29" si="17">L8+L9+L16+L17+L18+L21+L23+L24+L28+L22</f>
        <v>27682993</v>
      </c>
      <c r="M29" s="368">
        <f t="shared" si="17"/>
        <v>2281403</v>
      </c>
      <c r="N29" s="368">
        <f t="shared" si="17"/>
        <v>5508401</v>
      </c>
      <c r="O29" s="368">
        <f t="shared" si="17"/>
        <v>1600000</v>
      </c>
      <c r="P29" s="368">
        <f t="shared" si="17"/>
        <v>0</v>
      </c>
      <c r="Q29" s="368">
        <f t="shared" si="17"/>
        <v>104926</v>
      </c>
      <c r="R29" s="368">
        <f t="shared" si="17"/>
        <v>37177723</v>
      </c>
      <c r="S29" s="368">
        <f t="shared" si="17"/>
        <v>0</v>
      </c>
      <c r="T29" s="368">
        <f t="shared" si="17"/>
        <v>0</v>
      </c>
      <c r="U29" s="368">
        <f t="shared" si="17"/>
        <v>0</v>
      </c>
      <c r="V29" s="368">
        <f t="shared" si="17"/>
        <v>1204105865</v>
      </c>
      <c r="W29" s="375"/>
      <c r="X29" s="375"/>
    </row>
    <row r="30" spans="1:24" x14ac:dyDescent="0.2">
      <c r="A30" s="611" t="s">
        <v>29</v>
      </c>
      <c r="B30" s="153"/>
      <c r="C30" s="154" t="s">
        <v>296</v>
      </c>
      <c r="D30" s="154" t="s">
        <v>453</v>
      </c>
      <c r="E30" s="155">
        <v>9110753</v>
      </c>
      <c r="F30" s="155">
        <v>0</v>
      </c>
      <c r="G30" s="155"/>
      <c r="H30" s="155">
        <v>0</v>
      </c>
      <c r="I30" s="155">
        <v>0</v>
      </c>
      <c r="J30" s="155"/>
      <c r="K30" s="155">
        <f t="shared" si="0"/>
        <v>9110753</v>
      </c>
      <c r="L30" s="361">
        <v>0</v>
      </c>
      <c r="M30" s="155">
        <v>0</v>
      </c>
      <c r="N30" s="155">
        <v>0</v>
      </c>
      <c r="O30" s="361">
        <v>0</v>
      </c>
      <c r="P30" s="361">
        <v>0</v>
      </c>
      <c r="Q30" s="361"/>
      <c r="R30" s="155">
        <f t="shared" si="1"/>
        <v>0</v>
      </c>
      <c r="S30" s="361">
        <v>0</v>
      </c>
      <c r="T30" s="361">
        <v>0</v>
      </c>
      <c r="U30" s="155">
        <f>SUM(S30:T30)</f>
        <v>0</v>
      </c>
      <c r="V30" s="155">
        <f t="shared" ref="V30:V31" si="18">K30+R30+U30</f>
        <v>9110753</v>
      </c>
    </row>
    <row r="31" spans="1:24" x14ac:dyDescent="0.2">
      <c r="A31" s="612"/>
      <c r="B31" s="153"/>
      <c r="C31" s="154" t="s">
        <v>297</v>
      </c>
      <c r="D31" s="154" t="s">
        <v>89</v>
      </c>
      <c r="E31" s="155">
        <v>102023405</v>
      </c>
      <c r="F31" s="155">
        <v>997200</v>
      </c>
      <c r="G31" s="155">
        <v>1595599</v>
      </c>
      <c r="H31" s="155">
        <v>0</v>
      </c>
      <c r="I31" s="155">
        <v>0</v>
      </c>
      <c r="J31" s="155">
        <v>0</v>
      </c>
      <c r="K31" s="155">
        <f t="shared" si="0"/>
        <v>104616204</v>
      </c>
      <c r="L31" s="361">
        <v>0</v>
      </c>
      <c r="M31" s="155">
        <v>0</v>
      </c>
      <c r="N31" s="155">
        <v>0</v>
      </c>
      <c r="O31" s="361">
        <v>0</v>
      </c>
      <c r="P31" s="361">
        <v>0</v>
      </c>
      <c r="Q31" s="361"/>
      <c r="R31" s="155">
        <f t="shared" si="1"/>
        <v>0</v>
      </c>
      <c r="S31" s="361">
        <v>0</v>
      </c>
      <c r="T31" s="361">
        <v>0</v>
      </c>
      <c r="U31" s="155">
        <f>SUM(S31:T31)</f>
        <v>0</v>
      </c>
      <c r="V31" s="155">
        <f t="shared" si="18"/>
        <v>104616204</v>
      </c>
    </row>
    <row r="32" spans="1:24" s="364" customFormat="1" ht="22.5" customHeight="1" x14ac:dyDescent="0.2">
      <c r="A32" s="645" t="s">
        <v>294</v>
      </c>
      <c r="B32" s="646"/>
      <c r="C32" s="647"/>
      <c r="D32" s="383" t="s">
        <v>454</v>
      </c>
      <c r="E32" s="368">
        <f>SUM(E30:E31)</f>
        <v>111134158</v>
      </c>
      <c r="F32" s="368">
        <f>SUM(F30:F31)</f>
        <v>997200</v>
      </c>
      <c r="G32" s="368">
        <f t="shared" ref="G32:R32" si="19">SUM(G30:G31)</f>
        <v>1595599</v>
      </c>
      <c r="H32" s="368">
        <f t="shared" si="19"/>
        <v>0</v>
      </c>
      <c r="I32" s="368">
        <f t="shared" si="19"/>
        <v>0</v>
      </c>
      <c r="J32" s="368">
        <f t="shared" si="19"/>
        <v>0</v>
      </c>
      <c r="K32" s="368">
        <f t="shared" si="19"/>
        <v>113726957</v>
      </c>
      <c r="L32" s="368">
        <f t="shared" si="19"/>
        <v>0</v>
      </c>
      <c r="M32" s="368">
        <f t="shared" si="19"/>
        <v>0</v>
      </c>
      <c r="N32" s="368">
        <f t="shared" si="19"/>
        <v>0</v>
      </c>
      <c r="O32" s="368">
        <f t="shared" si="19"/>
        <v>0</v>
      </c>
      <c r="P32" s="368">
        <f t="shared" si="19"/>
        <v>0</v>
      </c>
      <c r="Q32" s="368">
        <f t="shared" si="19"/>
        <v>0</v>
      </c>
      <c r="R32" s="368">
        <f t="shared" si="19"/>
        <v>0</v>
      </c>
      <c r="S32" s="368">
        <f t="shared" ref="S32:V32" si="20">SUM(S30:S31)</f>
        <v>0</v>
      </c>
      <c r="T32" s="368">
        <f t="shared" si="20"/>
        <v>0</v>
      </c>
      <c r="U32" s="368">
        <f>SUM(U30:U31)</f>
        <v>0</v>
      </c>
      <c r="V32" s="368">
        <f t="shared" si="20"/>
        <v>113726957</v>
      </c>
      <c r="W32" s="375"/>
      <c r="X32" s="375"/>
    </row>
    <row r="33" spans="1:24" s="150" customFormat="1" ht="22.5" customHeight="1" x14ac:dyDescent="0.2">
      <c r="A33" s="606" t="s">
        <v>295</v>
      </c>
      <c r="B33" s="606"/>
      <c r="C33" s="606"/>
      <c r="D33" s="371"/>
      <c r="E33" s="372">
        <f>E29+E32</f>
        <v>1063889072</v>
      </c>
      <c r="F33" s="372">
        <f>F29+F32</f>
        <v>65358544</v>
      </c>
      <c r="G33" s="372"/>
      <c r="H33" s="372">
        <f>H29+H32</f>
        <v>102782321</v>
      </c>
      <c r="I33" s="372">
        <f>I29+I32</f>
        <v>5025574</v>
      </c>
      <c r="J33" s="372"/>
      <c r="K33" s="372">
        <f t="shared" si="0"/>
        <v>1237055511</v>
      </c>
      <c r="L33" s="372">
        <f t="shared" ref="L33:V33" si="21">L29+L32</f>
        <v>27682993</v>
      </c>
      <c r="M33" s="372">
        <f t="shared" si="21"/>
        <v>2281403</v>
      </c>
      <c r="N33" s="372"/>
      <c r="O33" s="372">
        <f t="shared" si="21"/>
        <v>1600000</v>
      </c>
      <c r="P33" s="372">
        <f t="shared" si="21"/>
        <v>0</v>
      </c>
      <c r="Q33" s="372">
        <f t="shared" si="21"/>
        <v>104926</v>
      </c>
      <c r="R33" s="372">
        <f t="shared" si="21"/>
        <v>37177723</v>
      </c>
      <c r="S33" s="372">
        <f t="shared" si="21"/>
        <v>0</v>
      </c>
      <c r="T33" s="372">
        <f t="shared" si="21"/>
        <v>0</v>
      </c>
      <c r="U33" s="372">
        <f>U29+U32</f>
        <v>0</v>
      </c>
      <c r="V33" s="372">
        <f t="shared" si="21"/>
        <v>1317832822</v>
      </c>
      <c r="W33" s="184"/>
      <c r="X33" s="184"/>
    </row>
  </sheetData>
  <mergeCells count="28">
    <mergeCell ref="A6:A8"/>
    <mergeCell ref="B8:C8"/>
    <mergeCell ref="B9:C9"/>
    <mergeCell ref="A1:V1"/>
    <mergeCell ref="A2:V2"/>
    <mergeCell ref="A3:C5"/>
    <mergeCell ref="D3:D5"/>
    <mergeCell ref="E3:V3"/>
    <mergeCell ref="S4:T4"/>
    <mergeCell ref="E4:K4"/>
    <mergeCell ref="L4:R4"/>
    <mergeCell ref="U4:U5"/>
    <mergeCell ref="V4:V5"/>
    <mergeCell ref="A33:C33"/>
    <mergeCell ref="B24:C24"/>
    <mergeCell ref="A25:A28"/>
    <mergeCell ref="B28:C28"/>
    <mergeCell ref="A29:C29"/>
    <mergeCell ref="A30:A31"/>
    <mergeCell ref="A32:C32"/>
    <mergeCell ref="B23:C23"/>
    <mergeCell ref="A10:A16"/>
    <mergeCell ref="B17:C17"/>
    <mergeCell ref="B18:C18"/>
    <mergeCell ref="A19:A21"/>
    <mergeCell ref="B21:C21"/>
    <mergeCell ref="B22:C22"/>
    <mergeCell ref="B16:C1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&amp;R2.1.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106" zoomScaleNormal="106" workbookViewId="0">
      <selection activeCell="M30" sqref="M30"/>
    </sheetView>
  </sheetViews>
  <sheetFormatPr defaultRowHeight="12.75" x14ac:dyDescent="0.2"/>
  <cols>
    <col min="1" max="1" width="5.42578125" style="166" bestFit="1" customWidth="1"/>
    <col min="2" max="2" width="47.28515625" style="167" customWidth="1"/>
    <col min="3" max="4" width="12.5703125" style="176" bestFit="1" customWidth="1"/>
    <col min="5" max="5" width="11.28515625" style="176" customWidth="1"/>
    <col min="6" max="7" width="12.5703125" style="176" bestFit="1" customWidth="1"/>
    <col min="8" max="8" width="47.28515625" style="166" customWidth="1"/>
    <col min="9" max="9" width="14" style="176" customWidth="1"/>
    <col min="10" max="10" width="12.5703125" style="176" bestFit="1" customWidth="1"/>
    <col min="11" max="11" width="11" style="176" customWidth="1"/>
    <col min="12" max="13" width="12.5703125" style="176" bestFit="1" customWidth="1"/>
    <col min="14" max="14" width="4.140625" style="166" customWidth="1"/>
    <col min="15" max="16384" width="9.140625" style="166"/>
  </cols>
  <sheetData>
    <row r="1" spans="1:14" ht="39.75" customHeight="1" x14ac:dyDescent="0.2">
      <c r="A1" s="164"/>
      <c r="B1" s="87" t="s">
        <v>119</v>
      </c>
      <c r="C1" s="175"/>
      <c r="D1" s="175"/>
      <c r="E1" s="175"/>
      <c r="F1" s="175"/>
      <c r="G1" s="175"/>
      <c r="H1" s="165"/>
      <c r="I1" s="175"/>
      <c r="J1" s="175"/>
      <c r="K1" s="175"/>
      <c r="L1" s="175"/>
      <c r="M1" s="175"/>
      <c r="N1" s="649"/>
    </row>
    <row r="2" spans="1:14" ht="14.25" thickBot="1" x14ac:dyDescent="0.25">
      <c r="I2" s="88" t="s">
        <v>238</v>
      </c>
      <c r="J2" s="88"/>
      <c r="K2" s="88"/>
      <c r="L2" s="88"/>
      <c r="M2" s="88"/>
      <c r="N2" s="649"/>
    </row>
    <row r="3" spans="1:14" ht="18" customHeight="1" thickBot="1" x14ac:dyDescent="0.25">
      <c r="A3" s="650" t="s">
        <v>120</v>
      </c>
      <c r="B3" s="89" t="s">
        <v>121</v>
      </c>
      <c r="C3" s="90"/>
      <c r="D3" s="234"/>
      <c r="E3" s="234"/>
      <c r="F3" s="234"/>
      <c r="G3" s="234"/>
      <c r="H3" s="89" t="s">
        <v>122</v>
      </c>
      <c r="I3" s="91"/>
      <c r="J3" s="245"/>
      <c r="K3" s="245"/>
      <c r="L3" s="245"/>
      <c r="M3" s="245"/>
      <c r="N3" s="649"/>
    </row>
    <row r="4" spans="1:14" s="94" customFormat="1" ht="35.25" customHeight="1" thickBot="1" x14ac:dyDescent="0.25">
      <c r="A4" s="651"/>
      <c r="B4" s="92" t="s">
        <v>44</v>
      </c>
      <c r="C4" s="93" t="s">
        <v>367</v>
      </c>
      <c r="D4" s="159" t="s">
        <v>364</v>
      </c>
      <c r="E4" s="159" t="s">
        <v>466</v>
      </c>
      <c r="F4" s="159" t="s">
        <v>365</v>
      </c>
      <c r="G4" s="159" t="s">
        <v>366</v>
      </c>
      <c r="H4" s="92" t="s">
        <v>44</v>
      </c>
      <c r="I4" s="247" t="s">
        <v>367</v>
      </c>
      <c r="J4" s="159" t="s">
        <v>364</v>
      </c>
      <c r="K4" s="159" t="s">
        <v>466</v>
      </c>
      <c r="L4" s="159" t="s">
        <v>365</v>
      </c>
      <c r="M4" s="159" t="s">
        <v>366</v>
      </c>
      <c r="N4" s="649"/>
    </row>
    <row r="5" spans="1:14" s="98" customFormat="1" ht="12" customHeight="1" thickBot="1" x14ac:dyDescent="0.25">
      <c r="A5" s="95">
        <v>1</v>
      </c>
      <c r="B5" s="96">
        <v>2</v>
      </c>
      <c r="C5" s="97" t="s">
        <v>47</v>
      </c>
      <c r="D5" s="235"/>
      <c r="E5" s="235"/>
      <c r="F5" s="235"/>
      <c r="G5" s="235"/>
      <c r="H5" s="96" t="s">
        <v>48</v>
      </c>
      <c r="I5" s="248" t="s">
        <v>49</v>
      </c>
      <c r="J5" s="255"/>
      <c r="K5" s="255"/>
      <c r="L5" s="255"/>
      <c r="M5" s="255"/>
      <c r="N5" s="649"/>
    </row>
    <row r="6" spans="1:14" ht="12.95" customHeight="1" x14ac:dyDescent="0.2">
      <c r="A6" s="168" t="s">
        <v>45</v>
      </c>
      <c r="B6" s="99" t="s">
        <v>13</v>
      </c>
      <c r="C6" s="162">
        <f>'1. Bevételek'!N28</f>
        <v>170900000</v>
      </c>
      <c r="D6" s="236">
        <v>0</v>
      </c>
      <c r="E6" s="561">
        <f>F6-C6-D6</f>
        <v>0</v>
      </c>
      <c r="F6" s="567">
        <v>170900000</v>
      </c>
      <c r="G6" s="567">
        <v>166381534</v>
      </c>
      <c r="H6" s="99" t="s">
        <v>1</v>
      </c>
      <c r="I6" s="249">
        <f>'2. Kiadások'!N7</f>
        <v>122984970</v>
      </c>
      <c r="J6" s="101">
        <v>1316586</v>
      </c>
      <c r="K6" s="561">
        <f>L6-I6-J6</f>
        <v>1894654</v>
      </c>
      <c r="L6" s="573">
        <v>126196210</v>
      </c>
      <c r="M6" s="573">
        <v>88082272</v>
      </c>
      <c r="N6" s="649"/>
    </row>
    <row r="7" spans="1:14" ht="12.95" customHeight="1" x14ac:dyDescent="0.2">
      <c r="A7" s="169" t="s">
        <v>46</v>
      </c>
      <c r="B7" s="100" t="s">
        <v>225</v>
      </c>
      <c r="C7" s="101">
        <f>'1. Bevételek'!N38</f>
        <v>17487054</v>
      </c>
      <c r="D7" s="236">
        <v>3737005</v>
      </c>
      <c r="E7" s="236">
        <f t="shared" ref="E7:E17" si="0">F7-C7-D7</f>
        <v>4116048</v>
      </c>
      <c r="F7" s="568">
        <v>25340107</v>
      </c>
      <c r="G7" s="568">
        <v>29503314</v>
      </c>
      <c r="H7" s="100" t="s">
        <v>123</v>
      </c>
      <c r="I7" s="104">
        <f>'2. Kiadások'!N8</f>
        <v>23689579</v>
      </c>
      <c r="J7" s="101">
        <v>160658</v>
      </c>
      <c r="K7" s="561">
        <f t="shared" ref="K7:K11" si="1">L7-I7-J7</f>
        <v>335969</v>
      </c>
      <c r="L7" s="573">
        <v>24186206</v>
      </c>
      <c r="M7" s="573">
        <v>16552585</v>
      </c>
      <c r="N7" s="649"/>
    </row>
    <row r="8" spans="1:14" ht="12.95" customHeight="1" x14ac:dyDescent="0.2">
      <c r="A8" s="169" t="s">
        <v>47</v>
      </c>
      <c r="B8" s="100" t="s">
        <v>124</v>
      </c>
      <c r="C8" s="101"/>
      <c r="D8" s="236">
        <v>0</v>
      </c>
      <c r="E8" s="236">
        <f t="shared" si="0"/>
        <v>0</v>
      </c>
      <c r="F8" s="562"/>
      <c r="G8" s="562"/>
      <c r="H8" s="100" t="s">
        <v>41</v>
      </c>
      <c r="I8" s="104">
        <f>'2. Kiadások'!N14</f>
        <v>104902856</v>
      </c>
      <c r="J8" s="101">
        <v>19330807</v>
      </c>
      <c r="K8" s="561">
        <f t="shared" si="1"/>
        <v>8036639</v>
      </c>
      <c r="L8" s="573">
        <v>132270302</v>
      </c>
      <c r="M8" s="573">
        <v>106210023</v>
      </c>
      <c r="N8" s="649"/>
    </row>
    <row r="9" spans="1:14" ht="12.95" customHeight="1" x14ac:dyDescent="0.2">
      <c r="A9" s="169" t="s">
        <v>48</v>
      </c>
      <c r="B9" s="103" t="s">
        <v>226</v>
      </c>
      <c r="C9" s="101">
        <f>'1. Bevételek'!N11</f>
        <v>276381087</v>
      </c>
      <c r="D9" s="236">
        <v>12784266</v>
      </c>
      <c r="E9" s="236">
        <f>F9-C9-D9</f>
        <v>12148369</v>
      </c>
      <c r="F9" s="568">
        <v>301313722</v>
      </c>
      <c r="G9" s="568">
        <v>234614388</v>
      </c>
      <c r="H9" s="100" t="s">
        <v>125</v>
      </c>
      <c r="I9" s="104">
        <f>'2. Kiadások'!N15</f>
        <v>1400000</v>
      </c>
      <c r="J9" s="101">
        <v>564300</v>
      </c>
      <c r="K9" s="561">
        <f t="shared" si="1"/>
        <v>925410</v>
      </c>
      <c r="L9" s="573">
        <v>2889710</v>
      </c>
      <c r="M9" s="573">
        <v>472975</v>
      </c>
      <c r="N9" s="649"/>
    </row>
    <row r="10" spans="1:14" ht="12.95" customHeight="1" x14ac:dyDescent="0.2">
      <c r="A10" s="169" t="s">
        <v>49</v>
      </c>
      <c r="B10" s="100" t="s">
        <v>126</v>
      </c>
      <c r="C10" s="101">
        <f>'1. Bevételek'!N17</f>
        <v>38651021</v>
      </c>
      <c r="D10" s="236">
        <v>2286878</v>
      </c>
      <c r="E10" s="236">
        <f t="shared" si="0"/>
        <v>2420188</v>
      </c>
      <c r="F10" s="568">
        <v>43358087</v>
      </c>
      <c r="G10" s="568">
        <v>28549063</v>
      </c>
      <c r="H10" s="100" t="s">
        <v>379</v>
      </c>
      <c r="I10" s="104">
        <f>'2. Kiadások'!N17+'2. Kiadások'!N18</f>
        <v>269751472</v>
      </c>
      <c r="J10" s="101">
        <v>1067923</v>
      </c>
      <c r="K10" s="561">
        <f t="shared" si="1"/>
        <v>5626753</v>
      </c>
      <c r="L10" s="573">
        <v>276446148</v>
      </c>
      <c r="M10" s="573">
        <v>190923132</v>
      </c>
      <c r="N10" s="649"/>
    </row>
    <row r="11" spans="1:14" ht="12.95" customHeight="1" x14ac:dyDescent="0.2">
      <c r="A11" s="169" t="s">
        <v>56</v>
      </c>
      <c r="B11" s="100" t="s">
        <v>127</v>
      </c>
      <c r="C11" s="104"/>
      <c r="D11" s="236">
        <v>0</v>
      </c>
      <c r="E11" s="556">
        <f t="shared" si="0"/>
        <v>0</v>
      </c>
      <c r="F11" s="563"/>
      <c r="G11" s="563"/>
      <c r="H11" s="100" t="s">
        <v>128</v>
      </c>
      <c r="I11" s="104">
        <f>'2. Kiadások'!N19</f>
        <v>50254587</v>
      </c>
      <c r="J11" s="101">
        <v>57928422</v>
      </c>
      <c r="K11" s="561">
        <f t="shared" si="1"/>
        <v>27923015</v>
      </c>
      <c r="L11" s="573">
        <v>136106024</v>
      </c>
      <c r="M11" s="566">
        <v>0</v>
      </c>
      <c r="N11" s="649"/>
    </row>
    <row r="12" spans="1:14" ht="12.95" customHeight="1" x14ac:dyDescent="0.2">
      <c r="A12" s="169" t="s">
        <v>58</v>
      </c>
      <c r="B12" s="100" t="s">
        <v>129</v>
      </c>
      <c r="C12" s="101"/>
      <c r="D12" s="236">
        <v>16654</v>
      </c>
      <c r="E12" s="236">
        <f t="shared" si="0"/>
        <v>0</v>
      </c>
      <c r="F12" s="568">
        <v>16654</v>
      </c>
      <c r="G12" s="568">
        <v>16654</v>
      </c>
      <c r="H12" s="100" t="s">
        <v>14</v>
      </c>
      <c r="I12" s="104"/>
      <c r="J12" s="101"/>
      <c r="K12" s="101"/>
      <c r="L12" s="101"/>
      <c r="M12" s="101"/>
      <c r="N12" s="649"/>
    </row>
    <row r="13" spans="1:14" ht="12.95" customHeight="1" x14ac:dyDescent="0.2">
      <c r="A13" s="169" t="s">
        <v>59</v>
      </c>
      <c r="B13" s="100" t="s">
        <v>130</v>
      </c>
      <c r="C13" s="101"/>
      <c r="D13" s="236">
        <v>0</v>
      </c>
      <c r="E13" s="236">
        <f t="shared" si="0"/>
        <v>0</v>
      </c>
      <c r="F13" s="237"/>
      <c r="G13" s="237"/>
      <c r="H13" s="105" t="s">
        <v>340</v>
      </c>
      <c r="I13" s="104"/>
      <c r="J13" s="101"/>
      <c r="K13" s="101"/>
      <c r="L13" s="101"/>
      <c r="M13" s="101"/>
      <c r="N13" s="649"/>
    </row>
    <row r="14" spans="1:14" ht="12.95" customHeight="1" x14ac:dyDescent="0.2">
      <c r="A14" s="169" t="s">
        <v>60</v>
      </c>
      <c r="B14" s="106" t="s">
        <v>131</v>
      </c>
      <c r="C14" s="104"/>
      <c r="D14" s="236">
        <v>0</v>
      </c>
      <c r="E14" s="556">
        <f t="shared" si="0"/>
        <v>0</v>
      </c>
      <c r="F14" s="238"/>
      <c r="G14" s="238"/>
      <c r="H14" s="105" t="s">
        <v>301</v>
      </c>
      <c r="I14" s="104">
        <v>0</v>
      </c>
      <c r="J14" s="101"/>
      <c r="K14" s="101"/>
      <c r="L14" s="101"/>
      <c r="M14" s="101"/>
      <c r="N14" s="649"/>
    </row>
    <row r="15" spans="1:14" ht="12.95" customHeight="1" x14ac:dyDescent="0.2">
      <c r="A15" s="169" t="s">
        <v>61</v>
      </c>
      <c r="B15" s="105" t="s">
        <v>340</v>
      </c>
      <c r="C15" s="101"/>
      <c r="D15" s="236">
        <v>0</v>
      </c>
      <c r="E15" s="236">
        <f t="shared" si="0"/>
        <v>0</v>
      </c>
      <c r="F15" s="237"/>
      <c r="G15" s="237"/>
      <c r="H15" s="105"/>
      <c r="I15" s="104"/>
      <c r="J15" s="101"/>
      <c r="K15" s="101"/>
      <c r="L15" s="101"/>
      <c r="M15" s="101"/>
      <c r="N15" s="649"/>
    </row>
    <row r="16" spans="1:14" ht="12.95" customHeight="1" x14ac:dyDescent="0.2">
      <c r="A16" s="169" t="s">
        <v>29</v>
      </c>
      <c r="B16" s="105"/>
      <c r="C16" s="101"/>
      <c r="D16" s="236">
        <v>0</v>
      </c>
      <c r="E16" s="236">
        <f t="shared" si="0"/>
        <v>0</v>
      </c>
      <c r="F16" s="237"/>
      <c r="G16" s="237"/>
      <c r="H16" s="105"/>
      <c r="I16" s="104"/>
      <c r="J16" s="101"/>
      <c r="K16" s="101"/>
      <c r="L16" s="101"/>
      <c r="M16" s="101"/>
      <c r="N16" s="649"/>
    </row>
    <row r="17" spans="1:14" ht="12.95" customHeight="1" thickBot="1" x14ac:dyDescent="0.25">
      <c r="A17" s="169" t="s">
        <v>30</v>
      </c>
      <c r="B17" s="107"/>
      <c r="C17" s="108"/>
      <c r="D17" s="236">
        <v>0</v>
      </c>
      <c r="E17" s="557">
        <f t="shared" si="0"/>
        <v>0</v>
      </c>
      <c r="F17" s="239"/>
      <c r="G17" s="239"/>
      <c r="H17" s="105"/>
      <c r="I17" s="250"/>
      <c r="J17" s="108"/>
      <c r="K17" s="108"/>
      <c r="L17" s="108"/>
      <c r="M17" s="108"/>
      <c r="N17" s="649"/>
    </row>
    <row r="18" spans="1:14" ht="15.95" customHeight="1" thickBot="1" x14ac:dyDescent="0.25">
      <c r="A18" s="109" t="s">
        <v>36</v>
      </c>
      <c r="B18" s="110" t="s">
        <v>132</v>
      </c>
      <c r="C18" s="111">
        <f>+C6+C7+C8+C9+C10+C12+C13+C14+C15+C16+C17</f>
        <v>503419162</v>
      </c>
      <c r="D18" s="111">
        <f>+D6+D7+D8+D9+D10+D12+D13+D14+D15+D16+D17</f>
        <v>18824803</v>
      </c>
      <c r="E18" s="111">
        <f t="shared" ref="E18:G18" si="2">+E6+E7+E8+E9+E10+E12+E13+E14+E15+E16+E17</f>
        <v>18684605</v>
      </c>
      <c r="F18" s="111">
        <f t="shared" si="2"/>
        <v>540928570</v>
      </c>
      <c r="G18" s="111">
        <f t="shared" si="2"/>
        <v>459064953</v>
      </c>
      <c r="H18" s="110" t="s">
        <v>133</v>
      </c>
      <c r="I18" s="251">
        <f>SUM(I6:I17)</f>
        <v>572983464</v>
      </c>
      <c r="J18" s="251">
        <f>SUM(J6:J17)</f>
        <v>80368696</v>
      </c>
      <c r="K18" s="251">
        <f>SUM(K6:K17)</f>
        <v>44742440</v>
      </c>
      <c r="L18" s="251">
        <f t="shared" ref="L18:M18" si="3">SUM(L6:L17)</f>
        <v>698094600</v>
      </c>
      <c r="M18" s="251">
        <f t="shared" si="3"/>
        <v>402240987</v>
      </c>
      <c r="N18" s="649"/>
    </row>
    <row r="19" spans="1:14" ht="12.95" customHeight="1" x14ac:dyDescent="0.2">
      <c r="A19" s="112" t="s">
        <v>31</v>
      </c>
      <c r="B19" s="113" t="s">
        <v>134</v>
      </c>
      <c r="C19" s="163">
        <f>+C20+C21+C22+C23</f>
        <v>180698460</v>
      </c>
      <c r="D19" s="163">
        <v>997200</v>
      </c>
      <c r="E19" s="561">
        <f t="shared" ref="E19:E26" si="4">F19-C19-D19</f>
        <v>1595599</v>
      </c>
      <c r="F19" s="571">
        <f t="shared" ref="F19:G19" si="5">+F20+F21+F22+F23</f>
        <v>183291259</v>
      </c>
      <c r="G19" s="571">
        <f t="shared" si="5"/>
        <v>134890838</v>
      </c>
      <c r="H19" s="114" t="s">
        <v>135</v>
      </c>
      <c r="I19" s="252"/>
      <c r="J19" s="257"/>
      <c r="K19" s="257"/>
      <c r="L19" s="257"/>
      <c r="M19" s="257"/>
      <c r="N19" s="649"/>
    </row>
    <row r="20" spans="1:14" ht="12.95" customHeight="1" x14ac:dyDescent="0.2">
      <c r="A20" s="115" t="s">
        <v>64</v>
      </c>
      <c r="B20" s="114" t="s">
        <v>136</v>
      </c>
      <c r="C20" s="116">
        <v>36175056</v>
      </c>
      <c r="D20" s="236">
        <v>0</v>
      </c>
      <c r="E20" s="561">
        <f t="shared" si="4"/>
        <v>0</v>
      </c>
      <c r="F20" s="569">
        <v>36175056</v>
      </c>
      <c r="G20" s="569">
        <v>36175056</v>
      </c>
      <c r="H20" s="114" t="s">
        <v>137</v>
      </c>
      <c r="I20" s="253"/>
      <c r="J20" s="116"/>
      <c r="K20" s="116"/>
      <c r="L20" s="116"/>
      <c r="M20" s="116"/>
      <c r="N20" s="649"/>
    </row>
    <row r="21" spans="1:14" ht="12.95" customHeight="1" x14ac:dyDescent="0.2">
      <c r="A21" s="115" t="s">
        <v>76</v>
      </c>
      <c r="B21" s="114" t="s">
        <v>138</v>
      </c>
      <c r="C21" s="116"/>
      <c r="D21" s="236">
        <v>0</v>
      </c>
      <c r="E21" s="561">
        <f t="shared" si="4"/>
        <v>0</v>
      </c>
      <c r="F21" s="565"/>
      <c r="G21" s="565"/>
      <c r="H21" s="114" t="s">
        <v>139</v>
      </c>
      <c r="I21" s="253"/>
      <c r="J21" s="116"/>
      <c r="K21" s="116"/>
      <c r="L21" s="116"/>
      <c r="M21" s="116"/>
      <c r="N21" s="649"/>
    </row>
    <row r="22" spans="1:14" ht="12.95" customHeight="1" x14ac:dyDescent="0.2">
      <c r="A22" s="115" t="s">
        <v>32</v>
      </c>
      <c r="B22" s="114" t="s">
        <v>235</v>
      </c>
      <c r="C22" s="116">
        <v>42499999</v>
      </c>
      <c r="D22" s="236">
        <v>0</v>
      </c>
      <c r="E22" s="561">
        <f t="shared" si="4"/>
        <v>0</v>
      </c>
      <c r="F22" s="569">
        <v>42499999</v>
      </c>
      <c r="G22" s="569">
        <v>21536617</v>
      </c>
      <c r="H22" s="114" t="s">
        <v>140</v>
      </c>
      <c r="I22" s="253"/>
      <c r="J22" s="116"/>
      <c r="K22" s="116"/>
      <c r="L22" s="116"/>
      <c r="M22" s="116"/>
      <c r="N22" s="649"/>
    </row>
    <row r="23" spans="1:14" ht="12.95" customHeight="1" x14ac:dyDescent="0.2">
      <c r="A23" s="115" t="s">
        <v>77</v>
      </c>
      <c r="B23" s="114" t="s">
        <v>141</v>
      </c>
      <c r="C23" s="116">
        <f>'1. Bevételek'!I55</f>
        <v>102023405</v>
      </c>
      <c r="D23" s="236">
        <v>997200</v>
      </c>
      <c r="E23" s="561">
        <f t="shared" si="4"/>
        <v>1595599</v>
      </c>
      <c r="F23" s="570">
        <v>104616204</v>
      </c>
      <c r="G23" s="570">
        <v>77179165</v>
      </c>
      <c r="H23" s="113" t="s">
        <v>142</v>
      </c>
      <c r="I23" s="253"/>
      <c r="J23" s="116"/>
      <c r="K23" s="116"/>
      <c r="L23" s="116"/>
      <c r="M23" s="116"/>
      <c r="N23" s="649"/>
    </row>
    <row r="24" spans="1:14" ht="12.95" customHeight="1" x14ac:dyDescent="0.2">
      <c r="A24" s="115" t="s">
        <v>62</v>
      </c>
      <c r="B24" s="114" t="s">
        <v>143</v>
      </c>
      <c r="C24" s="117">
        <f>+C25+C26</f>
        <v>0</v>
      </c>
      <c r="D24" s="242"/>
      <c r="E24" s="561">
        <f t="shared" si="4"/>
        <v>0</v>
      </c>
      <c r="F24" s="242"/>
      <c r="G24" s="242"/>
      <c r="H24" s="114" t="s">
        <v>144</v>
      </c>
      <c r="I24" s="253"/>
      <c r="J24" s="116"/>
      <c r="K24" s="116"/>
      <c r="L24" s="116"/>
      <c r="M24" s="116"/>
      <c r="N24" s="649"/>
    </row>
    <row r="25" spans="1:14" ht="12.95" customHeight="1" x14ac:dyDescent="0.2">
      <c r="A25" s="112" t="s">
        <v>95</v>
      </c>
      <c r="B25" s="113" t="s">
        <v>145</v>
      </c>
      <c r="C25" s="118"/>
      <c r="D25" s="241"/>
      <c r="E25" s="561">
        <f t="shared" si="4"/>
        <v>0</v>
      </c>
      <c r="F25" s="241"/>
      <c r="G25" s="241"/>
      <c r="H25" s="99" t="s">
        <v>146</v>
      </c>
      <c r="I25" s="252">
        <f>'2. Kiadások'!N29</f>
        <v>102023405</v>
      </c>
      <c r="J25" s="116">
        <v>997200</v>
      </c>
      <c r="K25" s="561">
        <f t="shared" ref="K25:K26" si="6">L25-I25-J25</f>
        <v>1595599</v>
      </c>
      <c r="L25" s="577">
        <v>104616204</v>
      </c>
      <c r="M25" s="577">
        <v>77179165</v>
      </c>
      <c r="N25" s="649"/>
    </row>
    <row r="26" spans="1:14" ht="12.95" customHeight="1" thickBot="1" x14ac:dyDescent="0.25">
      <c r="A26" s="115" t="s">
        <v>147</v>
      </c>
      <c r="B26" s="114" t="s">
        <v>148</v>
      </c>
      <c r="C26" s="116"/>
      <c r="D26" s="240"/>
      <c r="E26" s="561">
        <f t="shared" si="4"/>
        <v>0</v>
      </c>
      <c r="F26" s="240"/>
      <c r="G26" s="240"/>
      <c r="H26" s="105" t="s">
        <v>227</v>
      </c>
      <c r="I26" s="253">
        <f>'2. Kiadások'!N28</f>
        <v>9110753</v>
      </c>
      <c r="J26" s="116">
        <f>L26-I26</f>
        <v>0</v>
      </c>
      <c r="K26" s="561">
        <f t="shared" si="6"/>
        <v>0</v>
      </c>
      <c r="L26" s="578">
        <v>9110753</v>
      </c>
      <c r="M26" s="578">
        <v>9110753</v>
      </c>
      <c r="N26" s="649"/>
    </row>
    <row r="27" spans="1:14" ht="15.95" customHeight="1" thickBot="1" x14ac:dyDescent="0.25">
      <c r="A27" s="109" t="s">
        <v>149</v>
      </c>
      <c r="B27" s="110" t="s">
        <v>150</v>
      </c>
      <c r="C27" s="111">
        <f>+C19+C24</f>
        <v>180698460</v>
      </c>
      <c r="D27" s="111">
        <f>+D19+D24</f>
        <v>997200</v>
      </c>
      <c r="E27" s="111">
        <f t="shared" ref="E27:G27" si="7">+E19+E24</f>
        <v>1595599</v>
      </c>
      <c r="F27" s="111">
        <f t="shared" si="7"/>
        <v>183291259</v>
      </c>
      <c r="G27" s="111">
        <f t="shared" si="7"/>
        <v>134890838</v>
      </c>
      <c r="H27" s="110" t="s">
        <v>151</v>
      </c>
      <c r="I27" s="251">
        <f>SUM(I19:I26)</f>
        <v>111134158</v>
      </c>
      <c r="J27" s="251">
        <f t="shared" ref="J27:M27" si="8">SUM(J19:J26)</f>
        <v>997200</v>
      </c>
      <c r="K27" s="251">
        <f t="shared" si="8"/>
        <v>1595599</v>
      </c>
      <c r="L27" s="251">
        <f t="shared" si="8"/>
        <v>113726957</v>
      </c>
      <c r="M27" s="251">
        <f t="shared" si="8"/>
        <v>86289918</v>
      </c>
      <c r="N27" s="649"/>
    </row>
    <row r="28" spans="1:14" ht="18" customHeight="1" thickBot="1" x14ac:dyDescent="0.25">
      <c r="A28" s="109" t="s">
        <v>152</v>
      </c>
      <c r="B28" s="119" t="s">
        <v>153</v>
      </c>
      <c r="C28" s="111">
        <f>+C18+C27</f>
        <v>684117622</v>
      </c>
      <c r="D28" s="111">
        <f>+D18+D27</f>
        <v>19822003</v>
      </c>
      <c r="E28" s="111">
        <f t="shared" ref="E28:G28" si="9">+E18+E27</f>
        <v>20280204</v>
      </c>
      <c r="F28" s="111">
        <f t="shared" si="9"/>
        <v>724219829</v>
      </c>
      <c r="G28" s="111">
        <f t="shared" si="9"/>
        <v>593955791</v>
      </c>
      <c r="H28" s="119" t="s">
        <v>154</v>
      </c>
      <c r="I28" s="251">
        <f>+I18+I27</f>
        <v>684117622</v>
      </c>
      <c r="J28" s="251">
        <f t="shared" ref="J28:M28" si="10">+J18+J27</f>
        <v>81365896</v>
      </c>
      <c r="K28" s="251">
        <f t="shared" si="10"/>
        <v>46338039</v>
      </c>
      <c r="L28" s="251">
        <f t="shared" si="10"/>
        <v>811821557</v>
      </c>
      <c r="M28" s="251">
        <f t="shared" si="10"/>
        <v>488530905</v>
      </c>
      <c r="N28" s="649"/>
    </row>
    <row r="29" spans="1:14" ht="18" customHeight="1" thickBot="1" x14ac:dyDescent="0.25">
      <c r="A29" s="109" t="s">
        <v>155</v>
      </c>
      <c r="B29" s="110" t="s">
        <v>156</v>
      </c>
      <c r="C29" s="120"/>
      <c r="D29" s="243"/>
      <c r="E29" s="243"/>
      <c r="F29" s="243"/>
      <c r="G29" s="243"/>
      <c r="H29" s="110" t="s">
        <v>157</v>
      </c>
      <c r="I29" s="254"/>
      <c r="J29" s="256"/>
      <c r="K29" s="256"/>
      <c r="L29" s="256"/>
      <c r="M29" s="256"/>
      <c r="N29" s="649"/>
    </row>
    <row r="30" spans="1:14" ht="13.5" thickBot="1" x14ac:dyDescent="0.25">
      <c r="A30" s="109" t="s">
        <v>158</v>
      </c>
      <c r="B30" s="121" t="s">
        <v>159</v>
      </c>
      <c r="C30" s="122">
        <f>+C28+C29</f>
        <v>684117622</v>
      </c>
      <c r="D30" s="122">
        <f>+D28+D29</f>
        <v>19822003</v>
      </c>
      <c r="E30" s="122">
        <f t="shared" ref="E30:G30" si="11">+E28+E29</f>
        <v>20280204</v>
      </c>
      <c r="F30" s="122">
        <f t="shared" si="11"/>
        <v>724219829</v>
      </c>
      <c r="G30" s="122">
        <f t="shared" si="11"/>
        <v>593955791</v>
      </c>
      <c r="H30" s="121" t="s">
        <v>160</v>
      </c>
      <c r="I30" s="244">
        <f>+I28+I29</f>
        <v>684117622</v>
      </c>
      <c r="J30" s="244">
        <f t="shared" ref="J30:M30" si="12">+J28+J29</f>
        <v>81365896</v>
      </c>
      <c r="K30" s="244">
        <f t="shared" si="12"/>
        <v>46338039</v>
      </c>
      <c r="L30" s="244">
        <f t="shared" si="12"/>
        <v>811821557</v>
      </c>
      <c r="M30" s="244">
        <f t="shared" si="12"/>
        <v>488530905</v>
      </c>
      <c r="N30" s="649"/>
    </row>
    <row r="31" spans="1:14" ht="13.5" thickBot="1" x14ac:dyDescent="0.25">
      <c r="A31" s="109" t="s">
        <v>161</v>
      </c>
      <c r="B31" s="121" t="s">
        <v>162</v>
      </c>
      <c r="C31" s="122">
        <f>IF(C18-I18&lt;0,I18-C18,"-")</f>
        <v>69564302</v>
      </c>
      <c r="D31" s="122">
        <f>IF(D18-J18&lt;0,J18-D18,"-")</f>
        <v>61543893</v>
      </c>
      <c r="E31" s="122"/>
      <c r="F31" s="122">
        <f>IF(F18-L18&lt;0,L18-F18,"-")</f>
        <v>157166030</v>
      </c>
      <c r="G31" s="122" t="str">
        <f>IF(G18-M18&lt;0,M18-G18,"-")</f>
        <v>-</v>
      </c>
      <c r="H31" s="121" t="s">
        <v>163</v>
      </c>
      <c r="I31" s="244" t="str">
        <f>IF(C18-I18&gt;0,C18-I18,"-")</f>
        <v>-</v>
      </c>
      <c r="J31" s="111"/>
      <c r="K31" s="111"/>
      <c r="L31" s="111"/>
      <c r="M31" s="111"/>
      <c r="N31" s="649"/>
    </row>
    <row r="32" spans="1:14" ht="13.5" thickBot="1" x14ac:dyDescent="0.25">
      <c r="A32" s="109" t="s">
        <v>164</v>
      </c>
      <c r="B32" s="121" t="s">
        <v>165</v>
      </c>
      <c r="C32" s="122" t="str">
        <f>IF(C18+C19-I28&lt;0,I28-(C18+C19),"-")</f>
        <v>-</v>
      </c>
      <c r="D32" s="122">
        <f>IF(D18+D19-J28&lt;0,J28-(D18+D19),"-")</f>
        <v>61543893</v>
      </c>
      <c r="E32" s="122"/>
      <c r="F32" s="122">
        <f>IF(F18+F19-L28&lt;0,L28-(F18+F19),"-")</f>
        <v>87601728</v>
      </c>
      <c r="G32" s="122" t="str">
        <f>IF(G18+G19-M28&lt;0,M28-(G18+G19),"-")</f>
        <v>-</v>
      </c>
      <c r="H32" s="121" t="s">
        <v>166</v>
      </c>
      <c r="I32" s="244" t="str">
        <f>IF(C18+C19-I28&gt;0,C18+C19-I28,"-")</f>
        <v>-</v>
      </c>
      <c r="J32" s="111"/>
      <c r="K32" s="111"/>
      <c r="L32" s="111"/>
      <c r="M32" s="111"/>
      <c r="N32" s="649"/>
    </row>
  </sheetData>
  <mergeCells count="2">
    <mergeCell ref="N1:N32"/>
    <mergeCell ref="A3:A4"/>
  </mergeCells>
  <phoneticPr fontId="7" type="noConversion"/>
  <pageMargins left="0.75" right="0.75" top="0.73" bottom="1" header="0.5" footer="0.5"/>
  <pageSetup paperSize="9" scale="65" orientation="landscape" r:id="rId1"/>
  <headerFooter alignWithMargins="0">
    <oddHeader>&amp;R3.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3" workbookViewId="0">
      <selection activeCell="M35" sqref="M35"/>
    </sheetView>
  </sheetViews>
  <sheetFormatPr defaultRowHeight="12.75" x14ac:dyDescent="0.2"/>
  <cols>
    <col min="1" max="1" width="5.28515625" style="166" bestFit="1" customWidth="1"/>
    <col min="2" max="2" width="47.28515625" style="167" customWidth="1"/>
    <col min="3" max="3" width="14" style="176" customWidth="1"/>
    <col min="4" max="4" width="12.5703125" style="176" bestFit="1" customWidth="1"/>
    <col min="5" max="5" width="11.42578125" style="176" customWidth="1"/>
    <col min="6" max="7" width="12.5703125" style="176" bestFit="1" customWidth="1"/>
    <col min="8" max="8" width="47.28515625" style="166" customWidth="1"/>
    <col min="9" max="10" width="12.5703125" style="176" bestFit="1" customWidth="1"/>
    <col min="11" max="11" width="11.28515625" style="176" customWidth="1"/>
    <col min="12" max="12" width="12.5703125" style="176" bestFit="1" customWidth="1"/>
    <col min="13" max="13" width="14" style="176" customWidth="1"/>
    <col min="14" max="14" width="4.140625" style="166" customWidth="1"/>
    <col min="15" max="15" width="11.7109375" style="166" bestFit="1" customWidth="1"/>
    <col min="16" max="16384" width="9.140625" style="166"/>
  </cols>
  <sheetData>
    <row r="1" spans="1:14" ht="31.5" x14ac:dyDescent="0.2">
      <c r="A1" s="164"/>
      <c r="B1" s="87" t="s">
        <v>167</v>
      </c>
      <c r="C1" s="175"/>
      <c r="D1" s="175"/>
      <c r="E1" s="175"/>
      <c r="F1" s="175"/>
      <c r="G1" s="175"/>
      <c r="H1" s="165"/>
      <c r="I1" s="175"/>
      <c r="J1" s="175"/>
      <c r="K1" s="175"/>
      <c r="L1" s="175"/>
      <c r="M1" s="175"/>
      <c r="N1" s="649"/>
    </row>
    <row r="2" spans="1:14" ht="14.25" thickBot="1" x14ac:dyDescent="0.25">
      <c r="I2" s="263"/>
      <c r="J2" s="264"/>
      <c r="K2" s="264"/>
      <c r="L2" s="264"/>
      <c r="M2" s="264" t="s">
        <v>238</v>
      </c>
      <c r="N2" s="649"/>
    </row>
    <row r="3" spans="1:14" ht="13.5" thickBot="1" x14ac:dyDescent="0.25">
      <c r="A3" s="652" t="s">
        <v>120</v>
      </c>
      <c r="B3" s="89" t="s">
        <v>121</v>
      </c>
      <c r="C3" s="90"/>
      <c r="D3" s="234"/>
      <c r="E3" s="234"/>
      <c r="F3" s="234"/>
      <c r="G3" s="234"/>
      <c r="H3" s="89" t="s">
        <v>122</v>
      </c>
      <c r="I3" s="262"/>
      <c r="J3" s="90"/>
      <c r="K3" s="90"/>
      <c r="L3" s="90"/>
      <c r="M3" s="90"/>
      <c r="N3" s="649"/>
    </row>
    <row r="4" spans="1:14" s="94" customFormat="1" ht="30.75" thickBot="1" x14ac:dyDescent="0.25">
      <c r="A4" s="653"/>
      <c r="B4" s="92" t="s">
        <v>44</v>
      </c>
      <c r="C4" s="93" t="s">
        <v>367</v>
      </c>
      <c r="D4" s="159" t="s">
        <v>364</v>
      </c>
      <c r="E4" s="159" t="s">
        <v>466</v>
      </c>
      <c r="F4" s="159" t="s">
        <v>365</v>
      </c>
      <c r="G4" s="159" t="s">
        <v>366</v>
      </c>
      <c r="H4" s="92" t="s">
        <v>44</v>
      </c>
      <c r="I4" s="247" t="s">
        <v>367</v>
      </c>
      <c r="J4" s="265" t="s">
        <v>364</v>
      </c>
      <c r="K4" s="159" t="s">
        <v>466</v>
      </c>
      <c r="L4" s="265" t="s">
        <v>365</v>
      </c>
      <c r="M4" s="265" t="s">
        <v>366</v>
      </c>
      <c r="N4" s="649"/>
    </row>
    <row r="5" spans="1:14" s="94" customFormat="1" ht="13.5" thickBot="1" x14ac:dyDescent="0.25">
      <c r="A5" s="95">
        <v>1</v>
      </c>
      <c r="B5" s="96">
        <v>2</v>
      </c>
      <c r="C5" s="97">
        <v>3</v>
      </c>
      <c r="D5" s="235"/>
      <c r="E5" s="235"/>
      <c r="F5" s="235"/>
      <c r="G5" s="235"/>
      <c r="H5" s="96">
        <v>4</v>
      </c>
      <c r="I5" s="248">
        <v>5</v>
      </c>
      <c r="J5" s="97"/>
      <c r="K5" s="97"/>
      <c r="L5" s="97"/>
      <c r="M5" s="97"/>
      <c r="N5" s="649"/>
    </row>
    <row r="6" spans="1:14" ht="12.95" customHeight="1" x14ac:dyDescent="0.2">
      <c r="A6" s="168" t="s">
        <v>45</v>
      </c>
      <c r="B6" s="99" t="s">
        <v>168</v>
      </c>
      <c r="C6" s="162">
        <f>'1. Bevételek'!N41</f>
        <v>2372880</v>
      </c>
      <c r="D6" s="236">
        <v>1797839</v>
      </c>
      <c r="E6" s="236">
        <f t="shared" ref="E6:E18" si="0">F6-C6-D6</f>
        <v>-22697</v>
      </c>
      <c r="F6" s="567">
        <v>4148022</v>
      </c>
      <c r="G6" s="567">
        <v>3554802</v>
      </c>
      <c r="H6" s="99" t="s">
        <v>169</v>
      </c>
      <c r="I6" s="249">
        <f>'2. Kiadások'!N21</f>
        <v>466274973</v>
      </c>
      <c r="J6" s="162">
        <v>-8700375</v>
      </c>
      <c r="K6" s="236">
        <f t="shared" ref="K6:K8" si="1">L6-I6-J6</f>
        <v>1874877</v>
      </c>
      <c r="L6" s="579">
        <v>459449475</v>
      </c>
      <c r="M6" s="579">
        <v>106309374</v>
      </c>
      <c r="N6" s="649"/>
    </row>
    <row r="7" spans="1:14" ht="12.95" customHeight="1" x14ac:dyDescent="0.2">
      <c r="A7" s="168" t="s">
        <v>46</v>
      </c>
      <c r="B7" s="78" t="s">
        <v>170</v>
      </c>
      <c r="C7" s="162"/>
      <c r="D7" s="236">
        <v>0</v>
      </c>
      <c r="E7" s="236">
        <f t="shared" si="0"/>
        <v>0</v>
      </c>
      <c r="F7" s="564"/>
      <c r="G7" s="564"/>
      <c r="H7" s="99"/>
      <c r="I7" s="249"/>
      <c r="J7" s="162">
        <v>0</v>
      </c>
      <c r="K7" s="236">
        <f t="shared" si="1"/>
        <v>0</v>
      </c>
      <c r="L7" s="566"/>
      <c r="M7" s="566"/>
      <c r="N7" s="649"/>
    </row>
    <row r="8" spans="1:14" ht="22.5" customHeight="1" x14ac:dyDescent="0.2">
      <c r="A8" s="168" t="s">
        <v>47</v>
      </c>
      <c r="B8" s="100" t="s">
        <v>171</v>
      </c>
      <c r="C8" s="101">
        <v>0</v>
      </c>
      <c r="D8" s="236">
        <v>0</v>
      </c>
      <c r="E8" s="236">
        <f t="shared" si="0"/>
        <v>0</v>
      </c>
      <c r="F8" s="562"/>
      <c r="G8" s="562"/>
      <c r="H8" s="100" t="s">
        <v>172</v>
      </c>
      <c r="I8" s="104">
        <f>'2. Kiadások'!N22</f>
        <v>43561791</v>
      </c>
      <c r="J8" s="162">
        <v>0</v>
      </c>
      <c r="K8" s="236">
        <f t="shared" si="1"/>
        <v>999999</v>
      </c>
      <c r="L8" s="573">
        <v>44561790</v>
      </c>
      <c r="M8" s="573">
        <v>40154579</v>
      </c>
      <c r="N8" s="649"/>
    </row>
    <row r="9" spans="1:14" ht="12.95" customHeight="1" x14ac:dyDescent="0.2">
      <c r="A9" s="168" t="s">
        <v>48</v>
      </c>
      <c r="B9" s="100" t="s">
        <v>173</v>
      </c>
      <c r="C9" s="101"/>
      <c r="D9" s="236">
        <v>0</v>
      </c>
      <c r="E9" s="236">
        <f t="shared" si="0"/>
        <v>0</v>
      </c>
      <c r="F9" s="562"/>
      <c r="G9" s="562"/>
      <c r="H9" s="100" t="s">
        <v>174</v>
      </c>
      <c r="I9" s="104">
        <f>SUM(I10:I16)</f>
        <v>0</v>
      </c>
      <c r="J9" s="101"/>
      <c r="K9" s="101"/>
      <c r="L9" s="566"/>
      <c r="M9" s="566"/>
      <c r="N9" s="649"/>
    </row>
    <row r="10" spans="1:14" ht="12.95" customHeight="1" x14ac:dyDescent="0.2">
      <c r="A10" s="168" t="s">
        <v>49</v>
      </c>
      <c r="B10" s="100" t="s">
        <v>175</v>
      </c>
      <c r="C10" s="101"/>
      <c r="D10" s="236">
        <v>0</v>
      </c>
      <c r="E10" s="236">
        <f t="shared" si="0"/>
        <v>0</v>
      </c>
      <c r="F10" s="562"/>
      <c r="G10" s="562"/>
      <c r="H10" s="100" t="s">
        <v>176</v>
      </c>
      <c r="I10" s="104">
        <v>0</v>
      </c>
      <c r="J10" s="101"/>
      <c r="K10" s="101"/>
      <c r="L10" s="566"/>
      <c r="M10" s="566"/>
      <c r="N10" s="649"/>
    </row>
    <row r="11" spans="1:14" ht="12.75" customHeight="1" x14ac:dyDescent="0.2">
      <c r="A11" s="168" t="s">
        <v>56</v>
      </c>
      <c r="B11" s="100" t="s">
        <v>177</v>
      </c>
      <c r="C11" s="101"/>
      <c r="D11" s="101">
        <v>0</v>
      </c>
      <c r="E11" s="236">
        <f t="shared" si="0"/>
        <v>0</v>
      </c>
      <c r="F11" s="566"/>
      <c r="G11" s="566"/>
      <c r="H11" s="559" t="s">
        <v>178</v>
      </c>
      <c r="I11" s="104">
        <v>0</v>
      </c>
      <c r="J11" s="101"/>
      <c r="K11" s="101"/>
      <c r="L11" s="566"/>
      <c r="M11" s="566"/>
      <c r="N11" s="649"/>
    </row>
    <row r="12" spans="1:14" ht="12.95" customHeight="1" x14ac:dyDescent="0.2">
      <c r="A12" s="168" t="s">
        <v>58</v>
      </c>
      <c r="B12" s="100" t="s">
        <v>179</v>
      </c>
      <c r="C12" s="101"/>
      <c r="D12" s="101">
        <v>0</v>
      </c>
      <c r="E12" s="236">
        <f t="shared" si="0"/>
        <v>0</v>
      </c>
      <c r="F12" s="566"/>
      <c r="G12" s="566"/>
      <c r="H12" s="560" t="s">
        <v>180</v>
      </c>
      <c r="I12" s="104"/>
      <c r="J12" s="101"/>
      <c r="K12" s="101"/>
      <c r="L12" s="566"/>
      <c r="M12" s="566"/>
      <c r="N12" s="649"/>
    </row>
    <row r="13" spans="1:14" ht="12.95" customHeight="1" x14ac:dyDescent="0.2">
      <c r="A13" s="168" t="s">
        <v>59</v>
      </c>
      <c r="B13" s="100" t="s">
        <v>181</v>
      </c>
      <c r="C13" s="101"/>
      <c r="D13" s="236">
        <v>0</v>
      </c>
      <c r="E13" s="236">
        <f t="shared" si="0"/>
        <v>0</v>
      </c>
      <c r="F13" s="562"/>
      <c r="G13" s="562"/>
      <c r="H13" s="123" t="s">
        <v>182</v>
      </c>
      <c r="I13" s="104"/>
      <c r="J13" s="101"/>
      <c r="K13" s="101"/>
      <c r="L13" s="566"/>
      <c r="M13" s="566"/>
      <c r="N13" s="649"/>
    </row>
    <row r="14" spans="1:14" ht="12.95" customHeight="1" x14ac:dyDescent="0.2">
      <c r="A14" s="168" t="s">
        <v>60</v>
      </c>
      <c r="B14" s="100" t="s">
        <v>183</v>
      </c>
      <c r="C14" s="101">
        <f>SUM(C15)</f>
        <v>0</v>
      </c>
      <c r="D14" s="101">
        <v>49996154</v>
      </c>
      <c r="E14" s="236">
        <f t="shared" si="0"/>
        <v>28955408</v>
      </c>
      <c r="F14" s="573">
        <f t="shared" ref="F14:G14" si="2">SUM(F15)</f>
        <v>78951562</v>
      </c>
      <c r="G14" s="573">
        <f t="shared" si="2"/>
        <v>78951562</v>
      </c>
      <c r="H14" s="124" t="s">
        <v>184</v>
      </c>
      <c r="I14" s="104"/>
      <c r="J14" s="101"/>
      <c r="K14" s="101"/>
      <c r="L14" s="566"/>
      <c r="M14" s="566"/>
      <c r="N14" s="649"/>
    </row>
    <row r="15" spans="1:14" ht="12.95" customHeight="1" x14ac:dyDescent="0.2">
      <c r="A15" s="168" t="s">
        <v>61</v>
      </c>
      <c r="B15" s="125" t="s">
        <v>185</v>
      </c>
      <c r="C15" s="101">
        <v>0</v>
      </c>
      <c r="D15" s="101">
        <v>49996154</v>
      </c>
      <c r="E15" s="236">
        <f t="shared" si="0"/>
        <v>28955408</v>
      </c>
      <c r="F15" s="573">
        <v>78951562</v>
      </c>
      <c r="G15" s="572">
        <v>78951562</v>
      </c>
      <c r="H15" s="123" t="s">
        <v>186</v>
      </c>
      <c r="I15" s="104"/>
      <c r="J15" s="101"/>
      <c r="K15" s="101"/>
      <c r="L15" s="566"/>
      <c r="M15" s="566"/>
      <c r="N15" s="649"/>
    </row>
    <row r="16" spans="1:14" ht="22.5" customHeight="1" x14ac:dyDescent="0.2">
      <c r="A16" s="168" t="s">
        <v>29</v>
      </c>
      <c r="B16" s="100" t="s">
        <v>187</v>
      </c>
      <c r="C16" s="101">
        <f>'1. Bevételek'!N46</f>
        <v>7280000</v>
      </c>
      <c r="D16" s="101">
        <v>1049525</v>
      </c>
      <c r="E16" s="567">
        <f t="shared" si="0"/>
        <v>-7280000</v>
      </c>
      <c r="F16" s="573">
        <v>1049525</v>
      </c>
      <c r="G16" s="572">
        <f>934892+1049525</f>
        <v>1984417</v>
      </c>
      <c r="H16" s="123" t="s">
        <v>188</v>
      </c>
      <c r="I16" s="104"/>
      <c r="J16" s="101"/>
      <c r="K16" s="101"/>
      <c r="L16" s="566"/>
      <c r="M16" s="566"/>
      <c r="N16" s="649"/>
    </row>
    <row r="17" spans="1:14" ht="12.95" customHeight="1" x14ac:dyDescent="0.2">
      <c r="A17" s="168" t="s">
        <v>30</v>
      </c>
      <c r="B17" s="100" t="s">
        <v>189</v>
      </c>
      <c r="C17" s="102">
        <f>'1. Bevételek'!N45</f>
        <v>701680</v>
      </c>
      <c r="D17" s="236">
        <v>0</v>
      </c>
      <c r="E17" s="567">
        <f t="shared" si="0"/>
        <v>7280000</v>
      </c>
      <c r="F17" s="572">
        <v>7981680</v>
      </c>
      <c r="G17" s="572">
        <v>7672980</v>
      </c>
      <c r="H17" s="100" t="s">
        <v>128</v>
      </c>
      <c r="I17" s="104">
        <v>0</v>
      </c>
      <c r="J17" s="101"/>
      <c r="K17" s="101"/>
      <c r="L17" s="566"/>
      <c r="M17" s="566"/>
      <c r="N17" s="649"/>
    </row>
    <row r="18" spans="1:14" ht="12.95" customHeight="1" thickBot="1" x14ac:dyDescent="0.25">
      <c r="A18" s="168" t="s">
        <v>36</v>
      </c>
      <c r="B18" s="126" t="s">
        <v>190</v>
      </c>
      <c r="C18" s="127">
        <v>0</v>
      </c>
      <c r="D18" s="236">
        <f t="shared" ref="D18" si="3">F18-C18</f>
        <v>0</v>
      </c>
      <c r="E18" s="236">
        <f t="shared" si="0"/>
        <v>0</v>
      </c>
      <c r="F18" s="246"/>
      <c r="G18" s="246"/>
      <c r="H18" s="126" t="s">
        <v>14</v>
      </c>
      <c r="I18" s="127">
        <f>'2. Kiadások'!N24</f>
        <v>2000000</v>
      </c>
      <c r="J18" s="162">
        <v>0</v>
      </c>
      <c r="K18" s="558"/>
      <c r="L18" s="580">
        <v>2000000</v>
      </c>
      <c r="M18" s="580">
        <v>0</v>
      </c>
      <c r="N18" s="649"/>
    </row>
    <row r="19" spans="1:14" ht="15.95" customHeight="1" thickBot="1" x14ac:dyDescent="0.25">
      <c r="A19" s="109" t="s">
        <v>36</v>
      </c>
      <c r="B19" s="110" t="s">
        <v>191</v>
      </c>
      <c r="C19" s="111">
        <f>C6+C7+C8+C9+C10+C11+C12+C13+C14+C16+C17+C18</f>
        <v>10354560</v>
      </c>
      <c r="D19" s="111">
        <f>D6+D7+D8+D9+D10+D11+D12+D13+D14+D16+D17+D18</f>
        <v>52843518</v>
      </c>
      <c r="E19" s="111">
        <f>E6+E7+E8+E9+E10+E11+E12+E13+E14+E16+E17+E18</f>
        <v>28932711</v>
      </c>
      <c r="F19" s="111">
        <f t="shared" ref="F19:G19" si="4">F6+F7+F8+F9+F10+F11+F12+F13+F14+F16+F17+F18</f>
        <v>92130789</v>
      </c>
      <c r="G19" s="111">
        <f t="shared" si="4"/>
        <v>92163761</v>
      </c>
      <c r="H19" s="110" t="s">
        <v>12</v>
      </c>
      <c r="I19" s="251">
        <f>+I6+I8+I9+I17+I18</f>
        <v>511836764</v>
      </c>
      <c r="J19" s="251">
        <f t="shared" ref="J19:M19" si="5">+J6+J8+J9+J17+J18</f>
        <v>-8700375</v>
      </c>
      <c r="K19" s="251">
        <f t="shared" si="5"/>
        <v>2874876</v>
      </c>
      <c r="L19" s="251">
        <f t="shared" si="5"/>
        <v>506011265</v>
      </c>
      <c r="M19" s="251">
        <f t="shared" si="5"/>
        <v>146463953</v>
      </c>
      <c r="N19" s="649"/>
    </row>
    <row r="20" spans="1:14" ht="12.95" customHeight="1" x14ac:dyDescent="0.2">
      <c r="A20" s="128" t="s">
        <v>31</v>
      </c>
      <c r="B20" s="129" t="s">
        <v>192</v>
      </c>
      <c r="C20" s="130">
        <f>+C21+C22+C23+C24+C25</f>
        <v>101482204</v>
      </c>
      <c r="D20" s="130">
        <f t="shared" ref="D20:G20" si="6">+D21+D22+D23+D24+D25</f>
        <v>0</v>
      </c>
      <c r="E20" s="130"/>
      <c r="F20" s="576">
        <f t="shared" si="6"/>
        <v>101482204</v>
      </c>
      <c r="G20" s="576">
        <f t="shared" si="6"/>
        <v>57445586</v>
      </c>
      <c r="H20" s="114" t="s">
        <v>135</v>
      </c>
      <c r="I20" s="260"/>
      <c r="J20" s="257"/>
      <c r="K20" s="257"/>
      <c r="L20" s="257"/>
      <c r="M20" s="257"/>
      <c r="N20" s="649"/>
    </row>
    <row r="21" spans="1:14" ht="12.95" customHeight="1" x14ac:dyDescent="0.2">
      <c r="A21" s="169" t="s">
        <v>64</v>
      </c>
      <c r="B21" s="131" t="s">
        <v>193</v>
      </c>
      <c r="C21" s="116">
        <v>12098299</v>
      </c>
      <c r="D21" s="240"/>
      <c r="E21" s="240"/>
      <c r="F21" s="569">
        <v>12098299</v>
      </c>
      <c r="G21" s="569">
        <v>12098299</v>
      </c>
      <c r="H21" s="114" t="s">
        <v>194</v>
      </c>
      <c r="I21" s="253"/>
      <c r="J21" s="116"/>
      <c r="K21" s="116"/>
      <c r="L21" s="116"/>
      <c r="M21" s="116"/>
      <c r="N21" s="649"/>
    </row>
    <row r="22" spans="1:14" ht="12.95" customHeight="1" x14ac:dyDescent="0.2">
      <c r="A22" s="128" t="s">
        <v>76</v>
      </c>
      <c r="B22" s="131" t="s">
        <v>195</v>
      </c>
      <c r="C22" s="116"/>
      <c r="D22" s="240"/>
      <c r="E22" s="240"/>
      <c r="F22" s="565"/>
      <c r="G22" s="565"/>
      <c r="H22" s="114" t="s">
        <v>139</v>
      </c>
      <c r="I22" s="253"/>
      <c r="J22" s="116"/>
      <c r="K22" s="116"/>
      <c r="L22" s="116"/>
      <c r="M22" s="116"/>
      <c r="N22" s="649"/>
    </row>
    <row r="23" spans="1:14" ht="12.95" customHeight="1" x14ac:dyDescent="0.2">
      <c r="A23" s="169" t="s">
        <v>32</v>
      </c>
      <c r="B23" s="131" t="s">
        <v>196</v>
      </c>
      <c r="C23" s="116"/>
      <c r="D23" s="240"/>
      <c r="E23" s="240"/>
      <c r="F23" s="240"/>
      <c r="G23" s="240"/>
      <c r="H23" s="114" t="s">
        <v>140</v>
      </c>
      <c r="I23" s="253"/>
      <c r="J23" s="116"/>
      <c r="K23" s="116"/>
      <c r="L23" s="116"/>
      <c r="M23" s="116"/>
      <c r="N23" s="649"/>
    </row>
    <row r="24" spans="1:14" ht="12.95" customHeight="1" x14ac:dyDescent="0.2">
      <c r="A24" s="128" t="s">
        <v>77</v>
      </c>
      <c r="B24" s="131" t="s">
        <v>197</v>
      </c>
      <c r="C24" s="116">
        <v>89383905</v>
      </c>
      <c r="D24" s="241">
        <f>F24-C24</f>
        <v>0</v>
      </c>
      <c r="E24" s="241"/>
      <c r="F24" s="241">
        <v>89383905</v>
      </c>
      <c r="G24" s="241">
        <v>45347287</v>
      </c>
      <c r="H24" s="113" t="s">
        <v>15</v>
      </c>
      <c r="I24" s="253"/>
      <c r="J24" s="116"/>
      <c r="K24" s="116"/>
      <c r="L24" s="116"/>
      <c r="M24" s="116"/>
      <c r="N24" s="649"/>
    </row>
    <row r="25" spans="1:14" ht="12.95" customHeight="1" x14ac:dyDescent="0.2">
      <c r="A25" s="169" t="s">
        <v>62</v>
      </c>
      <c r="B25" s="132" t="s">
        <v>198</v>
      </c>
      <c r="C25" s="116"/>
      <c r="D25" s="240"/>
      <c r="E25" s="240"/>
      <c r="F25" s="240"/>
      <c r="G25" s="240"/>
      <c r="H25" s="114" t="s">
        <v>199</v>
      </c>
      <c r="I25" s="253"/>
      <c r="J25" s="116"/>
      <c r="K25" s="116"/>
      <c r="L25" s="116"/>
      <c r="M25" s="116"/>
      <c r="N25" s="649"/>
    </row>
    <row r="26" spans="1:14" ht="12.95" customHeight="1" x14ac:dyDescent="0.2">
      <c r="A26" s="128" t="s">
        <v>95</v>
      </c>
      <c r="B26" s="133" t="s">
        <v>200</v>
      </c>
      <c r="C26" s="117">
        <f>+C27+C28+C29+C30+C31</f>
        <v>400000000</v>
      </c>
      <c r="D26" s="117">
        <f t="shared" ref="D26:G26" si="7">+D27+D28+D29+D30+D31</f>
        <v>0</v>
      </c>
      <c r="E26" s="117"/>
      <c r="F26" s="574">
        <f t="shared" si="7"/>
        <v>400000000</v>
      </c>
      <c r="G26" s="117">
        <f t="shared" si="7"/>
        <v>0</v>
      </c>
      <c r="H26" s="134" t="s">
        <v>201</v>
      </c>
      <c r="I26" s="253"/>
      <c r="J26" s="116"/>
      <c r="K26" s="116"/>
      <c r="L26" s="116"/>
      <c r="M26" s="116"/>
      <c r="N26" s="649"/>
    </row>
    <row r="27" spans="1:14" ht="12.95" customHeight="1" x14ac:dyDescent="0.2">
      <c r="A27" s="169" t="s">
        <v>147</v>
      </c>
      <c r="B27" s="132" t="s">
        <v>202</v>
      </c>
      <c r="C27" s="116">
        <v>400000000</v>
      </c>
      <c r="D27" s="259">
        <f>F27-C27</f>
        <v>0</v>
      </c>
      <c r="E27" s="259"/>
      <c r="F27" s="575">
        <v>400000000</v>
      </c>
      <c r="G27" s="259">
        <v>0</v>
      </c>
      <c r="H27" s="134" t="s">
        <v>203</v>
      </c>
      <c r="I27" s="253"/>
      <c r="J27" s="116"/>
      <c r="K27" s="116"/>
      <c r="L27" s="116"/>
      <c r="M27" s="116"/>
      <c r="N27" s="649"/>
    </row>
    <row r="28" spans="1:14" ht="12.95" customHeight="1" x14ac:dyDescent="0.2">
      <c r="A28" s="128" t="s">
        <v>149</v>
      </c>
      <c r="B28" s="132" t="s">
        <v>204</v>
      </c>
      <c r="C28" s="116"/>
      <c r="D28" s="259"/>
      <c r="E28" s="259"/>
      <c r="F28" s="259"/>
      <c r="G28" s="259"/>
      <c r="H28" s="135"/>
      <c r="I28" s="253"/>
      <c r="J28" s="116"/>
      <c r="K28" s="116"/>
      <c r="L28" s="116"/>
      <c r="M28" s="116"/>
      <c r="N28" s="649"/>
    </row>
    <row r="29" spans="1:14" ht="12.95" customHeight="1" x14ac:dyDescent="0.2">
      <c r="A29" s="169" t="s">
        <v>152</v>
      </c>
      <c r="B29" s="131" t="s">
        <v>205</v>
      </c>
      <c r="C29" s="116"/>
      <c r="D29" s="259"/>
      <c r="E29" s="259"/>
      <c r="F29" s="259"/>
      <c r="G29" s="259"/>
      <c r="H29" s="136"/>
      <c r="I29" s="253"/>
      <c r="J29" s="116"/>
      <c r="K29" s="116"/>
      <c r="L29" s="116"/>
      <c r="M29" s="116"/>
      <c r="N29" s="649"/>
    </row>
    <row r="30" spans="1:14" ht="12.95" customHeight="1" x14ac:dyDescent="0.2">
      <c r="A30" s="128" t="s">
        <v>155</v>
      </c>
      <c r="B30" s="137" t="s">
        <v>206</v>
      </c>
      <c r="C30" s="116"/>
      <c r="D30" s="240"/>
      <c r="E30" s="240"/>
      <c r="F30" s="240"/>
      <c r="G30" s="240"/>
      <c r="H30" s="105"/>
      <c r="I30" s="253"/>
      <c r="J30" s="116"/>
      <c r="K30" s="116"/>
      <c r="L30" s="116"/>
      <c r="M30" s="116"/>
      <c r="N30" s="649"/>
    </row>
    <row r="31" spans="1:14" ht="12.95" customHeight="1" thickBot="1" x14ac:dyDescent="0.25">
      <c r="A31" s="169" t="s">
        <v>158</v>
      </c>
      <c r="B31" s="138" t="s">
        <v>207</v>
      </c>
      <c r="C31" s="116"/>
      <c r="D31" s="259"/>
      <c r="E31" s="259"/>
      <c r="F31" s="259"/>
      <c r="G31" s="259"/>
      <c r="H31" s="136"/>
      <c r="I31" s="253"/>
      <c r="J31" s="258"/>
      <c r="K31" s="258"/>
      <c r="L31" s="258"/>
      <c r="M31" s="258"/>
      <c r="N31" s="649"/>
    </row>
    <row r="32" spans="1:14" ht="21.75" customHeight="1" thickBot="1" x14ac:dyDescent="0.25">
      <c r="A32" s="109" t="s">
        <v>161</v>
      </c>
      <c r="B32" s="110" t="s">
        <v>208</v>
      </c>
      <c r="C32" s="111">
        <f>+C20+C26</f>
        <v>501482204</v>
      </c>
      <c r="D32" s="111">
        <f>+D20+D26</f>
        <v>0</v>
      </c>
      <c r="E32" s="111">
        <f>+E20+E26</f>
        <v>0</v>
      </c>
      <c r="F32" s="111">
        <f t="shared" ref="F32:G32" si="8">+F20+F26</f>
        <v>501482204</v>
      </c>
      <c r="G32" s="111">
        <f t="shared" si="8"/>
        <v>57445586</v>
      </c>
      <c r="H32" s="110" t="s">
        <v>209</v>
      </c>
      <c r="I32" s="251">
        <f>SUM(I20:I31)</f>
        <v>0</v>
      </c>
      <c r="J32" s="111"/>
      <c r="K32" s="111"/>
      <c r="L32" s="111"/>
      <c r="M32" s="111"/>
      <c r="N32" s="649"/>
    </row>
    <row r="33" spans="1:14" ht="18" customHeight="1" thickBot="1" x14ac:dyDescent="0.25">
      <c r="A33" s="109" t="s">
        <v>164</v>
      </c>
      <c r="B33" s="119" t="s">
        <v>210</v>
      </c>
      <c r="C33" s="111">
        <f>+C19+C32</f>
        <v>511836764</v>
      </c>
      <c r="D33" s="111">
        <f>+D19+D32</f>
        <v>52843518</v>
      </c>
      <c r="E33" s="111">
        <f>+E19+E32</f>
        <v>28932711</v>
      </c>
      <c r="F33" s="111">
        <f t="shared" ref="F33:G33" si="9">+F19+F32</f>
        <v>593612993</v>
      </c>
      <c r="G33" s="111">
        <f t="shared" si="9"/>
        <v>149609347</v>
      </c>
      <c r="H33" s="119" t="s">
        <v>211</v>
      </c>
      <c r="I33" s="251">
        <f>+I19+I32</f>
        <v>511836764</v>
      </c>
      <c r="J33" s="251">
        <f t="shared" ref="J33:M33" si="10">+J19+J32</f>
        <v>-8700375</v>
      </c>
      <c r="K33" s="251">
        <f t="shared" si="10"/>
        <v>2874876</v>
      </c>
      <c r="L33" s="251">
        <f t="shared" si="10"/>
        <v>506011265</v>
      </c>
      <c r="M33" s="251">
        <f t="shared" si="10"/>
        <v>146463953</v>
      </c>
      <c r="N33" s="649"/>
    </row>
    <row r="34" spans="1:14" ht="18" customHeight="1" thickBot="1" x14ac:dyDescent="0.25">
      <c r="A34" s="109" t="s">
        <v>212</v>
      </c>
      <c r="B34" s="110" t="s">
        <v>156</v>
      </c>
      <c r="C34" s="120" t="s">
        <v>213</v>
      </c>
      <c r="D34" s="243"/>
      <c r="E34" s="243"/>
      <c r="F34" s="243"/>
      <c r="G34" s="243"/>
      <c r="H34" s="110" t="s">
        <v>157</v>
      </c>
      <c r="I34" s="254"/>
      <c r="J34" s="261"/>
      <c r="K34" s="261"/>
      <c r="L34" s="261"/>
      <c r="M34" s="261"/>
      <c r="N34" s="649"/>
    </row>
    <row r="35" spans="1:14" ht="16.5" customHeight="1" thickBot="1" x14ac:dyDescent="0.25">
      <c r="A35" s="109" t="s">
        <v>214</v>
      </c>
      <c r="B35" s="121" t="s">
        <v>215</v>
      </c>
      <c r="C35" s="122">
        <f>SUM(C33:C34)</f>
        <v>511836764</v>
      </c>
      <c r="D35" s="122">
        <f t="shared" ref="D35:G35" si="11">SUM(D33:D34)</f>
        <v>52843518</v>
      </c>
      <c r="E35" s="122">
        <f t="shared" si="11"/>
        <v>28932711</v>
      </c>
      <c r="F35" s="122">
        <f t="shared" si="11"/>
        <v>593612993</v>
      </c>
      <c r="G35" s="122">
        <f t="shared" si="11"/>
        <v>149609347</v>
      </c>
      <c r="H35" s="121" t="s">
        <v>216</v>
      </c>
      <c r="I35" s="244">
        <f>+I33+I34</f>
        <v>511836764</v>
      </c>
      <c r="J35" s="244">
        <f t="shared" ref="J35:M35" si="12">+J33+J34</f>
        <v>-8700375</v>
      </c>
      <c r="K35" s="244">
        <f t="shared" si="12"/>
        <v>2874876</v>
      </c>
      <c r="L35" s="244">
        <f t="shared" si="12"/>
        <v>506011265</v>
      </c>
      <c r="M35" s="244">
        <f t="shared" si="12"/>
        <v>146463953</v>
      </c>
      <c r="N35" s="649"/>
    </row>
    <row r="36" spans="1:14" ht="18.75" customHeight="1" thickBot="1" x14ac:dyDescent="0.25">
      <c r="A36" s="109" t="s">
        <v>217</v>
      </c>
      <c r="B36" s="121" t="s">
        <v>162</v>
      </c>
      <c r="C36" s="122">
        <f>IF(C19-I19&lt;0,I19-C19,"-")</f>
        <v>501482204</v>
      </c>
      <c r="D36" s="122" t="str">
        <f>IF(D19-J19&lt;0,J19-D19,"-")</f>
        <v>-</v>
      </c>
      <c r="E36" s="122" t="str">
        <f>IF(E19-K19&lt;0,K19-E19,"-")</f>
        <v>-</v>
      </c>
      <c r="F36" s="122">
        <f>IF(F19-L19&lt;0,L19-F19,"-")</f>
        <v>413880476</v>
      </c>
      <c r="G36" s="122">
        <f>IF(G19-M19&lt;0,M19-G19,"-")</f>
        <v>54300192</v>
      </c>
      <c r="H36" s="121" t="s">
        <v>163</v>
      </c>
      <c r="I36" s="244" t="str">
        <f>IF(C19-I19&gt;0,C19-I19,"-")</f>
        <v>-</v>
      </c>
      <c r="J36" s="244">
        <f>IF(D19-J19&gt;0,D19-J19,"-")</f>
        <v>61543893</v>
      </c>
      <c r="K36" s="244"/>
      <c r="L36" s="244" t="str">
        <f>IF(F19-L19&gt;0,F19-L19,"-")</f>
        <v>-</v>
      </c>
      <c r="M36" s="244" t="str">
        <f>IF(G19-M19&gt;0,G19-M19,"-")</f>
        <v>-</v>
      </c>
      <c r="N36" s="649"/>
    </row>
    <row r="37" spans="1:14" ht="22.5" customHeight="1" thickBot="1" x14ac:dyDescent="0.25">
      <c r="A37" s="109" t="s">
        <v>218</v>
      </c>
      <c r="B37" s="121" t="s">
        <v>165</v>
      </c>
      <c r="C37" s="122">
        <f>IF(C19+C20-I33&lt;0,I33-(C19+C20),"-")</f>
        <v>400000000</v>
      </c>
      <c r="D37" s="122" t="str">
        <f>IF(D19+D20-J33&lt;0,J33-(D19+D20),"-")</f>
        <v>-</v>
      </c>
      <c r="E37" s="122" t="str">
        <f>IF(E19+E20-K33&lt;0,K33-(E19+E20),"-")</f>
        <v>-</v>
      </c>
      <c r="F37" s="122">
        <f>IF(F19+F20-L33&lt;0,L33-(F19+F20),"-")</f>
        <v>312398272</v>
      </c>
      <c r="G37" s="122" t="str">
        <f>IF(G19+G20-M33&lt;0,M33-(G19+G20),"-")</f>
        <v>-</v>
      </c>
      <c r="H37" s="121" t="s">
        <v>166</v>
      </c>
      <c r="I37" s="244" t="str">
        <f>IF(C19+C20-I33&gt;0,C19+C20-I33,"-")</f>
        <v>-</v>
      </c>
      <c r="J37" s="244">
        <f>IF(D19+D20-J33&gt;0,D19+D20-J33,"-")</f>
        <v>61543893</v>
      </c>
      <c r="K37" s="244"/>
      <c r="L37" s="244" t="str">
        <f>IF(F19+F20-L33&gt;0,F19+F20-L33,"-")</f>
        <v>-</v>
      </c>
      <c r="M37" s="244">
        <f>IF(G19+G20-M33&gt;0,G19+G20-M33,"-")</f>
        <v>3145394</v>
      </c>
      <c r="N37" s="649"/>
    </row>
  </sheetData>
  <mergeCells count="2">
    <mergeCell ref="N1:N37"/>
    <mergeCell ref="A3:A4"/>
  </mergeCells>
  <phoneticPr fontId="7" type="noConversion"/>
  <pageMargins left="0.75" right="0.75" top="0.42" bottom="0.22" header="0.17" footer="0.17"/>
  <pageSetup paperSize="9" scale="65" orientation="landscape" r:id="rId1"/>
  <headerFooter alignWithMargins="0">
    <oddHeader>&amp;R4.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U63"/>
  <sheetViews>
    <sheetView zoomScale="80" zoomScaleNormal="80" workbookViewId="0">
      <selection activeCell="L69" sqref="L69"/>
    </sheetView>
  </sheetViews>
  <sheetFormatPr defaultRowHeight="15" customHeight="1" x14ac:dyDescent="0.2"/>
  <cols>
    <col min="1" max="1" width="3" style="2" customWidth="1"/>
    <col min="2" max="2" width="44.7109375" style="2" bestFit="1" customWidth="1"/>
    <col min="3" max="3" width="8.28515625" style="16" bestFit="1" customWidth="1"/>
    <col min="4" max="4" width="12" style="177" bestFit="1" customWidth="1"/>
    <col min="5" max="5" width="12.28515625" style="177" bestFit="1" customWidth="1"/>
    <col min="6" max="6" width="11.7109375" style="177" customWidth="1"/>
    <col min="7" max="8" width="12" style="177" bestFit="1" customWidth="1"/>
    <col min="9" max="9" width="11.5703125" style="10" bestFit="1" customWidth="1"/>
    <col min="10" max="13" width="11.5703125" style="10" customWidth="1"/>
    <col min="14" max="14" width="12" style="10" bestFit="1" customWidth="1"/>
    <col min="15" max="15" width="11.85546875" style="10" bestFit="1" customWidth="1"/>
    <col min="16" max="16" width="11.85546875" style="10" customWidth="1"/>
    <col min="17" max="18" width="12" style="10" bestFit="1" customWidth="1"/>
    <col min="19" max="19" width="9.140625" style="2"/>
    <col min="20" max="20" width="10.140625" style="10" bestFit="1" customWidth="1"/>
    <col min="21" max="21" width="9.5703125" style="10" bestFit="1" customWidth="1"/>
    <col min="22" max="16384" width="9.140625" style="2"/>
  </cols>
  <sheetData>
    <row r="1" spans="1:21" ht="21" customHeight="1" x14ac:dyDescent="0.2">
      <c r="A1" s="592" t="s">
        <v>464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</row>
    <row r="2" spans="1:21" ht="18.75" customHeight="1" x14ac:dyDescent="0.2">
      <c r="A2" s="592" t="s">
        <v>52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</row>
    <row r="3" spans="1:21" ht="15" customHeight="1" x14ac:dyDescent="0.2">
      <c r="O3" s="15"/>
      <c r="P3" s="15"/>
      <c r="Q3" s="15"/>
      <c r="R3" s="15" t="s">
        <v>236</v>
      </c>
    </row>
    <row r="4" spans="1:21" customFormat="1" ht="36.75" customHeight="1" x14ac:dyDescent="0.2">
      <c r="A4" s="599" t="s">
        <v>44</v>
      </c>
      <c r="B4" s="600"/>
      <c r="C4" s="601"/>
      <c r="D4" s="594" t="s">
        <v>222</v>
      </c>
      <c r="E4" s="595"/>
      <c r="F4" s="595"/>
      <c r="G4" s="595"/>
      <c r="H4" s="595"/>
      <c r="I4" s="596" t="s">
        <v>108</v>
      </c>
      <c r="J4" s="595"/>
      <c r="K4" s="595"/>
      <c r="L4" s="595"/>
      <c r="M4" s="597"/>
      <c r="N4" s="595" t="s">
        <v>393</v>
      </c>
      <c r="O4" s="595"/>
      <c r="P4" s="595"/>
      <c r="Q4" s="595"/>
      <c r="R4" s="598"/>
      <c r="T4" s="149"/>
      <c r="U4" s="149"/>
    </row>
    <row r="5" spans="1:21" customFormat="1" ht="30" customHeight="1" thickBot="1" x14ac:dyDescent="0.25">
      <c r="A5" s="602"/>
      <c r="B5" s="603"/>
      <c r="C5" s="604"/>
      <c r="D5" s="325" t="s">
        <v>465</v>
      </c>
      <c r="E5" s="159" t="s">
        <v>364</v>
      </c>
      <c r="F5" s="159" t="s">
        <v>466</v>
      </c>
      <c r="G5" s="159" t="s">
        <v>365</v>
      </c>
      <c r="H5" s="324" t="s">
        <v>366</v>
      </c>
      <c r="I5" s="524" t="s">
        <v>465</v>
      </c>
      <c r="J5" s="159" t="s">
        <v>364</v>
      </c>
      <c r="K5" s="159" t="s">
        <v>466</v>
      </c>
      <c r="L5" s="159" t="s">
        <v>365</v>
      </c>
      <c r="M5" s="392" t="s">
        <v>366</v>
      </c>
      <c r="N5" s="325" t="s">
        <v>378</v>
      </c>
      <c r="O5" s="159" t="s">
        <v>364</v>
      </c>
      <c r="P5" s="159" t="s">
        <v>466</v>
      </c>
      <c r="Q5" s="393" t="s">
        <v>365</v>
      </c>
      <c r="R5" s="159" t="s">
        <v>366</v>
      </c>
      <c r="T5" s="149"/>
      <c r="U5" s="149"/>
    </row>
    <row r="6" spans="1:21" ht="21" customHeight="1" x14ac:dyDescent="0.2">
      <c r="A6" s="54" t="s">
        <v>23</v>
      </c>
      <c r="B6" s="35"/>
      <c r="C6" s="35"/>
      <c r="D6" s="178"/>
      <c r="E6" s="178"/>
      <c r="F6" s="178"/>
      <c r="G6" s="178"/>
      <c r="H6" s="178"/>
      <c r="I6" s="525"/>
      <c r="J6" s="145"/>
      <c r="K6" s="145"/>
      <c r="L6" s="145"/>
      <c r="M6" s="526"/>
      <c r="N6" s="145"/>
      <c r="O6" s="20"/>
      <c r="P6" s="20"/>
      <c r="Q6" s="20"/>
      <c r="R6" s="20"/>
    </row>
    <row r="7" spans="1:21" s="11" customFormat="1" ht="18" customHeight="1" x14ac:dyDescent="0.2">
      <c r="A7" s="55" t="s">
        <v>20</v>
      </c>
      <c r="B7" s="56"/>
      <c r="C7" s="56"/>
      <c r="D7" s="179"/>
      <c r="E7" s="266"/>
      <c r="F7" s="266"/>
      <c r="G7" s="266"/>
      <c r="H7" s="266"/>
      <c r="I7" s="527"/>
      <c r="J7" s="273"/>
      <c r="K7" s="273"/>
      <c r="L7" s="273"/>
      <c r="M7" s="528"/>
      <c r="N7" s="273"/>
      <c r="O7" s="283"/>
      <c r="P7" s="283"/>
      <c r="Q7" s="283"/>
      <c r="R7" s="283"/>
      <c r="T7" s="146"/>
      <c r="U7" s="146"/>
    </row>
    <row r="8" spans="1:21" ht="25.5" x14ac:dyDescent="0.2">
      <c r="A8" s="60" t="s">
        <v>45</v>
      </c>
      <c r="B8" s="61" t="s">
        <v>84</v>
      </c>
      <c r="C8" s="62" t="s">
        <v>89</v>
      </c>
      <c r="D8" s="275">
        <f>SUM(D9:D10)</f>
        <v>102023405</v>
      </c>
      <c r="E8" s="465">
        <v>997200</v>
      </c>
      <c r="F8" s="465">
        <f>G8-D8-E8</f>
        <v>1595599</v>
      </c>
      <c r="G8" s="465">
        <f t="shared" ref="G8:H8" si="0">SUM(G9:G10)</f>
        <v>104616204</v>
      </c>
      <c r="H8" s="509">
        <f t="shared" si="0"/>
        <v>77179165</v>
      </c>
      <c r="I8" s="544">
        <f>SUM(I9:I10)</f>
        <v>0</v>
      </c>
      <c r="J8" s="465"/>
      <c r="K8" s="465">
        <f t="shared" ref="K8:K63" si="1">L8-I8-J8</f>
        <v>0</v>
      </c>
      <c r="L8" s="465"/>
      <c r="M8" s="545"/>
      <c r="N8" s="509">
        <f>SUM(N9:N10)</f>
        <v>102023405</v>
      </c>
      <c r="O8" s="275">
        <f t="shared" ref="O8:R8" si="2">SUM(O9:O10)</f>
        <v>997200</v>
      </c>
      <c r="P8" s="275">
        <f>F8+K8</f>
        <v>1595599</v>
      </c>
      <c r="Q8" s="275">
        <f t="shared" si="2"/>
        <v>104616204</v>
      </c>
      <c r="R8" s="275">
        <f t="shared" si="2"/>
        <v>77179165</v>
      </c>
    </row>
    <row r="9" spans="1:21" ht="25.5" x14ac:dyDescent="0.2">
      <c r="A9" s="25" t="s">
        <v>45</v>
      </c>
      <c r="B9" s="12" t="s">
        <v>93</v>
      </c>
      <c r="C9" s="38"/>
      <c r="D9" s="143">
        <v>102023405</v>
      </c>
      <c r="E9" s="22">
        <v>997200</v>
      </c>
      <c r="F9" s="22">
        <f t="shared" ref="F9:F63" si="3">G9-D9-E9</f>
        <v>1595599</v>
      </c>
      <c r="G9" s="22">
        <v>104616204</v>
      </c>
      <c r="H9" s="267">
        <v>77179165</v>
      </c>
      <c r="I9" s="529">
        <v>0</v>
      </c>
      <c r="J9" s="269">
        <v>0</v>
      </c>
      <c r="K9" s="269">
        <f t="shared" si="1"/>
        <v>0</v>
      </c>
      <c r="L9" s="269">
        <v>0</v>
      </c>
      <c r="M9" s="530">
        <v>0</v>
      </c>
      <c r="N9" s="269">
        <f>D9+I9</f>
        <v>102023405</v>
      </c>
      <c r="O9" s="20">
        <f>E9+J9</f>
        <v>997200</v>
      </c>
      <c r="P9" s="20">
        <f t="shared" ref="P9:P63" si="4">F9+K9</f>
        <v>1595599</v>
      </c>
      <c r="Q9" s="20">
        <f>G9+L9</f>
        <v>104616204</v>
      </c>
      <c r="R9" s="20">
        <f>H9+M9</f>
        <v>77179165</v>
      </c>
    </row>
    <row r="10" spans="1:21" ht="15.75" customHeight="1" x14ac:dyDescent="0.2">
      <c r="A10" s="57"/>
      <c r="B10" s="58"/>
      <c r="C10" s="58"/>
      <c r="D10" s="180"/>
      <c r="E10" s="268"/>
      <c r="F10" s="466"/>
      <c r="G10" s="268"/>
      <c r="H10" s="268"/>
      <c r="I10" s="531"/>
      <c r="J10" s="271"/>
      <c r="K10" s="271"/>
      <c r="L10" s="271"/>
      <c r="M10" s="532"/>
      <c r="N10" s="271"/>
      <c r="O10" s="20">
        <f>E10+J10</f>
        <v>0</v>
      </c>
      <c r="P10" s="20"/>
      <c r="Q10" s="20">
        <f>G10+L10</f>
        <v>0</v>
      </c>
      <c r="R10" s="20">
        <f>H10+M10</f>
        <v>0</v>
      </c>
    </row>
    <row r="11" spans="1:21" ht="15" customHeight="1" x14ac:dyDescent="0.2">
      <c r="A11" s="27" t="s">
        <v>46</v>
      </c>
      <c r="B11" s="30" t="s">
        <v>307</v>
      </c>
      <c r="C11" s="36" t="s">
        <v>90</v>
      </c>
      <c r="D11" s="276">
        <f>SUM(D12:D12)</f>
        <v>555000</v>
      </c>
      <c r="E11" s="34">
        <v>0</v>
      </c>
      <c r="F11" s="34">
        <f t="shared" si="3"/>
        <v>0</v>
      </c>
      <c r="G11" s="34">
        <f t="shared" ref="G11:H11" si="5">SUM(G12:G12)</f>
        <v>555000</v>
      </c>
      <c r="H11" s="510">
        <f t="shared" si="5"/>
        <v>550000</v>
      </c>
      <c r="I11" s="546">
        <f>SUM(I12:I12)</f>
        <v>0</v>
      </c>
      <c r="J11" s="34"/>
      <c r="K11" s="34">
        <f t="shared" si="1"/>
        <v>0</v>
      </c>
      <c r="L11" s="34"/>
      <c r="M11" s="547"/>
      <c r="N11" s="510">
        <f>SUM(N12:N12)</f>
        <v>555000</v>
      </c>
      <c r="O11" s="276">
        <f t="shared" ref="O11:R11" si="6">SUM(O12:O12)</f>
        <v>0</v>
      </c>
      <c r="P11" s="276">
        <f t="shared" si="4"/>
        <v>0</v>
      </c>
      <c r="Q11" s="276">
        <f t="shared" si="6"/>
        <v>555000</v>
      </c>
      <c r="R11" s="276">
        <f t="shared" si="6"/>
        <v>550000</v>
      </c>
    </row>
    <row r="12" spans="1:21" ht="15" customHeight="1" x14ac:dyDescent="0.2">
      <c r="A12" s="25" t="s">
        <v>45</v>
      </c>
      <c r="B12" s="12" t="s">
        <v>237</v>
      </c>
      <c r="C12" s="38"/>
      <c r="D12" s="143">
        <v>555000</v>
      </c>
      <c r="E12" s="22">
        <v>0</v>
      </c>
      <c r="F12" s="22">
        <f t="shared" si="3"/>
        <v>0</v>
      </c>
      <c r="G12" s="22">
        <v>555000</v>
      </c>
      <c r="H12" s="267">
        <v>550000</v>
      </c>
      <c r="I12" s="529">
        <v>0</v>
      </c>
      <c r="J12" s="269"/>
      <c r="K12" s="269">
        <f t="shared" si="1"/>
        <v>0</v>
      </c>
      <c r="L12" s="269"/>
      <c r="M12" s="530"/>
      <c r="N12" s="269">
        <f>D12+I12</f>
        <v>555000</v>
      </c>
      <c r="O12" s="20">
        <f>E12+J12</f>
        <v>0</v>
      </c>
      <c r="P12" s="20">
        <f t="shared" si="4"/>
        <v>0</v>
      </c>
      <c r="Q12" s="20">
        <f>G12+L12</f>
        <v>555000</v>
      </c>
      <c r="R12" s="20">
        <f>H12+M12</f>
        <v>550000</v>
      </c>
    </row>
    <row r="13" spans="1:21" ht="26.25" customHeight="1" x14ac:dyDescent="0.2">
      <c r="A13" s="27" t="s">
        <v>47</v>
      </c>
      <c r="B13" s="28" t="s">
        <v>39</v>
      </c>
      <c r="C13" s="36" t="s">
        <v>91</v>
      </c>
      <c r="D13" s="276">
        <f>SUM(D14:D20)</f>
        <v>2101693</v>
      </c>
      <c r="E13" s="34">
        <v>0</v>
      </c>
      <c r="F13" s="34">
        <f t="shared" si="3"/>
        <v>0</v>
      </c>
      <c r="G13" s="34">
        <f t="shared" ref="G13:H13" si="7">SUM(G14:G20)</f>
        <v>2101693</v>
      </c>
      <c r="H13" s="510">
        <f t="shared" si="7"/>
        <v>2151993</v>
      </c>
      <c r="I13" s="546">
        <f>SUM(I14:I20)</f>
        <v>488205</v>
      </c>
      <c r="J13" s="34">
        <v>11923</v>
      </c>
      <c r="K13" s="34">
        <f t="shared" si="1"/>
        <v>20852</v>
      </c>
      <c r="L13" s="34">
        <f t="shared" ref="L13:M13" si="8">SUM(L14:L20)</f>
        <v>520980</v>
      </c>
      <c r="M13" s="547">
        <f t="shared" si="8"/>
        <v>500128</v>
      </c>
      <c r="N13" s="510">
        <f>SUM(N14:N20)</f>
        <v>2589898</v>
      </c>
      <c r="O13" s="276">
        <f t="shared" ref="O13:R13" si="9">SUM(O14:O20)</f>
        <v>11923</v>
      </c>
      <c r="P13" s="276">
        <f t="shared" si="4"/>
        <v>20852</v>
      </c>
      <c r="Q13" s="276">
        <f t="shared" si="9"/>
        <v>2622673</v>
      </c>
      <c r="R13" s="276">
        <f t="shared" si="9"/>
        <v>2652121</v>
      </c>
    </row>
    <row r="14" spans="1:21" ht="15" customHeight="1" x14ac:dyDescent="0.2">
      <c r="A14" s="25" t="s">
        <v>45</v>
      </c>
      <c r="B14" s="6" t="s">
        <v>82</v>
      </c>
      <c r="C14" s="38"/>
      <c r="D14" s="143">
        <v>0</v>
      </c>
      <c r="E14" s="22">
        <v>0</v>
      </c>
      <c r="F14" s="22">
        <f t="shared" si="3"/>
        <v>0</v>
      </c>
      <c r="G14" s="467">
        <v>0</v>
      </c>
      <c r="H14" s="511">
        <v>120300</v>
      </c>
      <c r="I14" s="529"/>
      <c r="J14" s="5"/>
      <c r="K14" s="5">
        <f t="shared" si="1"/>
        <v>0</v>
      </c>
      <c r="L14" s="5"/>
      <c r="M14" s="533"/>
      <c r="N14" s="269">
        <f>D14+I14</f>
        <v>0</v>
      </c>
      <c r="O14" s="20">
        <f>E14+J14</f>
        <v>0</v>
      </c>
      <c r="P14" s="20">
        <f t="shared" si="4"/>
        <v>0</v>
      </c>
      <c r="Q14" s="20">
        <f>G14+L14</f>
        <v>0</v>
      </c>
      <c r="R14" s="20">
        <f>H14+M14</f>
        <v>120300</v>
      </c>
    </row>
    <row r="15" spans="1:21" ht="15" customHeight="1" x14ac:dyDescent="0.2">
      <c r="A15" s="25" t="s">
        <v>46</v>
      </c>
      <c r="B15" s="7" t="s">
        <v>78</v>
      </c>
      <c r="C15" s="7"/>
      <c r="D15" s="63">
        <v>70000</v>
      </c>
      <c r="E15" s="22">
        <v>0</v>
      </c>
      <c r="F15" s="22">
        <f t="shared" si="3"/>
        <v>0</v>
      </c>
      <c r="G15" s="319">
        <v>70000</v>
      </c>
      <c r="H15" s="512"/>
      <c r="I15" s="534"/>
      <c r="J15" s="22"/>
      <c r="K15" s="22">
        <f t="shared" si="1"/>
        <v>0</v>
      </c>
      <c r="L15" s="22"/>
      <c r="M15" s="535"/>
      <c r="N15" s="269">
        <f t="shared" ref="N15:N27" si="10">D15+I15</f>
        <v>70000</v>
      </c>
      <c r="O15" s="20">
        <f t="shared" ref="O15:O27" si="11">E15+J15</f>
        <v>0</v>
      </c>
      <c r="P15" s="20">
        <f t="shared" si="4"/>
        <v>0</v>
      </c>
      <c r="Q15" s="20">
        <f t="shared" ref="Q15:Q27" si="12">G15+L15</f>
        <v>70000</v>
      </c>
      <c r="R15" s="20">
        <f t="shared" ref="R15:R27" si="13">H15+M15</f>
        <v>0</v>
      </c>
    </row>
    <row r="16" spans="1:21" ht="15" customHeight="1" x14ac:dyDescent="0.2">
      <c r="A16" s="25" t="s">
        <v>47</v>
      </c>
      <c r="B16" s="7" t="s">
        <v>315</v>
      </c>
      <c r="C16" s="7"/>
      <c r="D16" s="63">
        <v>1472970</v>
      </c>
      <c r="E16" s="22">
        <v>0</v>
      </c>
      <c r="F16" s="22">
        <f t="shared" si="3"/>
        <v>0</v>
      </c>
      <c r="G16" s="319">
        <v>1472970</v>
      </c>
      <c r="H16" s="512">
        <v>1472970</v>
      </c>
      <c r="I16" s="534"/>
      <c r="J16" s="22"/>
      <c r="K16" s="22">
        <f t="shared" si="1"/>
        <v>0</v>
      </c>
      <c r="L16" s="22"/>
      <c r="M16" s="535"/>
      <c r="N16" s="269">
        <f t="shared" si="10"/>
        <v>1472970</v>
      </c>
      <c r="O16" s="20">
        <f t="shared" si="11"/>
        <v>0</v>
      </c>
      <c r="P16" s="20">
        <f t="shared" si="4"/>
        <v>0</v>
      </c>
      <c r="Q16" s="20">
        <f t="shared" si="12"/>
        <v>1472970</v>
      </c>
      <c r="R16" s="20">
        <f t="shared" si="13"/>
        <v>1472970</v>
      </c>
    </row>
    <row r="17" spans="1:18" ht="15" customHeight="1" x14ac:dyDescent="0.2">
      <c r="A17" s="25" t="s">
        <v>48</v>
      </c>
      <c r="B17" s="6" t="s">
        <v>316</v>
      </c>
      <c r="C17" s="38"/>
      <c r="D17" s="63">
        <v>500154</v>
      </c>
      <c r="E17" s="22">
        <v>0</v>
      </c>
      <c r="F17" s="22">
        <f t="shared" si="3"/>
        <v>0</v>
      </c>
      <c r="G17" s="319">
        <v>500154</v>
      </c>
      <c r="H17" s="512">
        <v>500154</v>
      </c>
      <c r="I17" s="529"/>
      <c r="J17" s="5"/>
      <c r="K17" s="5">
        <f t="shared" si="1"/>
        <v>0</v>
      </c>
      <c r="L17" s="5"/>
      <c r="M17" s="533"/>
      <c r="N17" s="269">
        <f t="shared" si="10"/>
        <v>500154</v>
      </c>
      <c r="O17" s="20">
        <f t="shared" si="11"/>
        <v>0</v>
      </c>
      <c r="P17" s="20">
        <f t="shared" si="4"/>
        <v>0</v>
      </c>
      <c r="Q17" s="20">
        <f t="shared" si="12"/>
        <v>500154</v>
      </c>
      <c r="R17" s="20">
        <f t="shared" si="13"/>
        <v>500154</v>
      </c>
    </row>
    <row r="18" spans="1:18" ht="25.5" customHeight="1" x14ac:dyDescent="0.2">
      <c r="A18" s="25" t="s">
        <v>49</v>
      </c>
      <c r="B18" s="6" t="s">
        <v>317</v>
      </c>
      <c r="C18" s="38"/>
      <c r="D18" s="63">
        <v>58569</v>
      </c>
      <c r="E18" s="22">
        <v>0</v>
      </c>
      <c r="F18" s="22">
        <f t="shared" si="3"/>
        <v>0</v>
      </c>
      <c r="G18" s="319">
        <v>58569</v>
      </c>
      <c r="H18" s="512">
        <v>58569</v>
      </c>
      <c r="I18" s="529"/>
      <c r="J18" s="5"/>
      <c r="K18" s="5">
        <f t="shared" si="1"/>
        <v>0</v>
      </c>
      <c r="L18" s="5"/>
      <c r="M18" s="533"/>
      <c r="N18" s="269">
        <f t="shared" si="10"/>
        <v>58569</v>
      </c>
      <c r="O18" s="20">
        <f t="shared" si="11"/>
        <v>0</v>
      </c>
      <c r="P18" s="20">
        <f t="shared" si="4"/>
        <v>0</v>
      </c>
      <c r="Q18" s="20">
        <f t="shared" si="12"/>
        <v>58569</v>
      </c>
      <c r="R18" s="20">
        <f t="shared" si="13"/>
        <v>58569</v>
      </c>
    </row>
    <row r="19" spans="1:18" ht="15" customHeight="1" x14ac:dyDescent="0.2">
      <c r="A19" s="25" t="s">
        <v>56</v>
      </c>
      <c r="B19" s="7" t="s">
        <v>380</v>
      </c>
      <c r="C19" s="38"/>
      <c r="D19" s="63">
        <v>0</v>
      </c>
      <c r="E19" s="22">
        <v>0</v>
      </c>
      <c r="F19" s="22">
        <f t="shared" si="3"/>
        <v>0</v>
      </c>
      <c r="G19" s="319">
        <v>0</v>
      </c>
      <c r="H19" s="513"/>
      <c r="I19" s="529">
        <v>488205</v>
      </c>
      <c r="J19" s="5">
        <v>0</v>
      </c>
      <c r="K19" s="5">
        <f t="shared" si="1"/>
        <v>0</v>
      </c>
      <c r="L19" s="5">
        <v>488205</v>
      </c>
      <c r="M19" s="533">
        <v>488205</v>
      </c>
      <c r="N19" s="269">
        <f t="shared" si="10"/>
        <v>488205</v>
      </c>
      <c r="O19" s="20">
        <f t="shared" si="11"/>
        <v>0</v>
      </c>
      <c r="P19" s="20">
        <f t="shared" si="4"/>
        <v>0</v>
      </c>
      <c r="Q19" s="20">
        <f t="shared" si="12"/>
        <v>488205</v>
      </c>
      <c r="R19" s="20">
        <f t="shared" si="13"/>
        <v>488205</v>
      </c>
    </row>
    <row r="20" spans="1:18" ht="15" customHeight="1" x14ac:dyDescent="0.2">
      <c r="A20" s="25" t="s">
        <v>58</v>
      </c>
      <c r="B20" s="346" t="s">
        <v>381</v>
      </c>
      <c r="C20" s="7"/>
      <c r="D20" s="63">
        <v>0</v>
      </c>
      <c r="E20" s="22">
        <v>0</v>
      </c>
      <c r="F20" s="22">
        <f t="shared" si="3"/>
        <v>0</v>
      </c>
      <c r="G20" s="319">
        <v>0</v>
      </c>
      <c r="H20" s="513"/>
      <c r="I20" s="534">
        <v>0</v>
      </c>
      <c r="J20" s="5">
        <v>11923</v>
      </c>
      <c r="K20" s="5">
        <f t="shared" si="1"/>
        <v>20852</v>
      </c>
      <c r="L20" s="22">
        <v>32775</v>
      </c>
      <c r="M20" s="535">
        <v>11923</v>
      </c>
      <c r="N20" s="269">
        <f t="shared" si="10"/>
        <v>0</v>
      </c>
      <c r="O20" s="20">
        <f t="shared" si="11"/>
        <v>11923</v>
      </c>
      <c r="P20" s="20">
        <f t="shared" si="4"/>
        <v>20852</v>
      </c>
      <c r="Q20" s="20">
        <f t="shared" si="12"/>
        <v>32775</v>
      </c>
      <c r="R20" s="20">
        <f t="shared" si="13"/>
        <v>11923</v>
      </c>
    </row>
    <row r="21" spans="1:18" ht="22.5" customHeight="1" x14ac:dyDescent="0.2">
      <c r="A21" s="27" t="s">
        <v>48</v>
      </c>
      <c r="B21" s="28" t="s">
        <v>83</v>
      </c>
      <c r="C21" s="36" t="s">
        <v>92</v>
      </c>
      <c r="D21" s="276">
        <f>SUM(D22:D27)</f>
        <v>241036359</v>
      </c>
      <c r="E21" s="34">
        <v>0</v>
      </c>
      <c r="F21" s="34">
        <f t="shared" si="3"/>
        <v>97500</v>
      </c>
      <c r="G21" s="468">
        <f t="shared" ref="G21" si="14">SUM(G22:G27)</f>
        <v>241133859</v>
      </c>
      <c r="H21" s="514">
        <f>SUM(H22:H27)</f>
        <v>162243196</v>
      </c>
      <c r="I21" s="546">
        <f>SUM(I22:I27)</f>
        <v>0</v>
      </c>
      <c r="J21" s="34">
        <v>0</v>
      </c>
      <c r="K21" s="34">
        <f t="shared" si="1"/>
        <v>0</v>
      </c>
      <c r="L21" s="34">
        <f t="shared" ref="L21:M21" si="15">SUM(L22:L27)</f>
        <v>0</v>
      </c>
      <c r="M21" s="547">
        <f t="shared" si="15"/>
        <v>0</v>
      </c>
      <c r="N21" s="510">
        <f>SUM(N22:N27)</f>
        <v>241036359</v>
      </c>
      <c r="O21" s="276">
        <f t="shared" ref="O21:R21" si="16">SUM(O22:O27)</f>
        <v>0</v>
      </c>
      <c r="P21" s="276">
        <f t="shared" si="4"/>
        <v>97500</v>
      </c>
      <c r="Q21" s="276">
        <f t="shared" si="16"/>
        <v>241133859</v>
      </c>
      <c r="R21" s="276">
        <f t="shared" si="16"/>
        <v>162243196</v>
      </c>
    </row>
    <row r="22" spans="1:18" ht="25.5" x14ac:dyDescent="0.2">
      <c r="A22" s="25" t="s">
        <v>45</v>
      </c>
      <c r="B22" s="12" t="s">
        <v>318</v>
      </c>
      <c r="C22" s="38"/>
      <c r="D22" s="143">
        <v>49935</v>
      </c>
      <c r="E22" s="22">
        <v>0</v>
      </c>
      <c r="F22" s="22">
        <f t="shared" si="3"/>
        <v>0</v>
      </c>
      <c r="G22" s="467">
        <v>49935</v>
      </c>
      <c r="H22" s="511">
        <v>49935</v>
      </c>
      <c r="I22" s="529">
        <v>0</v>
      </c>
      <c r="J22" s="5"/>
      <c r="K22" s="5">
        <f t="shared" si="1"/>
        <v>0</v>
      </c>
      <c r="L22" s="5"/>
      <c r="M22" s="533"/>
      <c r="N22" s="269">
        <f t="shared" si="10"/>
        <v>49935</v>
      </c>
      <c r="O22" s="20">
        <f t="shared" si="11"/>
        <v>0</v>
      </c>
      <c r="P22" s="20">
        <f t="shared" si="4"/>
        <v>0</v>
      </c>
      <c r="Q22" s="20">
        <f t="shared" si="12"/>
        <v>49935</v>
      </c>
      <c r="R22" s="20">
        <f t="shared" si="13"/>
        <v>49935</v>
      </c>
    </row>
    <row r="23" spans="1:18" ht="18" customHeight="1" x14ac:dyDescent="0.2">
      <c r="A23" s="25" t="s">
        <v>46</v>
      </c>
      <c r="B23" s="7" t="s">
        <v>319</v>
      </c>
      <c r="C23" s="38"/>
      <c r="D23" s="63">
        <v>95000</v>
      </c>
      <c r="E23" s="22">
        <v>0</v>
      </c>
      <c r="F23" s="22">
        <f t="shared" si="3"/>
        <v>0</v>
      </c>
      <c r="G23" s="319">
        <v>95000</v>
      </c>
      <c r="H23" s="512"/>
      <c r="I23" s="529">
        <v>0</v>
      </c>
      <c r="J23" s="5"/>
      <c r="K23" s="5">
        <f t="shared" si="1"/>
        <v>0</v>
      </c>
      <c r="L23" s="5"/>
      <c r="M23" s="533"/>
      <c r="N23" s="269">
        <f t="shared" si="10"/>
        <v>95000</v>
      </c>
      <c r="O23" s="20">
        <f t="shared" si="11"/>
        <v>0</v>
      </c>
      <c r="P23" s="20">
        <f t="shared" si="4"/>
        <v>0</v>
      </c>
      <c r="Q23" s="20">
        <f t="shared" si="12"/>
        <v>95000</v>
      </c>
      <c r="R23" s="20">
        <f t="shared" si="13"/>
        <v>0</v>
      </c>
    </row>
    <row r="24" spans="1:18" ht="18" customHeight="1" x14ac:dyDescent="0.2">
      <c r="A24" s="25" t="s">
        <v>47</v>
      </c>
      <c r="B24" s="6" t="s">
        <v>229</v>
      </c>
      <c r="C24" s="38"/>
      <c r="D24" s="63">
        <v>227450486</v>
      </c>
      <c r="E24" s="22">
        <v>0</v>
      </c>
      <c r="F24" s="22">
        <f t="shared" si="3"/>
        <v>97500</v>
      </c>
      <c r="G24" s="319">
        <v>227547986</v>
      </c>
      <c r="H24" s="512">
        <v>154607294</v>
      </c>
      <c r="I24" s="529">
        <v>0</v>
      </c>
      <c r="J24" s="5"/>
      <c r="K24" s="5">
        <f t="shared" si="1"/>
        <v>0</v>
      </c>
      <c r="L24" s="5"/>
      <c r="M24" s="533"/>
      <c r="N24" s="269">
        <f t="shared" si="10"/>
        <v>227450486</v>
      </c>
      <c r="O24" s="20">
        <f t="shared" si="11"/>
        <v>0</v>
      </c>
      <c r="P24" s="20">
        <f t="shared" si="4"/>
        <v>97500</v>
      </c>
      <c r="Q24" s="20">
        <f t="shared" si="12"/>
        <v>227547986</v>
      </c>
      <c r="R24" s="20">
        <f t="shared" si="13"/>
        <v>154607294</v>
      </c>
    </row>
    <row r="25" spans="1:18" ht="18" customHeight="1" x14ac:dyDescent="0.2">
      <c r="A25" s="25" t="s">
        <v>48</v>
      </c>
      <c r="B25" s="6" t="s">
        <v>228</v>
      </c>
      <c r="C25" s="38"/>
      <c r="D25" s="63">
        <v>13440938</v>
      </c>
      <c r="E25" s="22">
        <v>0</v>
      </c>
      <c r="F25" s="22">
        <f t="shared" si="3"/>
        <v>0</v>
      </c>
      <c r="G25" s="319">
        <v>13440938</v>
      </c>
      <c r="H25" s="512">
        <v>7585967</v>
      </c>
      <c r="I25" s="529">
        <v>0</v>
      </c>
      <c r="J25" s="5"/>
      <c r="K25" s="5">
        <f t="shared" si="1"/>
        <v>0</v>
      </c>
      <c r="L25" s="5"/>
      <c r="M25" s="533"/>
      <c r="N25" s="269">
        <f>D25+I25</f>
        <v>13440938</v>
      </c>
      <c r="O25" s="20">
        <f t="shared" si="11"/>
        <v>0</v>
      </c>
      <c r="P25" s="20">
        <f t="shared" si="4"/>
        <v>0</v>
      </c>
      <c r="Q25" s="20">
        <f t="shared" si="12"/>
        <v>13440938</v>
      </c>
      <c r="R25" s="20">
        <f t="shared" si="13"/>
        <v>7585967</v>
      </c>
    </row>
    <row r="26" spans="1:18" ht="18" customHeight="1" x14ac:dyDescent="0.2">
      <c r="A26" s="25" t="s">
        <v>49</v>
      </c>
      <c r="B26" s="6"/>
      <c r="C26" s="38"/>
      <c r="D26" s="181"/>
      <c r="E26" s="295"/>
      <c r="F26" s="319">
        <f t="shared" si="3"/>
        <v>0</v>
      </c>
      <c r="G26" s="295"/>
      <c r="H26" s="513"/>
      <c r="I26" s="529"/>
      <c r="J26" s="5"/>
      <c r="K26" s="5">
        <f t="shared" si="1"/>
        <v>0</v>
      </c>
      <c r="L26" s="5"/>
      <c r="M26" s="533"/>
      <c r="N26" s="269">
        <f t="shared" si="10"/>
        <v>0</v>
      </c>
      <c r="O26" s="20">
        <f t="shared" si="11"/>
        <v>0</v>
      </c>
      <c r="P26" s="20">
        <f t="shared" si="4"/>
        <v>0</v>
      </c>
      <c r="Q26" s="20">
        <f t="shared" si="12"/>
        <v>0</v>
      </c>
      <c r="R26" s="20">
        <f t="shared" si="13"/>
        <v>0</v>
      </c>
    </row>
    <row r="27" spans="1:18" ht="18" customHeight="1" x14ac:dyDescent="0.2">
      <c r="A27" s="25" t="s">
        <v>56</v>
      </c>
      <c r="B27" s="6"/>
      <c r="C27" s="38"/>
      <c r="D27" s="181"/>
      <c r="E27" s="295"/>
      <c r="F27" s="319">
        <f t="shared" si="3"/>
        <v>0</v>
      </c>
      <c r="G27" s="295"/>
      <c r="H27" s="513"/>
      <c r="I27" s="529"/>
      <c r="J27" s="5"/>
      <c r="K27" s="5">
        <f t="shared" si="1"/>
        <v>0</v>
      </c>
      <c r="L27" s="5"/>
      <c r="M27" s="533"/>
      <c r="N27" s="269">
        <f t="shared" si="10"/>
        <v>0</v>
      </c>
      <c r="O27" s="20">
        <f t="shared" si="11"/>
        <v>0</v>
      </c>
      <c r="P27" s="20">
        <f t="shared" si="4"/>
        <v>0</v>
      </c>
      <c r="Q27" s="20">
        <f t="shared" si="12"/>
        <v>0</v>
      </c>
      <c r="R27" s="20">
        <f t="shared" si="13"/>
        <v>0</v>
      </c>
    </row>
    <row r="28" spans="1:18" ht="23.25" customHeight="1" x14ac:dyDescent="0.2">
      <c r="A28" s="654" t="s">
        <v>0</v>
      </c>
      <c r="B28" s="655"/>
      <c r="C28" s="39"/>
      <c r="D28" s="277">
        <f>D11+D13+D21</f>
        <v>243693052</v>
      </c>
      <c r="E28" s="185">
        <v>0</v>
      </c>
      <c r="F28" s="185">
        <f t="shared" si="3"/>
        <v>97500</v>
      </c>
      <c r="G28" s="469">
        <f t="shared" ref="G28:H28" si="17">G11+G13+G21</f>
        <v>243790552</v>
      </c>
      <c r="H28" s="515">
        <f t="shared" si="17"/>
        <v>164945189</v>
      </c>
      <c r="I28" s="548">
        <f>I11+I13+I21</f>
        <v>488205</v>
      </c>
      <c r="J28" s="185">
        <v>11923</v>
      </c>
      <c r="K28" s="185">
        <f t="shared" si="1"/>
        <v>20852</v>
      </c>
      <c r="L28" s="185">
        <f t="shared" ref="L28:M28" si="18">L11+L13+L21</f>
        <v>520980</v>
      </c>
      <c r="M28" s="549">
        <f t="shared" si="18"/>
        <v>500128</v>
      </c>
      <c r="N28" s="520">
        <f>N11+N13+N21</f>
        <v>244181257</v>
      </c>
      <c r="O28" s="277">
        <f t="shared" ref="O28:R28" si="19">O11+O13+O21</f>
        <v>11923</v>
      </c>
      <c r="P28" s="277">
        <f t="shared" si="4"/>
        <v>118352</v>
      </c>
      <c r="Q28" s="277">
        <f t="shared" si="19"/>
        <v>244311532</v>
      </c>
      <c r="R28" s="277">
        <f t="shared" si="19"/>
        <v>165445317</v>
      </c>
    </row>
    <row r="29" spans="1:18" ht="24" customHeight="1" x14ac:dyDescent="0.2">
      <c r="A29" s="660"/>
      <c r="B29" s="661"/>
      <c r="C29" s="661"/>
      <c r="D29" s="661"/>
      <c r="E29" s="270"/>
      <c r="F29" s="270"/>
      <c r="G29" s="470"/>
      <c r="H29" s="470"/>
      <c r="I29" s="537"/>
      <c r="J29" s="274"/>
      <c r="K29" s="274"/>
      <c r="L29" s="274"/>
      <c r="M29" s="538"/>
      <c r="N29" s="274"/>
      <c r="O29" s="282"/>
      <c r="P29" s="282"/>
      <c r="Q29" s="282"/>
      <c r="R29" s="282"/>
    </row>
    <row r="30" spans="1:18" ht="22.5" customHeight="1" x14ac:dyDescent="0.2">
      <c r="A30" s="29" t="s">
        <v>45</v>
      </c>
      <c r="B30" s="28" t="s">
        <v>39</v>
      </c>
      <c r="C30" s="36" t="s">
        <v>87</v>
      </c>
      <c r="D30" s="278">
        <f>SUM(D31:D31)</f>
        <v>0</v>
      </c>
      <c r="E30" s="32"/>
      <c r="F30" s="32">
        <f t="shared" si="3"/>
        <v>0</v>
      </c>
      <c r="G30" s="471"/>
      <c r="H30" s="516"/>
      <c r="I30" s="550">
        <f>SUM(I31:I31)</f>
        <v>0</v>
      </c>
      <c r="J30" s="32"/>
      <c r="K30" s="32">
        <f t="shared" si="1"/>
        <v>0</v>
      </c>
      <c r="L30" s="32"/>
      <c r="M30" s="551"/>
      <c r="N30" s="521">
        <f>SUM(N31:N31)</f>
        <v>0</v>
      </c>
      <c r="O30" s="32"/>
      <c r="P30" s="32">
        <f t="shared" si="4"/>
        <v>0</v>
      </c>
      <c r="Q30" s="32"/>
      <c r="R30" s="32"/>
    </row>
    <row r="31" spans="1:18" ht="21" customHeight="1" thickBot="1" x14ac:dyDescent="0.25">
      <c r="A31" s="25"/>
      <c r="B31" s="12"/>
      <c r="C31" s="38"/>
      <c r="D31" s="9"/>
      <c r="E31" s="271"/>
      <c r="F31" s="271">
        <f t="shared" si="3"/>
        <v>0</v>
      </c>
      <c r="G31" s="472"/>
      <c r="H31" s="472"/>
      <c r="I31" s="531"/>
      <c r="J31" s="271"/>
      <c r="K31" s="271"/>
      <c r="L31" s="271"/>
      <c r="M31" s="532"/>
      <c r="N31" s="269">
        <f>SUM(D31:I31)</f>
        <v>0</v>
      </c>
      <c r="O31" s="21"/>
      <c r="P31" s="21"/>
      <c r="Q31" s="21"/>
      <c r="R31" s="21"/>
    </row>
    <row r="32" spans="1:18" ht="21" customHeight="1" thickBot="1" x14ac:dyDescent="0.25">
      <c r="A32" s="662" t="s">
        <v>7</v>
      </c>
      <c r="B32" s="663"/>
      <c r="C32" s="37" t="s">
        <v>87</v>
      </c>
      <c r="D32" s="279">
        <f>D30</f>
        <v>0</v>
      </c>
      <c r="E32" s="473"/>
      <c r="F32" s="473">
        <f t="shared" si="3"/>
        <v>0</v>
      </c>
      <c r="G32" s="474"/>
      <c r="H32" s="517"/>
      <c r="I32" s="552">
        <f>I30</f>
        <v>0</v>
      </c>
      <c r="J32" s="473"/>
      <c r="K32" s="473">
        <f t="shared" si="1"/>
        <v>0</v>
      </c>
      <c r="L32" s="473"/>
      <c r="M32" s="553"/>
      <c r="N32" s="522">
        <f>N30</f>
        <v>0</v>
      </c>
      <c r="O32" s="284"/>
      <c r="P32" s="284">
        <f t="shared" si="4"/>
        <v>0</v>
      </c>
      <c r="Q32" s="284"/>
      <c r="R32" s="284"/>
    </row>
    <row r="33" spans="1:18" ht="18" customHeight="1" thickBot="1" x14ac:dyDescent="0.25">
      <c r="A33" s="664" t="s">
        <v>21</v>
      </c>
      <c r="B33" s="665"/>
      <c r="C33" s="40" t="s">
        <v>50</v>
      </c>
      <c r="D33" s="280">
        <f>D28+D32</f>
        <v>243693052</v>
      </c>
      <c r="E33" s="284">
        <v>0</v>
      </c>
      <c r="F33" s="284">
        <f t="shared" si="3"/>
        <v>97500</v>
      </c>
      <c r="G33" s="475">
        <f t="shared" ref="G33:H33" si="20">G28+G32</f>
        <v>243790552</v>
      </c>
      <c r="H33" s="518">
        <f t="shared" si="20"/>
        <v>164945189</v>
      </c>
      <c r="I33" s="539">
        <f>I28+I32</f>
        <v>488205</v>
      </c>
      <c r="J33" s="13">
        <v>11923</v>
      </c>
      <c r="K33" s="13">
        <f t="shared" si="1"/>
        <v>20852</v>
      </c>
      <c r="L33" s="13">
        <f t="shared" ref="L33:M33" si="21">L28+L32</f>
        <v>520980</v>
      </c>
      <c r="M33" s="540">
        <f t="shared" si="21"/>
        <v>500128</v>
      </c>
      <c r="N33" s="523">
        <f>N28+N32</f>
        <v>244181257</v>
      </c>
      <c r="O33" s="280">
        <f>O28+O32</f>
        <v>11923</v>
      </c>
      <c r="P33" s="280">
        <f t="shared" si="4"/>
        <v>118352</v>
      </c>
      <c r="Q33" s="280">
        <f>Q28+Q32</f>
        <v>244311532</v>
      </c>
      <c r="R33" s="280">
        <f>R28+R32</f>
        <v>165445317</v>
      </c>
    </row>
    <row r="34" spans="1:18" ht="15" customHeight="1" thickBot="1" x14ac:dyDescent="0.25">
      <c r="A34" s="658" t="s">
        <v>24</v>
      </c>
      <c r="B34" s="659"/>
      <c r="C34" s="659"/>
      <c r="D34" s="659"/>
      <c r="E34" s="326"/>
      <c r="F34" s="326"/>
      <c r="G34" s="476"/>
      <c r="H34" s="476"/>
      <c r="I34" s="541"/>
      <c r="J34" s="147"/>
      <c r="K34" s="147">
        <f t="shared" si="1"/>
        <v>0</v>
      </c>
      <c r="L34" s="147"/>
      <c r="M34" s="542"/>
      <c r="N34" s="147"/>
      <c r="O34" s="285"/>
      <c r="P34" s="285"/>
      <c r="Q34" s="285"/>
      <c r="R34" s="285"/>
    </row>
    <row r="35" spans="1:18" ht="15" customHeight="1" x14ac:dyDescent="0.2">
      <c r="A35" s="656" t="s">
        <v>22</v>
      </c>
      <c r="B35" s="657"/>
      <c r="C35" s="657"/>
      <c r="D35" s="657"/>
      <c r="E35" s="272"/>
      <c r="F35" s="272"/>
      <c r="G35" s="477"/>
      <c r="H35" s="477"/>
      <c r="I35" s="531"/>
      <c r="J35" s="271"/>
      <c r="K35" s="271"/>
      <c r="L35" s="271"/>
      <c r="M35" s="532"/>
      <c r="N35" s="271"/>
      <c r="O35" s="20"/>
      <c r="P35" s="20"/>
      <c r="Q35" s="20"/>
      <c r="R35" s="20"/>
    </row>
    <row r="36" spans="1:18" ht="15" customHeight="1" x14ac:dyDescent="0.2">
      <c r="A36" s="31" t="s">
        <v>45</v>
      </c>
      <c r="B36" s="330" t="s">
        <v>8</v>
      </c>
      <c r="C36" s="36" t="s">
        <v>230</v>
      </c>
      <c r="D36" s="278">
        <f>SUM(D37:D37)</f>
        <v>10000</v>
      </c>
      <c r="E36" s="32">
        <v>0</v>
      </c>
      <c r="F36" s="32">
        <f t="shared" si="3"/>
        <v>0</v>
      </c>
      <c r="G36" s="478">
        <f t="shared" ref="G36:H36" si="22">SUM(G37:G37)</f>
        <v>10000</v>
      </c>
      <c r="H36" s="519">
        <f t="shared" si="22"/>
        <v>0</v>
      </c>
      <c r="I36" s="550">
        <f>SUM(I37:I37)</f>
        <v>0</v>
      </c>
      <c r="J36" s="32">
        <v>0</v>
      </c>
      <c r="K36" s="32">
        <f t="shared" si="1"/>
        <v>0</v>
      </c>
      <c r="L36" s="32">
        <f t="shared" ref="L36:M36" si="23">SUM(L37:L37)</f>
        <v>0</v>
      </c>
      <c r="M36" s="551">
        <f t="shared" si="23"/>
        <v>0</v>
      </c>
      <c r="N36" s="521">
        <f>SUM(N37:N37)</f>
        <v>10000</v>
      </c>
      <c r="O36" s="278">
        <f t="shared" ref="O36:R36" si="24">SUM(O37:O37)</f>
        <v>0</v>
      </c>
      <c r="P36" s="278">
        <f t="shared" si="4"/>
        <v>0</v>
      </c>
      <c r="Q36" s="278">
        <f t="shared" si="24"/>
        <v>10000</v>
      </c>
      <c r="R36" s="278">
        <f t="shared" si="24"/>
        <v>0</v>
      </c>
    </row>
    <row r="37" spans="1:18" ht="15" customHeight="1" x14ac:dyDescent="0.2">
      <c r="A37" s="26"/>
      <c r="B37" s="335" t="s">
        <v>85</v>
      </c>
      <c r="C37" s="38"/>
      <c r="D37" s="63">
        <v>10000</v>
      </c>
      <c r="E37" s="5">
        <v>0</v>
      </c>
      <c r="F37" s="5">
        <f t="shared" si="3"/>
        <v>0</v>
      </c>
      <c r="G37" s="319">
        <v>10000</v>
      </c>
      <c r="H37" s="513"/>
      <c r="I37" s="529"/>
      <c r="J37" s="269"/>
      <c r="K37" s="269">
        <f t="shared" si="1"/>
        <v>0</v>
      </c>
      <c r="L37" s="269"/>
      <c r="M37" s="530"/>
      <c r="N37" s="269">
        <f>D37+I37</f>
        <v>10000</v>
      </c>
      <c r="O37" s="20">
        <f>E37+J37</f>
        <v>0</v>
      </c>
      <c r="P37" s="20">
        <f t="shared" si="4"/>
        <v>0</v>
      </c>
      <c r="Q37" s="20">
        <f>G37+L37</f>
        <v>10000</v>
      </c>
      <c r="R37" s="20">
        <f>H37+M37</f>
        <v>0</v>
      </c>
    </row>
    <row r="38" spans="1:18" ht="15" customHeight="1" x14ac:dyDescent="0.2">
      <c r="A38" s="31" t="s">
        <v>46</v>
      </c>
      <c r="B38" s="330" t="s">
        <v>79</v>
      </c>
      <c r="C38" s="36" t="s">
        <v>230</v>
      </c>
      <c r="D38" s="278">
        <f>SUM(D39:D40)</f>
        <v>4172400</v>
      </c>
      <c r="E38" s="32">
        <v>0</v>
      </c>
      <c r="F38" s="32">
        <f t="shared" si="3"/>
        <v>0</v>
      </c>
      <c r="G38" s="478">
        <f t="shared" ref="G38:H38" si="25">SUM(G39:G40)</f>
        <v>4172400</v>
      </c>
      <c r="H38" s="519">
        <f t="shared" si="25"/>
        <v>3129300</v>
      </c>
      <c r="I38" s="550">
        <f>SUM(I39:I40)</f>
        <v>0</v>
      </c>
      <c r="J38" s="32">
        <v>0</v>
      </c>
      <c r="K38" s="32">
        <f t="shared" si="1"/>
        <v>0</v>
      </c>
      <c r="L38" s="32">
        <f t="shared" ref="L38:M38" si="26">SUM(L39:L40)</f>
        <v>0</v>
      </c>
      <c r="M38" s="551">
        <f t="shared" si="26"/>
        <v>0</v>
      </c>
      <c r="N38" s="521">
        <f>SUM(N39:N39)</f>
        <v>4172400</v>
      </c>
      <c r="O38" s="278">
        <f t="shared" ref="O38:R38" si="27">SUM(O39:O39)</f>
        <v>0</v>
      </c>
      <c r="P38" s="278">
        <f t="shared" si="4"/>
        <v>0</v>
      </c>
      <c r="Q38" s="278">
        <f t="shared" si="27"/>
        <v>4172400</v>
      </c>
      <c r="R38" s="278">
        <f t="shared" si="27"/>
        <v>3129300</v>
      </c>
    </row>
    <row r="39" spans="1:18" ht="15" customHeight="1" x14ac:dyDescent="0.2">
      <c r="A39" s="26" t="s">
        <v>45</v>
      </c>
      <c r="B39" s="18" t="s">
        <v>80</v>
      </c>
      <c r="C39" s="38"/>
      <c r="D39" s="63">
        <v>4172400</v>
      </c>
      <c r="E39" s="5">
        <v>0</v>
      </c>
      <c r="F39" s="5">
        <f t="shared" si="3"/>
        <v>0</v>
      </c>
      <c r="G39" s="319">
        <v>4172400</v>
      </c>
      <c r="H39" s="512">
        <v>3129300</v>
      </c>
      <c r="I39" s="529">
        <v>0</v>
      </c>
      <c r="J39" s="269"/>
      <c r="K39" s="269">
        <f t="shared" si="1"/>
        <v>0</v>
      </c>
      <c r="L39" s="269"/>
      <c r="M39" s="530"/>
      <c r="N39" s="269">
        <f>D39+I39</f>
        <v>4172400</v>
      </c>
      <c r="O39" s="20">
        <f>E39+J39</f>
        <v>0</v>
      </c>
      <c r="P39" s="20">
        <f t="shared" si="4"/>
        <v>0</v>
      </c>
      <c r="Q39" s="20">
        <f>G39+L39</f>
        <v>4172400</v>
      </c>
      <c r="R39" s="20">
        <f>H39+M39</f>
        <v>3129300</v>
      </c>
    </row>
    <row r="40" spans="1:18" ht="15" customHeight="1" x14ac:dyDescent="0.2">
      <c r="A40" s="26"/>
      <c r="B40" s="335"/>
      <c r="C40" s="38"/>
      <c r="D40" s="63"/>
      <c r="E40" s="5"/>
      <c r="F40" s="5"/>
      <c r="G40" s="295"/>
      <c r="H40" s="513"/>
      <c r="I40" s="529"/>
      <c r="J40" s="269"/>
      <c r="K40" s="269"/>
      <c r="L40" s="269"/>
      <c r="M40" s="530"/>
      <c r="N40" s="269"/>
      <c r="O40" s="5"/>
      <c r="P40" s="5"/>
      <c r="Q40" s="5"/>
      <c r="R40" s="5"/>
    </row>
    <row r="41" spans="1:18" ht="15" customHeight="1" x14ac:dyDescent="0.2">
      <c r="A41" s="29" t="s">
        <v>47</v>
      </c>
      <c r="B41" s="330" t="s">
        <v>94</v>
      </c>
      <c r="C41" s="36" t="s">
        <v>230</v>
      </c>
      <c r="D41" s="278">
        <f>SUM(D42:D59)</f>
        <v>21387815</v>
      </c>
      <c r="E41" s="32">
        <v>1056000</v>
      </c>
      <c r="F41" s="32">
        <f t="shared" si="3"/>
        <v>5508401</v>
      </c>
      <c r="G41" s="478">
        <f>SUM(G42:G61)</f>
        <v>27952216</v>
      </c>
      <c r="H41" s="519">
        <f t="shared" ref="H41" si="28">SUM(H42:H59)</f>
        <v>22348515</v>
      </c>
      <c r="I41" s="550">
        <f>SUM(I42:I59)</f>
        <v>0</v>
      </c>
      <c r="J41" s="278">
        <v>0</v>
      </c>
      <c r="K41" s="32">
        <f t="shared" si="1"/>
        <v>0</v>
      </c>
      <c r="L41" s="32">
        <f t="shared" ref="L41:M41" si="29">SUM(L42:L59)</f>
        <v>0</v>
      </c>
      <c r="M41" s="551">
        <f t="shared" si="29"/>
        <v>0</v>
      </c>
      <c r="N41" s="521">
        <f>SUM(N42:N59)</f>
        <v>21387815</v>
      </c>
      <c r="O41" s="278">
        <f t="shared" ref="O41:R41" si="30">SUM(O42:O59)</f>
        <v>1056000</v>
      </c>
      <c r="P41" s="278">
        <f t="shared" si="4"/>
        <v>5508401</v>
      </c>
      <c r="Q41" s="278">
        <f t="shared" si="30"/>
        <v>27756216</v>
      </c>
      <c r="R41" s="278">
        <f t="shared" si="30"/>
        <v>22348515</v>
      </c>
    </row>
    <row r="42" spans="1:18" ht="15" customHeight="1" x14ac:dyDescent="0.2">
      <c r="A42" s="26" t="s">
        <v>45</v>
      </c>
      <c r="B42" s="18" t="s">
        <v>231</v>
      </c>
      <c r="C42" s="38"/>
      <c r="D42" s="63">
        <v>100000</v>
      </c>
      <c r="E42" s="5">
        <v>0</v>
      </c>
      <c r="F42" s="5">
        <f t="shared" si="3"/>
        <v>0</v>
      </c>
      <c r="G42" s="319">
        <v>100000</v>
      </c>
      <c r="H42" s="512">
        <v>0</v>
      </c>
      <c r="I42" s="529">
        <v>0</v>
      </c>
      <c r="J42" s="269"/>
      <c r="K42" s="269">
        <f t="shared" si="1"/>
        <v>0</v>
      </c>
      <c r="L42" s="269"/>
      <c r="M42" s="530"/>
      <c r="N42" s="269">
        <f>D42+I42</f>
        <v>100000</v>
      </c>
      <c r="O42" s="20">
        <f>E42+J42</f>
        <v>0</v>
      </c>
      <c r="P42" s="20">
        <f t="shared" si="4"/>
        <v>0</v>
      </c>
      <c r="Q42" s="20">
        <f t="shared" ref="Q42:Q59" si="31">G42+L42</f>
        <v>100000</v>
      </c>
      <c r="R42" s="20">
        <f t="shared" ref="R42:R59" si="32">H42+M42</f>
        <v>0</v>
      </c>
    </row>
    <row r="43" spans="1:18" ht="15" customHeight="1" x14ac:dyDescent="0.2">
      <c r="A43" s="26" t="s">
        <v>46</v>
      </c>
      <c r="B43" s="18" t="s">
        <v>65</v>
      </c>
      <c r="C43" s="38"/>
      <c r="D43" s="63">
        <v>200000</v>
      </c>
      <c r="E43" s="5">
        <v>0</v>
      </c>
      <c r="F43" s="5">
        <f t="shared" si="3"/>
        <v>0</v>
      </c>
      <c r="G43" s="319">
        <v>200000</v>
      </c>
      <c r="H43" s="512">
        <v>200000</v>
      </c>
      <c r="I43" s="529">
        <v>0</v>
      </c>
      <c r="J43" s="269"/>
      <c r="K43" s="269">
        <f t="shared" si="1"/>
        <v>0</v>
      </c>
      <c r="L43" s="269"/>
      <c r="M43" s="530"/>
      <c r="N43" s="269">
        <f t="shared" ref="N43:N61" si="33">D43+I43</f>
        <v>200000</v>
      </c>
      <c r="O43" s="20">
        <f t="shared" ref="O43:O59" si="34">E43+J43</f>
        <v>0</v>
      </c>
      <c r="P43" s="20">
        <f t="shared" si="4"/>
        <v>0</v>
      </c>
      <c r="Q43" s="20">
        <f t="shared" si="31"/>
        <v>200000</v>
      </c>
      <c r="R43" s="20">
        <f t="shared" si="32"/>
        <v>200000</v>
      </c>
    </row>
    <row r="44" spans="1:18" ht="15" customHeight="1" x14ac:dyDescent="0.2">
      <c r="A44" s="26" t="s">
        <v>47</v>
      </c>
      <c r="B44" s="18" t="s">
        <v>66</v>
      </c>
      <c r="C44" s="38"/>
      <c r="D44" s="63">
        <v>350000</v>
      </c>
      <c r="E44" s="5">
        <v>0</v>
      </c>
      <c r="F44" s="5">
        <f t="shared" si="3"/>
        <v>0</v>
      </c>
      <c r="G44" s="319">
        <v>350000</v>
      </c>
      <c r="H44" s="512">
        <v>350000</v>
      </c>
      <c r="I44" s="529">
        <v>0</v>
      </c>
      <c r="J44" s="269"/>
      <c r="K44" s="269">
        <f t="shared" si="1"/>
        <v>0</v>
      </c>
      <c r="L44" s="269"/>
      <c r="M44" s="530"/>
      <c r="N44" s="269">
        <f t="shared" si="33"/>
        <v>350000</v>
      </c>
      <c r="O44" s="20">
        <f t="shared" si="34"/>
        <v>0</v>
      </c>
      <c r="P44" s="20">
        <f t="shared" si="4"/>
        <v>0</v>
      </c>
      <c r="Q44" s="20">
        <f t="shared" si="31"/>
        <v>350000</v>
      </c>
      <c r="R44" s="20">
        <f t="shared" si="32"/>
        <v>350000</v>
      </c>
    </row>
    <row r="45" spans="1:18" ht="15" customHeight="1" x14ac:dyDescent="0.2">
      <c r="A45" s="26" t="s">
        <v>48</v>
      </c>
      <c r="B45" s="18" t="s">
        <v>67</v>
      </c>
      <c r="C45" s="38"/>
      <c r="D45" s="63">
        <v>400000</v>
      </c>
      <c r="E45" s="5">
        <v>0</v>
      </c>
      <c r="F45" s="5">
        <f t="shared" si="3"/>
        <v>320000</v>
      </c>
      <c r="G45" s="319">
        <f>400000+120000+200000</f>
        <v>720000</v>
      </c>
      <c r="H45" s="512">
        <v>520000</v>
      </c>
      <c r="I45" s="529">
        <v>0</v>
      </c>
      <c r="J45" s="269"/>
      <c r="K45" s="269">
        <f t="shared" si="1"/>
        <v>0</v>
      </c>
      <c r="L45" s="269"/>
      <c r="M45" s="530"/>
      <c r="N45" s="269">
        <f t="shared" si="33"/>
        <v>400000</v>
      </c>
      <c r="O45" s="20">
        <f t="shared" si="34"/>
        <v>0</v>
      </c>
      <c r="P45" s="20">
        <f t="shared" si="4"/>
        <v>320000</v>
      </c>
      <c r="Q45" s="20">
        <f t="shared" si="31"/>
        <v>720000</v>
      </c>
      <c r="R45" s="20">
        <f t="shared" si="32"/>
        <v>520000</v>
      </c>
    </row>
    <row r="46" spans="1:18" ht="15" customHeight="1" x14ac:dyDescent="0.2">
      <c r="A46" s="26" t="s">
        <v>49</v>
      </c>
      <c r="B46" s="18" t="s">
        <v>232</v>
      </c>
      <c r="C46" s="38"/>
      <c r="D46" s="63">
        <v>6147815</v>
      </c>
      <c r="E46" s="5">
        <v>350000</v>
      </c>
      <c r="F46" s="5">
        <f t="shared" si="3"/>
        <v>0</v>
      </c>
      <c r="G46" s="319">
        <v>6497815</v>
      </c>
      <c r="H46" s="512">
        <v>4892815</v>
      </c>
      <c r="I46" s="529">
        <v>0</v>
      </c>
      <c r="J46" s="269"/>
      <c r="K46" s="269">
        <f t="shared" si="1"/>
        <v>0</v>
      </c>
      <c r="L46" s="269"/>
      <c r="M46" s="530"/>
      <c r="N46" s="269">
        <f t="shared" si="33"/>
        <v>6147815</v>
      </c>
      <c r="O46" s="20">
        <f t="shared" si="34"/>
        <v>350000</v>
      </c>
      <c r="P46" s="20">
        <f t="shared" si="4"/>
        <v>0</v>
      </c>
      <c r="Q46" s="20">
        <f t="shared" si="31"/>
        <v>6497815</v>
      </c>
      <c r="R46" s="20">
        <f t="shared" si="32"/>
        <v>4892815</v>
      </c>
    </row>
    <row r="47" spans="1:18" ht="15" customHeight="1" x14ac:dyDescent="0.2">
      <c r="A47" s="26" t="s">
        <v>56</v>
      </c>
      <c r="B47" s="18" t="s">
        <v>68</v>
      </c>
      <c r="C47" s="38"/>
      <c r="D47" s="63">
        <v>1600000</v>
      </c>
      <c r="E47" s="5">
        <v>150000</v>
      </c>
      <c r="F47" s="5">
        <f t="shared" si="3"/>
        <v>16000</v>
      </c>
      <c r="G47" s="319">
        <f>1750000+16000</f>
        <v>1766000</v>
      </c>
      <c r="H47" s="512">
        <v>1350000</v>
      </c>
      <c r="I47" s="529">
        <v>0</v>
      </c>
      <c r="J47" s="269"/>
      <c r="K47" s="269">
        <f t="shared" si="1"/>
        <v>0</v>
      </c>
      <c r="L47" s="269"/>
      <c r="M47" s="530"/>
      <c r="N47" s="269">
        <f t="shared" si="33"/>
        <v>1600000</v>
      </c>
      <c r="O47" s="20">
        <f t="shared" si="34"/>
        <v>150000</v>
      </c>
      <c r="P47" s="20">
        <f t="shared" si="4"/>
        <v>16000</v>
      </c>
      <c r="Q47" s="20">
        <f t="shared" si="31"/>
        <v>1766000</v>
      </c>
      <c r="R47" s="20">
        <f t="shared" si="32"/>
        <v>1350000</v>
      </c>
    </row>
    <row r="48" spans="1:18" ht="15" customHeight="1" x14ac:dyDescent="0.2">
      <c r="A48" s="26" t="s">
        <v>58</v>
      </c>
      <c r="B48" s="18" t="s">
        <v>69</v>
      </c>
      <c r="C48" s="38"/>
      <c r="D48" s="63">
        <v>1100000</v>
      </c>
      <c r="E48" s="5">
        <v>266000</v>
      </c>
      <c r="F48" s="5">
        <f t="shared" si="3"/>
        <v>20000</v>
      </c>
      <c r="G48" s="319">
        <f>1366000+20000</f>
        <v>1386000</v>
      </c>
      <c r="H48" s="512">
        <v>1036000</v>
      </c>
      <c r="I48" s="529">
        <v>0</v>
      </c>
      <c r="J48" s="269"/>
      <c r="K48" s="269">
        <f t="shared" si="1"/>
        <v>0</v>
      </c>
      <c r="L48" s="269"/>
      <c r="M48" s="530"/>
      <c r="N48" s="269">
        <f t="shared" si="33"/>
        <v>1100000</v>
      </c>
      <c r="O48" s="20">
        <f t="shared" si="34"/>
        <v>266000</v>
      </c>
      <c r="P48" s="20">
        <f t="shared" si="4"/>
        <v>20000</v>
      </c>
      <c r="Q48" s="20">
        <f t="shared" si="31"/>
        <v>1386000</v>
      </c>
      <c r="R48" s="20">
        <f t="shared" si="32"/>
        <v>1036000</v>
      </c>
    </row>
    <row r="49" spans="1:18" ht="15" customHeight="1" x14ac:dyDescent="0.2">
      <c r="A49" s="26" t="s">
        <v>59</v>
      </c>
      <c r="B49" s="346" t="s">
        <v>70</v>
      </c>
      <c r="C49" s="38"/>
      <c r="D49" s="63">
        <v>1000000</v>
      </c>
      <c r="E49" s="5">
        <v>0</v>
      </c>
      <c r="F49" s="5">
        <f t="shared" si="3"/>
        <v>-999999</v>
      </c>
      <c r="G49" s="319">
        <v>1</v>
      </c>
      <c r="H49" s="512">
        <v>0</v>
      </c>
      <c r="I49" s="529">
        <v>0</v>
      </c>
      <c r="J49" s="269"/>
      <c r="K49" s="269">
        <f t="shared" si="1"/>
        <v>0</v>
      </c>
      <c r="L49" s="269"/>
      <c r="M49" s="530"/>
      <c r="N49" s="269">
        <f t="shared" si="33"/>
        <v>1000000</v>
      </c>
      <c r="O49" s="20">
        <f t="shared" si="34"/>
        <v>0</v>
      </c>
      <c r="P49" s="20">
        <f t="shared" si="4"/>
        <v>-999999</v>
      </c>
      <c r="Q49" s="20">
        <f t="shared" si="31"/>
        <v>1</v>
      </c>
      <c r="R49" s="20">
        <f t="shared" si="32"/>
        <v>0</v>
      </c>
    </row>
    <row r="50" spans="1:18" ht="15" customHeight="1" x14ac:dyDescent="0.2">
      <c r="A50" s="26" t="s">
        <v>60</v>
      </c>
      <c r="B50" s="18" t="s">
        <v>71</v>
      </c>
      <c r="C50" s="38"/>
      <c r="D50" s="63">
        <v>350000</v>
      </c>
      <c r="E50" s="5">
        <v>0</v>
      </c>
      <c r="F50" s="5">
        <f t="shared" si="3"/>
        <v>130000</v>
      </c>
      <c r="G50" s="319">
        <f>350000+130000</f>
        <v>480000</v>
      </c>
      <c r="H50" s="512">
        <v>280000</v>
      </c>
      <c r="I50" s="529">
        <v>0</v>
      </c>
      <c r="J50" s="269"/>
      <c r="K50" s="269">
        <f t="shared" si="1"/>
        <v>0</v>
      </c>
      <c r="L50" s="269"/>
      <c r="M50" s="530"/>
      <c r="N50" s="269">
        <f t="shared" si="33"/>
        <v>350000</v>
      </c>
      <c r="O50" s="20">
        <f t="shared" si="34"/>
        <v>0</v>
      </c>
      <c r="P50" s="20">
        <f t="shared" si="4"/>
        <v>130000</v>
      </c>
      <c r="Q50" s="20">
        <f t="shared" si="31"/>
        <v>480000</v>
      </c>
      <c r="R50" s="20">
        <f t="shared" si="32"/>
        <v>280000</v>
      </c>
    </row>
    <row r="51" spans="1:18" ht="15" customHeight="1" x14ac:dyDescent="0.2">
      <c r="A51" s="26" t="s">
        <v>61</v>
      </c>
      <c r="B51" s="18" t="s">
        <v>72</v>
      </c>
      <c r="C51" s="38"/>
      <c r="D51" s="63">
        <v>1150000</v>
      </c>
      <c r="E51" s="5">
        <v>0</v>
      </c>
      <c r="F51" s="5">
        <f t="shared" si="3"/>
        <v>90000</v>
      </c>
      <c r="G51" s="319">
        <f>1150000+90000</f>
        <v>1240000</v>
      </c>
      <c r="H51" s="512">
        <v>805000</v>
      </c>
      <c r="I51" s="529">
        <v>0</v>
      </c>
      <c r="J51" s="269"/>
      <c r="K51" s="269">
        <f t="shared" si="1"/>
        <v>0</v>
      </c>
      <c r="L51" s="269"/>
      <c r="M51" s="530"/>
      <c r="N51" s="269">
        <f t="shared" si="33"/>
        <v>1150000</v>
      </c>
      <c r="O51" s="20">
        <f t="shared" si="34"/>
        <v>0</v>
      </c>
      <c r="P51" s="20">
        <f t="shared" si="4"/>
        <v>90000</v>
      </c>
      <c r="Q51" s="20">
        <f t="shared" si="31"/>
        <v>1240000</v>
      </c>
      <c r="R51" s="20">
        <f t="shared" si="32"/>
        <v>805000</v>
      </c>
    </row>
    <row r="52" spans="1:18" ht="15" customHeight="1" x14ac:dyDescent="0.2">
      <c r="A52" s="26" t="s">
        <v>29</v>
      </c>
      <c r="B52" s="18" t="s">
        <v>382</v>
      </c>
      <c r="C52" s="38"/>
      <c r="D52" s="63">
        <v>1150000</v>
      </c>
      <c r="E52" s="5">
        <v>220000</v>
      </c>
      <c r="F52" s="5">
        <f t="shared" si="3"/>
        <v>358700</v>
      </c>
      <c r="G52" s="319">
        <f>1370000+328700+30000</f>
        <v>1728700</v>
      </c>
      <c r="H52" s="512">
        <v>1353700</v>
      </c>
      <c r="I52" s="529">
        <v>0</v>
      </c>
      <c r="J52" s="269"/>
      <c r="K52" s="269">
        <f t="shared" si="1"/>
        <v>0</v>
      </c>
      <c r="L52" s="269"/>
      <c r="M52" s="530"/>
      <c r="N52" s="269">
        <f t="shared" si="33"/>
        <v>1150000</v>
      </c>
      <c r="O52" s="20">
        <f t="shared" si="34"/>
        <v>220000</v>
      </c>
      <c r="P52" s="20">
        <f t="shared" si="4"/>
        <v>358700</v>
      </c>
      <c r="Q52" s="20">
        <f t="shared" si="31"/>
        <v>1728700</v>
      </c>
      <c r="R52" s="20">
        <f t="shared" si="32"/>
        <v>1353700</v>
      </c>
    </row>
    <row r="53" spans="1:18" ht="15" customHeight="1" x14ac:dyDescent="0.2">
      <c r="A53" s="26" t="s">
        <v>30</v>
      </c>
      <c r="B53" s="18" t="s">
        <v>73</v>
      </c>
      <c r="C53" s="38"/>
      <c r="D53" s="63">
        <v>250000</v>
      </c>
      <c r="E53" s="5">
        <v>70000</v>
      </c>
      <c r="F53" s="5">
        <f t="shared" si="3"/>
        <v>0</v>
      </c>
      <c r="G53" s="319">
        <v>320000</v>
      </c>
      <c r="H53" s="512">
        <f>250000+70000</f>
        <v>320000</v>
      </c>
      <c r="I53" s="529">
        <v>0</v>
      </c>
      <c r="J53" s="269"/>
      <c r="K53" s="269">
        <f t="shared" si="1"/>
        <v>0</v>
      </c>
      <c r="L53" s="269"/>
      <c r="M53" s="530"/>
      <c r="N53" s="269">
        <f t="shared" si="33"/>
        <v>250000</v>
      </c>
      <c r="O53" s="20">
        <f t="shared" si="34"/>
        <v>70000</v>
      </c>
      <c r="P53" s="20">
        <f t="shared" si="4"/>
        <v>0</v>
      </c>
      <c r="Q53" s="20">
        <f t="shared" si="31"/>
        <v>320000</v>
      </c>
      <c r="R53" s="20">
        <f t="shared" si="32"/>
        <v>320000</v>
      </c>
    </row>
    <row r="54" spans="1:18" ht="15" customHeight="1" x14ac:dyDescent="0.2">
      <c r="A54" s="26" t="s">
        <v>36</v>
      </c>
      <c r="B54" s="18" t="s">
        <v>74</v>
      </c>
      <c r="C54" s="38"/>
      <c r="D54" s="63">
        <v>0</v>
      </c>
      <c r="E54" s="5">
        <v>0</v>
      </c>
      <c r="F54" s="5">
        <f t="shared" si="3"/>
        <v>0</v>
      </c>
      <c r="G54" s="319">
        <v>0</v>
      </c>
      <c r="H54" s="512">
        <v>0</v>
      </c>
      <c r="I54" s="529">
        <v>0</v>
      </c>
      <c r="J54" s="269"/>
      <c r="K54" s="269">
        <f t="shared" si="1"/>
        <v>0</v>
      </c>
      <c r="L54" s="269"/>
      <c r="M54" s="530"/>
      <c r="N54" s="269">
        <f t="shared" si="33"/>
        <v>0</v>
      </c>
      <c r="O54" s="20">
        <f t="shared" si="34"/>
        <v>0</v>
      </c>
      <c r="P54" s="20">
        <f t="shared" si="4"/>
        <v>0</v>
      </c>
      <c r="Q54" s="20">
        <f t="shared" si="31"/>
        <v>0</v>
      </c>
      <c r="R54" s="20">
        <f t="shared" si="32"/>
        <v>0</v>
      </c>
    </row>
    <row r="55" spans="1:18" ht="15" customHeight="1" x14ac:dyDescent="0.2">
      <c r="A55" s="26" t="s">
        <v>31</v>
      </c>
      <c r="B55" s="18" t="s">
        <v>75</v>
      </c>
      <c r="C55" s="38"/>
      <c r="D55" s="63">
        <v>6828000</v>
      </c>
      <c r="E55" s="5">
        <v>0</v>
      </c>
      <c r="F55" s="5">
        <f t="shared" si="3"/>
        <v>5055000</v>
      </c>
      <c r="G55" s="319">
        <f>7228000+4595000+60000</f>
        <v>11883000</v>
      </c>
      <c r="H55" s="512">
        <v>10491000</v>
      </c>
      <c r="I55" s="529">
        <v>0</v>
      </c>
      <c r="J55" s="269"/>
      <c r="K55" s="269">
        <f t="shared" si="1"/>
        <v>0</v>
      </c>
      <c r="L55" s="269"/>
      <c r="M55" s="530"/>
      <c r="N55" s="269">
        <f t="shared" si="33"/>
        <v>6828000</v>
      </c>
      <c r="O55" s="20">
        <f t="shared" si="34"/>
        <v>0</v>
      </c>
      <c r="P55" s="20">
        <f t="shared" si="4"/>
        <v>5055000</v>
      </c>
      <c r="Q55" s="20">
        <f t="shared" si="31"/>
        <v>11883000</v>
      </c>
      <c r="R55" s="20">
        <f t="shared" si="32"/>
        <v>10491000</v>
      </c>
    </row>
    <row r="56" spans="1:18" ht="15" customHeight="1" x14ac:dyDescent="0.2">
      <c r="A56" s="26" t="s">
        <v>64</v>
      </c>
      <c r="B56" s="18" t="s">
        <v>81</v>
      </c>
      <c r="C56" s="38"/>
      <c r="D56" s="63">
        <v>0</v>
      </c>
      <c r="E56" s="5">
        <v>0</v>
      </c>
      <c r="F56" s="5">
        <f t="shared" si="3"/>
        <v>0</v>
      </c>
      <c r="G56" s="319">
        <v>0</v>
      </c>
      <c r="H56" s="512">
        <v>0</v>
      </c>
      <c r="I56" s="529">
        <v>0</v>
      </c>
      <c r="J56" s="269"/>
      <c r="K56" s="269">
        <f t="shared" si="1"/>
        <v>0</v>
      </c>
      <c r="L56" s="269"/>
      <c r="M56" s="530"/>
      <c r="N56" s="269">
        <f t="shared" si="33"/>
        <v>0</v>
      </c>
      <c r="O56" s="20">
        <f t="shared" si="34"/>
        <v>0</v>
      </c>
      <c r="P56" s="20">
        <f t="shared" si="4"/>
        <v>0</v>
      </c>
      <c r="Q56" s="20">
        <f t="shared" si="31"/>
        <v>0</v>
      </c>
      <c r="R56" s="20">
        <f t="shared" si="32"/>
        <v>0</v>
      </c>
    </row>
    <row r="57" spans="1:18" ht="15" customHeight="1" x14ac:dyDescent="0.2">
      <c r="A57" s="26" t="s">
        <v>76</v>
      </c>
      <c r="B57" s="18" t="s">
        <v>233</v>
      </c>
      <c r="C57" s="38"/>
      <c r="D57" s="63">
        <v>12000</v>
      </c>
      <c r="E57" s="5">
        <v>0</v>
      </c>
      <c r="F57" s="5">
        <f t="shared" si="3"/>
        <v>0</v>
      </c>
      <c r="G57" s="319">
        <v>12000</v>
      </c>
      <c r="H57" s="512">
        <v>0</v>
      </c>
      <c r="I57" s="529">
        <v>0</v>
      </c>
      <c r="J57" s="269"/>
      <c r="K57" s="269">
        <f t="shared" si="1"/>
        <v>0</v>
      </c>
      <c r="L57" s="269"/>
      <c r="M57" s="530"/>
      <c r="N57" s="269">
        <f t="shared" si="33"/>
        <v>12000</v>
      </c>
      <c r="O57" s="20">
        <f t="shared" si="34"/>
        <v>0</v>
      </c>
      <c r="P57" s="20">
        <f t="shared" si="4"/>
        <v>0</v>
      </c>
      <c r="Q57" s="20">
        <f t="shared" si="31"/>
        <v>12000</v>
      </c>
      <c r="R57" s="20">
        <f t="shared" si="32"/>
        <v>0</v>
      </c>
    </row>
    <row r="58" spans="1:18" ht="15" customHeight="1" x14ac:dyDescent="0.2">
      <c r="A58" s="26" t="s">
        <v>32</v>
      </c>
      <c r="B58" s="12" t="s">
        <v>308</v>
      </c>
      <c r="C58" s="38"/>
      <c r="D58" s="63">
        <v>450000</v>
      </c>
      <c r="E58" s="5">
        <v>0</v>
      </c>
      <c r="F58" s="5">
        <f t="shared" si="3"/>
        <v>322700</v>
      </c>
      <c r="G58" s="319">
        <f>450000+100000+222700</f>
        <v>772700</v>
      </c>
      <c r="H58" s="512">
        <f>450000</f>
        <v>450000</v>
      </c>
      <c r="I58" s="529">
        <v>0</v>
      </c>
      <c r="J58" s="269"/>
      <c r="K58" s="269">
        <f t="shared" si="1"/>
        <v>0</v>
      </c>
      <c r="L58" s="269"/>
      <c r="M58" s="530"/>
      <c r="N58" s="269">
        <f t="shared" si="33"/>
        <v>450000</v>
      </c>
      <c r="O58" s="20">
        <f t="shared" si="34"/>
        <v>0</v>
      </c>
      <c r="P58" s="20">
        <f t="shared" si="4"/>
        <v>322700</v>
      </c>
      <c r="Q58" s="20">
        <f t="shared" si="31"/>
        <v>772700</v>
      </c>
      <c r="R58" s="20">
        <f t="shared" si="32"/>
        <v>450000</v>
      </c>
    </row>
    <row r="59" spans="1:18" ht="15" customHeight="1" x14ac:dyDescent="0.2">
      <c r="A59" s="479" t="s">
        <v>77</v>
      </c>
      <c r="B59" s="346" t="s">
        <v>309</v>
      </c>
      <c r="C59" s="38"/>
      <c r="D59" s="63">
        <v>300000</v>
      </c>
      <c r="E59" s="5">
        <v>0</v>
      </c>
      <c r="F59" s="5">
        <f t="shared" si="3"/>
        <v>0</v>
      </c>
      <c r="G59" s="319">
        <v>300000</v>
      </c>
      <c r="H59" s="512">
        <v>300000</v>
      </c>
      <c r="I59" s="529">
        <v>0</v>
      </c>
      <c r="J59" s="269"/>
      <c r="K59" s="269">
        <f t="shared" si="1"/>
        <v>0</v>
      </c>
      <c r="L59" s="269"/>
      <c r="M59" s="530"/>
      <c r="N59" s="269">
        <f t="shared" si="33"/>
        <v>300000</v>
      </c>
      <c r="O59" s="20">
        <f t="shared" si="34"/>
        <v>0</v>
      </c>
      <c r="P59" s="20">
        <f t="shared" si="4"/>
        <v>0</v>
      </c>
      <c r="Q59" s="20">
        <f t="shared" si="31"/>
        <v>300000</v>
      </c>
      <c r="R59" s="20">
        <f t="shared" si="32"/>
        <v>300000</v>
      </c>
    </row>
    <row r="60" spans="1:18" ht="18" customHeight="1" x14ac:dyDescent="0.2">
      <c r="A60" s="26" t="s">
        <v>62</v>
      </c>
      <c r="B60" s="7" t="s">
        <v>471</v>
      </c>
      <c r="C60" s="38"/>
      <c r="D60" s="63"/>
      <c r="E60" s="5"/>
      <c r="F60" s="5"/>
      <c r="G60" s="319">
        <v>120000</v>
      </c>
      <c r="H60" s="512">
        <v>0</v>
      </c>
      <c r="I60" s="529">
        <v>0</v>
      </c>
      <c r="J60" s="269"/>
      <c r="K60" s="269">
        <f t="shared" si="1"/>
        <v>0</v>
      </c>
      <c r="L60" s="269"/>
      <c r="M60" s="530"/>
      <c r="N60" s="269">
        <f t="shared" si="33"/>
        <v>0</v>
      </c>
      <c r="O60" s="20">
        <f t="shared" ref="O60:O61" si="35">E60+J60</f>
        <v>0</v>
      </c>
      <c r="P60" s="288">
        <f t="shared" si="4"/>
        <v>0</v>
      </c>
      <c r="Q60" s="20">
        <f t="shared" ref="Q60:Q61" si="36">G60+L60</f>
        <v>120000</v>
      </c>
      <c r="R60" s="20">
        <f t="shared" ref="R60:R61" si="37">H60+M60</f>
        <v>0</v>
      </c>
    </row>
    <row r="61" spans="1:18" ht="18" customHeight="1" x14ac:dyDescent="0.2">
      <c r="A61" s="480" t="s">
        <v>95</v>
      </c>
      <c r="B61" s="481" t="s">
        <v>74</v>
      </c>
      <c r="C61" s="38"/>
      <c r="D61" s="63"/>
      <c r="E61" s="5"/>
      <c r="F61" s="5"/>
      <c r="G61" s="319">
        <v>76000</v>
      </c>
      <c r="H61" s="512">
        <v>0</v>
      </c>
      <c r="I61" s="529">
        <v>0</v>
      </c>
      <c r="J61" s="269"/>
      <c r="K61" s="269">
        <f t="shared" si="1"/>
        <v>0</v>
      </c>
      <c r="L61" s="269"/>
      <c r="M61" s="530"/>
      <c r="N61" s="269">
        <f t="shared" si="33"/>
        <v>0</v>
      </c>
      <c r="O61" s="20">
        <f t="shared" si="35"/>
        <v>0</v>
      </c>
      <c r="P61" s="288">
        <f t="shared" si="4"/>
        <v>0</v>
      </c>
      <c r="Q61" s="20">
        <f t="shared" si="36"/>
        <v>76000</v>
      </c>
      <c r="R61" s="20">
        <f t="shared" si="37"/>
        <v>0</v>
      </c>
    </row>
    <row r="62" spans="1:18" ht="15" customHeight="1" x14ac:dyDescent="0.2">
      <c r="A62" s="654" t="s">
        <v>9</v>
      </c>
      <c r="B62" s="655"/>
      <c r="C62" s="39" t="s">
        <v>86</v>
      </c>
      <c r="D62" s="277">
        <f>D36+D38+D41</f>
        <v>25570215</v>
      </c>
      <c r="E62" s="185">
        <v>1056000</v>
      </c>
      <c r="F62" s="185">
        <f t="shared" si="3"/>
        <v>5508401</v>
      </c>
      <c r="G62" s="469">
        <f>G36+G38+G41</f>
        <v>32134616</v>
      </c>
      <c r="H62" s="515">
        <f>H36+H38+H41</f>
        <v>25477815</v>
      </c>
      <c r="I62" s="548">
        <f>I36+I38+I41</f>
        <v>0</v>
      </c>
      <c r="J62" s="185">
        <v>0</v>
      </c>
      <c r="K62" s="185">
        <f t="shared" si="1"/>
        <v>0</v>
      </c>
      <c r="L62" s="185">
        <f>L36+L38+L41</f>
        <v>0</v>
      </c>
      <c r="M62" s="549">
        <f>M36+M38+M41</f>
        <v>0</v>
      </c>
      <c r="N62" s="520">
        <f>N36+N38+N41</f>
        <v>25570215</v>
      </c>
      <c r="O62" s="277">
        <f>O36+O38+O41</f>
        <v>1056000</v>
      </c>
      <c r="P62" s="277">
        <f t="shared" si="4"/>
        <v>5508401</v>
      </c>
      <c r="Q62" s="277">
        <f>Q36+Q38+Q41</f>
        <v>31938616</v>
      </c>
      <c r="R62" s="277">
        <f>R36+R38+R41</f>
        <v>25477815</v>
      </c>
    </row>
    <row r="63" spans="1:18" ht="15" customHeight="1" x14ac:dyDescent="0.2">
      <c r="A63" s="654" t="s">
        <v>312</v>
      </c>
      <c r="B63" s="655"/>
      <c r="C63" s="39"/>
      <c r="D63" s="277">
        <f>D33+D62</f>
        <v>269263267</v>
      </c>
      <c r="E63" s="185">
        <v>1056000</v>
      </c>
      <c r="F63" s="185">
        <f t="shared" si="3"/>
        <v>5605901</v>
      </c>
      <c r="G63" s="469">
        <f t="shared" ref="G63:H63" si="38">G33+G62</f>
        <v>275925168</v>
      </c>
      <c r="H63" s="515">
        <f t="shared" si="38"/>
        <v>190423004</v>
      </c>
      <c r="I63" s="543">
        <f>I33+I62</f>
        <v>488205</v>
      </c>
      <c r="J63" s="185">
        <v>11923</v>
      </c>
      <c r="K63" s="185">
        <f t="shared" si="1"/>
        <v>20852</v>
      </c>
      <c r="L63" s="185">
        <f>L33+L62</f>
        <v>520980</v>
      </c>
      <c r="M63" s="536">
        <f>M33+M62</f>
        <v>500128</v>
      </c>
      <c r="N63" s="520">
        <f>N33+N62</f>
        <v>269751472</v>
      </c>
      <c r="O63" s="277">
        <f>O33+O62</f>
        <v>1067923</v>
      </c>
      <c r="P63" s="277">
        <f t="shared" si="4"/>
        <v>5626753</v>
      </c>
      <c r="Q63" s="277">
        <f>Q33+Q62</f>
        <v>276250148</v>
      </c>
      <c r="R63" s="277">
        <f>R33+R62</f>
        <v>190923132</v>
      </c>
    </row>
  </sheetData>
  <mergeCells count="14">
    <mergeCell ref="A62:B62"/>
    <mergeCell ref="A63:B63"/>
    <mergeCell ref="A1:R1"/>
    <mergeCell ref="A2:R2"/>
    <mergeCell ref="A35:D35"/>
    <mergeCell ref="A4:C5"/>
    <mergeCell ref="D4:H4"/>
    <mergeCell ref="I4:M4"/>
    <mergeCell ref="N4:R4"/>
    <mergeCell ref="A34:D34"/>
    <mergeCell ref="A28:B28"/>
    <mergeCell ref="A29:D29"/>
    <mergeCell ref="A32:B32"/>
    <mergeCell ref="A33:B33"/>
  </mergeCells>
  <phoneticPr fontId="7" type="noConversion"/>
  <pageMargins left="0.61" right="0.16" top="0.54" bottom="0.41" header="0.26" footer="0.18"/>
  <pageSetup paperSize="9" scale="68" orientation="landscape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P75"/>
  <sheetViews>
    <sheetView topLeftCell="A10" zoomScaleNormal="100" workbookViewId="0">
      <selection activeCell="P42" sqref="P42"/>
    </sheetView>
  </sheetViews>
  <sheetFormatPr defaultRowHeight="15" customHeight="1" x14ac:dyDescent="0.2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41.5703125" style="2" customWidth="1"/>
    <col min="6" max="6" width="7.28515625" style="16" bestFit="1" customWidth="1"/>
    <col min="7" max="7" width="12.28515625" style="177" customWidth="1"/>
    <col min="8" max="8" width="11.85546875" style="177" bestFit="1" customWidth="1"/>
    <col min="9" max="9" width="11.85546875" style="177" customWidth="1"/>
    <col min="10" max="11" width="10.85546875" style="177" bestFit="1" customWidth="1"/>
    <col min="12" max="12" width="15.7109375" style="2" customWidth="1"/>
    <col min="13" max="13" width="10.85546875" style="10" bestFit="1" customWidth="1"/>
    <col min="14" max="14" width="10.85546875" style="10" customWidth="1"/>
    <col min="15" max="15" width="9.140625" style="2"/>
    <col min="16" max="16" width="11.28515625" style="2" customWidth="1"/>
    <col min="17" max="16384" width="9.140625" style="2"/>
  </cols>
  <sheetData>
    <row r="1" spans="1:16" ht="15" customHeight="1" x14ac:dyDescent="0.2">
      <c r="A1" s="592" t="s">
        <v>464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</row>
    <row r="2" spans="1:16" ht="19.5" customHeight="1" x14ac:dyDescent="0.2">
      <c r="A2" s="592" t="s">
        <v>57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</row>
    <row r="3" spans="1:16" ht="15" customHeight="1" x14ac:dyDescent="0.2">
      <c r="A3" s="3"/>
      <c r="B3" s="3"/>
      <c r="C3" s="11"/>
      <c r="D3" s="11"/>
      <c r="E3" s="3"/>
      <c r="F3" s="17"/>
      <c r="H3" s="15"/>
      <c r="I3" s="15"/>
      <c r="J3" s="15"/>
      <c r="P3" s="15" t="s">
        <v>236</v>
      </c>
    </row>
    <row r="4" spans="1:16" ht="10.5" customHeight="1" x14ac:dyDescent="0.2"/>
    <row r="5" spans="1:16" ht="25.5" customHeight="1" x14ac:dyDescent="0.2">
      <c r="A5" s="698" t="s">
        <v>44</v>
      </c>
      <c r="B5" s="698"/>
      <c r="C5" s="698"/>
      <c r="D5" s="698"/>
      <c r="E5" s="698"/>
      <c r="F5" s="698" t="s">
        <v>43</v>
      </c>
      <c r="G5" s="595" t="s">
        <v>222</v>
      </c>
      <c r="H5" s="595"/>
      <c r="I5" s="595"/>
      <c r="J5" s="595"/>
      <c r="K5" s="595"/>
      <c r="L5" s="596" t="s">
        <v>108</v>
      </c>
      <c r="M5" s="595"/>
      <c r="N5" s="595"/>
      <c r="O5" s="595"/>
      <c r="P5" s="597"/>
    </row>
    <row r="6" spans="1:16" ht="30.75" thickBot="1" x14ac:dyDescent="0.25">
      <c r="A6" s="699"/>
      <c r="B6" s="699"/>
      <c r="C6" s="699"/>
      <c r="D6" s="699"/>
      <c r="E6" s="699"/>
      <c r="F6" s="699"/>
      <c r="G6" s="159" t="s">
        <v>465</v>
      </c>
      <c r="H6" s="159" t="s">
        <v>364</v>
      </c>
      <c r="I6" s="159" t="s">
        <v>466</v>
      </c>
      <c r="J6" s="159" t="s">
        <v>365</v>
      </c>
      <c r="K6" s="392" t="s">
        <v>366</v>
      </c>
      <c r="L6" s="325" t="s">
        <v>465</v>
      </c>
      <c r="M6" s="159" t="s">
        <v>364</v>
      </c>
      <c r="N6" s="159" t="s">
        <v>466</v>
      </c>
      <c r="O6" s="159" t="s">
        <v>365</v>
      </c>
      <c r="P6" s="392" t="s">
        <v>366</v>
      </c>
    </row>
    <row r="7" spans="1:16" ht="18" customHeight="1" x14ac:dyDescent="0.2">
      <c r="A7" s="689" t="s">
        <v>45</v>
      </c>
      <c r="B7" s="696" t="s">
        <v>38</v>
      </c>
      <c r="C7" s="697"/>
      <c r="D7" s="697"/>
      <c r="E7" s="697"/>
      <c r="F7" s="697"/>
      <c r="G7" s="697"/>
      <c r="H7" s="296"/>
      <c r="I7" s="296"/>
      <c r="J7" s="296"/>
      <c r="K7" s="482"/>
      <c r="L7" s="346"/>
      <c r="M7" s="271"/>
      <c r="N7" s="271"/>
      <c r="O7" s="346"/>
      <c r="P7" s="347"/>
    </row>
    <row r="8" spans="1:16" ht="15" customHeight="1" x14ac:dyDescent="0.2">
      <c r="A8" s="676"/>
      <c r="B8" s="684" t="s">
        <v>45</v>
      </c>
      <c r="C8" s="669" t="s">
        <v>42</v>
      </c>
      <c r="D8" s="670"/>
      <c r="E8" s="671"/>
      <c r="F8" s="43" t="s">
        <v>96</v>
      </c>
      <c r="G8" s="278">
        <f>SUM(G9:G10)</f>
        <v>0</v>
      </c>
      <c r="H8" s="278">
        <v>0</v>
      </c>
      <c r="I8" s="278">
        <f>J8-G8-H8</f>
        <v>16535</v>
      </c>
      <c r="J8" s="278">
        <f>SUM(J9:J10)</f>
        <v>16535</v>
      </c>
      <c r="K8" s="483">
        <f>SUM(K9:K10)</f>
        <v>20999</v>
      </c>
      <c r="L8" s="278">
        <f>SUM(L9:L10)</f>
        <v>0</v>
      </c>
      <c r="M8" s="278">
        <v>0</v>
      </c>
      <c r="N8" s="278">
        <f t="shared" ref="N8:N68" si="0">O8-L8-M8</f>
        <v>0</v>
      </c>
      <c r="O8" s="278">
        <f t="shared" ref="O8:P8" si="1">SUM(O9:O10)</f>
        <v>0</v>
      </c>
      <c r="P8" s="24">
        <f t="shared" si="1"/>
        <v>0</v>
      </c>
    </row>
    <row r="9" spans="1:16" s="11" customFormat="1" ht="15" customHeight="1" x14ac:dyDescent="0.2">
      <c r="A9" s="676"/>
      <c r="B9" s="685"/>
      <c r="C9" s="33" t="s">
        <v>45</v>
      </c>
      <c r="D9" s="672" t="s">
        <v>17</v>
      </c>
      <c r="E9" s="673"/>
      <c r="F9" s="44"/>
      <c r="G9" s="286">
        <v>0</v>
      </c>
      <c r="H9" s="281"/>
      <c r="I9" s="281">
        <f t="shared" ref="I9:I68" si="2">J9-G9-H9</f>
        <v>16535</v>
      </c>
      <c r="J9" s="281">
        <v>16535</v>
      </c>
      <c r="K9" s="484">
        <f>16535+4464</f>
        <v>20999</v>
      </c>
      <c r="L9" s="286">
        <v>0</v>
      </c>
      <c r="M9" s="281"/>
      <c r="N9" s="281">
        <f t="shared" si="0"/>
        <v>0</v>
      </c>
      <c r="O9" s="281"/>
      <c r="P9" s="348"/>
    </row>
    <row r="10" spans="1:16" s="11" customFormat="1" ht="15" customHeight="1" x14ac:dyDescent="0.2">
      <c r="A10" s="676"/>
      <c r="B10" s="685"/>
      <c r="C10" s="59" t="s">
        <v>46</v>
      </c>
      <c r="D10" s="672" t="s">
        <v>16</v>
      </c>
      <c r="E10" s="673"/>
      <c r="F10" s="44"/>
      <c r="G10" s="286">
        <v>0</v>
      </c>
      <c r="H10" s="281"/>
      <c r="I10" s="281">
        <f t="shared" si="2"/>
        <v>0</v>
      </c>
      <c r="J10" s="281"/>
      <c r="K10" s="484"/>
      <c r="L10" s="286">
        <v>0</v>
      </c>
      <c r="M10" s="281"/>
      <c r="N10" s="281">
        <f t="shared" si="0"/>
        <v>0</v>
      </c>
      <c r="O10" s="281"/>
      <c r="P10" s="348"/>
    </row>
    <row r="11" spans="1:16" ht="15" customHeight="1" x14ac:dyDescent="0.2">
      <c r="A11" s="676"/>
      <c r="B11" s="684" t="s">
        <v>46</v>
      </c>
      <c r="C11" s="669" t="s">
        <v>53</v>
      </c>
      <c r="D11" s="670"/>
      <c r="E11" s="671"/>
      <c r="F11" s="45" t="s">
        <v>97</v>
      </c>
      <c r="G11" s="287">
        <f>G12+G14+G16+G21</f>
        <v>449601188</v>
      </c>
      <c r="H11" s="287">
        <v>-10450787</v>
      </c>
      <c r="I11" s="287">
        <f t="shared" si="2"/>
        <v>0</v>
      </c>
      <c r="J11" s="485">
        <f t="shared" ref="J11:K11" si="3">J12+J14+J16+J21</f>
        <v>439150401</v>
      </c>
      <c r="K11" s="486">
        <f t="shared" si="3"/>
        <v>86235500</v>
      </c>
      <c r="L11" s="287">
        <f>L12+L14+L16+L21</f>
        <v>0</v>
      </c>
      <c r="M11" s="287">
        <v>0</v>
      </c>
      <c r="N11" s="287">
        <f t="shared" si="0"/>
        <v>0</v>
      </c>
      <c r="O11" s="287">
        <f t="shared" ref="O11:P11" si="4">O12+O14+O16+O21</f>
        <v>0</v>
      </c>
      <c r="P11" s="349">
        <f t="shared" si="4"/>
        <v>0</v>
      </c>
    </row>
    <row r="12" spans="1:16" s="11" customFormat="1" ht="15" customHeight="1" x14ac:dyDescent="0.2">
      <c r="A12" s="676"/>
      <c r="B12" s="685"/>
      <c r="C12" s="14" t="s">
        <v>45</v>
      </c>
      <c r="D12" s="672" t="s">
        <v>54</v>
      </c>
      <c r="E12" s="673"/>
      <c r="F12" s="44"/>
      <c r="G12" s="286"/>
      <c r="H12" s="281"/>
      <c r="I12" s="281">
        <f t="shared" si="2"/>
        <v>0</v>
      </c>
      <c r="J12" s="487"/>
      <c r="K12" s="484"/>
      <c r="L12" s="286"/>
      <c r="M12" s="281"/>
      <c r="N12" s="281">
        <f t="shared" si="0"/>
        <v>0</v>
      </c>
      <c r="O12" s="281"/>
      <c r="P12" s="348"/>
    </row>
    <row r="13" spans="1:16" s="11" customFormat="1" ht="15" customHeight="1" x14ac:dyDescent="0.25">
      <c r="A13" s="676"/>
      <c r="B13" s="685"/>
      <c r="C13" s="49"/>
      <c r="D13" s="333" t="s">
        <v>45</v>
      </c>
      <c r="E13" s="48"/>
      <c r="F13" s="44"/>
      <c r="G13" s="288"/>
      <c r="H13" s="5"/>
      <c r="I13" s="5">
        <f t="shared" si="2"/>
        <v>0</v>
      </c>
      <c r="J13" s="319"/>
      <c r="K13" s="488"/>
      <c r="L13" s="288"/>
      <c r="M13" s="5"/>
      <c r="N13" s="5">
        <f t="shared" si="0"/>
        <v>0</v>
      </c>
      <c r="O13" s="5"/>
      <c r="P13" s="9"/>
    </row>
    <row r="14" spans="1:16" s="11" customFormat="1" ht="15" customHeight="1" x14ac:dyDescent="0.2">
      <c r="A14" s="676"/>
      <c r="B14" s="685"/>
      <c r="C14" s="684" t="s">
        <v>46</v>
      </c>
      <c r="D14" s="672" t="s">
        <v>55</v>
      </c>
      <c r="E14" s="673"/>
      <c r="F14" s="44"/>
      <c r="G14" s="286">
        <f>SUM(G15:G15)</f>
        <v>0</v>
      </c>
      <c r="H14" s="286">
        <v>0</v>
      </c>
      <c r="I14" s="286">
        <f t="shared" si="2"/>
        <v>0</v>
      </c>
      <c r="J14" s="489">
        <f t="shared" ref="J14:K14" si="5">SUM(J15:J15)</f>
        <v>0</v>
      </c>
      <c r="K14" s="490">
        <f t="shared" si="5"/>
        <v>0</v>
      </c>
      <c r="L14" s="286">
        <f>SUM(L15:L15)</f>
        <v>0</v>
      </c>
      <c r="M14" s="281"/>
      <c r="N14" s="281">
        <f t="shared" si="0"/>
        <v>0</v>
      </c>
      <c r="O14" s="281"/>
      <c r="P14" s="348"/>
    </row>
    <row r="15" spans="1:16" ht="15" customHeight="1" x14ac:dyDescent="0.2">
      <c r="A15" s="676"/>
      <c r="B15" s="685"/>
      <c r="C15" s="685"/>
      <c r="D15" s="19" t="s">
        <v>45</v>
      </c>
      <c r="E15" s="334"/>
      <c r="F15" s="46"/>
      <c r="G15" s="288"/>
      <c r="H15" s="5"/>
      <c r="I15" s="5">
        <f t="shared" si="2"/>
        <v>0</v>
      </c>
      <c r="J15" s="319"/>
      <c r="K15" s="488"/>
      <c r="L15" s="288"/>
      <c r="M15" s="5"/>
      <c r="N15" s="5">
        <f t="shared" si="0"/>
        <v>0</v>
      </c>
      <c r="O15" s="5"/>
      <c r="P15" s="9"/>
    </row>
    <row r="16" spans="1:16" s="11" customFormat="1" ht="15" customHeight="1" x14ac:dyDescent="0.2">
      <c r="A16" s="676"/>
      <c r="B16" s="685"/>
      <c r="C16" s="684" t="s">
        <v>47</v>
      </c>
      <c r="D16" s="672" t="s">
        <v>10</v>
      </c>
      <c r="E16" s="673"/>
      <c r="F16" s="44"/>
      <c r="G16" s="286">
        <f>SUM(G17:G20)</f>
        <v>404120188</v>
      </c>
      <c r="H16" s="286">
        <v>0</v>
      </c>
      <c r="I16" s="286">
        <f t="shared" si="2"/>
        <v>0</v>
      </c>
      <c r="J16" s="489">
        <f t="shared" ref="J16:K16" si="6">SUM(J17:J20)</f>
        <v>404120188</v>
      </c>
      <c r="K16" s="490">
        <f t="shared" si="6"/>
        <v>0</v>
      </c>
      <c r="L16" s="286">
        <f>SUM(L17:L20)</f>
        <v>0</v>
      </c>
      <c r="M16" s="281"/>
      <c r="N16" s="281">
        <f t="shared" si="0"/>
        <v>0</v>
      </c>
      <c r="O16" s="281"/>
      <c r="P16" s="348"/>
    </row>
    <row r="17" spans="1:16" s="11" customFormat="1" ht="15" customHeight="1" x14ac:dyDescent="0.2">
      <c r="A17" s="676"/>
      <c r="B17" s="685"/>
      <c r="C17" s="685"/>
      <c r="D17" s="333" t="s">
        <v>45</v>
      </c>
      <c r="E17" s="334" t="s">
        <v>311</v>
      </c>
      <c r="F17" s="44" t="s">
        <v>97</v>
      </c>
      <c r="G17" s="288">
        <v>400000000</v>
      </c>
      <c r="H17" s="5">
        <v>0</v>
      </c>
      <c r="I17" s="5">
        <f t="shared" si="2"/>
        <v>0</v>
      </c>
      <c r="J17" s="319">
        <v>400000000</v>
      </c>
      <c r="K17" s="488"/>
      <c r="L17" s="288"/>
      <c r="M17" s="5"/>
      <c r="N17" s="5">
        <f t="shared" si="0"/>
        <v>0</v>
      </c>
      <c r="O17" s="5"/>
      <c r="P17" s="9"/>
    </row>
    <row r="18" spans="1:16" s="11" customFormat="1" ht="15" customHeight="1" x14ac:dyDescent="0.2">
      <c r="A18" s="676"/>
      <c r="B18" s="685"/>
      <c r="C18" s="328"/>
      <c r="D18" s="333" t="s">
        <v>46</v>
      </c>
      <c r="E18" s="334" t="s">
        <v>322</v>
      </c>
      <c r="F18" s="44"/>
      <c r="G18" s="288">
        <v>0</v>
      </c>
      <c r="H18" s="5">
        <v>0</v>
      </c>
      <c r="I18" s="5">
        <f t="shared" si="2"/>
        <v>0</v>
      </c>
      <c r="J18" s="319">
        <v>0</v>
      </c>
      <c r="K18" s="488"/>
      <c r="L18" s="288"/>
      <c r="M18" s="5"/>
      <c r="N18" s="5">
        <f t="shared" si="0"/>
        <v>0</v>
      </c>
      <c r="O18" s="5"/>
      <c r="P18" s="9"/>
    </row>
    <row r="19" spans="1:16" s="11" customFormat="1" ht="15" customHeight="1" x14ac:dyDescent="0.2">
      <c r="A19" s="676"/>
      <c r="B19" s="685"/>
      <c r="C19" s="328"/>
      <c r="D19" s="333" t="s">
        <v>47</v>
      </c>
      <c r="E19" s="334" t="s">
        <v>321</v>
      </c>
      <c r="F19" s="44"/>
      <c r="G19" s="288">
        <v>0</v>
      </c>
      <c r="H19" s="5">
        <v>0</v>
      </c>
      <c r="I19" s="5">
        <f t="shared" si="2"/>
        <v>0</v>
      </c>
      <c r="J19" s="319">
        <v>0</v>
      </c>
      <c r="K19" s="488"/>
      <c r="L19" s="288"/>
      <c r="M19" s="5"/>
      <c r="N19" s="5">
        <f t="shared" si="0"/>
        <v>0</v>
      </c>
      <c r="O19" s="5"/>
      <c r="P19" s="9"/>
    </row>
    <row r="20" spans="1:16" s="11" customFormat="1" ht="15" customHeight="1" x14ac:dyDescent="0.2">
      <c r="A20" s="676"/>
      <c r="B20" s="685"/>
      <c r="C20" s="328"/>
      <c r="D20" s="333" t="s">
        <v>48</v>
      </c>
      <c r="E20" s="334" t="s">
        <v>336</v>
      </c>
      <c r="F20" s="44"/>
      <c r="G20" s="288">
        <f>4120187+1</f>
        <v>4120188</v>
      </c>
      <c r="H20" s="5">
        <v>0</v>
      </c>
      <c r="I20" s="5">
        <f t="shared" si="2"/>
        <v>0</v>
      </c>
      <c r="J20" s="319">
        <v>4120188</v>
      </c>
      <c r="K20" s="488"/>
      <c r="L20" s="288"/>
      <c r="M20" s="5"/>
      <c r="N20" s="5">
        <f t="shared" si="0"/>
        <v>0</v>
      </c>
      <c r="O20" s="5"/>
      <c r="P20" s="9"/>
    </row>
    <row r="21" spans="1:16" s="11" customFormat="1" ht="15" customHeight="1" x14ac:dyDescent="0.2">
      <c r="A21" s="676"/>
      <c r="B21" s="685"/>
      <c r="C21" s="684" t="s">
        <v>48</v>
      </c>
      <c r="D21" s="672" t="s">
        <v>11</v>
      </c>
      <c r="E21" s="673"/>
      <c r="F21" s="44" t="s">
        <v>98</v>
      </c>
      <c r="G21" s="286">
        <f>SUM(G22:G26)</f>
        <v>45481000</v>
      </c>
      <c r="H21" s="286">
        <v>-10450787</v>
      </c>
      <c r="I21" s="286">
        <f t="shared" si="2"/>
        <v>0</v>
      </c>
      <c r="J21" s="489">
        <f t="shared" ref="J21:K21" si="7">SUM(J22:J26)</f>
        <v>35030213</v>
      </c>
      <c r="K21" s="490">
        <f t="shared" si="7"/>
        <v>86235500</v>
      </c>
      <c r="L21" s="286">
        <f>SUM(L22:L26)</f>
        <v>0</v>
      </c>
      <c r="M21" s="281"/>
      <c r="N21" s="281">
        <f t="shared" si="0"/>
        <v>0</v>
      </c>
      <c r="O21" s="281"/>
      <c r="P21" s="348"/>
    </row>
    <row r="22" spans="1:16" s="11" customFormat="1" ht="16.5" customHeight="1" x14ac:dyDescent="0.25">
      <c r="A22" s="676"/>
      <c r="B22" s="685"/>
      <c r="C22" s="685"/>
      <c r="D22" s="333" t="s">
        <v>45</v>
      </c>
      <c r="E22" s="48" t="s">
        <v>304</v>
      </c>
      <c r="F22" s="44"/>
      <c r="G22" s="288">
        <v>33000000</v>
      </c>
      <c r="H22" s="5">
        <v>-10450787</v>
      </c>
      <c r="I22" s="5">
        <f t="shared" si="2"/>
        <v>0</v>
      </c>
      <c r="J22" s="319">
        <v>22549213</v>
      </c>
      <c r="K22" s="488">
        <f>66041492+18094008+118800</f>
        <v>84254300</v>
      </c>
      <c r="L22" s="288"/>
      <c r="M22" s="5"/>
      <c r="N22" s="5">
        <f t="shared" si="0"/>
        <v>0</v>
      </c>
      <c r="O22" s="5"/>
      <c r="P22" s="9"/>
    </row>
    <row r="23" spans="1:16" s="11" customFormat="1" ht="29.25" customHeight="1" x14ac:dyDescent="0.25">
      <c r="A23" s="676"/>
      <c r="B23" s="685"/>
      <c r="C23" s="685"/>
      <c r="D23" s="333" t="s">
        <v>46</v>
      </c>
      <c r="E23" s="50" t="s">
        <v>310</v>
      </c>
      <c r="F23" s="44"/>
      <c r="G23" s="288">
        <v>2500000</v>
      </c>
      <c r="H23" s="5">
        <v>0</v>
      </c>
      <c r="I23" s="5">
        <f t="shared" si="2"/>
        <v>0</v>
      </c>
      <c r="J23" s="319">
        <v>2500000</v>
      </c>
      <c r="K23" s="488"/>
      <c r="L23" s="288"/>
      <c r="M23" s="5"/>
      <c r="N23" s="5">
        <f t="shared" si="0"/>
        <v>0</v>
      </c>
      <c r="O23" s="5"/>
      <c r="P23" s="9"/>
    </row>
    <row r="24" spans="1:16" s="11" customFormat="1" x14ac:dyDescent="0.25">
      <c r="A24" s="676"/>
      <c r="B24" s="685"/>
      <c r="C24" s="685"/>
      <c r="D24" s="333" t="s">
        <v>47</v>
      </c>
      <c r="E24" s="50" t="s">
        <v>323</v>
      </c>
      <c r="F24" s="44"/>
      <c r="G24" s="288">
        <v>8000000</v>
      </c>
      <c r="H24" s="5">
        <v>0</v>
      </c>
      <c r="I24" s="5">
        <f t="shared" si="2"/>
        <v>0</v>
      </c>
      <c r="J24" s="319">
        <v>8000000</v>
      </c>
      <c r="K24" s="488"/>
      <c r="L24" s="288"/>
      <c r="M24" s="5"/>
      <c r="N24" s="5">
        <f t="shared" si="0"/>
        <v>0</v>
      </c>
      <c r="O24" s="5"/>
      <c r="P24" s="9"/>
    </row>
    <row r="25" spans="1:16" s="11" customFormat="1" x14ac:dyDescent="0.25">
      <c r="A25" s="676"/>
      <c r="B25" s="685"/>
      <c r="C25" s="685"/>
      <c r="D25" s="333" t="s">
        <v>48</v>
      </c>
      <c r="E25" s="50" t="s">
        <v>324</v>
      </c>
      <c r="F25" s="44"/>
      <c r="G25" s="288">
        <v>381000</v>
      </c>
      <c r="H25" s="5">
        <v>0</v>
      </c>
      <c r="I25" s="5">
        <f t="shared" si="2"/>
        <v>0</v>
      </c>
      <c r="J25" s="319">
        <v>381000</v>
      </c>
      <c r="K25" s="488">
        <v>381000</v>
      </c>
      <c r="L25" s="288"/>
      <c r="M25" s="5"/>
      <c r="N25" s="5">
        <f t="shared" si="0"/>
        <v>0</v>
      </c>
      <c r="O25" s="5"/>
      <c r="P25" s="9"/>
    </row>
    <row r="26" spans="1:16" s="11" customFormat="1" ht="16.5" customHeight="1" x14ac:dyDescent="0.25">
      <c r="A26" s="676"/>
      <c r="B26" s="685"/>
      <c r="C26" s="685"/>
      <c r="D26" s="333" t="s">
        <v>49</v>
      </c>
      <c r="E26" s="50" t="s">
        <v>325</v>
      </c>
      <c r="F26" s="44"/>
      <c r="G26" s="288">
        <v>1600000</v>
      </c>
      <c r="H26" s="5">
        <v>0</v>
      </c>
      <c r="I26" s="5">
        <f t="shared" si="2"/>
        <v>0</v>
      </c>
      <c r="J26" s="319">
        <v>1600000</v>
      </c>
      <c r="K26" s="488">
        <v>1600200</v>
      </c>
      <c r="L26" s="288"/>
      <c r="M26" s="5"/>
      <c r="N26" s="5">
        <f t="shared" si="0"/>
        <v>0</v>
      </c>
      <c r="O26" s="5"/>
      <c r="P26" s="9"/>
    </row>
    <row r="27" spans="1:16" ht="18.75" customHeight="1" x14ac:dyDescent="0.2">
      <c r="A27" s="676"/>
      <c r="B27" s="684" t="s">
        <v>47</v>
      </c>
      <c r="C27" s="669" t="s">
        <v>19</v>
      </c>
      <c r="D27" s="670"/>
      <c r="E27" s="671"/>
      <c r="F27" s="45" t="s">
        <v>99</v>
      </c>
      <c r="G27" s="287">
        <f>G28+G31+G43+G44</f>
        <v>16673785</v>
      </c>
      <c r="H27" s="287">
        <v>0</v>
      </c>
      <c r="I27" s="287">
        <f t="shared" si="2"/>
        <v>1833612</v>
      </c>
      <c r="J27" s="485">
        <f t="shared" ref="J27:K27" si="8">J28+J31+J43+J44</f>
        <v>18507397</v>
      </c>
      <c r="K27" s="486">
        <f t="shared" si="8"/>
        <v>18277733</v>
      </c>
      <c r="L27" s="287">
        <f>L28+L31+L43+L44</f>
        <v>0</v>
      </c>
      <c r="M27" s="287">
        <v>1750412</v>
      </c>
      <c r="N27" s="287">
        <f t="shared" si="0"/>
        <v>24730</v>
      </c>
      <c r="O27" s="287">
        <f t="shared" ref="O27:P27" si="9">O28+O31+O43+O44</f>
        <v>1775142</v>
      </c>
      <c r="P27" s="349">
        <f t="shared" si="9"/>
        <v>1775142</v>
      </c>
    </row>
    <row r="28" spans="1:16" s="11" customFormat="1" ht="15" customHeight="1" x14ac:dyDescent="0.2">
      <c r="A28" s="676"/>
      <c r="B28" s="685"/>
      <c r="C28" s="14" t="s">
        <v>45</v>
      </c>
      <c r="D28" s="682" t="s">
        <v>26</v>
      </c>
      <c r="E28" s="683"/>
      <c r="F28" s="44" t="s">
        <v>234</v>
      </c>
      <c r="G28" s="286">
        <f>SUM(G29:G30)</f>
        <v>1263905</v>
      </c>
      <c r="H28" s="286">
        <v>0</v>
      </c>
      <c r="I28" s="286">
        <f t="shared" si="2"/>
        <v>83200</v>
      </c>
      <c r="J28" s="489">
        <f t="shared" ref="J28:K28" si="10">SUM(J29:J30)</f>
        <v>1347105</v>
      </c>
      <c r="K28" s="490">
        <f t="shared" si="10"/>
        <v>1369568</v>
      </c>
      <c r="L28" s="286">
        <f>SUM(L29:L30)</f>
        <v>0</v>
      </c>
      <c r="M28" s="281"/>
      <c r="N28" s="281">
        <f t="shared" si="0"/>
        <v>0</v>
      </c>
      <c r="O28" s="281"/>
      <c r="P28" s="348"/>
    </row>
    <row r="29" spans="1:16" ht="25.5" x14ac:dyDescent="0.2">
      <c r="A29" s="676"/>
      <c r="B29" s="685"/>
      <c r="C29" s="687"/>
      <c r="D29" s="8" t="s">
        <v>45</v>
      </c>
      <c r="E29" s="12" t="s">
        <v>326</v>
      </c>
      <c r="F29" s="46"/>
      <c r="G29" s="288">
        <v>1263905</v>
      </c>
      <c r="H29" s="5">
        <v>0</v>
      </c>
      <c r="I29" s="5">
        <f t="shared" si="2"/>
        <v>83200</v>
      </c>
      <c r="J29" s="319">
        <f>1263905+83200</f>
        <v>1347105</v>
      </c>
      <c r="K29" s="488">
        <f>927989+441579</f>
        <v>1369568</v>
      </c>
      <c r="L29" s="288"/>
      <c r="M29" s="5"/>
      <c r="N29" s="5">
        <f t="shared" si="0"/>
        <v>0</v>
      </c>
      <c r="O29" s="5"/>
      <c r="P29" s="9"/>
    </row>
    <row r="30" spans="1:16" ht="31.5" customHeight="1" x14ac:dyDescent="0.2">
      <c r="A30" s="676"/>
      <c r="B30" s="685"/>
      <c r="C30" s="688"/>
      <c r="D30" s="8"/>
      <c r="E30" s="12" t="s">
        <v>472</v>
      </c>
      <c r="F30" s="46"/>
      <c r="G30" s="289"/>
      <c r="H30" s="295"/>
      <c r="I30" s="319">
        <f t="shared" si="2"/>
        <v>0</v>
      </c>
      <c r="J30" s="319"/>
      <c r="K30" s="488"/>
      <c r="L30" s="289"/>
      <c r="M30" s="295"/>
      <c r="N30" s="5">
        <f t="shared" si="0"/>
        <v>0</v>
      </c>
      <c r="O30" s="295"/>
      <c r="P30" s="350"/>
    </row>
    <row r="31" spans="1:16" s="11" customFormat="1" ht="26.25" customHeight="1" x14ac:dyDescent="0.2">
      <c r="A31" s="676"/>
      <c r="B31" s="685"/>
      <c r="C31" s="684" t="s">
        <v>46</v>
      </c>
      <c r="D31" s="672" t="s">
        <v>27</v>
      </c>
      <c r="E31" s="673"/>
      <c r="F31" s="44" t="s">
        <v>100</v>
      </c>
      <c r="G31" s="286">
        <f>SUM(G32:G42)</f>
        <v>15409880</v>
      </c>
      <c r="H31" s="286">
        <v>0</v>
      </c>
      <c r="I31" s="286">
        <f t="shared" si="2"/>
        <v>1750412</v>
      </c>
      <c r="J31" s="489">
        <f>SUM(J32:J42)</f>
        <v>17160292</v>
      </c>
      <c r="K31" s="490">
        <f>SUM(K32:K42)</f>
        <v>16908165</v>
      </c>
      <c r="L31" s="286">
        <f>SUM(L32:L40)</f>
        <v>0</v>
      </c>
      <c r="M31" s="286">
        <v>1750412</v>
      </c>
      <c r="N31" s="286">
        <f t="shared" si="0"/>
        <v>24730</v>
      </c>
      <c r="O31" s="286">
        <f t="shared" ref="O31:P31" si="11">SUM(O32:O41)</f>
        <v>1775142</v>
      </c>
      <c r="P31" s="351">
        <f t="shared" si="11"/>
        <v>1775142</v>
      </c>
    </row>
    <row r="32" spans="1:16" s="11" customFormat="1" ht="26.25" customHeight="1" x14ac:dyDescent="0.2">
      <c r="A32" s="676"/>
      <c r="B32" s="685"/>
      <c r="C32" s="685"/>
      <c r="D32" s="333" t="s">
        <v>45</v>
      </c>
      <c r="E32" s="335" t="s">
        <v>387</v>
      </c>
      <c r="F32" s="44"/>
      <c r="G32" s="288">
        <v>8655230</v>
      </c>
      <c r="H32" s="5">
        <v>0</v>
      </c>
      <c r="I32" s="5">
        <f t="shared" si="2"/>
        <v>0</v>
      </c>
      <c r="J32" s="319">
        <v>8655230</v>
      </c>
      <c r="K32" s="488">
        <f>7555230+1206500</f>
        <v>8761730</v>
      </c>
      <c r="L32" s="288"/>
      <c r="M32" s="5"/>
      <c r="N32" s="5">
        <f t="shared" si="0"/>
        <v>0</v>
      </c>
      <c r="O32" s="5"/>
      <c r="P32" s="9"/>
    </row>
    <row r="33" spans="1:16" s="11" customFormat="1" ht="26.25" customHeight="1" x14ac:dyDescent="0.2">
      <c r="A33" s="676"/>
      <c r="B33" s="685"/>
      <c r="C33" s="685"/>
      <c r="D33" s="333" t="s">
        <v>46</v>
      </c>
      <c r="E33" s="51" t="s">
        <v>388</v>
      </c>
      <c r="F33" s="44"/>
      <c r="G33" s="288">
        <v>2142000</v>
      </c>
      <c r="H33" s="5">
        <v>0</v>
      </c>
      <c r="I33" s="5">
        <f t="shared" si="2"/>
        <v>0</v>
      </c>
      <c r="J33" s="319">
        <v>2142000</v>
      </c>
      <c r="K33" s="488">
        <v>778789</v>
      </c>
      <c r="L33" s="288"/>
      <c r="M33" s="5"/>
      <c r="N33" s="5">
        <f t="shared" si="0"/>
        <v>0</v>
      </c>
      <c r="O33" s="5"/>
      <c r="P33" s="9"/>
    </row>
    <row r="34" spans="1:16" s="11" customFormat="1" ht="26.25" customHeight="1" x14ac:dyDescent="0.2">
      <c r="A34" s="676"/>
      <c r="B34" s="685"/>
      <c r="C34" s="685"/>
      <c r="D34" s="333"/>
      <c r="E34" s="51" t="s">
        <v>386</v>
      </c>
      <c r="F34" s="44"/>
      <c r="G34" s="288">
        <v>0</v>
      </c>
      <c r="H34" s="5">
        <v>0</v>
      </c>
      <c r="I34" s="5">
        <f t="shared" si="2"/>
        <v>0</v>
      </c>
      <c r="J34" s="319">
        <v>0</v>
      </c>
      <c r="K34" s="488">
        <v>5313705</v>
      </c>
      <c r="L34" s="288"/>
      <c r="M34" s="5"/>
      <c r="N34" s="5">
        <f t="shared" si="0"/>
        <v>0</v>
      </c>
      <c r="O34" s="5"/>
      <c r="P34" s="9"/>
    </row>
    <row r="35" spans="1:16" s="11" customFormat="1" ht="26.25" customHeight="1" x14ac:dyDescent="0.2">
      <c r="A35" s="676"/>
      <c r="B35" s="685"/>
      <c r="C35" s="685"/>
      <c r="D35" s="333" t="s">
        <v>47</v>
      </c>
      <c r="E35" s="335" t="s">
        <v>327</v>
      </c>
      <c r="F35" s="44"/>
      <c r="G35" s="288">
        <v>125000</v>
      </c>
      <c r="H35" s="5">
        <v>0</v>
      </c>
      <c r="I35" s="5">
        <f t="shared" si="2"/>
        <v>0</v>
      </c>
      <c r="J35" s="319">
        <v>125000</v>
      </c>
      <c r="K35" s="488">
        <v>0</v>
      </c>
      <c r="L35" s="288"/>
      <c r="M35" s="5"/>
      <c r="N35" s="5">
        <f t="shared" si="0"/>
        <v>0</v>
      </c>
      <c r="O35" s="5"/>
      <c r="P35" s="9"/>
    </row>
    <row r="36" spans="1:16" s="11" customFormat="1" ht="26.25" customHeight="1" x14ac:dyDescent="0.2">
      <c r="A36" s="676"/>
      <c r="B36" s="685"/>
      <c r="C36" s="685"/>
      <c r="D36" s="333" t="s">
        <v>48</v>
      </c>
      <c r="E36" s="335" t="s">
        <v>328</v>
      </c>
      <c r="F36" s="44"/>
      <c r="G36" s="288">
        <v>50000</v>
      </c>
      <c r="H36" s="5">
        <v>0</v>
      </c>
      <c r="I36" s="5">
        <f t="shared" si="2"/>
        <v>0</v>
      </c>
      <c r="J36" s="319">
        <v>50000</v>
      </c>
      <c r="K36" s="488">
        <v>0</v>
      </c>
      <c r="L36" s="288"/>
      <c r="M36" s="5"/>
      <c r="N36" s="5">
        <f t="shared" si="0"/>
        <v>0</v>
      </c>
      <c r="O36" s="5"/>
      <c r="P36" s="9"/>
    </row>
    <row r="37" spans="1:16" s="11" customFormat="1" ht="26.25" customHeight="1" x14ac:dyDescent="0.2">
      <c r="A37" s="676"/>
      <c r="B37" s="685"/>
      <c r="C37" s="685"/>
      <c r="D37" s="333" t="s">
        <v>49</v>
      </c>
      <c r="E37" s="335" t="s">
        <v>329</v>
      </c>
      <c r="F37" s="44"/>
      <c r="G37" s="288">
        <v>90000</v>
      </c>
      <c r="H37" s="5">
        <v>0</v>
      </c>
      <c r="I37" s="5">
        <f t="shared" si="2"/>
        <v>0</v>
      </c>
      <c r="J37" s="319">
        <v>90000</v>
      </c>
      <c r="K37" s="488">
        <v>0</v>
      </c>
      <c r="L37" s="288"/>
      <c r="M37" s="5"/>
      <c r="N37" s="5">
        <f t="shared" si="0"/>
        <v>0</v>
      </c>
      <c r="O37" s="5"/>
      <c r="P37" s="9"/>
    </row>
    <row r="38" spans="1:16" s="11" customFormat="1" ht="26.25" customHeight="1" x14ac:dyDescent="0.2">
      <c r="A38" s="676"/>
      <c r="B38" s="685"/>
      <c r="C38" s="685"/>
      <c r="D38" s="333" t="s">
        <v>56</v>
      </c>
      <c r="E38" s="335" t="s">
        <v>330</v>
      </c>
      <c r="F38" s="44"/>
      <c r="G38" s="288">
        <v>200000</v>
      </c>
      <c r="H38" s="5">
        <v>0</v>
      </c>
      <c r="I38" s="5">
        <f t="shared" si="2"/>
        <v>0</v>
      </c>
      <c r="J38" s="319">
        <v>200000</v>
      </c>
      <c r="K38" s="488">
        <v>0</v>
      </c>
      <c r="L38" s="288"/>
      <c r="M38" s="5"/>
      <c r="N38" s="5">
        <f t="shared" si="0"/>
        <v>0</v>
      </c>
      <c r="O38" s="5"/>
      <c r="P38" s="9"/>
    </row>
    <row r="39" spans="1:16" ht="25.5" customHeight="1" x14ac:dyDescent="0.2">
      <c r="A39" s="676"/>
      <c r="B39" s="685"/>
      <c r="C39" s="685"/>
      <c r="D39" s="346" t="s">
        <v>58</v>
      </c>
      <c r="E39" s="51" t="s">
        <v>384</v>
      </c>
      <c r="F39" s="333"/>
      <c r="G39" s="288">
        <v>247650</v>
      </c>
      <c r="H39" s="5">
        <v>0</v>
      </c>
      <c r="I39" s="5">
        <f t="shared" si="2"/>
        <v>0</v>
      </c>
      <c r="J39" s="319">
        <v>247650</v>
      </c>
      <c r="K39" s="488">
        <v>262800</v>
      </c>
      <c r="L39" s="288"/>
      <c r="M39" s="5"/>
      <c r="N39" s="5">
        <f t="shared" si="0"/>
        <v>0</v>
      </c>
      <c r="O39" s="5"/>
      <c r="P39" s="9"/>
    </row>
    <row r="40" spans="1:16" ht="21.75" customHeight="1" x14ac:dyDescent="0.2">
      <c r="A40" s="676"/>
      <c r="B40" s="685"/>
      <c r="C40" s="328"/>
      <c r="D40" s="346">
        <v>8</v>
      </c>
      <c r="E40" s="51" t="s">
        <v>362</v>
      </c>
      <c r="F40" s="333"/>
      <c r="G40" s="288">
        <v>3900000</v>
      </c>
      <c r="H40" s="5">
        <v>0</v>
      </c>
      <c r="I40" s="5">
        <f t="shared" si="2"/>
        <v>0</v>
      </c>
      <c r="J40" s="319">
        <v>3900000</v>
      </c>
      <c r="K40" s="488">
        <v>0</v>
      </c>
      <c r="L40" s="288"/>
      <c r="M40" s="5"/>
      <c r="N40" s="5">
        <f t="shared" si="0"/>
        <v>0</v>
      </c>
      <c r="O40" s="5"/>
      <c r="P40" s="9"/>
    </row>
    <row r="41" spans="1:16" ht="21.75" customHeight="1" x14ac:dyDescent="0.2">
      <c r="A41" s="676"/>
      <c r="B41" s="685"/>
      <c r="C41" s="328"/>
      <c r="D41" s="346" t="s">
        <v>60</v>
      </c>
      <c r="E41" s="315" t="s">
        <v>383</v>
      </c>
      <c r="F41" s="316"/>
      <c r="G41" s="288">
        <v>0</v>
      </c>
      <c r="H41" s="5">
        <v>0</v>
      </c>
      <c r="I41" s="5">
        <f t="shared" si="2"/>
        <v>1750412</v>
      </c>
      <c r="J41" s="319">
        <v>1750412</v>
      </c>
      <c r="K41" s="488">
        <v>1775142</v>
      </c>
      <c r="L41" s="288">
        <v>0</v>
      </c>
      <c r="M41" s="5">
        <v>1750412</v>
      </c>
      <c r="N41" s="5">
        <f t="shared" si="0"/>
        <v>24730</v>
      </c>
      <c r="O41" s="5">
        <v>1775142</v>
      </c>
      <c r="P41" s="9">
        <v>1775142</v>
      </c>
    </row>
    <row r="42" spans="1:16" ht="21.75" customHeight="1" x14ac:dyDescent="0.2">
      <c r="A42" s="676"/>
      <c r="B42" s="685"/>
      <c r="C42" s="328"/>
      <c r="D42" s="346" t="s">
        <v>61</v>
      </c>
      <c r="E42" s="315" t="s">
        <v>385</v>
      </c>
      <c r="F42" s="316"/>
      <c r="G42" s="288">
        <v>0</v>
      </c>
      <c r="H42" s="5">
        <v>0</v>
      </c>
      <c r="I42" s="5">
        <f t="shared" si="2"/>
        <v>0</v>
      </c>
      <c r="J42" s="319">
        <v>0</v>
      </c>
      <c r="K42" s="488">
        <v>15999</v>
      </c>
      <c r="L42" s="288"/>
      <c r="M42" s="5"/>
      <c r="N42" s="5">
        <f t="shared" si="0"/>
        <v>0</v>
      </c>
      <c r="O42" s="5"/>
      <c r="P42" s="9"/>
    </row>
    <row r="43" spans="1:16" s="11" customFormat="1" ht="15" customHeight="1" x14ac:dyDescent="0.2">
      <c r="A43" s="676"/>
      <c r="B43" s="685"/>
      <c r="C43" s="14" t="s">
        <v>47</v>
      </c>
      <c r="D43" s="672" t="s">
        <v>18</v>
      </c>
      <c r="E43" s="673"/>
      <c r="F43" s="44"/>
      <c r="G43" s="286">
        <v>0</v>
      </c>
      <c r="H43" s="281"/>
      <c r="I43" s="281">
        <f t="shared" si="2"/>
        <v>0</v>
      </c>
      <c r="J43" s="487"/>
      <c r="K43" s="484">
        <v>0</v>
      </c>
      <c r="L43" s="286">
        <v>0</v>
      </c>
      <c r="M43" s="281"/>
      <c r="N43" s="281">
        <f t="shared" si="0"/>
        <v>0</v>
      </c>
      <c r="O43" s="281"/>
      <c r="P43" s="348"/>
    </row>
    <row r="44" spans="1:16" s="11" customFormat="1" ht="15" customHeight="1" x14ac:dyDescent="0.2">
      <c r="A44" s="695"/>
      <c r="B44" s="694"/>
      <c r="C44" s="14" t="s">
        <v>48</v>
      </c>
      <c r="D44" s="672" t="s">
        <v>28</v>
      </c>
      <c r="E44" s="673"/>
      <c r="F44" s="44"/>
      <c r="G44" s="286">
        <v>0</v>
      </c>
      <c r="H44" s="281"/>
      <c r="I44" s="281">
        <f t="shared" si="2"/>
        <v>0</v>
      </c>
      <c r="J44" s="487"/>
      <c r="K44" s="484"/>
      <c r="L44" s="286">
        <v>0</v>
      </c>
      <c r="M44" s="281"/>
      <c r="N44" s="281">
        <f t="shared" si="0"/>
        <v>0</v>
      </c>
      <c r="O44" s="281"/>
      <c r="P44" s="348"/>
    </row>
    <row r="45" spans="1:16" ht="15" customHeight="1" x14ac:dyDescent="0.2">
      <c r="A45" s="675"/>
      <c r="B45" s="331" t="s">
        <v>48</v>
      </c>
      <c r="C45" s="669" t="s">
        <v>37</v>
      </c>
      <c r="D45" s="670"/>
      <c r="E45" s="671"/>
      <c r="F45" s="45"/>
      <c r="G45" s="287">
        <v>0</v>
      </c>
      <c r="H45" s="32"/>
      <c r="I45" s="32">
        <f t="shared" si="2"/>
        <v>0</v>
      </c>
      <c r="J45" s="478"/>
      <c r="K45" s="483"/>
      <c r="L45" s="287">
        <v>0</v>
      </c>
      <c r="M45" s="287">
        <v>0</v>
      </c>
      <c r="N45" s="287">
        <f t="shared" si="0"/>
        <v>0</v>
      </c>
      <c r="O45" s="287">
        <v>0</v>
      </c>
      <c r="P45" s="349">
        <v>0</v>
      </c>
    </row>
    <row r="46" spans="1:16" ht="18" customHeight="1" thickBot="1" x14ac:dyDescent="0.25">
      <c r="A46" s="677"/>
      <c r="B46" s="692" t="s">
        <v>35</v>
      </c>
      <c r="C46" s="693"/>
      <c r="D46" s="693"/>
      <c r="E46" s="663"/>
      <c r="F46" s="47"/>
      <c r="G46" s="290">
        <f>G8+G11+G27+G45</f>
        <v>466274973</v>
      </c>
      <c r="H46" s="290">
        <v>-10450787</v>
      </c>
      <c r="I46" s="290">
        <f t="shared" si="2"/>
        <v>1850147</v>
      </c>
      <c r="J46" s="491">
        <f t="shared" ref="J46:K46" si="12">J8+J11+J27+J45</f>
        <v>457674333</v>
      </c>
      <c r="K46" s="492">
        <f t="shared" si="12"/>
        <v>104534232</v>
      </c>
      <c r="L46" s="290">
        <f>L8+L11+L27+L45</f>
        <v>0</v>
      </c>
      <c r="M46" s="290">
        <v>1750412</v>
      </c>
      <c r="N46" s="290">
        <f t="shared" si="0"/>
        <v>24730</v>
      </c>
      <c r="O46" s="290">
        <f t="shared" ref="O46:P46" si="13">O8+O11+O27+O45</f>
        <v>1775142</v>
      </c>
      <c r="P46" s="352">
        <f t="shared" si="13"/>
        <v>1775142</v>
      </c>
    </row>
    <row r="47" spans="1:16" ht="25.5" customHeight="1" x14ac:dyDescent="0.2">
      <c r="A47" s="689" t="s">
        <v>46</v>
      </c>
      <c r="B47" s="690" t="s">
        <v>2</v>
      </c>
      <c r="C47" s="691"/>
      <c r="D47" s="691"/>
      <c r="E47" s="691"/>
      <c r="F47" s="691"/>
      <c r="G47" s="691"/>
      <c r="H47" s="294"/>
      <c r="I47" s="294">
        <f t="shared" si="2"/>
        <v>0</v>
      </c>
      <c r="J47" s="493"/>
      <c r="K47" s="494"/>
      <c r="L47" s="346"/>
      <c r="M47" s="271"/>
      <c r="N47" s="271">
        <f t="shared" si="0"/>
        <v>0</v>
      </c>
      <c r="O47" s="346"/>
      <c r="P47" s="347"/>
    </row>
    <row r="48" spans="1:16" ht="15" customHeight="1" x14ac:dyDescent="0.2">
      <c r="A48" s="676"/>
      <c r="B48" s="684" t="s">
        <v>45</v>
      </c>
      <c r="C48" s="679" t="s">
        <v>3</v>
      </c>
      <c r="D48" s="679"/>
      <c r="E48" s="679"/>
      <c r="F48" s="36" t="s">
        <v>101</v>
      </c>
      <c r="G48" s="276">
        <f>G49+G52</f>
        <v>43561791</v>
      </c>
      <c r="H48" s="276">
        <v>0</v>
      </c>
      <c r="I48" s="276">
        <f t="shared" si="2"/>
        <v>0</v>
      </c>
      <c r="J48" s="495">
        <f t="shared" ref="J48:K48" si="14">J49+J52</f>
        <v>43561791</v>
      </c>
      <c r="K48" s="496">
        <f t="shared" si="14"/>
        <v>39154580</v>
      </c>
      <c r="L48" s="276">
        <f>L49+L52</f>
        <v>0</v>
      </c>
      <c r="M48" s="276">
        <v>0</v>
      </c>
      <c r="N48" s="276">
        <f t="shared" si="0"/>
        <v>0</v>
      </c>
      <c r="O48" s="276">
        <f t="shared" ref="O48:P48" si="15">O49+O52</f>
        <v>0</v>
      </c>
      <c r="P48" s="41">
        <f t="shared" si="15"/>
        <v>0</v>
      </c>
    </row>
    <row r="49" spans="1:16" s="11" customFormat="1" ht="15" customHeight="1" x14ac:dyDescent="0.2">
      <c r="A49" s="676"/>
      <c r="B49" s="685"/>
      <c r="C49" s="327" t="s">
        <v>45</v>
      </c>
      <c r="D49" s="672" t="s">
        <v>4</v>
      </c>
      <c r="E49" s="673"/>
      <c r="F49" s="14" t="s">
        <v>102</v>
      </c>
      <c r="G49" s="291">
        <f>SUM(G50:G51)</f>
        <v>5224000</v>
      </c>
      <c r="H49" s="291">
        <v>0</v>
      </c>
      <c r="I49" s="291">
        <f t="shared" si="2"/>
        <v>0</v>
      </c>
      <c r="J49" s="497">
        <f t="shared" ref="J49:K49" si="16">SUM(J50:J51)</f>
        <v>5224000</v>
      </c>
      <c r="K49" s="498">
        <f t="shared" si="16"/>
        <v>5373670</v>
      </c>
      <c r="L49" s="291">
        <f>SUM(L50:L51)</f>
        <v>0</v>
      </c>
      <c r="M49" s="291">
        <v>0</v>
      </c>
      <c r="N49" s="291">
        <f t="shared" si="0"/>
        <v>0</v>
      </c>
      <c r="O49" s="291">
        <f t="shared" ref="O49:P49" si="17">SUM(O50:O51)</f>
        <v>0</v>
      </c>
      <c r="P49" s="353">
        <f t="shared" si="17"/>
        <v>0</v>
      </c>
    </row>
    <row r="50" spans="1:16" ht="29.25" customHeight="1" x14ac:dyDescent="0.2">
      <c r="A50" s="676"/>
      <c r="B50" s="685"/>
      <c r="C50" s="53"/>
      <c r="D50" s="333" t="s">
        <v>45</v>
      </c>
      <c r="E50" s="144" t="s">
        <v>333</v>
      </c>
      <c r="F50" s="8"/>
      <c r="G50" s="143">
        <v>5224000</v>
      </c>
      <c r="H50" s="5">
        <v>0</v>
      </c>
      <c r="I50" s="5">
        <f t="shared" si="2"/>
        <v>0</v>
      </c>
      <c r="J50" s="467">
        <v>5224000</v>
      </c>
      <c r="K50" s="499">
        <v>5373670</v>
      </c>
      <c r="L50" s="143"/>
      <c r="M50" s="22"/>
      <c r="N50" s="22">
        <f t="shared" si="0"/>
        <v>0</v>
      </c>
      <c r="O50" s="22"/>
      <c r="P50" s="42"/>
    </row>
    <row r="51" spans="1:16" s="23" customFormat="1" ht="15" customHeight="1" x14ac:dyDescent="0.2">
      <c r="A51" s="676"/>
      <c r="B51" s="685"/>
      <c r="C51" s="332"/>
      <c r="D51" s="333"/>
      <c r="E51" s="7"/>
      <c r="F51" s="8"/>
      <c r="G51" s="143"/>
      <c r="H51" s="22"/>
      <c r="I51" s="22">
        <f t="shared" si="2"/>
        <v>0</v>
      </c>
      <c r="J51" s="467"/>
      <c r="K51" s="499"/>
      <c r="L51" s="143"/>
      <c r="M51" s="22"/>
      <c r="N51" s="22">
        <f t="shared" si="0"/>
        <v>0</v>
      </c>
      <c r="O51" s="22"/>
      <c r="P51" s="42"/>
    </row>
    <row r="52" spans="1:16" s="11" customFormat="1" ht="15" customHeight="1" x14ac:dyDescent="0.2">
      <c r="A52" s="676"/>
      <c r="B52" s="685"/>
      <c r="C52" s="684" t="s">
        <v>46</v>
      </c>
      <c r="D52" s="672" t="s">
        <v>5</v>
      </c>
      <c r="E52" s="673"/>
      <c r="F52" s="14" t="s">
        <v>103</v>
      </c>
      <c r="G52" s="291">
        <f>SUM(G53:G58)</f>
        <v>38337791</v>
      </c>
      <c r="H52" s="291">
        <v>0</v>
      </c>
      <c r="I52" s="291">
        <f t="shared" si="2"/>
        <v>0</v>
      </c>
      <c r="J52" s="497">
        <f t="shared" ref="J52" si="18">SUM(J53:J58)</f>
        <v>38337791</v>
      </c>
      <c r="K52" s="498">
        <f>SUM(K53:K58)</f>
        <v>33780910</v>
      </c>
      <c r="L52" s="291">
        <f>SUM(L53:L58)</f>
        <v>0</v>
      </c>
      <c r="M52" s="291">
        <v>0</v>
      </c>
      <c r="N52" s="291">
        <f t="shared" si="0"/>
        <v>0</v>
      </c>
      <c r="O52" s="291">
        <f t="shared" ref="O52:P52" si="19">SUM(O53:O58)</f>
        <v>0</v>
      </c>
      <c r="P52" s="353">
        <f t="shared" si="19"/>
        <v>0</v>
      </c>
    </row>
    <row r="53" spans="1:16" s="11" customFormat="1" ht="15" customHeight="1" x14ac:dyDescent="0.2">
      <c r="A53" s="676"/>
      <c r="B53" s="685"/>
      <c r="C53" s="685"/>
      <c r="D53" s="333" t="s">
        <v>45</v>
      </c>
      <c r="E53" s="334" t="s">
        <v>331</v>
      </c>
      <c r="F53" s="44"/>
      <c r="G53" s="292">
        <v>12025139</v>
      </c>
      <c r="H53" s="5">
        <v>0</v>
      </c>
      <c r="I53" s="5">
        <f t="shared" si="2"/>
        <v>0</v>
      </c>
      <c r="J53" s="467">
        <v>12025139</v>
      </c>
      <c r="K53" s="499">
        <v>0</v>
      </c>
      <c r="L53" s="292"/>
      <c r="M53" s="22"/>
      <c r="N53" s="22">
        <f t="shared" si="0"/>
        <v>0</v>
      </c>
      <c r="O53" s="22"/>
      <c r="P53" s="42"/>
    </row>
    <row r="54" spans="1:16" s="11" customFormat="1" ht="15" customHeight="1" x14ac:dyDescent="0.2">
      <c r="A54" s="676"/>
      <c r="B54" s="685"/>
      <c r="C54" s="685"/>
      <c r="D54" s="333" t="s">
        <v>46</v>
      </c>
      <c r="E54" s="334" t="s">
        <v>334</v>
      </c>
      <c r="F54" s="44"/>
      <c r="G54" s="292">
        <v>7843901</v>
      </c>
      <c r="H54" s="5">
        <v>0</v>
      </c>
      <c r="I54" s="5">
        <f t="shared" si="2"/>
        <v>0</v>
      </c>
      <c r="J54" s="467">
        <v>7843901</v>
      </c>
      <c r="K54" s="499">
        <v>7843901</v>
      </c>
      <c r="L54" s="292"/>
      <c r="M54" s="22"/>
      <c r="N54" s="22">
        <f t="shared" si="0"/>
        <v>0</v>
      </c>
      <c r="O54" s="22"/>
      <c r="P54" s="42"/>
    </row>
    <row r="55" spans="1:16" s="11" customFormat="1" ht="15" customHeight="1" x14ac:dyDescent="0.2">
      <c r="A55" s="676"/>
      <c r="B55" s="685"/>
      <c r="C55" s="685"/>
      <c r="D55" s="333" t="s">
        <v>47</v>
      </c>
      <c r="E55" s="334" t="s">
        <v>335</v>
      </c>
      <c r="F55" s="44"/>
      <c r="G55" s="292">
        <v>1245870</v>
      </c>
      <c r="H55" s="5">
        <v>0</v>
      </c>
      <c r="I55" s="5">
        <f t="shared" si="2"/>
        <v>0</v>
      </c>
      <c r="J55" s="467">
        <v>1245870</v>
      </c>
      <c r="K55" s="499">
        <v>1245870</v>
      </c>
      <c r="L55" s="292"/>
      <c r="M55" s="22"/>
      <c r="N55" s="22">
        <f t="shared" si="0"/>
        <v>0</v>
      </c>
      <c r="O55" s="22"/>
      <c r="P55" s="42"/>
    </row>
    <row r="56" spans="1:16" s="11" customFormat="1" ht="15" customHeight="1" x14ac:dyDescent="0.2">
      <c r="A56" s="676"/>
      <c r="B56" s="685"/>
      <c r="C56" s="685"/>
      <c r="D56" s="333" t="s">
        <v>48</v>
      </c>
      <c r="E56" s="334" t="s">
        <v>389</v>
      </c>
      <c r="F56" s="44"/>
      <c r="G56" s="292">
        <v>0</v>
      </c>
      <c r="H56" s="5">
        <v>0</v>
      </c>
      <c r="I56" s="5">
        <f t="shared" si="2"/>
        <v>0</v>
      </c>
      <c r="J56" s="467">
        <v>0</v>
      </c>
      <c r="K56" s="499">
        <v>4120187</v>
      </c>
      <c r="L56" s="292"/>
      <c r="M56" s="22"/>
      <c r="N56" s="22">
        <f t="shared" si="0"/>
        <v>0</v>
      </c>
      <c r="O56" s="22"/>
      <c r="P56" s="42"/>
    </row>
    <row r="57" spans="1:16" s="11" customFormat="1" ht="15" customHeight="1" x14ac:dyDescent="0.2">
      <c r="A57" s="676"/>
      <c r="B57" s="685"/>
      <c r="C57" s="685"/>
      <c r="D57" s="333" t="s">
        <v>49</v>
      </c>
      <c r="E57" s="334" t="s">
        <v>332</v>
      </c>
      <c r="F57" s="44"/>
      <c r="G57" s="143">
        <v>2222881</v>
      </c>
      <c r="H57" s="5">
        <v>0</v>
      </c>
      <c r="I57" s="5">
        <f t="shared" si="2"/>
        <v>0</v>
      </c>
      <c r="J57" s="467">
        <v>2222881</v>
      </c>
      <c r="K57" s="499">
        <f>1750300+472581</f>
        <v>2222881</v>
      </c>
      <c r="L57" s="143"/>
      <c r="M57" s="22"/>
      <c r="N57" s="22">
        <f t="shared" si="0"/>
        <v>0</v>
      </c>
      <c r="O57" s="22"/>
      <c r="P57" s="42"/>
    </row>
    <row r="58" spans="1:16" s="11" customFormat="1" ht="15" customHeight="1" x14ac:dyDescent="0.2">
      <c r="A58" s="329"/>
      <c r="B58" s="328"/>
      <c r="C58" s="328"/>
      <c r="D58" s="333" t="s">
        <v>56</v>
      </c>
      <c r="E58" s="334" t="s">
        <v>363</v>
      </c>
      <c r="F58" s="44"/>
      <c r="G58" s="292">
        <v>15000000</v>
      </c>
      <c r="H58" s="5">
        <v>0</v>
      </c>
      <c r="I58" s="5">
        <f t="shared" si="2"/>
        <v>0</v>
      </c>
      <c r="J58" s="467">
        <v>15000000</v>
      </c>
      <c r="K58" s="499">
        <f>14447300+3900771</f>
        <v>18348071</v>
      </c>
      <c r="L58" s="292"/>
      <c r="M58" s="22"/>
      <c r="N58" s="22">
        <f t="shared" si="0"/>
        <v>0</v>
      </c>
      <c r="O58" s="22"/>
      <c r="P58" s="42"/>
    </row>
    <row r="59" spans="1:16" ht="15" customHeight="1" x14ac:dyDescent="0.2">
      <c r="A59" s="675"/>
      <c r="B59" s="678" t="s">
        <v>46</v>
      </c>
      <c r="C59" s="679" t="s">
        <v>6</v>
      </c>
      <c r="D59" s="679"/>
      <c r="E59" s="679"/>
      <c r="F59" s="36"/>
      <c r="G59" s="276">
        <f>SUM(G60:G60)</f>
        <v>0</v>
      </c>
      <c r="H59" s="276">
        <v>0</v>
      </c>
      <c r="I59" s="276">
        <f t="shared" si="2"/>
        <v>999999</v>
      </c>
      <c r="J59" s="495">
        <f t="shared" ref="J59:K59" si="20">SUM(J60:J60)</f>
        <v>999999</v>
      </c>
      <c r="K59" s="496">
        <f t="shared" si="20"/>
        <v>999999</v>
      </c>
      <c r="L59" s="276">
        <f>SUM(L60:L60)</f>
        <v>0</v>
      </c>
      <c r="M59" s="276">
        <v>0</v>
      </c>
      <c r="N59" s="276">
        <f t="shared" si="0"/>
        <v>0</v>
      </c>
      <c r="O59" s="276">
        <f t="shared" ref="O59:P59" si="21">SUM(O60:O60)</f>
        <v>0</v>
      </c>
      <c r="P59" s="41">
        <f t="shared" si="21"/>
        <v>0</v>
      </c>
    </row>
    <row r="60" spans="1:16" ht="15" customHeight="1" x14ac:dyDescent="0.2">
      <c r="A60" s="676"/>
      <c r="B60" s="678"/>
      <c r="C60" s="8" t="s">
        <v>45</v>
      </c>
      <c r="D60" s="680" t="s">
        <v>473</v>
      </c>
      <c r="E60" s="681"/>
      <c r="F60" s="8"/>
      <c r="G60" s="143"/>
      <c r="H60" s="22"/>
      <c r="I60" s="22">
        <f t="shared" si="2"/>
        <v>999999</v>
      </c>
      <c r="J60" s="467">
        <f>787401+212598</f>
        <v>999999</v>
      </c>
      <c r="K60" s="499">
        <f>787401+212598</f>
        <v>999999</v>
      </c>
      <c r="L60" s="143"/>
      <c r="M60" s="22"/>
      <c r="N60" s="22">
        <f t="shared" si="0"/>
        <v>0</v>
      </c>
      <c r="O60" s="22"/>
      <c r="P60" s="42"/>
    </row>
    <row r="61" spans="1:16" s="11" customFormat="1" ht="15" customHeight="1" x14ac:dyDescent="0.2">
      <c r="A61" s="676"/>
      <c r="B61" s="332" t="s">
        <v>47</v>
      </c>
      <c r="C61" s="669" t="s">
        <v>34</v>
      </c>
      <c r="D61" s="670"/>
      <c r="E61" s="671"/>
      <c r="F61" s="36"/>
      <c r="G61" s="276">
        <v>0</v>
      </c>
      <c r="H61" s="34"/>
      <c r="I61" s="34">
        <f t="shared" si="2"/>
        <v>0</v>
      </c>
      <c r="J61" s="468"/>
      <c r="K61" s="496"/>
      <c r="L61" s="276">
        <v>0</v>
      </c>
      <c r="M61" s="276">
        <v>0</v>
      </c>
      <c r="N61" s="276">
        <f t="shared" si="0"/>
        <v>0</v>
      </c>
      <c r="O61" s="276">
        <v>0</v>
      </c>
      <c r="P61" s="41">
        <v>0</v>
      </c>
    </row>
    <row r="62" spans="1:16" ht="18" customHeight="1" thickBot="1" x14ac:dyDescent="0.25">
      <c r="A62" s="677"/>
      <c r="B62" s="674" t="s">
        <v>40</v>
      </c>
      <c r="C62" s="674"/>
      <c r="D62" s="674"/>
      <c r="E62" s="674"/>
      <c r="F62" s="37"/>
      <c r="G62" s="340">
        <f>G48+G59+G61</f>
        <v>43561791</v>
      </c>
      <c r="H62" s="340">
        <v>0</v>
      </c>
      <c r="I62" s="340">
        <f t="shared" si="2"/>
        <v>999999</v>
      </c>
      <c r="J62" s="500">
        <f t="shared" ref="J62:K62" si="22">J48+J59+J61</f>
        <v>44561790</v>
      </c>
      <c r="K62" s="501">
        <f t="shared" si="22"/>
        <v>40154579</v>
      </c>
      <c r="L62" s="340">
        <f>L48+L59+L61</f>
        <v>0</v>
      </c>
      <c r="M62" s="340">
        <v>0</v>
      </c>
      <c r="N62" s="340">
        <f t="shared" si="0"/>
        <v>0</v>
      </c>
      <c r="O62" s="340">
        <f t="shared" ref="O62:P62" si="23">O48+O59+O61</f>
        <v>0</v>
      </c>
      <c r="P62" s="354">
        <f t="shared" si="23"/>
        <v>0</v>
      </c>
    </row>
    <row r="63" spans="1:16" s="339" customFormat="1" ht="18" customHeight="1" x14ac:dyDescent="0.2">
      <c r="A63" s="666" t="s">
        <v>47</v>
      </c>
      <c r="B63" s="341" t="s">
        <v>390</v>
      </c>
      <c r="C63" s="343"/>
      <c r="D63" s="343"/>
      <c r="E63" s="343"/>
      <c r="F63" s="342"/>
      <c r="G63" s="338"/>
      <c r="H63" s="338"/>
      <c r="I63" s="338">
        <f t="shared" si="2"/>
        <v>0</v>
      </c>
      <c r="J63" s="502"/>
      <c r="K63" s="503"/>
      <c r="L63" s="338"/>
      <c r="M63" s="338"/>
      <c r="N63" s="338">
        <f t="shared" si="0"/>
        <v>0</v>
      </c>
      <c r="O63" s="338"/>
      <c r="P63" s="355"/>
    </row>
    <row r="64" spans="1:16" s="339" customFormat="1" ht="18" customHeight="1" x14ac:dyDescent="0.2">
      <c r="A64" s="667"/>
      <c r="B64" s="336" t="s">
        <v>45</v>
      </c>
      <c r="C64" s="669" t="s">
        <v>51</v>
      </c>
      <c r="D64" s="670"/>
      <c r="E64" s="671"/>
      <c r="F64" s="43" t="s">
        <v>88</v>
      </c>
      <c r="G64" s="276">
        <f>SUM(G65:G65)</f>
        <v>2000000</v>
      </c>
      <c r="H64" s="276">
        <v>0</v>
      </c>
      <c r="I64" s="276">
        <f t="shared" si="2"/>
        <v>0</v>
      </c>
      <c r="J64" s="495">
        <f t="shared" ref="J64" si="24">SUM(J65:J65)</f>
        <v>2000000</v>
      </c>
      <c r="K64" s="496"/>
      <c r="L64" s="276">
        <f>SUM(L65:L65)</f>
        <v>0</v>
      </c>
      <c r="M64" s="276">
        <v>0</v>
      </c>
      <c r="N64" s="276">
        <f t="shared" si="0"/>
        <v>0</v>
      </c>
      <c r="O64" s="276">
        <f t="shared" ref="O64:P64" si="25">SUM(O65:O65)</f>
        <v>0</v>
      </c>
      <c r="P64" s="41">
        <f t="shared" si="25"/>
        <v>0</v>
      </c>
    </row>
    <row r="65" spans="1:16" s="339" customFormat="1" ht="18" customHeight="1" x14ac:dyDescent="0.2">
      <c r="A65" s="667"/>
      <c r="B65" s="336"/>
      <c r="C65" s="336" t="s">
        <v>45</v>
      </c>
      <c r="D65" s="672" t="s">
        <v>63</v>
      </c>
      <c r="E65" s="673"/>
      <c r="F65" s="337"/>
      <c r="G65" s="345">
        <v>2000000</v>
      </c>
      <c r="H65" s="5">
        <v>0</v>
      </c>
      <c r="I65" s="5">
        <f t="shared" si="2"/>
        <v>0</v>
      </c>
      <c r="J65" s="467">
        <v>2000000</v>
      </c>
      <c r="K65" s="499">
        <v>0</v>
      </c>
      <c r="L65" s="292"/>
      <c r="M65" s="22"/>
      <c r="N65" s="22">
        <f t="shared" si="0"/>
        <v>0</v>
      </c>
      <c r="O65" s="22"/>
      <c r="P65" s="42"/>
    </row>
    <row r="66" spans="1:16" s="339" customFormat="1" ht="18" customHeight="1" thickBot="1" x14ac:dyDescent="0.25">
      <c r="A66" s="667"/>
      <c r="B66" s="674" t="s">
        <v>25</v>
      </c>
      <c r="C66" s="674"/>
      <c r="D66" s="674"/>
      <c r="E66" s="674"/>
      <c r="F66" s="37"/>
      <c r="G66" s="344">
        <f>G64</f>
        <v>2000000</v>
      </c>
      <c r="H66" s="344">
        <v>0</v>
      </c>
      <c r="I66" s="344">
        <f t="shared" si="2"/>
        <v>0</v>
      </c>
      <c r="J66" s="504">
        <f t="shared" ref="J66:K66" si="26">J64</f>
        <v>2000000</v>
      </c>
      <c r="K66" s="501">
        <f t="shared" si="26"/>
        <v>0</v>
      </c>
      <c r="L66" s="344">
        <f t="shared" ref="L66:P66" si="27">L64</f>
        <v>0</v>
      </c>
      <c r="M66" s="344">
        <v>0</v>
      </c>
      <c r="N66" s="344">
        <f t="shared" si="0"/>
        <v>0</v>
      </c>
      <c r="O66" s="344">
        <f t="shared" si="27"/>
        <v>0</v>
      </c>
      <c r="P66" s="354">
        <f t="shared" si="27"/>
        <v>0</v>
      </c>
    </row>
    <row r="67" spans="1:16" s="339" customFormat="1" ht="18" customHeight="1" thickBot="1" x14ac:dyDescent="0.25">
      <c r="A67" s="668"/>
      <c r="B67" s="336"/>
      <c r="C67" s="336"/>
      <c r="D67" s="336"/>
      <c r="E67" s="336"/>
      <c r="F67" s="337"/>
      <c r="G67" s="338"/>
      <c r="H67" s="338"/>
      <c r="I67" s="338">
        <f t="shared" si="2"/>
        <v>0</v>
      </c>
      <c r="J67" s="505"/>
      <c r="K67" s="506"/>
      <c r="L67" s="338"/>
      <c r="M67" s="338"/>
      <c r="N67" s="338">
        <f t="shared" si="0"/>
        <v>0</v>
      </c>
      <c r="O67" s="338"/>
      <c r="P67" s="355"/>
    </row>
    <row r="68" spans="1:16" ht="21" customHeight="1" thickBot="1" x14ac:dyDescent="0.25">
      <c r="A68" s="52"/>
      <c r="B68" s="686" t="s">
        <v>33</v>
      </c>
      <c r="C68" s="686"/>
      <c r="D68" s="686"/>
      <c r="E68" s="686"/>
      <c r="F68" s="40"/>
      <c r="G68" s="293">
        <f>G46+G62+G66</f>
        <v>511836764</v>
      </c>
      <c r="H68" s="293">
        <v>-10450787</v>
      </c>
      <c r="I68" s="293">
        <f t="shared" si="2"/>
        <v>2850146</v>
      </c>
      <c r="J68" s="507">
        <f t="shared" ref="J68:K68" si="28">J46+J62+J66</f>
        <v>504236123</v>
      </c>
      <c r="K68" s="508">
        <f t="shared" si="28"/>
        <v>144688811</v>
      </c>
      <c r="L68" s="293">
        <f t="shared" ref="L68:P68" si="29">L46+L62+L66</f>
        <v>0</v>
      </c>
      <c r="M68" s="293">
        <f t="shared" si="29"/>
        <v>1750412</v>
      </c>
      <c r="N68" s="293">
        <f t="shared" si="0"/>
        <v>24730</v>
      </c>
      <c r="O68" s="293">
        <f t="shared" si="29"/>
        <v>1775142</v>
      </c>
      <c r="P68" s="293">
        <f t="shared" si="29"/>
        <v>1775142</v>
      </c>
    </row>
    <row r="74" spans="1:16" ht="21" customHeight="1" x14ac:dyDescent="0.2">
      <c r="A74" s="3"/>
    </row>
    <row r="75" spans="1:16" ht="15" customHeight="1" x14ac:dyDescent="0.2">
      <c r="A75" s="3"/>
    </row>
  </sheetData>
  <mergeCells count="50">
    <mergeCell ref="A5:E6"/>
    <mergeCell ref="F5:F6"/>
    <mergeCell ref="G5:K5"/>
    <mergeCell ref="L5:P5"/>
    <mergeCell ref="D14:E14"/>
    <mergeCell ref="A45:A46"/>
    <mergeCell ref="C45:E45"/>
    <mergeCell ref="B46:E46"/>
    <mergeCell ref="B27:B44"/>
    <mergeCell ref="C27:E27"/>
    <mergeCell ref="A7:A44"/>
    <mergeCell ref="B7:G7"/>
    <mergeCell ref="B8:B10"/>
    <mergeCell ref="C8:E8"/>
    <mergeCell ref="D9:E9"/>
    <mergeCell ref="C11:E11"/>
    <mergeCell ref="D12:E12"/>
    <mergeCell ref="D31:E31"/>
    <mergeCell ref="D10:E10"/>
    <mergeCell ref="B11:B26"/>
    <mergeCell ref="A47:A57"/>
    <mergeCell ref="B47:G47"/>
    <mergeCell ref="B48:B57"/>
    <mergeCell ref="C48:E48"/>
    <mergeCell ref="D49:E49"/>
    <mergeCell ref="C52:C57"/>
    <mergeCell ref="D52:E52"/>
    <mergeCell ref="B68:E68"/>
    <mergeCell ref="C16:C17"/>
    <mergeCell ref="D16:E16"/>
    <mergeCell ref="C14:C15"/>
    <mergeCell ref="C29:C30"/>
    <mergeCell ref="C21:C26"/>
    <mergeCell ref="D21:E21"/>
    <mergeCell ref="A1:P1"/>
    <mergeCell ref="A2:P2"/>
    <mergeCell ref="A63:A67"/>
    <mergeCell ref="C64:E64"/>
    <mergeCell ref="D65:E65"/>
    <mergeCell ref="B66:E66"/>
    <mergeCell ref="A59:A62"/>
    <mergeCell ref="B59:B60"/>
    <mergeCell ref="C59:E59"/>
    <mergeCell ref="D60:E60"/>
    <mergeCell ref="C61:E61"/>
    <mergeCell ref="B62:E62"/>
    <mergeCell ref="D28:E28"/>
    <mergeCell ref="C31:C39"/>
    <mergeCell ref="D43:E43"/>
    <mergeCell ref="D44:E44"/>
  </mergeCells>
  <phoneticPr fontId="7" type="noConversion"/>
  <pageMargins left="0.15748031496062992" right="0.19685039370078741" top="0.43307086614173229" bottom="0.39370078740157483" header="0.23622047244094491" footer="0.19685039370078741"/>
  <pageSetup paperSize="9" scale="95" orientation="landscape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R28" sqref="R28"/>
    </sheetView>
  </sheetViews>
  <sheetFormatPr defaultRowHeight="12.75" x14ac:dyDescent="0.2"/>
  <cols>
    <col min="1" max="1" width="5.85546875" style="187" customWidth="1"/>
    <col min="2" max="2" width="30.85546875" style="176" customWidth="1"/>
    <col min="3" max="3" width="14.5703125" style="176" customWidth="1"/>
    <col min="4" max="9" width="11" style="176" customWidth="1"/>
    <col min="10" max="10" width="11.85546875" style="176" customWidth="1"/>
    <col min="11" max="256" width="9.140625" style="176"/>
    <col min="257" max="257" width="5.85546875" style="176" customWidth="1"/>
    <col min="258" max="258" width="30.85546875" style="176" customWidth="1"/>
    <col min="259" max="259" width="14.5703125" style="176" customWidth="1"/>
    <col min="260" max="265" width="11" style="176" customWidth="1"/>
    <col min="266" max="266" width="11.85546875" style="176" customWidth="1"/>
    <col min="267" max="512" width="9.140625" style="176"/>
    <col min="513" max="513" width="5.85546875" style="176" customWidth="1"/>
    <col min="514" max="514" width="30.85546875" style="176" customWidth="1"/>
    <col min="515" max="515" width="14.5703125" style="176" customWidth="1"/>
    <col min="516" max="521" width="11" style="176" customWidth="1"/>
    <col min="522" max="522" width="11.85546875" style="176" customWidth="1"/>
    <col min="523" max="768" width="9.140625" style="176"/>
    <col min="769" max="769" width="5.85546875" style="176" customWidth="1"/>
    <col min="770" max="770" width="30.85546875" style="176" customWidth="1"/>
    <col min="771" max="771" width="14.5703125" style="176" customWidth="1"/>
    <col min="772" max="777" width="11" style="176" customWidth="1"/>
    <col min="778" max="778" width="11.85546875" style="176" customWidth="1"/>
    <col min="779" max="1024" width="9.140625" style="176"/>
    <col min="1025" max="1025" width="5.85546875" style="176" customWidth="1"/>
    <col min="1026" max="1026" width="30.85546875" style="176" customWidth="1"/>
    <col min="1027" max="1027" width="14.5703125" style="176" customWidth="1"/>
    <col min="1028" max="1033" width="11" style="176" customWidth="1"/>
    <col min="1034" max="1034" width="11.85546875" style="176" customWidth="1"/>
    <col min="1035" max="1280" width="9.140625" style="176"/>
    <col min="1281" max="1281" width="5.85546875" style="176" customWidth="1"/>
    <col min="1282" max="1282" width="30.85546875" style="176" customWidth="1"/>
    <col min="1283" max="1283" width="14.5703125" style="176" customWidth="1"/>
    <col min="1284" max="1289" width="11" style="176" customWidth="1"/>
    <col min="1290" max="1290" width="11.85546875" style="176" customWidth="1"/>
    <col min="1291" max="1536" width="9.140625" style="176"/>
    <col min="1537" max="1537" width="5.85546875" style="176" customWidth="1"/>
    <col min="1538" max="1538" width="30.85546875" style="176" customWidth="1"/>
    <col min="1539" max="1539" width="14.5703125" style="176" customWidth="1"/>
    <col min="1540" max="1545" width="11" style="176" customWidth="1"/>
    <col min="1546" max="1546" width="11.85546875" style="176" customWidth="1"/>
    <col min="1547" max="1792" width="9.140625" style="176"/>
    <col min="1793" max="1793" width="5.85546875" style="176" customWidth="1"/>
    <col min="1794" max="1794" width="30.85546875" style="176" customWidth="1"/>
    <col min="1795" max="1795" width="14.5703125" style="176" customWidth="1"/>
    <col min="1796" max="1801" width="11" style="176" customWidth="1"/>
    <col min="1802" max="1802" width="11.85546875" style="176" customWidth="1"/>
    <col min="1803" max="2048" width="9.140625" style="176"/>
    <col min="2049" max="2049" width="5.85546875" style="176" customWidth="1"/>
    <col min="2050" max="2050" width="30.85546875" style="176" customWidth="1"/>
    <col min="2051" max="2051" width="14.5703125" style="176" customWidth="1"/>
    <col min="2052" max="2057" width="11" style="176" customWidth="1"/>
    <col min="2058" max="2058" width="11.85546875" style="176" customWidth="1"/>
    <col min="2059" max="2304" width="9.140625" style="176"/>
    <col min="2305" max="2305" width="5.85546875" style="176" customWidth="1"/>
    <col min="2306" max="2306" width="30.85546875" style="176" customWidth="1"/>
    <col min="2307" max="2307" width="14.5703125" style="176" customWidth="1"/>
    <col min="2308" max="2313" width="11" style="176" customWidth="1"/>
    <col min="2314" max="2314" width="11.85546875" style="176" customWidth="1"/>
    <col min="2315" max="2560" width="9.140625" style="176"/>
    <col min="2561" max="2561" width="5.85546875" style="176" customWidth="1"/>
    <col min="2562" max="2562" width="30.85546875" style="176" customWidth="1"/>
    <col min="2563" max="2563" width="14.5703125" style="176" customWidth="1"/>
    <col min="2564" max="2569" width="11" style="176" customWidth="1"/>
    <col min="2570" max="2570" width="11.85546875" style="176" customWidth="1"/>
    <col min="2571" max="2816" width="9.140625" style="176"/>
    <col min="2817" max="2817" width="5.85546875" style="176" customWidth="1"/>
    <col min="2818" max="2818" width="30.85546875" style="176" customWidth="1"/>
    <col min="2819" max="2819" width="14.5703125" style="176" customWidth="1"/>
    <col min="2820" max="2825" width="11" style="176" customWidth="1"/>
    <col min="2826" max="2826" width="11.85546875" style="176" customWidth="1"/>
    <col min="2827" max="3072" width="9.140625" style="176"/>
    <col min="3073" max="3073" width="5.85546875" style="176" customWidth="1"/>
    <col min="3074" max="3074" width="30.85546875" style="176" customWidth="1"/>
    <col min="3075" max="3075" width="14.5703125" style="176" customWidth="1"/>
    <col min="3076" max="3081" width="11" style="176" customWidth="1"/>
    <col min="3082" max="3082" width="11.85546875" style="176" customWidth="1"/>
    <col min="3083" max="3328" width="9.140625" style="176"/>
    <col min="3329" max="3329" width="5.85546875" style="176" customWidth="1"/>
    <col min="3330" max="3330" width="30.85546875" style="176" customWidth="1"/>
    <col min="3331" max="3331" width="14.5703125" style="176" customWidth="1"/>
    <col min="3332" max="3337" width="11" style="176" customWidth="1"/>
    <col min="3338" max="3338" width="11.85546875" style="176" customWidth="1"/>
    <col min="3339" max="3584" width="9.140625" style="176"/>
    <col min="3585" max="3585" width="5.85546875" style="176" customWidth="1"/>
    <col min="3586" max="3586" width="30.85546875" style="176" customWidth="1"/>
    <col min="3587" max="3587" width="14.5703125" style="176" customWidth="1"/>
    <col min="3588" max="3593" width="11" style="176" customWidth="1"/>
    <col min="3594" max="3594" width="11.85546875" style="176" customWidth="1"/>
    <col min="3595" max="3840" width="9.140625" style="176"/>
    <col min="3841" max="3841" width="5.85546875" style="176" customWidth="1"/>
    <col min="3842" max="3842" width="30.85546875" style="176" customWidth="1"/>
    <col min="3843" max="3843" width="14.5703125" style="176" customWidth="1"/>
    <col min="3844" max="3849" width="11" style="176" customWidth="1"/>
    <col min="3850" max="3850" width="11.85546875" style="176" customWidth="1"/>
    <col min="3851" max="4096" width="9.140625" style="176"/>
    <col min="4097" max="4097" width="5.85546875" style="176" customWidth="1"/>
    <col min="4098" max="4098" width="30.85546875" style="176" customWidth="1"/>
    <col min="4099" max="4099" width="14.5703125" style="176" customWidth="1"/>
    <col min="4100" max="4105" width="11" style="176" customWidth="1"/>
    <col min="4106" max="4106" width="11.85546875" style="176" customWidth="1"/>
    <col min="4107" max="4352" width="9.140625" style="176"/>
    <col min="4353" max="4353" width="5.85546875" style="176" customWidth="1"/>
    <col min="4354" max="4354" width="30.85546875" style="176" customWidth="1"/>
    <col min="4355" max="4355" width="14.5703125" style="176" customWidth="1"/>
    <col min="4356" max="4361" width="11" style="176" customWidth="1"/>
    <col min="4362" max="4362" width="11.85546875" style="176" customWidth="1"/>
    <col min="4363" max="4608" width="9.140625" style="176"/>
    <col min="4609" max="4609" width="5.85546875" style="176" customWidth="1"/>
    <col min="4610" max="4610" width="30.85546875" style="176" customWidth="1"/>
    <col min="4611" max="4611" width="14.5703125" style="176" customWidth="1"/>
    <col min="4612" max="4617" width="11" style="176" customWidth="1"/>
    <col min="4618" max="4618" width="11.85546875" style="176" customWidth="1"/>
    <col min="4619" max="4864" width="9.140625" style="176"/>
    <col min="4865" max="4865" width="5.85546875" style="176" customWidth="1"/>
    <col min="4866" max="4866" width="30.85546875" style="176" customWidth="1"/>
    <col min="4867" max="4867" width="14.5703125" style="176" customWidth="1"/>
    <col min="4868" max="4873" width="11" style="176" customWidth="1"/>
    <col min="4874" max="4874" width="11.85546875" style="176" customWidth="1"/>
    <col min="4875" max="5120" width="9.140625" style="176"/>
    <col min="5121" max="5121" width="5.85546875" style="176" customWidth="1"/>
    <col min="5122" max="5122" width="30.85546875" style="176" customWidth="1"/>
    <col min="5123" max="5123" width="14.5703125" style="176" customWidth="1"/>
    <col min="5124" max="5129" width="11" style="176" customWidth="1"/>
    <col min="5130" max="5130" width="11.85546875" style="176" customWidth="1"/>
    <col min="5131" max="5376" width="9.140625" style="176"/>
    <col min="5377" max="5377" width="5.85546875" style="176" customWidth="1"/>
    <col min="5378" max="5378" width="30.85546875" style="176" customWidth="1"/>
    <col min="5379" max="5379" width="14.5703125" style="176" customWidth="1"/>
    <col min="5380" max="5385" width="11" style="176" customWidth="1"/>
    <col min="5386" max="5386" width="11.85546875" style="176" customWidth="1"/>
    <col min="5387" max="5632" width="9.140625" style="176"/>
    <col min="5633" max="5633" width="5.85546875" style="176" customWidth="1"/>
    <col min="5634" max="5634" width="30.85546875" style="176" customWidth="1"/>
    <col min="5635" max="5635" width="14.5703125" style="176" customWidth="1"/>
    <col min="5636" max="5641" width="11" style="176" customWidth="1"/>
    <col min="5642" max="5642" width="11.85546875" style="176" customWidth="1"/>
    <col min="5643" max="5888" width="9.140625" style="176"/>
    <col min="5889" max="5889" width="5.85546875" style="176" customWidth="1"/>
    <col min="5890" max="5890" width="30.85546875" style="176" customWidth="1"/>
    <col min="5891" max="5891" width="14.5703125" style="176" customWidth="1"/>
    <col min="5892" max="5897" width="11" style="176" customWidth="1"/>
    <col min="5898" max="5898" width="11.85546875" style="176" customWidth="1"/>
    <col min="5899" max="6144" width="9.140625" style="176"/>
    <col min="6145" max="6145" width="5.85546875" style="176" customWidth="1"/>
    <col min="6146" max="6146" width="30.85546875" style="176" customWidth="1"/>
    <col min="6147" max="6147" width="14.5703125" style="176" customWidth="1"/>
    <col min="6148" max="6153" width="11" style="176" customWidth="1"/>
    <col min="6154" max="6154" width="11.85546875" style="176" customWidth="1"/>
    <col min="6155" max="6400" width="9.140625" style="176"/>
    <col min="6401" max="6401" width="5.85546875" style="176" customWidth="1"/>
    <col min="6402" max="6402" width="30.85546875" style="176" customWidth="1"/>
    <col min="6403" max="6403" width="14.5703125" style="176" customWidth="1"/>
    <col min="6404" max="6409" width="11" style="176" customWidth="1"/>
    <col min="6410" max="6410" width="11.85546875" style="176" customWidth="1"/>
    <col min="6411" max="6656" width="9.140625" style="176"/>
    <col min="6657" max="6657" width="5.85546875" style="176" customWidth="1"/>
    <col min="6658" max="6658" width="30.85546875" style="176" customWidth="1"/>
    <col min="6659" max="6659" width="14.5703125" style="176" customWidth="1"/>
    <col min="6660" max="6665" width="11" style="176" customWidth="1"/>
    <col min="6666" max="6666" width="11.85546875" style="176" customWidth="1"/>
    <col min="6667" max="6912" width="9.140625" style="176"/>
    <col min="6913" max="6913" width="5.85546875" style="176" customWidth="1"/>
    <col min="6914" max="6914" width="30.85546875" style="176" customWidth="1"/>
    <col min="6915" max="6915" width="14.5703125" style="176" customWidth="1"/>
    <col min="6916" max="6921" width="11" style="176" customWidth="1"/>
    <col min="6922" max="6922" width="11.85546875" style="176" customWidth="1"/>
    <col min="6923" max="7168" width="9.140625" style="176"/>
    <col min="7169" max="7169" width="5.85546875" style="176" customWidth="1"/>
    <col min="7170" max="7170" width="30.85546875" style="176" customWidth="1"/>
    <col min="7171" max="7171" width="14.5703125" style="176" customWidth="1"/>
    <col min="7172" max="7177" width="11" style="176" customWidth="1"/>
    <col min="7178" max="7178" width="11.85546875" style="176" customWidth="1"/>
    <col min="7179" max="7424" width="9.140625" style="176"/>
    <col min="7425" max="7425" width="5.85546875" style="176" customWidth="1"/>
    <col min="7426" max="7426" width="30.85546875" style="176" customWidth="1"/>
    <col min="7427" max="7427" width="14.5703125" style="176" customWidth="1"/>
    <col min="7428" max="7433" width="11" style="176" customWidth="1"/>
    <col min="7434" max="7434" width="11.85546875" style="176" customWidth="1"/>
    <col min="7435" max="7680" width="9.140625" style="176"/>
    <col min="7681" max="7681" width="5.85546875" style="176" customWidth="1"/>
    <col min="7682" max="7682" width="30.85546875" style="176" customWidth="1"/>
    <col min="7683" max="7683" width="14.5703125" style="176" customWidth="1"/>
    <col min="7684" max="7689" width="11" style="176" customWidth="1"/>
    <col min="7690" max="7690" width="11.85546875" style="176" customWidth="1"/>
    <col min="7691" max="7936" width="9.140625" style="176"/>
    <col min="7937" max="7937" width="5.85546875" style="176" customWidth="1"/>
    <col min="7938" max="7938" width="30.85546875" style="176" customWidth="1"/>
    <col min="7939" max="7939" width="14.5703125" style="176" customWidth="1"/>
    <col min="7940" max="7945" width="11" style="176" customWidth="1"/>
    <col min="7946" max="7946" width="11.85546875" style="176" customWidth="1"/>
    <col min="7947" max="8192" width="9.140625" style="176"/>
    <col min="8193" max="8193" width="5.85546875" style="176" customWidth="1"/>
    <col min="8194" max="8194" width="30.85546875" style="176" customWidth="1"/>
    <col min="8195" max="8195" width="14.5703125" style="176" customWidth="1"/>
    <col min="8196" max="8201" width="11" style="176" customWidth="1"/>
    <col min="8202" max="8202" width="11.85546875" style="176" customWidth="1"/>
    <col min="8203" max="8448" width="9.140625" style="176"/>
    <col min="8449" max="8449" width="5.85546875" style="176" customWidth="1"/>
    <col min="8450" max="8450" width="30.85546875" style="176" customWidth="1"/>
    <col min="8451" max="8451" width="14.5703125" style="176" customWidth="1"/>
    <col min="8452" max="8457" width="11" style="176" customWidth="1"/>
    <col min="8458" max="8458" width="11.85546875" style="176" customWidth="1"/>
    <col min="8459" max="8704" width="9.140625" style="176"/>
    <col min="8705" max="8705" width="5.85546875" style="176" customWidth="1"/>
    <col min="8706" max="8706" width="30.85546875" style="176" customWidth="1"/>
    <col min="8707" max="8707" width="14.5703125" style="176" customWidth="1"/>
    <col min="8708" max="8713" width="11" style="176" customWidth="1"/>
    <col min="8714" max="8714" width="11.85546875" style="176" customWidth="1"/>
    <col min="8715" max="8960" width="9.140625" style="176"/>
    <col min="8961" max="8961" width="5.85546875" style="176" customWidth="1"/>
    <col min="8962" max="8962" width="30.85546875" style="176" customWidth="1"/>
    <col min="8963" max="8963" width="14.5703125" style="176" customWidth="1"/>
    <col min="8964" max="8969" width="11" style="176" customWidth="1"/>
    <col min="8970" max="8970" width="11.85546875" style="176" customWidth="1"/>
    <col min="8971" max="9216" width="9.140625" style="176"/>
    <col min="9217" max="9217" width="5.85546875" style="176" customWidth="1"/>
    <col min="9218" max="9218" width="30.85546875" style="176" customWidth="1"/>
    <col min="9219" max="9219" width="14.5703125" style="176" customWidth="1"/>
    <col min="9220" max="9225" width="11" style="176" customWidth="1"/>
    <col min="9226" max="9226" width="11.85546875" style="176" customWidth="1"/>
    <col min="9227" max="9472" width="9.140625" style="176"/>
    <col min="9473" max="9473" width="5.85546875" style="176" customWidth="1"/>
    <col min="9474" max="9474" width="30.85546875" style="176" customWidth="1"/>
    <col min="9475" max="9475" width="14.5703125" style="176" customWidth="1"/>
    <col min="9476" max="9481" width="11" style="176" customWidth="1"/>
    <col min="9482" max="9482" width="11.85546875" style="176" customWidth="1"/>
    <col min="9483" max="9728" width="9.140625" style="176"/>
    <col min="9729" max="9729" width="5.85546875" style="176" customWidth="1"/>
    <col min="9730" max="9730" width="30.85546875" style="176" customWidth="1"/>
    <col min="9731" max="9731" width="14.5703125" style="176" customWidth="1"/>
    <col min="9732" max="9737" width="11" style="176" customWidth="1"/>
    <col min="9738" max="9738" width="11.85546875" style="176" customWidth="1"/>
    <col min="9739" max="9984" width="9.140625" style="176"/>
    <col min="9985" max="9985" width="5.85546875" style="176" customWidth="1"/>
    <col min="9986" max="9986" width="30.85546875" style="176" customWidth="1"/>
    <col min="9987" max="9987" width="14.5703125" style="176" customWidth="1"/>
    <col min="9988" max="9993" width="11" style="176" customWidth="1"/>
    <col min="9994" max="9994" width="11.85546875" style="176" customWidth="1"/>
    <col min="9995" max="10240" width="9.140625" style="176"/>
    <col min="10241" max="10241" width="5.85546875" style="176" customWidth="1"/>
    <col min="10242" max="10242" width="30.85546875" style="176" customWidth="1"/>
    <col min="10243" max="10243" width="14.5703125" style="176" customWidth="1"/>
    <col min="10244" max="10249" width="11" style="176" customWidth="1"/>
    <col min="10250" max="10250" width="11.85546875" style="176" customWidth="1"/>
    <col min="10251" max="10496" width="9.140625" style="176"/>
    <col min="10497" max="10497" width="5.85546875" style="176" customWidth="1"/>
    <col min="10498" max="10498" width="30.85546875" style="176" customWidth="1"/>
    <col min="10499" max="10499" width="14.5703125" style="176" customWidth="1"/>
    <col min="10500" max="10505" width="11" style="176" customWidth="1"/>
    <col min="10506" max="10506" width="11.85546875" style="176" customWidth="1"/>
    <col min="10507" max="10752" width="9.140625" style="176"/>
    <col min="10753" max="10753" width="5.85546875" style="176" customWidth="1"/>
    <col min="10754" max="10754" width="30.85546875" style="176" customWidth="1"/>
    <col min="10755" max="10755" width="14.5703125" style="176" customWidth="1"/>
    <col min="10756" max="10761" width="11" style="176" customWidth="1"/>
    <col min="10762" max="10762" width="11.85546875" style="176" customWidth="1"/>
    <col min="10763" max="11008" width="9.140625" style="176"/>
    <col min="11009" max="11009" width="5.85546875" style="176" customWidth="1"/>
    <col min="11010" max="11010" width="30.85546875" style="176" customWidth="1"/>
    <col min="11011" max="11011" width="14.5703125" style="176" customWidth="1"/>
    <col min="11012" max="11017" width="11" style="176" customWidth="1"/>
    <col min="11018" max="11018" width="11.85546875" style="176" customWidth="1"/>
    <col min="11019" max="11264" width="9.140625" style="176"/>
    <col min="11265" max="11265" width="5.85546875" style="176" customWidth="1"/>
    <col min="11266" max="11266" width="30.85546875" style="176" customWidth="1"/>
    <col min="11267" max="11267" width="14.5703125" style="176" customWidth="1"/>
    <col min="11268" max="11273" width="11" style="176" customWidth="1"/>
    <col min="11274" max="11274" width="11.85546875" style="176" customWidth="1"/>
    <col min="11275" max="11520" width="9.140625" style="176"/>
    <col min="11521" max="11521" width="5.85546875" style="176" customWidth="1"/>
    <col min="11522" max="11522" width="30.85546875" style="176" customWidth="1"/>
    <col min="11523" max="11523" width="14.5703125" style="176" customWidth="1"/>
    <col min="11524" max="11529" width="11" style="176" customWidth="1"/>
    <col min="11530" max="11530" width="11.85546875" style="176" customWidth="1"/>
    <col min="11531" max="11776" width="9.140625" style="176"/>
    <col min="11777" max="11777" width="5.85546875" style="176" customWidth="1"/>
    <col min="11778" max="11778" width="30.85546875" style="176" customWidth="1"/>
    <col min="11779" max="11779" width="14.5703125" style="176" customWidth="1"/>
    <col min="11780" max="11785" width="11" style="176" customWidth="1"/>
    <col min="11786" max="11786" width="11.85546875" style="176" customWidth="1"/>
    <col min="11787" max="12032" width="9.140625" style="176"/>
    <col min="12033" max="12033" width="5.85546875" style="176" customWidth="1"/>
    <col min="12034" max="12034" width="30.85546875" style="176" customWidth="1"/>
    <col min="12035" max="12035" width="14.5703125" style="176" customWidth="1"/>
    <col min="12036" max="12041" width="11" style="176" customWidth="1"/>
    <col min="12042" max="12042" width="11.85546875" style="176" customWidth="1"/>
    <col min="12043" max="12288" width="9.140625" style="176"/>
    <col min="12289" max="12289" width="5.85546875" style="176" customWidth="1"/>
    <col min="12290" max="12290" width="30.85546875" style="176" customWidth="1"/>
    <col min="12291" max="12291" width="14.5703125" style="176" customWidth="1"/>
    <col min="12292" max="12297" width="11" style="176" customWidth="1"/>
    <col min="12298" max="12298" width="11.85546875" style="176" customWidth="1"/>
    <col min="12299" max="12544" width="9.140625" style="176"/>
    <col min="12545" max="12545" width="5.85546875" style="176" customWidth="1"/>
    <col min="12546" max="12546" width="30.85546875" style="176" customWidth="1"/>
    <col min="12547" max="12547" width="14.5703125" style="176" customWidth="1"/>
    <col min="12548" max="12553" width="11" style="176" customWidth="1"/>
    <col min="12554" max="12554" width="11.85546875" style="176" customWidth="1"/>
    <col min="12555" max="12800" width="9.140625" style="176"/>
    <col min="12801" max="12801" width="5.85546875" style="176" customWidth="1"/>
    <col min="12802" max="12802" width="30.85546875" style="176" customWidth="1"/>
    <col min="12803" max="12803" width="14.5703125" style="176" customWidth="1"/>
    <col min="12804" max="12809" width="11" style="176" customWidth="1"/>
    <col min="12810" max="12810" width="11.85546875" style="176" customWidth="1"/>
    <col min="12811" max="13056" width="9.140625" style="176"/>
    <col min="13057" max="13057" width="5.85546875" style="176" customWidth="1"/>
    <col min="13058" max="13058" width="30.85546875" style="176" customWidth="1"/>
    <col min="13059" max="13059" width="14.5703125" style="176" customWidth="1"/>
    <col min="13060" max="13065" width="11" style="176" customWidth="1"/>
    <col min="13066" max="13066" width="11.85546875" style="176" customWidth="1"/>
    <col min="13067" max="13312" width="9.140625" style="176"/>
    <col min="13313" max="13313" width="5.85546875" style="176" customWidth="1"/>
    <col min="13314" max="13314" width="30.85546875" style="176" customWidth="1"/>
    <col min="13315" max="13315" width="14.5703125" style="176" customWidth="1"/>
    <col min="13316" max="13321" width="11" style="176" customWidth="1"/>
    <col min="13322" max="13322" width="11.85546875" style="176" customWidth="1"/>
    <col min="13323" max="13568" width="9.140625" style="176"/>
    <col min="13569" max="13569" width="5.85546875" style="176" customWidth="1"/>
    <col min="13570" max="13570" width="30.85546875" style="176" customWidth="1"/>
    <col min="13571" max="13571" width="14.5703125" style="176" customWidth="1"/>
    <col min="13572" max="13577" width="11" style="176" customWidth="1"/>
    <col min="13578" max="13578" width="11.85546875" style="176" customWidth="1"/>
    <col min="13579" max="13824" width="9.140625" style="176"/>
    <col min="13825" max="13825" width="5.85546875" style="176" customWidth="1"/>
    <col min="13826" max="13826" width="30.85546875" style="176" customWidth="1"/>
    <col min="13827" max="13827" width="14.5703125" style="176" customWidth="1"/>
    <col min="13828" max="13833" width="11" style="176" customWidth="1"/>
    <col min="13834" max="13834" width="11.85546875" style="176" customWidth="1"/>
    <col min="13835" max="14080" width="9.140625" style="176"/>
    <col min="14081" max="14081" width="5.85546875" style="176" customWidth="1"/>
    <col min="14082" max="14082" width="30.85546875" style="176" customWidth="1"/>
    <col min="14083" max="14083" width="14.5703125" style="176" customWidth="1"/>
    <col min="14084" max="14089" width="11" style="176" customWidth="1"/>
    <col min="14090" max="14090" width="11.85546875" style="176" customWidth="1"/>
    <col min="14091" max="14336" width="9.140625" style="176"/>
    <col min="14337" max="14337" width="5.85546875" style="176" customWidth="1"/>
    <col min="14338" max="14338" width="30.85546875" style="176" customWidth="1"/>
    <col min="14339" max="14339" width="14.5703125" style="176" customWidth="1"/>
    <col min="14340" max="14345" width="11" style="176" customWidth="1"/>
    <col min="14346" max="14346" width="11.85546875" style="176" customWidth="1"/>
    <col min="14347" max="14592" width="9.140625" style="176"/>
    <col min="14593" max="14593" width="5.85546875" style="176" customWidth="1"/>
    <col min="14594" max="14594" width="30.85546875" style="176" customWidth="1"/>
    <col min="14595" max="14595" width="14.5703125" style="176" customWidth="1"/>
    <col min="14596" max="14601" width="11" style="176" customWidth="1"/>
    <col min="14602" max="14602" width="11.85546875" style="176" customWidth="1"/>
    <col min="14603" max="14848" width="9.140625" style="176"/>
    <col min="14849" max="14849" width="5.85546875" style="176" customWidth="1"/>
    <col min="14850" max="14850" width="30.85546875" style="176" customWidth="1"/>
    <col min="14851" max="14851" width="14.5703125" style="176" customWidth="1"/>
    <col min="14852" max="14857" width="11" style="176" customWidth="1"/>
    <col min="14858" max="14858" width="11.85546875" style="176" customWidth="1"/>
    <col min="14859" max="15104" width="9.140625" style="176"/>
    <col min="15105" max="15105" width="5.85546875" style="176" customWidth="1"/>
    <col min="15106" max="15106" width="30.85546875" style="176" customWidth="1"/>
    <col min="15107" max="15107" width="14.5703125" style="176" customWidth="1"/>
    <col min="15108" max="15113" width="11" style="176" customWidth="1"/>
    <col min="15114" max="15114" width="11.85546875" style="176" customWidth="1"/>
    <col min="15115" max="15360" width="9.140625" style="176"/>
    <col min="15361" max="15361" width="5.85546875" style="176" customWidth="1"/>
    <col min="15362" max="15362" width="30.85546875" style="176" customWidth="1"/>
    <col min="15363" max="15363" width="14.5703125" style="176" customWidth="1"/>
    <col min="15364" max="15369" width="11" style="176" customWidth="1"/>
    <col min="15370" max="15370" width="11.85546875" style="176" customWidth="1"/>
    <col min="15371" max="15616" width="9.140625" style="176"/>
    <col min="15617" max="15617" width="5.85546875" style="176" customWidth="1"/>
    <col min="15618" max="15618" width="30.85546875" style="176" customWidth="1"/>
    <col min="15619" max="15619" width="14.5703125" style="176" customWidth="1"/>
    <col min="15620" max="15625" width="11" style="176" customWidth="1"/>
    <col min="15626" max="15626" width="11.85546875" style="176" customWidth="1"/>
    <col min="15627" max="15872" width="9.140625" style="176"/>
    <col min="15873" max="15873" width="5.85546875" style="176" customWidth="1"/>
    <col min="15874" max="15874" width="30.85546875" style="176" customWidth="1"/>
    <col min="15875" max="15875" width="14.5703125" style="176" customWidth="1"/>
    <col min="15876" max="15881" width="11" style="176" customWidth="1"/>
    <col min="15882" max="15882" width="11.85546875" style="176" customWidth="1"/>
    <col min="15883" max="16128" width="9.140625" style="176"/>
    <col min="16129" max="16129" width="5.85546875" style="176" customWidth="1"/>
    <col min="16130" max="16130" width="30.85546875" style="176" customWidth="1"/>
    <col min="16131" max="16131" width="14.5703125" style="176" customWidth="1"/>
    <col min="16132" max="16137" width="11" style="176" customWidth="1"/>
    <col min="16138" max="16138" width="11.85546875" style="176" customWidth="1"/>
    <col min="16139" max="16384" width="9.140625" style="176"/>
  </cols>
  <sheetData>
    <row r="1" spans="1:10" ht="14.25" thickBot="1" x14ac:dyDescent="0.25">
      <c r="J1" s="88"/>
    </row>
    <row r="2" spans="1:10" s="191" customFormat="1" ht="14.25" x14ac:dyDescent="0.2">
      <c r="A2" s="702" t="s">
        <v>120</v>
      </c>
      <c r="B2" s="704" t="s">
        <v>341</v>
      </c>
      <c r="C2" s="704" t="s">
        <v>342</v>
      </c>
      <c r="D2" s="704" t="s">
        <v>343</v>
      </c>
      <c r="E2" s="704" t="s">
        <v>361</v>
      </c>
      <c r="F2" s="188" t="s">
        <v>344</v>
      </c>
      <c r="G2" s="189"/>
      <c r="H2" s="189"/>
      <c r="I2" s="190"/>
      <c r="J2" s="700" t="s">
        <v>345</v>
      </c>
    </row>
    <row r="3" spans="1:10" s="195" customFormat="1" ht="24.75" thickBot="1" x14ac:dyDescent="0.25">
      <c r="A3" s="703"/>
      <c r="B3" s="705"/>
      <c r="C3" s="705"/>
      <c r="D3" s="706"/>
      <c r="E3" s="706"/>
      <c r="F3" s="192" t="s">
        <v>357</v>
      </c>
      <c r="G3" s="193" t="s">
        <v>358</v>
      </c>
      <c r="H3" s="193" t="s">
        <v>359</v>
      </c>
      <c r="I3" s="194" t="s">
        <v>360</v>
      </c>
      <c r="J3" s="701"/>
    </row>
    <row r="4" spans="1:10" s="200" customFormat="1" ht="11.25" thickBot="1" x14ac:dyDescent="0.25">
      <c r="A4" s="196">
        <v>1</v>
      </c>
      <c r="B4" s="197">
        <v>2</v>
      </c>
      <c r="C4" s="198">
        <v>3</v>
      </c>
      <c r="D4" s="198">
        <v>4</v>
      </c>
      <c r="E4" s="198">
        <v>5</v>
      </c>
      <c r="F4" s="198">
        <v>6</v>
      </c>
      <c r="G4" s="198">
        <v>7</v>
      </c>
      <c r="H4" s="198">
        <v>8</v>
      </c>
      <c r="I4" s="198">
        <v>9</v>
      </c>
      <c r="J4" s="199" t="s">
        <v>346</v>
      </c>
    </row>
    <row r="5" spans="1:10" ht="21" x14ac:dyDescent="0.2">
      <c r="A5" s="201" t="s">
        <v>45</v>
      </c>
      <c r="B5" s="202" t="s">
        <v>347</v>
      </c>
      <c r="C5" s="203"/>
      <c r="D5" s="204">
        <f t="shared" ref="D5:I5" si="0">SUM(D6:D7)</f>
        <v>0</v>
      </c>
      <c r="E5" s="204">
        <f t="shared" si="0"/>
        <v>0</v>
      </c>
      <c r="F5" s="204">
        <f t="shared" si="0"/>
        <v>0</v>
      </c>
      <c r="G5" s="204">
        <f t="shared" si="0"/>
        <v>0</v>
      </c>
      <c r="H5" s="204">
        <f t="shared" si="0"/>
        <v>0</v>
      </c>
      <c r="I5" s="205">
        <f t="shared" si="0"/>
        <v>0</v>
      </c>
      <c r="J5" s="206">
        <f t="shared" ref="J5:J18" si="1">SUM(F5:I5)</f>
        <v>0</v>
      </c>
    </row>
    <row r="6" spans="1:10" x14ac:dyDescent="0.2">
      <c r="A6" s="207" t="s">
        <v>46</v>
      </c>
      <c r="B6" s="208" t="s">
        <v>348</v>
      </c>
      <c r="C6" s="209"/>
      <c r="D6" s="210"/>
      <c r="E6" s="210"/>
      <c r="F6" s="210"/>
      <c r="G6" s="210"/>
      <c r="H6" s="210"/>
      <c r="I6" s="211"/>
      <c r="J6" s="212">
        <f t="shared" si="1"/>
        <v>0</v>
      </c>
    </row>
    <row r="7" spans="1:10" x14ac:dyDescent="0.2">
      <c r="A7" s="207" t="s">
        <v>47</v>
      </c>
      <c r="B7" s="208" t="s">
        <v>348</v>
      </c>
      <c r="C7" s="209"/>
      <c r="D7" s="210"/>
      <c r="E7" s="210"/>
      <c r="F7" s="210"/>
      <c r="G7" s="210"/>
      <c r="H7" s="210"/>
      <c r="I7" s="211"/>
      <c r="J7" s="212">
        <f t="shared" si="1"/>
        <v>0</v>
      </c>
    </row>
    <row r="8" spans="1:10" ht="21" x14ac:dyDescent="0.2">
      <c r="A8" s="207" t="s">
        <v>48</v>
      </c>
      <c r="B8" s="213" t="s">
        <v>349</v>
      </c>
      <c r="C8" s="214"/>
      <c r="D8" s="215">
        <f t="shared" ref="D8:I8" si="2">SUM(D9:D10)</f>
        <v>456636043</v>
      </c>
      <c r="E8" s="215">
        <f t="shared" si="2"/>
        <v>3414222</v>
      </c>
      <c r="F8" s="215">
        <f t="shared" si="2"/>
        <v>6828444</v>
      </c>
      <c r="G8" s="215">
        <f t="shared" si="2"/>
        <v>6772778</v>
      </c>
      <c r="H8" s="215">
        <f t="shared" si="2"/>
        <v>39851175</v>
      </c>
      <c r="I8" s="216">
        <f t="shared" si="2"/>
        <v>403183646</v>
      </c>
      <c r="J8" s="217">
        <f t="shared" si="1"/>
        <v>456636043</v>
      </c>
    </row>
    <row r="9" spans="1:10" x14ac:dyDescent="0.2">
      <c r="A9" s="207" t="s">
        <v>49</v>
      </c>
      <c r="B9" s="208" t="s">
        <v>350</v>
      </c>
      <c r="C9" s="209">
        <v>2019</v>
      </c>
      <c r="D9" s="210">
        <v>400000000</v>
      </c>
      <c r="E9" s="232">
        <v>0</v>
      </c>
      <c r="F9" s="232">
        <v>0</v>
      </c>
      <c r="G9" s="232">
        <v>0</v>
      </c>
      <c r="H9" s="232">
        <v>33334000</v>
      </c>
      <c r="I9" s="233">
        <v>366666000</v>
      </c>
      <c r="J9" s="212">
        <f t="shared" si="1"/>
        <v>400000000</v>
      </c>
    </row>
    <row r="10" spans="1:10" x14ac:dyDescent="0.2">
      <c r="A10" s="207" t="s">
        <v>56</v>
      </c>
      <c r="B10" s="208" t="s">
        <v>351</v>
      </c>
      <c r="C10" s="209">
        <v>2019</v>
      </c>
      <c r="D10" s="210">
        <v>56636043</v>
      </c>
      <c r="E10" s="210">
        <v>3414222</v>
      </c>
      <c r="F10" s="210">
        <v>6828444</v>
      </c>
      <c r="G10" s="210">
        <v>6772778</v>
      </c>
      <c r="H10" s="210">
        <v>6517175</v>
      </c>
      <c r="I10" s="211">
        <v>36517646</v>
      </c>
      <c r="J10" s="212">
        <f t="shared" si="1"/>
        <v>56636043</v>
      </c>
    </row>
    <row r="11" spans="1:10" x14ac:dyDescent="0.2">
      <c r="A11" s="207" t="s">
        <v>58</v>
      </c>
      <c r="B11" s="218" t="s">
        <v>352</v>
      </c>
      <c r="C11" s="214"/>
      <c r="D11" s="215">
        <f t="shared" ref="D11:I11" si="3">SUM(D12:D12)</f>
        <v>0</v>
      </c>
      <c r="E11" s="215">
        <f t="shared" si="3"/>
        <v>0</v>
      </c>
      <c r="F11" s="215">
        <f t="shared" si="3"/>
        <v>0</v>
      </c>
      <c r="G11" s="215">
        <f t="shared" si="3"/>
        <v>0</v>
      </c>
      <c r="H11" s="215">
        <f t="shared" si="3"/>
        <v>0</v>
      </c>
      <c r="I11" s="216">
        <f t="shared" si="3"/>
        <v>0</v>
      </c>
      <c r="J11" s="217">
        <f t="shared" si="1"/>
        <v>0</v>
      </c>
    </row>
    <row r="12" spans="1:10" ht="21" customHeight="1" x14ac:dyDescent="0.2">
      <c r="A12" s="207" t="s">
        <v>59</v>
      </c>
      <c r="B12" s="208"/>
      <c r="C12" s="209"/>
      <c r="D12" s="210"/>
      <c r="E12" s="210"/>
      <c r="F12" s="210"/>
      <c r="G12" s="210"/>
      <c r="H12" s="210"/>
      <c r="I12" s="211"/>
      <c r="J12" s="212">
        <f t="shared" si="1"/>
        <v>0</v>
      </c>
    </row>
    <row r="13" spans="1:10" ht="21" customHeight="1" x14ac:dyDescent="0.2">
      <c r="A13" s="207"/>
      <c r="B13" s="208"/>
      <c r="C13" s="209"/>
      <c r="D13" s="210"/>
      <c r="E13" s="210">
        <v>0</v>
      </c>
      <c r="F13" s="210"/>
      <c r="G13" s="210"/>
      <c r="H13" s="210"/>
      <c r="I13" s="211"/>
      <c r="J13" s="212">
        <f t="shared" si="1"/>
        <v>0</v>
      </c>
    </row>
    <row r="14" spans="1:10" x14ac:dyDescent="0.2">
      <c r="A14" s="207" t="s">
        <v>60</v>
      </c>
      <c r="B14" s="218" t="s">
        <v>356</v>
      </c>
      <c r="C14" s="214"/>
      <c r="D14" s="215">
        <f t="shared" ref="D14:I14" si="4">SUM(D15:D15)</f>
        <v>456636043</v>
      </c>
      <c r="E14" s="215">
        <f t="shared" si="4"/>
        <v>3414222</v>
      </c>
      <c r="F14" s="215">
        <f t="shared" si="4"/>
        <v>6828444</v>
      </c>
      <c r="G14" s="215">
        <f t="shared" si="4"/>
        <v>6772778</v>
      </c>
      <c r="H14" s="215">
        <f t="shared" si="4"/>
        <v>39851175</v>
      </c>
      <c r="I14" s="216">
        <f t="shared" si="4"/>
        <v>403183646</v>
      </c>
      <c r="J14" s="217">
        <f t="shared" si="1"/>
        <v>456636043</v>
      </c>
    </row>
    <row r="15" spans="1:10" x14ac:dyDescent="0.2">
      <c r="A15" s="207" t="s">
        <v>61</v>
      </c>
      <c r="B15" s="208" t="s">
        <v>355</v>
      </c>
      <c r="C15" s="209">
        <v>2019</v>
      </c>
      <c r="D15" s="210">
        <v>456636043</v>
      </c>
      <c r="E15" s="210">
        <f>E8</f>
        <v>3414222</v>
      </c>
      <c r="F15" s="210">
        <f t="shared" ref="F15:I15" si="5">F8</f>
        <v>6828444</v>
      </c>
      <c r="G15" s="210">
        <f t="shared" si="5"/>
        <v>6772778</v>
      </c>
      <c r="H15" s="210">
        <f t="shared" si="5"/>
        <v>39851175</v>
      </c>
      <c r="I15" s="210">
        <f t="shared" si="5"/>
        <v>403183646</v>
      </c>
      <c r="J15" s="212">
        <f t="shared" si="1"/>
        <v>456636043</v>
      </c>
    </row>
    <row r="16" spans="1:10" ht="21" customHeight="1" x14ac:dyDescent="0.2">
      <c r="A16" s="219" t="s">
        <v>29</v>
      </c>
      <c r="B16" s="220" t="s">
        <v>353</v>
      </c>
      <c r="C16" s="221"/>
      <c r="D16" s="222">
        <f t="shared" ref="D16:I16" si="6">SUM(D17:D18)</f>
        <v>0</v>
      </c>
      <c r="E16" s="222">
        <f t="shared" si="6"/>
        <v>0</v>
      </c>
      <c r="F16" s="222">
        <f t="shared" si="6"/>
        <v>0</v>
      </c>
      <c r="G16" s="222">
        <f t="shared" si="6"/>
        <v>0</v>
      </c>
      <c r="H16" s="222">
        <f t="shared" si="6"/>
        <v>0</v>
      </c>
      <c r="I16" s="223">
        <f t="shared" si="6"/>
        <v>0</v>
      </c>
      <c r="J16" s="217">
        <f t="shared" si="1"/>
        <v>0</v>
      </c>
    </row>
    <row r="17" spans="1:10" x14ac:dyDescent="0.2">
      <c r="A17" s="219" t="s">
        <v>30</v>
      </c>
      <c r="B17" s="208" t="s">
        <v>348</v>
      </c>
      <c r="C17" s="209"/>
      <c r="D17" s="210"/>
      <c r="E17" s="210"/>
      <c r="F17" s="210"/>
      <c r="G17" s="210"/>
      <c r="H17" s="210"/>
      <c r="I17" s="211"/>
      <c r="J17" s="212">
        <f t="shared" si="1"/>
        <v>0</v>
      </c>
    </row>
    <row r="18" spans="1:10" ht="13.5" thickBot="1" x14ac:dyDescent="0.25">
      <c r="A18" s="219" t="s">
        <v>36</v>
      </c>
      <c r="B18" s="208" t="s">
        <v>348</v>
      </c>
      <c r="C18" s="224"/>
      <c r="D18" s="225"/>
      <c r="E18" s="225"/>
      <c r="F18" s="225"/>
      <c r="G18" s="225"/>
      <c r="H18" s="225"/>
      <c r="I18" s="226"/>
      <c r="J18" s="212">
        <f t="shared" si="1"/>
        <v>0</v>
      </c>
    </row>
    <row r="19" spans="1:10" ht="13.5" thickBot="1" x14ac:dyDescent="0.25">
      <c r="A19" s="227" t="s">
        <v>31</v>
      </c>
      <c r="B19" s="228" t="s">
        <v>354</v>
      </c>
      <c r="C19" s="229"/>
      <c r="D19" s="230">
        <f>D5+D8+D11</f>
        <v>456636043</v>
      </c>
      <c r="E19" s="230">
        <f t="shared" ref="E19:I19" si="7">E5+E8+E11</f>
        <v>3414222</v>
      </c>
      <c r="F19" s="230">
        <f t="shared" si="7"/>
        <v>6828444</v>
      </c>
      <c r="G19" s="230">
        <f t="shared" si="7"/>
        <v>6772778</v>
      </c>
      <c r="H19" s="230">
        <f t="shared" si="7"/>
        <v>39851175</v>
      </c>
      <c r="I19" s="230">
        <f t="shared" si="7"/>
        <v>403183646</v>
      </c>
      <c r="J19" s="231">
        <f>J5+J8+J11</f>
        <v>456636043</v>
      </c>
    </row>
  </sheetData>
  <mergeCells count="6">
    <mergeCell ref="J2:J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4</vt:i4>
      </vt:variant>
    </vt:vector>
  </HeadingPairs>
  <TitlesOfParts>
    <vt:vector size="15" baseType="lpstr">
      <vt:lpstr>1. Bevételek</vt:lpstr>
      <vt:lpstr>1.1.Bevételek (KÖT, ÖNV,Áll.i)</vt:lpstr>
      <vt:lpstr>2. Kiadások</vt:lpstr>
      <vt:lpstr>2.1.Kiadások (KÖT, ÖNV, Áll.i)</vt:lpstr>
      <vt:lpstr>3.Működési mérleg</vt:lpstr>
      <vt:lpstr>4. Felhalmozási mérleg</vt:lpstr>
      <vt:lpstr>5. Pénzeszköz átadás</vt:lpstr>
      <vt:lpstr>6 .Felhalmozási k.</vt:lpstr>
      <vt:lpstr>7. Kötelezettség</vt:lpstr>
      <vt:lpstr>8. Létszám</vt:lpstr>
      <vt:lpstr>9. Adósságk.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Eszter</cp:lastModifiedBy>
  <cp:lastPrinted>2019-12-11T12:53:33Z</cp:lastPrinted>
  <dcterms:created xsi:type="dcterms:W3CDTF">2005-12-27T13:42:28Z</dcterms:created>
  <dcterms:modified xsi:type="dcterms:W3CDTF">2019-12-31T12:28:10Z</dcterms:modified>
</cp:coreProperties>
</file>