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kiadás" sheetId="1" r:id="rId1"/>
    <sheet name="bevétel" sheetId="2" r:id="rId2"/>
  </sheets>
  <definedNames>
    <definedName name="_xlnm.Print_Area" localSheetId="1">'bevétel'!$A$1:$P$38</definedName>
    <definedName name="_xlnm.Print_Area" localSheetId="0">'kiadás'!$A$7:$P$51</definedName>
  </definedNames>
  <calcPr fullCalcOnLoad="1"/>
</workbook>
</file>

<file path=xl/sharedStrings.xml><?xml version="1.0" encoding="utf-8"?>
<sst xmlns="http://schemas.openxmlformats.org/spreadsheetml/2006/main" count="127" uniqueCount="104">
  <si>
    <t>ezer Ft-ban</t>
  </si>
  <si>
    <t>Megnevezés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</si>
  <si>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</si>
  <si>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</si>
  <si>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</si>
  <si>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</si>
  <si>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</si>
  <si>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</si>
  <si>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</si>
  <si>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</si>
  <si>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</si>
  <si>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</si>
  <si>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</si>
  <si>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</si>
  <si>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ÖSSZESEN</t>
  </si>
  <si>
    <t>1.</t>
  </si>
  <si>
    <t>a.) személyi juttatások</t>
  </si>
  <si>
    <t>2.</t>
  </si>
  <si>
    <t>3.</t>
  </si>
  <si>
    <t>4.</t>
  </si>
  <si>
    <t>Kiadások összesen:</t>
  </si>
  <si>
    <t>Kiadások mindösszesen</t>
  </si>
  <si>
    <t>ezer  forintban</t>
  </si>
  <si>
    <t xml:space="preserve">        V  á  r  h  a  t  ó     t  e  l  j  e  s  í  t  é  s</t>
  </si>
  <si>
    <t>I.</t>
  </si>
  <si>
    <t>II.</t>
  </si>
  <si>
    <t>III.</t>
  </si>
  <si>
    <t>IV.</t>
  </si>
  <si>
    <t>V.</t>
  </si>
  <si>
    <t>VI.</t>
  </si>
  <si>
    <t>VII.</t>
  </si>
  <si>
    <t>IX.</t>
  </si>
  <si>
    <t>X.</t>
  </si>
  <si>
    <t>XI.</t>
  </si>
  <si>
    <t>XII.</t>
  </si>
  <si>
    <t>Összesen</t>
  </si>
  <si>
    <t>Helyi adók</t>
  </si>
  <si>
    <t>BEVÉTELEK MINDÖSSZESEN</t>
  </si>
  <si>
    <t>d.) dologi kiadások</t>
  </si>
  <si>
    <t>e.) ellátottak pénzbeli juttatásai</t>
  </si>
  <si>
    <t>11.sz.melléklet</t>
  </si>
  <si>
    <t>Tárgyi eszközök, immat.javak értékesítése</t>
  </si>
  <si>
    <t>Közhatalmi bevételek</t>
  </si>
  <si>
    <t>Önkormányzat költségvetési támogatása</t>
  </si>
  <si>
    <t>Működési célú támog.Áh-n belülről</t>
  </si>
  <si>
    <t>Működési célú pénzeszközátvétel Áh-n kív.</t>
  </si>
  <si>
    <t>Felhalmozási kölcsön visszatérülése</t>
  </si>
  <si>
    <t>Felhalmozási célú átvett pénzeszköz</t>
  </si>
  <si>
    <t>MŰKÖDÉSI BEVÉTELEK ÖSSZESEN</t>
  </si>
  <si>
    <t>FELHALMOZÁSI BEVÉTELEK ÖSSZESEN</t>
  </si>
  <si>
    <t>Működési finanszírozás miatti korrekció</t>
  </si>
  <si>
    <t>Felhalmozási finanszírozás miatti korrekció</t>
  </si>
  <si>
    <t>f.) egyéb működési kiadások</t>
  </si>
  <si>
    <t>c.) egyéb felhalmozási kiadások</t>
  </si>
  <si>
    <t>Parkolási tevékenység elszámolása miatti korr.</t>
  </si>
  <si>
    <t>Működési célú támogatások Áh-n belülről</t>
  </si>
  <si>
    <t>Egyéb közhatalmi bevételek</t>
  </si>
  <si>
    <t>Működési bevételek</t>
  </si>
  <si>
    <t>Felhalmozási c.támog.Áh-n belülről</t>
  </si>
  <si>
    <t>Felhalm.célú átvett pénzeszköz összesen</t>
  </si>
  <si>
    <t>KÖLTSÉGVETÉSI BEVÉTELEK ÖSSZESEN</t>
  </si>
  <si>
    <t>Költségvetési működési pénzmaradvány</t>
  </si>
  <si>
    <t>Irányítószervi működési támogatás</t>
  </si>
  <si>
    <t>MŰKÖDÉSI FINANSZÍROZÁSI BEVÉTELEK</t>
  </si>
  <si>
    <t>Költségvetési felhalm. pénzmaradvány</t>
  </si>
  <si>
    <t>Irányítószervi felhalmozási támogatás</t>
  </si>
  <si>
    <t>FELHALM. FINANSZÍROZÁSI BEVÉTELEK</t>
  </si>
  <si>
    <t>VIII.</t>
  </si>
  <si>
    <t>b.) munkaadót terh.jár.és szoc.hj.adó</t>
  </si>
  <si>
    <t>a.) beruházások</t>
  </si>
  <si>
    <t xml:space="preserve">b.) felújítások </t>
  </si>
  <si>
    <t xml:space="preserve">        -egyéb működési támogatás Áh-n belülre</t>
  </si>
  <si>
    <t xml:space="preserve">        -egyéb működési támogatás Áh-n kívülre</t>
  </si>
  <si>
    <t xml:space="preserve">        -általános tartalék</t>
  </si>
  <si>
    <t xml:space="preserve">        -működési céltartalék</t>
  </si>
  <si>
    <t xml:space="preserve">        -felhalm.kölcsön nyújtása Áh-n kívülre</t>
  </si>
  <si>
    <t xml:space="preserve">    -egyéb felhalmozási támog.Áh-n kívülre</t>
  </si>
  <si>
    <t xml:space="preserve">    -felhalmozási céltartalék</t>
  </si>
  <si>
    <t>Működési költségvetési kiadások</t>
  </si>
  <si>
    <t>Felhalmozási költségvetési kiadások</t>
  </si>
  <si>
    <t>Költségvetési kiadások összesen</t>
  </si>
  <si>
    <t>Irányító szervi működési támogatás</t>
  </si>
  <si>
    <t>Működési finanszírozási kiadás összesen</t>
  </si>
  <si>
    <t xml:space="preserve">   a.) felhalmozási célú kötvény beváltása</t>
  </si>
  <si>
    <t xml:space="preserve">   b.) irányítószervi felhalmozási támogatás</t>
  </si>
  <si>
    <t>Felhalmozási finanszírozás kiadás összesen</t>
  </si>
  <si>
    <t xml:space="preserve">        -elvonások és befizetések</t>
  </si>
  <si>
    <t xml:space="preserve">        -működési kölcsön nyújtása</t>
  </si>
  <si>
    <t xml:space="preserve">    -pénzügyi befektetések</t>
  </si>
  <si>
    <t>5.</t>
  </si>
  <si>
    <t>Finanszírozási kiadások összesen</t>
  </si>
  <si>
    <t>a.) Pénzeszköz betétként elhelyezése</t>
  </si>
  <si>
    <t>Finanszírozási bevételek összesen</t>
  </si>
  <si>
    <t>10.sz melléklet</t>
  </si>
  <si>
    <t>10.számú melléklet</t>
  </si>
  <si>
    <t>ÁH- n belüli megelőlegezések visszafizetése</t>
  </si>
  <si>
    <t>ÁH- n belüli megelőlegezések</t>
  </si>
  <si>
    <t>ei</t>
  </si>
  <si>
    <t>Belföldi értékpapírok beváltása működési</t>
  </si>
  <si>
    <t>Belföldi értékpapírok beváltása finanszírozási</t>
  </si>
  <si>
    <t>Belváros-Lipótváros Önkormányzata 2020.évi kiadásainak előirányzat-felhasználási ütemterve</t>
  </si>
  <si>
    <r>
      <t xml:space="preserve"> </t>
    </r>
    <r>
      <rPr>
        <b/>
        <sz val="12"/>
        <rFont val="Arial CE"/>
        <family val="2"/>
      </rPr>
      <t>Belváros-Lipótváros Önkormányzata 2020. évi bevételeinek előirányzat felhasználási ütemterve</t>
    </r>
    <r>
      <rPr>
        <b/>
        <sz val="11"/>
        <rFont val="Arial CE"/>
        <family val="2"/>
      </rPr>
      <t xml:space="preserve">                                                    </t>
    </r>
  </si>
  <si>
    <t>2020. évi ei</t>
  </si>
  <si>
    <t>2020.évi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</si>
</sst>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#,##0\ &quot;Ft&quot;"/>
    <numFmt numFmtId="170" formatCode="#,##0.0"/>
    <numFmt numFmtId="171" formatCode="#,##0.000"/>
  </numFmts>
  <fonts count="49">
    <font>
      <sz val="10"/>
      <name val="Arial CE"/>
      <family val="0"/>
    </font>
    <font>
      <sz val="7"/>
      <name val="Arial CE"/>
      <family val="2"/>
    </font>
    <font>
      <b/>
      <sz val="12"/>
      <name val="Arial CE"/>
      <family val="2"/>
    </font>
    <font>
      <b/>
      <sz val="7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Lucida Sans Unicode"/>
      <family val="2"/>
    </font>
    <font>
      <b/>
      <sz val="11"/>
      <name val="Arial CE"/>
      <family val="2"/>
    </font>
    <font>
      <sz val="8"/>
      <name val="Lucida Sans Unicod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shrinkToFit="1"/>
    </xf>
    <xf numFmtId="3" fontId="7" fillId="0" borderId="11" xfId="0" applyNumberFormat="1" applyFont="1" applyFill="1" applyBorder="1" applyAlignment="1">
      <alignment horizontal="center" vertical="center" shrinkToFit="1"/>
    </xf>
    <xf numFmtId="3" fontId="7" fillId="0" borderId="12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3" fontId="5" fillId="0" borderId="13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3" fontId="7" fillId="0" borderId="14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Alignment="1">
      <alignment/>
    </xf>
    <xf numFmtId="3" fontId="6" fillId="0" borderId="15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0" fontId="1" fillId="0" borderId="20" xfId="0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3" fontId="7" fillId="0" borderId="13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49" fontId="5" fillId="0" borderId="24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7" fillId="0" borderId="22" xfId="0" applyNumberFormat="1" applyFont="1" applyFill="1" applyBorder="1" applyAlignment="1">
      <alignment horizontal="left" vertical="center" indent="1"/>
    </xf>
    <xf numFmtId="0" fontId="5" fillId="0" borderId="25" xfId="0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" fontId="5" fillId="0" borderId="27" xfId="0" applyNumberFormat="1" applyFont="1" applyFill="1" applyBorder="1" applyAlignment="1">
      <alignment vertical="center" shrinkToFit="1"/>
    </xf>
    <xf numFmtId="3" fontId="5" fillId="0" borderId="27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horizontal="right" vertical="center"/>
    </xf>
    <xf numFmtId="49" fontId="5" fillId="0" borderId="28" xfId="0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 shrinkToFit="1"/>
    </xf>
    <xf numFmtId="3" fontId="5" fillId="0" borderId="29" xfId="0" applyNumberFormat="1" applyFont="1" applyFill="1" applyBorder="1" applyAlignment="1">
      <alignment vertical="center" shrinkToFit="1"/>
    </xf>
    <xf numFmtId="3" fontId="5" fillId="0" borderId="30" xfId="0" applyNumberFormat="1" applyFont="1" applyFill="1" applyBorder="1" applyAlignment="1">
      <alignment vertical="center" shrinkToFit="1"/>
    </xf>
    <xf numFmtId="3" fontId="5" fillId="0" borderId="26" xfId="0" applyNumberFormat="1" applyFont="1" applyFill="1" applyBorder="1" applyAlignment="1">
      <alignment vertical="center" shrinkToFit="1"/>
    </xf>
    <xf numFmtId="0" fontId="5" fillId="0" borderId="23" xfId="0" applyFont="1" applyFill="1" applyBorder="1" applyAlignment="1">
      <alignment horizontal="center" vertical="center" shrinkToFit="1"/>
    </xf>
    <xf numFmtId="3" fontId="5" fillId="0" borderId="31" xfId="0" applyNumberFormat="1" applyFont="1" applyFill="1" applyBorder="1" applyAlignment="1">
      <alignment vertical="center" shrinkToFit="1"/>
    </xf>
    <xf numFmtId="3" fontId="5" fillId="0" borderId="13" xfId="0" applyNumberFormat="1" applyFont="1" applyFill="1" applyBorder="1" applyAlignment="1">
      <alignment vertical="center" shrinkToFit="1"/>
    </xf>
    <xf numFmtId="0" fontId="5" fillId="0" borderId="32" xfId="0" applyFont="1" applyFill="1" applyBorder="1" applyAlignment="1">
      <alignment horizontal="center" vertical="center" shrinkToFit="1"/>
    </xf>
    <xf numFmtId="3" fontId="5" fillId="0" borderId="14" xfId="0" applyNumberFormat="1" applyFont="1" applyFill="1" applyBorder="1" applyAlignment="1">
      <alignment vertical="center" shrinkToFit="1"/>
    </xf>
    <xf numFmtId="0" fontId="5" fillId="0" borderId="33" xfId="0" applyFont="1" applyFill="1" applyBorder="1" applyAlignment="1">
      <alignment horizontal="center" vertical="center" shrinkToFit="1"/>
    </xf>
    <xf numFmtId="49" fontId="7" fillId="0" borderId="34" xfId="0" applyNumberFormat="1" applyFont="1" applyFill="1" applyBorder="1" applyAlignment="1">
      <alignment horizontal="center" vertical="center" shrinkToFit="1"/>
    </xf>
    <xf numFmtId="49" fontId="5" fillId="0" borderId="34" xfId="0" applyNumberFormat="1" applyFont="1" applyFill="1" applyBorder="1" applyAlignment="1">
      <alignment horizontal="center" vertical="center" shrinkToFit="1"/>
    </xf>
    <xf numFmtId="49" fontId="5" fillId="0" borderId="34" xfId="0" applyNumberFormat="1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49" fontId="5" fillId="0" borderId="35" xfId="0" applyNumberFormat="1" applyFont="1" applyFill="1" applyBorder="1" applyAlignment="1">
      <alignment horizontal="center" vertical="center" shrinkToFit="1"/>
    </xf>
    <xf numFmtId="49" fontId="5" fillId="0" borderId="36" xfId="0" applyNumberFormat="1" applyFont="1" applyFill="1" applyBorder="1" applyAlignment="1">
      <alignment horizontal="center" vertical="center" shrinkToFit="1"/>
    </xf>
    <xf numFmtId="49" fontId="7" fillId="0" borderId="35" xfId="0" applyNumberFormat="1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7" fillId="0" borderId="39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35" xfId="0" applyFont="1" applyFill="1" applyBorder="1" applyAlignment="1">
      <alignment vertical="center" shrinkToFit="1"/>
    </xf>
    <xf numFmtId="0" fontId="5" fillId="0" borderId="36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vertical="center" shrinkToFit="1"/>
    </xf>
    <xf numFmtId="0" fontId="7" fillId="0" borderId="36" xfId="0" applyFont="1" applyFill="1" applyBorder="1" applyAlignment="1">
      <alignment vertical="center" shrinkToFit="1"/>
    </xf>
    <xf numFmtId="0" fontId="7" fillId="0" borderId="38" xfId="0" applyFont="1" applyFill="1" applyBorder="1" applyAlignment="1">
      <alignment vertical="center" shrinkToFit="1"/>
    </xf>
    <xf numFmtId="0" fontId="5" fillId="0" borderId="32" xfId="0" applyFont="1" applyFill="1" applyBorder="1" applyAlignment="1">
      <alignment vertical="center" shrinkToFit="1"/>
    </xf>
    <xf numFmtId="0" fontId="7" fillId="0" borderId="37" xfId="0" applyFont="1" applyFill="1" applyBorder="1" applyAlignment="1">
      <alignment vertical="center" shrinkToFit="1"/>
    </xf>
    <xf numFmtId="0" fontId="7" fillId="0" borderId="38" xfId="0" applyFont="1" applyFill="1" applyBorder="1" applyAlignment="1">
      <alignment vertical="center" shrinkToFit="1"/>
    </xf>
    <xf numFmtId="0" fontId="7" fillId="0" borderId="25" xfId="0" applyFont="1" applyFill="1" applyBorder="1" applyAlignment="1">
      <alignment vertical="center" shrinkToFit="1"/>
    </xf>
    <xf numFmtId="3" fontId="7" fillId="0" borderId="13" xfId="0" applyNumberFormat="1" applyFont="1" applyFill="1" applyBorder="1" applyAlignment="1">
      <alignment vertical="center" shrinkToFit="1"/>
    </xf>
    <xf numFmtId="3" fontId="5" fillId="0" borderId="40" xfId="0" applyNumberFormat="1" applyFont="1" applyFill="1" applyBorder="1" applyAlignment="1">
      <alignment horizontal="center" vertical="center"/>
    </xf>
    <xf numFmtId="3" fontId="5" fillId="0" borderId="41" xfId="0" applyNumberFormat="1" applyFont="1" applyFill="1" applyBorder="1" applyAlignment="1">
      <alignment horizontal="center" vertical="center"/>
    </xf>
    <xf numFmtId="3" fontId="7" fillId="0" borderId="42" xfId="0" applyNumberFormat="1" applyFont="1" applyFill="1" applyBorder="1" applyAlignment="1">
      <alignment horizontal="center" vertical="center" shrinkToFit="1"/>
    </xf>
    <xf numFmtId="3" fontId="7" fillId="0" borderId="43" xfId="0" applyNumberFormat="1" applyFont="1" applyFill="1" applyBorder="1" applyAlignment="1">
      <alignment vertical="center" shrinkToFit="1"/>
    </xf>
    <xf numFmtId="3" fontId="7" fillId="0" borderId="44" xfId="0" applyNumberFormat="1" applyFont="1" applyFill="1" applyBorder="1" applyAlignment="1">
      <alignment vertical="center" shrinkToFit="1"/>
    </xf>
    <xf numFmtId="3" fontId="5" fillId="0" borderId="44" xfId="0" applyNumberFormat="1" applyFont="1" applyFill="1" applyBorder="1" applyAlignment="1">
      <alignment vertical="center" shrinkToFit="1"/>
    </xf>
    <xf numFmtId="3" fontId="5" fillId="0" borderId="44" xfId="0" applyNumberFormat="1" applyFont="1" applyFill="1" applyBorder="1" applyAlignment="1">
      <alignment vertical="center" shrinkToFit="1"/>
    </xf>
    <xf numFmtId="3" fontId="5" fillId="0" borderId="45" xfId="0" applyNumberFormat="1" applyFont="1" applyFill="1" applyBorder="1" applyAlignment="1">
      <alignment vertical="center" shrinkToFit="1"/>
    </xf>
    <xf numFmtId="3" fontId="5" fillId="0" borderId="46" xfId="0" applyNumberFormat="1" applyFont="1" applyFill="1" applyBorder="1" applyAlignment="1">
      <alignment vertical="center" shrinkToFit="1"/>
    </xf>
    <xf numFmtId="3" fontId="5" fillId="0" borderId="45" xfId="0" applyNumberFormat="1" applyFont="1" applyFill="1" applyBorder="1" applyAlignment="1">
      <alignment vertical="center" shrinkToFit="1"/>
    </xf>
    <xf numFmtId="3" fontId="7" fillId="0" borderId="46" xfId="0" applyNumberFormat="1" applyFont="1" applyFill="1" applyBorder="1" applyAlignment="1">
      <alignment vertical="center" shrinkToFit="1"/>
    </xf>
    <xf numFmtId="3" fontId="7" fillId="0" borderId="30" xfId="0" applyNumberFormat="1" applyFont="1" applyFill="1" applyBorder="1" applyAlignment="1">
      <alignment vertical="center" shrinkToFit="1"/>
    </xf>
    <xf numFmtId="3" fontId="5" fillId="0" borderId="16" xfId="0" applyNumberFormat="1" applyFont="1" applyFill="1" applyBorder="1" applyAlignment="1">
      <alignment vertical="center" shrinkToFit="1"/>
    </xf>
    <xf numFmtId="3" fontId="5" fillId="0" borderId="16" xfId="0" applyNumberFormat="1" applyFont="1" applyFill="1" applyBorder="1" applyAlignment="1">
      <alignment vertical="center" shrinkToFit="1"/>
    </xf>
    <xf numFmtId="0" fontId="1" fillId="0" borderId="23" xfId="0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left" vertical="center" indent="1"/>
    </xf>
    <xf numFmtId="3" fontId="0" fillId="0" borderId="21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vertical="center" shrinkToFit="1"/>
    </xf>
    <xf numFmtId="3" fontId="5" fillId="0" borderId="41" xfId="0" applyNumberFormat="1" applyFont="1" applyFill="1" applyBorder="1" applyAlignment="1">
      <alignment vertical="center" shrinkToFit="1"/>
    </xf>
    <xf numFmtId="3" fontId="5" fillId="0" borderId="15" xfId="0" applyNumberFormat="1" applyFont="1" applyFill="1" applyBorder="1" applyAlignment="1">
      <alignment vertical="center" shrinkToFit="1"/>
    </xf>
    <xf numFmtId="3" fontId="7" fillId="0" borderId="47" xfId="0" applyNumberFormat="1" applyFont="1" applyFill="1" applyBorder="1" applyAlignment="1">
      <alignment vertical="center" shrinkToFit="1"/>
    </xf>
    <xf numFmtId="3" fontId="5" fillId="0" borderId="48" xfId="0" applyNumberFormat="1" applyFont="1" applyFill="1" applyBorder="1" applyAlignment="1">
      <alignment vertical="center" shrinkToFit="1"/>
    </xf>
    <xf numFmtId="3" fontId="7" fillId="0" borderId="49" xfId="0" applyNumberFormat="1" applyFont="1" applyFill="1" applyBorder="1" applyAlignment="1">
      <alignment vertical="center" shrinkToFit="1"/>
    </xf>
    <xf numFmtId="3" fontId="5" fillId="0" borderId="48" xfId="0" applyNumberFormat="1" applyFont="1" applyFill="1" applyBorder="1" applyAlignment="1">
      <alignment vertical="center" shrinkToFit="1"/>
    </xf>
    <xf numFmtId="3" fontId="5" fillId="0" borderId="50" xfId="0" applyNumberFormat="1" applyFont="1" applyFill="1" applyBorder="1" applyAlignment="1">
      <alignment vertical="center" shrinkToFit="1"/>
    </xf>
    <xf numFmtId="3" fontId="5" fillId="0" borderId="49" xfId="0" applyNumberFormat="1" applyFont="1" applyFill="1" applyBorder="1" applyAlignment="1">
      <alignment vertical="center" shrinkToFit="1"/>
    </xf>
    <xf numFmtId="3" fontId="5" fillId="0" borderId="42" xfId="0" applyNumberFormat="1" applyFont="1" applyFill="1" applyBorder="1" applyAlignment="1">
      <alignment horizontal="center" vertical="center" shrinkToFit="1"/>
    </xf>
    <xf numFmtId="0" fontId="1" fillId="0" borderId="5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52" xfId="0" applyFont="1" applyFill="1" applyBorder="1" applyAlignment="1">
      <alignment vertical="center" shrinkToFit="1"/>
    </xf>
    <xf numFmtId="0" fontId="7" fillId="0" borderId="53" xfId="0" applyFont="1" applyFill="1" applyBorder="1" applyAlignment="1">
      <alignment vertical="center" shrinkToFit="1"/>
    </xf>
    <xf numFmtId="0" fontId="7" fillId="0" borderId="28" xfId="0" applyFont="1" applyFill="1" applyBorder="1" applyAlignment="1">
      <alignment vertical="center" shrinkToFit="1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20" xfId="0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 vertical="center"/>
    </xf>
    <xf numFmtId="49" fontId="7" fillId="0" borderId="24" xfId="0" applyNumberFormat="1" applyFont="1" applyFill="1" applyBorder="1" applyAlignment="1">
      <alignment vertical="center"/>
    </xf>
    <xf numFmtId="0" fontId="5" fillId="0" borderId="54" xfId="0" applyFont="1" applyFill="1" applyBorder="1" applyAlignment="1">
      <alignment vertical="center" shrinkToFit="1"/>
    </xf>
    <xf numFmtId="3" fontId="5" fillId="0" borderId="55" xfId="0" applyNumberFormat="1" applyFont="1" applyFill="1" applyBorder="1" applyAlignment="1">
      <alignment vertical="center" shrinkToFit="1"/>
    </xf>
    <xf numFmtId="0" fontId="5" fillId="0" borderId="23" xfId="0" applyFont="1" applyFill="1" applyBorder="1" applyAlignment="1">
      <alignment vertical="center" shrinkToFit="1"/>
    </xf>
    <xf numFmtId="3" fontId="5" fillId="0" borderId="21" xfId="0" applyNumberFormat="1" applyFont="1" applyFill="1" applyBorder="1" applyAlignment="1">
      <alignment vertical="center" shrinkToFit="1"/>
    </xf>
    <xf numFmtId="3" fontId="5" fillId="0" borderId="56" xfId="0" applyNumberFormat="1" applyFont="1" applyFill="1" applyBorder="1" applyAlignment="1">
      <alignment vertical="center" shrinkToFit="1"/>
    </xf>
    <xf numFmtId="3" fontId="5" fillId="0" borderId="57" xfId="0" applyNumberFormat="1" applyFont="1" applyFill="1" applyBorder="1" applyAlignment="1">
      <alignment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/>
    </xf>
    <xf numFmtId="3" fontId="7" fillId="0" borderId="58" xfId="0" applyNumberFormat="1" applyFont="1" applyFill="1" applyBorder="1" applyAlignment="1">
      <alignment vertical="center" shrinkToFit="1"/>
    </xf>
    <xf numFmtId="3" fontId="7" fillId="0" borderId="59" xfId="0" applyNumberFormat="1" applyFont="1" applyFill="1" applyBorder="1" applyAlignment="1">
      <alignment vertical="center" shrinkToFit="1"/>
    </xf>
    <xf numFmtId="3" fontId="5" fillId="0" borderId="58" xfId="0" applyNumberFormat="1" applyFont="1" applyFill="1" applyBorder="1" applyAlignment="1">
      <alignment vertical="center" shrinkToFit="1"/>
    </xf>
    <xf numFmtId="3" fontId="5" fillId="0" borderId="59" xfId="0" applyNumberFormat="1" applyFont="1" applyFill="1" applyBorder="1" applyAlignment="1">
      <alignment vertical="center" shrinkToFit="1"/>
    </xf>
    <xf numFmtId="3" fontId="5" fillId="0" borderId="60" xfId="0" applyNumberFormat="1" applyFont="1" applyFill="1" applyBorder="1" applyAlignment="1">
      <alignment vertical="center" shrinkToFit="1"/>
    </xf>
    <xf numFmtId="3" fontId="5" fillId="0" borderId="61" xfId="0" applyNumberFormat="1" applyFont="1" applyFill="1" applyBorder="1" applyAlignment="1">
      <alignment vertical="center" shrinkToFit="1"/>
    </xf>
    <xf numFmtId="3" fontId="5" fillId="0" borderId="62" xfId="0" applyNumberFormat="1" applyFont="1" applyFill="1" applyBorder="1" applyAlignment="1">
      <alignment vertical="center" shrinkToFit="1"/>
    </xf>
    <xf numFmtId="3" fontId="5" fillId="0" borderId="63" xfId="0" applyNumberFormat="1" applyFont="1" applyFill="1" applyBorder="1" applyAlignment="1">
      <alignment vertical="center" shrinkToFit="1"/>
    </xf>
    <xf numFmtId="3" fontId="5" fillId="0" borderId="41" xfId="0" applyNumberFormat="1" applyFont="1" applyFill="1" applyBorder="1" applyAlignment="1">
      <alignment vertical="center" shrinkToFit="1"/>
    </xf>
    <xf numFmtId="3" fontId="5" fillId="0" borderId="64" xfId="0" applyNumberFormat="1" applyFont="1" applyFill="1" applyBorder="1" applyAlignment="1">
      <alignment vertical="center" shrinkToFit="1"/>
    </xf>
    <xf numFmtId="3" fontId="5" fillId="0" borderId="65" xfId="0" applyNumberFormat="1" applyFont="1" applyFill="1" applyBorder="1" applyAlignment="1">
      <alignment vertical="center" shrinkToFit="1"/>
    </xf>
    <xf numFmtId="3" fontId="5" fillId="0" borderId="66" xfId="0" applyNumberFormat="1" applyFont="1" applyFill="1" applyBorder="1" applyAlignment="1">
      <alignment vertical="center" shrinkToFit="1"/>
    </xf>
    <xf numFmtId="3" fontId="5" fillId="0" borderId="30" xfId="0" applyNumberFormat="1" applyFont="1" applyFill="1" applyBorder="1" applyAlignment="1">
      <alignment vertical="center" shrinkToFit="1"/>
    </xf>
    <xf numFmtId="3" fontId="7" fillId="0" borderId="67" xfId="0" applyNumberFormat="1" applyFont="1" applyFill="1" applyBorder="1" applyAlignment="1">
      <alignment vertical="center" shrinkToFit="1"/>
    </xf>
    <xf numFmtId="3" fontId="7" fillId="0" borderId="68" xfId="0" applyNumberFormat="1" applyFont="1" applyFill="1" applyBorder="1" applyAlignment="1">
      <alignment vertical="center" shrinkToFit="1"/>
    </xf>
    <xf numFmtId="3" fontId="5" fillId="0" borderId="69" xfId="0" applyNumberFormat="1" applyFont="1" applyFill="1" applyBorder="1" applyAlignment="1">
      <alignment vertical="center" shrinkToFit="1"/>
    </xf>
    <xf numFmtId="3" fontId="5" fillId="0" borderId="0" xfId="0" applyNumberFormat="1" applyFont="1" applyFill="1" applyBorder="1" applyAlignment="1">
      <alignment vertical="center" shrinkToFit="1"/>
    </xf>
    <xf numFmtId="3" fontId="0" fillId="0" borderId="21" xfId="0" applyNumberFormat="1" applyFont="1" applyFill="1" applyBorder="1" applyAlignment="1">
      <alignment vertical="center"/>
    </xf>
    <xf numFmtId="3" fontId="5" fillId="0" borderId="70" xfId="0" applyNumberFormat="1" applyFont="1" applyFill="1" applyBorder="1" applyAlignment="1">
      <alignment vertical="center" shrinkToFit="1"/>
    </xf>
    <xf numFmtId="3" fontId="5" fillId="0" borderId="15" xfId="0" applyNumberFormat="1" applyFont="1" applyFill="1" applyBorder="1" applyAlignment="1">
      <alignment vertical="center" shrinkToFit="1"/>
    </xf>
    <xf numFmtId="3" fontId="5" fillId="0" borderId="71" xfId="0" applyNumberFormat="1" applyFont="1" applyFill="1" applyBorder="1" applyAlignment="1">
      <alignment vertical="center" shrinkToFit="1"/>
    </xf>
    <xf numFmtId="3" fontId="14" fillId="0" borderId="0" xfId="0" applyNumberFormat="1" applyFont="1" applyFill="1" applyAlignment="1">
      <alignment/>
    </xf>
    <xf numFmtId="0" fontId="7" fillId="0" borderId="54" xfId="0" applyFont="1" applyFill="1" applyBorder="1" applyAlignment="1">
      <alignment vertical="center" shrinkToFit="1"/>
    </xf>
    <xf numFmtId="0" fontId="7" fillId="0" borderId="20" xfId="0" applyFont="1" applyFill="1" applyBorder="1" applyAlignment="1">
      <alignment vertical="center" shrinkToFit="1"/>
    </xf>
    <xf numFmtId="3" fontId="5" fillId="0" borderId="22" xfId="0" applyNumberFormat="1" applyFont="1" applyFill="1" applyBorder="1" applyAlignment="1">
      <alignment vertical="center" shrinkToFit="1"/>
    </xf>
    <xf numFmtId="3" fontId="7" fillId="0" borderId="72" xfId="0" applyNumberFormat="1" applyFont="1" applyFill="1" applyBorder="1" applyAlignment="1">
      <alignment vertical="center" shrinkToFit="1"/>
    </xf>
    <xf numFmtId="3" fontId="5" fillId="0" borderId="73" xfId="0" applyNumberFormat="1" applyFont="1" applyFill="1" applyBorder="1" applyAlignment="1">
      <alignment vertical="center" shrinkToFit="1"/>
    </xf>
    <xf numFmtId="3" fontId="5" fillId="0" borderId="74" xfId="0" applyNumberFormat="1" applyFont="1" applyFill="1" applyBorder="1" applyAlignment="1">
      <alignment vertical="center" shrinkToFit="1"/>
    </xf>
    <xf numFmtId="3" fontId="7" fillId="0" borderId="40" xfId="0" applyNumberFormat="1" applyFont="1" applyFill="1" applyBorder="1" applyAlignment="1">
      <alignment vertical="center" shrinkToFit="1"/>
    </xf>
    <xf numFmtId="3" fontId="7" fillId="0" borderId="73" xfId="0" applyNumberFormat="1" applyFont="1" applyFill="1" applyBorder="1" applyAlignment="1">
      <alignment vertical="center" shrinkToFit="1"/>
    </xf>
    <xf numFmtId="3" fontId="7" fillId="0" borderId="56" xfId="0" applyNumberFormat="1" applyFont="1" applyFill="1" applyBorder="1" applyAlignment="1">
      <alignment vertical="center" shrinkToFit="1"/>
    </xf>
    <xf numFmtId="3" fontId="7" fillId="0" borderId="49" xfId="0" applyNumberFormat="1" applyFont="1" applyFill="1" applyBorder="1" applyAlignment="1">
      <alignment vertical="center" shrinkToFit="1"/>
    </xf>
    <xf numFmtId="3" fontId="7" fillId="0" borderId="72" xfId="43" applyNumberFormat="1" applyFont="1" applyFill="1" applyBorder="1" applyAlignment="1" applyProtection="1">
      <alignment vertical="center" shrinkToFit="1"/>
      <protection/>
    </xf>
    <xf numFmtId="3" fontId="7" fillId="0" borderId="0" xfId="0" applyNumberFormat="1" applyFont="1" applyFill="1" applyBorder="1" applyAlignment="1">
      <alignment vertical="center" shrinkToFit="1"/>
    </xf>
    <xf numFmtId="3" fontId="7" fillId="0" borderId="75" xfId="0" applyNumberFormat="1" applyFont="1" applyFill="1" applyBorder="1" applyAlignment="1">
      <alignment vertical="center" shrinkToFit="1"/>
    </xf>
    <xf numFmtId="3" fontId="5" fillId="0" borderId="75" xfId="0" applyNumberFormat="1" applyFont="1" applyFill="1" applyBorder="1" applyAlignment="1">
      <alignment vertical="center" shrinkToFit="1"/>
    </xf>
    <xf numFmtId="3" fontId="5" fillId="0" borderId="76" xfId="0" applyNumberFormat="1" applyFont="1" applyFill="1" applyBorder="1" applyAlignment="1">
      <alignment vertical="center" shrinkToFit="1"/>
    </xf>
    <xf numFmtId="3" fontId="5" fillId="0" borderId="77" xfId="0" applyNumberFormat="1" applyFont="1" applyFill="1" applyBorder="1" applyAlignment="1">
      <alignment vertical="center" shrinkToFit="1"/>
    </xf>
    <xf numFmtId="3" fontId="5" fillId="0" borderId="26" xfId="0" applyNumberFormat="1" applyFont="1" applyFill="1" applyBorder="1" applyAlignment="1">
      <alignment vertical="center" shrinkToFit="1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shrinkToFit="1"/>
    </xf>
    <xf numFmtId="3" fontId="0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78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 shrinkToFit="1"/>
    </xf>
    <xf numFmtId="0" fontId="5" fillId="0" borderId="8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5" fillId="0" borderId="81" xfId="0" applyNumberFormat="1" applyFont="1" applyFill="1" applyBorder="1" applyAlignment="1">
      <alignment horizontal="center" vertical="center"/>
    </xf>
    <xf numFmtId="3" fontId="5" fillId="0" borderId="82" xfId="0" applyNumberFormat="1" applyFont="1" applyFill="1" applyBorder="1" applyAlignment="1">
      <alignment horizontal="center" vertical="center"/>
    </xf>
    <xf numFmtId="3" fontId="5" fillId="0" borderId="68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3" fontId="5" fillId="0" borderId="85" xfId="0" applyNumberFormat="1" applyFont="1" applyFill="1" applyBorder="1" applyAlignment="1">
      <alignment horizontal="center" vertical="center"/>
    </xf>
    <xf numFmtId="3" fontId="5" fillId="0" borderId="67" xfId="0" applyNumberFormat="1" applyFont="1" applyFill="1" applyBorder="1" applyAlignment="1">
      <alignment horizontal="center" vertical="center"/>
    </xf>
    <xf numFmtId="3" fontId="5" fillId="0" borderId="86" xfId="0" applyNumberFormat="1" applyFont="1" applyFill="1" applyBorder="1" applyAlignment="1">
      <alignment horizontal="center" vertical="center"/>
    </xf>
    <xf numFmtId="3" fontId="5" fillId="0" borderId="47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43" xfId="0" applyNumberFormat="1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 shrinkToFit="1"/>
    </xf>
    <xf numFmtId="0" fontId="7" fillId="0" borderId="88" xfId="0" applyFont="1" applyFill="1" applyBorder="1" applyAlignment="1">
      <alignment horizontal="center" vertical="center" shrinkToFi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="80" zoomScaleNormal="80" zoomScalePageLayoutView="0" workbookViewId="0" topLeftCell="B7">
      <pane ySplit="10" topLeftCell="A17" activePane="bottomLeft" state="frozen"/>
      <selection pane="topLeft" activeCell="A7" sqref="A7"/>
      <selection pane="bottomLeft" activeCell="P52" sqref="P52"/>
    </sheetView>
  </sheetViews>
  <sheetFormatPr defaultColWidth="9.00390625" defaultRowHeight="12.75"/>
  <cols>
    <col min="1" max="1" width="3.125" style="36" customWidth="1"/>
    <col min="2" max="2" width="36.625" style="17" customWidth="1"/>
    <col min="3" max="3" width="12.25390625" style="21" customWidth="1"/>
    <col min="4" max="4" width="10.625" style="21" customWidth="1"/>
    <col min="5" max="5" width="10.00390625" style="21" customWidth="1"/>
    <col min="6" max="6" width="10.625" style="21" customWidth="1"/>
    <col min="7" max="7" width="10.00390625" style="21" customWidth="1"/>
    <col min="8" max="8" width="10.625" style="21" customWidth="1"/>
    <col min="9" max="9" width="11.125" style="21" customWidth="1"/>
    <col min="10" max="10" width="10.75390625" style="21" customWidth="1"/>
    <col min="11" max="14" width="10.00390625" style="21" customWidth="1"/>
    <col min="15" max="15" width="11.25390625" style="21" customWidth="1"/>
    <col min="16" max="16" width="11.125" style="21" customWidth="1"/>
    <col min="17" max="17" width="11.375" style="130" customWidth="1"/>
    <col min="18" max="18" width="10.875" style="124" bestFit="1" customWidth="1"/>
    <col min="19" max="19" width="11.625" style="124" bestFit="1" customWidth="1"/>
    <col min="20" max="20" width="9.125" style="125" customWidth="1"/>
    <col min="21" max="16384" width="9.125" style="21" customWidth="1"/>
  </cols>
  <sheetData>
    <row r="1" spans="1:16" ht="12.75">
      <c r="A1" s="19"/>
      <c r="B1" s="42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2.75">
      <c r="A2" s="19"/>
      <c r="B2" s="42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89" t="s">
        <v>40</v>
      </c>
      <c r="P2" s="189"/>
    </row>
    <row r="3" spans="1:16" ht="12.75">
      <c r="A3" s="19"/>
      <c r="B3" s="42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12.75">
      <c r="A4" s="19"/>
      <c r="B4" s="42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12.75">
      <c r="A5" s="19"/>
      <c r="B5" s="42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12.75">
      <c r="A6" s="19"/>
      <c r="B6" s="42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12.75">
      <c r="A7" s="19"/>
      <c r="B7" s="42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191" t="s">
        <v>93</v>
      </c>
      <c r="P7" s="191"/>
    </row>
    <row r="8" spans="1:16" ht="21" customHeight="1">
      <c r="A8" s="190" t="s">
        <v>100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</row>
    <row r="9" spans="1:16" ht="12.75">
      <c r="A9" s="22"/>
      <c r="B9" s="43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ht="12.75">
      <c r="A10" s="22"/>
      <c r="B10" s="43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140"/>
      <c r="N10" s="22"/>
      <c r="O10" s="22"/>
      <c r="P10" s="22"/>
    </row>
    <row r="11" spans="1:16" ht="12.75">
      <c r="A11" s="22"/>
      <c r="B11" s="43"/>
      <c r="C11" s="22"/>
      <c r="D11" s="47"/>
      <c r="E11" s="48"/>
      <c r="F11" s="47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ht="15" customHeight="1">
      <c r="A12" s="22"/>
      <c r="B12" s="43"/>
      <c r="C12" s="48"/>
      <c r="D12" s="47"/>
      <c r="E12" s="48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3.5" thickBot="1">
      <c r="A13" s="19"/>
      <c r="B13" s="42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51" t="s">
        <v>0</v>
      </c>
    </row>
    <row r="14" spans="1:16" ht="17.25" customHeight="1" thickBot="1">
      <c r="A14" s="196" t="s">
        <v>1</v>
      </c>
      <c r="B14" s="196"/>
      <c r="C14" s="187" t="s">
        <v>102</v>
      </c>
      <c r="D14" s="185" t="s">
        <v>2</v>
      </c>
      <c r="E14" s="185" t="s">
        <v>3</v>
      </c>
      <c r="F14" s="185" t="s">
        <v>4</v>
      </c>
      <c r="G14" s="185" t="s">
        <v>5</v>
      </c>
      <c r="H14" s="185" t="s">
        <v>6</v>
      </c>
      <c r="I14" s="185" t="s">
        <v>7</v>
      </c>
      <c r="J14" s="185" t="s">
        <v>8</v>
      </c>
      <c r="K14" s="185" t="s">
        <v>9</v>
      </c>
      <c r="L14" s="185" t="s">
        <v>10</v>
      </c>
      <c r="M14" s="185" t="s">
        <v>11</v>
      </c>
      <c r="N14" s="185" t="s">
        <v>12</v>
      </c>
      <c r="O14" s="185" t="s">
        <v>13</v>
      </c>
      <c r="P14" s="185" t="s">
        <v>14</v>
      </c>
    </row>
    <row r="15" spans="1:16" ht="13.5" thickBot="1">
      <c r="A15" s="196"/>
      <c r="B15" s="196"/>
      <c r="C15" s="188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</row>
    <row r="16" spans="1:16" ht="15" customHeight="1" thickBot="1">
      <c r="A16" s="197">
        <v>1</v>
      </c>
      <c r="B16" s="198"/>
      <c r="C16" s="23">
        <v>2</v>
      </c>
      <c r="D16" s="23">
        <v>3</v>
      </c>
      <c r="E16" s="23">
        <v>4</v>
      </c>
      <c r="F16" s="23">
        <v>5</v>
      </c>
      <c r="G16" s="23">
        <v>6</v>
      </c>
      <c r="H16" s="23">
        <v>7</v>
      </c>
      <c r="I16" s="23">
        <v>8</v>
      </c>
      <c r="J16" s="23">
        <v>9</v>
      </c>
      <c r="K16" s="23">
        <v>10</v>
      </c>
      <c r="L16" s="23">
        <v>11</v>
      </c>
      <c r="M16" s="23">
        <v>12</v>
      </c>
      <c r="N16" s="23">
        <v>13</v>
      </c>
      <c r="O16" s="23">
        <v>14</v>
      </c>
      <c r="P16" s="23">
        <v>15</v>
      </c>
    </row>
    <row r="17" spans="1:17" ht="15" customHeight="1">
      <c r="A17" s="24" t="s">
        <v>15</v>
      </c>
      <c r="B17" s="25" t="s">
        <v>78</v>
      </c>
      <c r="C17" s="26">
        <f>SUM(C18:C22)</f>
        <v>19749590</v>
      </c>
      <c r="D17" s="26">
        <f aca="true" t="shared" si="0" ref="D17:N17">SUM(D18:D22)</f>
        <v>1653556</v>
      </c>
      <c r="E17" s="26">
        <f t="shared" si="0"/>
        <v>1619006</v>
      </c>
      <c r="F17" s="26">
        <f t="shared" si="0"/>
        <v>1616771</v>
      </c>
      <c r="G17" s="26">
        <f t="shared" si="0"/>
        <v>1717786</v>
      </c>
      <c r="H17" s="26">
        <f t="shared" si="0"/>
        <v>1551477</v>
      </c>
      <c r="I17" s="26">
        <f t="shared" si="0"/>
        <v>1723710</v>
      </c>
      <c r="J17" s="26">
        <f t="shared" si="0"/>
        <v>1567285</v>
      </c>
      <c r="K17" s="26">
        <f t="shared" si="0"/>
        <v>1576746</v>
      </c>
      <c r="L17" s="26">
        <f t="shared" si="0"/>
        <v>1536409</v>
      </c>
      <c r="M17" s="26">
        <f t="shared" si="0"/>
        <v>1571747</v>
      </c>
      <c r="N17" s="26">
        <f t="shared" si="0"/>
        <v>1642019</v>
      </c>
      <c r="O17" s="26">
        <f>SUM(O18:O22)</f>
        <v>1973078</v>
      </c>
      <c r="P17" s="108">
        <f>SUM(D17:O17)</f>
        <v>19749590</v>
      </c>
      <c r="Q17" s="130">
        <f>+C17-P17</f>
        <v>0</v>
      </c>
    </row>
    <row r="18" spans="1:19" ht="15" customHeight="1">
      <c r="A18" s="28"/>
      <c r="B18" s="44" t="s">
        <v>16</v>
      </c>
      <c r="C18" s="128">
        <v>4496683</v>
      </c>
      <c r="D18" s="29">
        <f>335995+28525</f>
        <v>364520</v>
      </c>
      <c r="E18" s="29">
        <v>335995</v>
      </c>
      <c r="F18" s="29">
        <v>335995</v>
      </c>
      <c r="G18" s="29">
        <f>300784+198204</f>
        <v>498988</v>
      </c>
      <c r="H18" s="29">
        <v>335995</v>
      </c>
      <c r="I18" s="29">
        <f aca="true" t="shared" si="1" ref="I18:N18">335995+10550</f>
        <v>346545</v>
      </c>
      <c r="J18" s="29">
        <f t="shared" si="1"/>
        <v>346545</v>
      </c>
      <c r="K18" s="29">
        <f t="shared" si="1"/>
        <v>346545</v>
      </c>
      <c r="L18" s="29">
        <f t="shared" si="1"/>
        <v>346545</v>
      </c>
      <c r="M18" s="29">
        <f>335995+10550+11567</f>
        <v>358112</v>
      </c>
      <c r="N18" s="29">
        <f t="shared" si="1"/>
        <v>346545</v>
      </c>
      <c r="O18" s="29">
        <f>300784-3+198500+6+35066</f>
        <v>534353</v>
      </c>
      <c r="P18" s="18">
        <f aca="true" t="shared" si="2" ref="P18:P49">SUM(D18:O18)</f>
        <v>4496683</v>
      </c>
      <c r="Q18" s="130">
        <f aca="true" t="shared" si="3" ref="Q18:Q51">+C18-P18</f>
        <v>0</v>
      </c>
      <c r="R18" s="124">
        <v>4496683</v>
      </c>
      <c r="S18" s="124">
        <f>+R18-P18</f>
        <v>0</v>
      </c>
    </row>
    <row r="19" spans="1:19" ht="15" customHeight="1">
      <c r="A19" s="28"/>
      <c r="B19" s="44" t="s">
        <v>68</v>
      </c>
      <c r="C19" s="128">
        <v>885023</v>
      </c>
      <c r="D19" s="29">
        <f>64684+15541</f>
        <v>80225</v>
      </c>
      <c r="E19" s="29">
        <v>64684</v>
      </c>
      <c r="F19" s="29">
        <v>64684</v>
      </c>
      <c r="G19" s="29">
        <v>64684</v>
      </c>
      <c r="H19" s="29">
        <f>68326+31070</f>
        <v>99396</v>
      </c>
      <c r="I19" s="29">
        <f>64686-2277+2728</f>
        <v>65137</v>
      </c>
      <c r="J19" s="29">
        <f>64684+2728</f>
        <v>67412</v>
      </c>
      <c r="K19" s="29">
        <f>64684+2728</f>
        <v>67412</v>
      </c>
      <c r="L19" s="29">
        <f>64684+2728</f>
        <v>67412</v>
      </c>
      <c r="M19" s="29">
        <f>64684+2728+1847</f>
        <v>69259</v>
      </c>
      <c r="N19" s="29">
        <f>64684+2728</f>
        <v>67412</v>
      </c>
      <c r="O19" s="29">
        <f>68326-3+31069-4+7918</f>
        <v>107306</v>
      </c>
      <c r="P19" s="18">
        <f t="shared" si="2"/>
        <v>885023</v>
      </c>
      <c r="Q19" s="130">
        <f t="shared" si="3"/>
        <v>0</v>
      </c>
      <c r="R19" s="124">
        <v>885023</v>
      </c>
      <c r="S19" s="124">
        <f aca="true" t="shared" si="4" ref="S19:S51">+R19-P19</f>
        <v>0</v>
      </c>
    </row>
    <row r="20" spans="1:19" ht="15" customHeight="1">
      <c r="A20" s="28"/>
      <c r="B20" s="44" t="s">
        <v>38</v>
      </c>
      <c r="C20" s="128">
        <v>12070114</v>
      </c>
      <c r="D20" s="29">
        <f>1036027+1-1466</f>
        <v>1034562</v>
      </c>
      <c r="E20" s="29">
        <f>1036027+1-1466+1500+7531</f>
        <v>1043593</v>
      </c>
      <c r="F20" s="29">
        <f>1036027+1-1466+6780</f>
        <v>1041342</v>
      </c>
      <c r="G20" s="29">
        <f>1036027+1-1466</f>
        <v>1034562</v>
      </c>
      <c r="H20" s="29">
        <f>1036027+1-1466-36528</f>
        <v>998034</v>
      </c>
      <c r="I20" s="29">
        <f>1036027+1-1466+2277-36528</f>
        <v>1000311</v>
      </c>
      <c r="J20" s="29">
        <f>1036027+1-1466-36528</f>
        <v>998034</v>
      </c>
      <c r="K20" s="29">
        <f>1036027+1-1466-36528</f>
        <v>998034</v>
      </c>
      <c r="L20" s="29">
        <f>1036027+1-1466-36528</f>
        <v>998034</v>
      </c>
      <c r="M20" s="29">
        <f>1036027+1-1466-36528+17444</f>
        <v>1015478</v>
      </c>
      <c r="N20" s="29">
        <f>1036027+1-1466-36528</f>
        <v>998034</v>
      </c>
      <c r="O20" s="29">
        <f>1036027+1-1466-10-36528-2-87926</f>
        <v>910096</v>
      </c>
      <c r="P20" s="18">
        <f t="shared" si="2"/>
        <v>12070114</v>
      </c>
      <c r="Q20" s="130">
        <f t="shared" si="3"/>
        <v>0</v>
      </c>
      <c r="R20" s="124">
        <v>12070114</v>
      </c>
      <c r="S20" s="124">
        <f t="shared" si="4"/>
        <v>0</v>
      </c>
    </row>
    <row r="21" spans="1:19" ht="15" customHeight="1">
      <c r="A21" s="28"/>
      <c r="B21" s="44" t="s">
        <v>39</v>
      </c>
      <c r="C21" s="128">
        <v>627112</v>
      </c>
      <c r="D21" s="29">
        <f>50000+30515+3000-3920</f>
        <v>79595</v>
      </c>
      <c r="E21" s="29">
        <f>50000+30515+3500-3920</f>
        <v>80095</v>
      </c>
      <c r="F21" s="29">
        <f>50000+30515+3516-3920</f>
        <v>80111</v>
      </c>
      <c r="G21" s="29">
        <f>30515+2300+5000-3920</f>
        <v>33895</v>
      </c>
      <c r="H21" s="29">
        <f>30515+2300+5000-3920</f>
        <v>33895</v>
      </c>
      <c r="I21" s="29">
        <f>30515+2217+5000-3920</f>
        <v>33812</v>
      </c>
      <c r="J21" s="29">
        <f>30515-3920</f>
        <v>26595</v>
      </c>
      <c r="K21" s="29">
        <f>30515+7000-3920</f>
        <v>33595</v>
      </c>
      <c r="L21" s="29">
        <f>30515-3920</f>
        <v>26595</v>
      </c>
      <c r="M21" s="29">
        <f>30515+4476-3920</f>
        <v>31071</v>
      </c>
      <c r="N21" s="29">
        <f>50000+30515+1166+124-40000+34080-3920</f>
        <v>71965</v>
      </c>
      <c r="O21" s="29">
        <f>50000+30515+24205-15920-23996+34089-3920+3+912</f>
        <v>95888</v>
      </c>
      <c r="P21" s="18">
        <f t="shared" si="2"/>
        <v>627112</v>
      </c>
      <c r="Q21" s="130">
        <f t="shared" si="3"/>
        <v>0</v>
      </c>
      <c r="R21" s="124">
        <v>627112</v>
      </c>
      <c r="S21" s="124">
        <f t="shared" si="4"/>
        <v>0</v>
      </c>
    </row>
    <row r="22" spans="1:19" ht="15" customHeight="1">
      <c r="A22" s="28"/>
      <c r="B22" s="44" t="s">
        <v>52</v>
      </c>
      <c r="C22" s="128">
        <f>SUM(C24:C29)</f>
        <v>1670658</v>
      </c>
      <c r="D22" s="128">
        <f>SUM(D24:D29)</f>
        <v>94654</v>
      </c>
      <c r="E22" s="128">
        <f aca="true" t="shared" si="5" ref="E22:O22">SUM(E24:E29)</f>
        <v>94639</v>
      </c>
      <c r="F22" s="128">
        <f t="shared" si="5"/>
        <v>94639</v>
      </c>
      <c r="G22" s="128">
        <f t="shared" si="5"/>
        <v>85657</v>
      </c>
      <c r="H22" s="128">
        <f t="shared" si="5"/>
        <v>84157</v>
      </c>
      <c r="I22" s="128">
        <f t="shared" si="5"/>
        <v>277905</v>
      </c>
      <c r="J22" s="128">
        <f t="shared" si="5"/>
        <v>128699</v>
      </c>
      <c r="K22" s="128">
        <f t="shared" si="5"/>
        <v>131160</v>
      </c>
      <c r="L22" s="128">
        <f t="shared" si="5"/>
        <v>97823</v>
      </c>
      <c r="M22" s="128">
        <f t="shared" si="5"/>
        <v>97827</v>
      </c>
      <c r="N22" s="128">
        <f t="shared" si="5"/>
        <v>158063</v>
      </c>
      <c r="O22" s="128">
        <f t="shared" si="5"/>
        <v>325435</v>
      </c>
      <c r="P22" s="18">
        <f>SUM(D22:O22)</f>
        <v>1670658</v>
      </c>
      <c r="Q22" s="130">
        <f t="shared" si="3"/>
        <v>0</v>
      </c>
      <c r="R22" s="124">
        <v>1670658</v>
      </c>
      <c r="S22" s="124">
        <f t="shared" si="4"/>
        <v>0</v>
      </c>
    </row>
    <row r="23" spans="1:19" ht="12.75" customHeight="1" hidden="1">
      <c r="A23" s="119"/>
      <c r="B23" s="120"/>
      <c r="C23" s="158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0"/>
      <c r="P23" s="18">
        <f t="shared" si="2"/>
        <v>0</v>
      </c>
      <c r="Q23" s="130">
        <f t="shared" si="3"/>
        <v>0</v>
      </c>
      <c r="S23" s="124">
        <f t="shared" si="4"/>
        <v>0</v>
      </c>
    </row>
    <row r="24" spans="1:19" ht="12.75" customHeight="1">
      <c r="A24" s="105"/>
      <c r="B24" s="120" t="s">
        <v>86</v>
      </c>
      <c r="C24" s="158">
        <v>193748</v>
      </c>
      <c r="D24" s="31"/>
      <c r="E24" s="31"/>
      <c r="F24" s="31"/>
      <c r="G24" s="31"/>
      <c r="H24" s="31"/>
      <c r="I24" s="31">
        <v>193748</v>
      </c>
      <c r="J24" s="31"/>
      <c r="K24" s="31"/>
      <c r="L24" s="31"/>
      <c r="M24" s="31"/>
      <c r="N24" s="31"/>
      <c r="O24" s="30"/>
      <c r="P24" s="18">
        <f t="shared" si="2"/>
        <v>193748</v>
      </c>
      <c r="Q24" s="130">
        <f t="shared" si="3"/>
        <v>0</v>
      </c>
      <c r="R24" s="124">
        <v>193748</v>
      </c>
      <c r="S24" s="124">
        <f t="shared" si="4"/>
        <v>0</v>
      </c>
    </row>
    <row r="25" spans="1:19" ht="12.75" customHeight="1">
      <c r="A25" s="105"/>
      <c r="B25" s="120" t="s">
        <v>71</v>
      </c>
      <c r="C25" s="158">
        <v>332776</v>
      </c>
      <c r="D25" s="31">
        <v>34834</v>
      </c>
      <c r="E25" s="31">
        <v>34834</v>
      </c>
      <c r="F25" s="31">
        <v>34834</v>
      </c>
      <c r="G25" s="31">
        <f>34834+1500-10482</f>
        <v>25852</v>
      </c>
      <c r="H25" s="31">
        <f>34834-10482</f>
        <v>24352</v>
      </c>
      <c r="I25" s="31">
        <f>34834-10482</f>
        <v>24352</v>
      </c>
      <c r="J25" s="31">
        <f>34834+6231-10482</f>
        <v>30583</v>
      </c>
      <c r="K25" s="31">
        <f>34834+7597-10482</f>
        <v>31949</v>
      </c>
      <c r="L25" s="31">
        <f>34834-4</f>
        <v>34830</v>
      </c>
      <c r="M25" s="31">
        <v>34834</v>
      </c>
      <c r="N25" s="31">
        <f>34834+2277-25002</f>
        <v>12109</v>
      </c>
      <c r="O25" s="31">
        <f>34834-8-25413</f>
        <v>9413</v>
      </c>
      <c r="P25" s="18">
        <f t="shared" si="2"/>
        <v>332776</v>
      </c>
      <c r="Q25" s="130">
        <f t="shared" si="3"/>
        <v>0</v>
      </c>
      <c r="R25" s="124">
        <v>332776</v>
      </c>
      <c r="S25" s="124">
        <f t="shared" si="4"/>
        <v>0</v>
      </c>
    </row>
    <row r="26" spans="1:19" ht="12.75" customHeight="1">
      <c r="A26" s="105"/>
      <c r="B26" s="120" t="s">
        <v>87</v>
      </c>
      <c r="C26" s="158">
        <v>0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107"/>
      <c r="P26" s="18">
        <f t="shared" si="2"/>
        <v>0</v>
      </c>
      <c r="Q26" s="130">
        <f t="shared" si="3"/>
        <v>0</v>
      </c>
      <c r="R26" s="124">
        <v>0</v>
      </c>
      <c r="S26" s="124">
        <f t="shared" si="4"/>
        <v>0</v>
      </c>
    </row>
    <row r="27" spans="1:19" ht="12.75" customHeight="1">
      <c r="A27" s="105"/>
      <c r="B27" s="120" t="s">
        <v>72</v>
      </c>
      <c r="C27" s="158">
        <v>887705</v>
      </c>
      <c r="D27" s="31">
        <f>59805+15</f>
        <v>59820</v>
      </c>
      <c r="E27" s="31">
        <v>59805</v>
      </c>
      <c r="F27" s="31">
        <v>59805</v>
      </c>
      <c r="G27" s="31">
        <v>59805</v>
      </c>
      <c r="H27" s="31">
        <v>59805</v>
      </c>
      <c r="I27" s="31">
        <v>59805</v>
      </c>
      <c r="J27" s="31">
        <f>59805+35123+3188</f>
        <v>98116</v>
      </c>
      <c r="K27" s="31">
        <f>59805+36218+3188</f>
        <v>99211</v>
      </c>
      <c r="L27" s="31">
        <f>59805+3188</f>
        <v>62993</v>
      </c>
      <c r="M27" s="31">
        <f>59805+3188</f>
        <v>62993</v>
      </c>
      <c r="N27" s="31">
        <f>59805+3188+62602+20359</f>
        <v>145954</v>
      </c>
      <c r="O27" s="31">
        <f>59805-3400+3188</f>
        <v>59593</v>
      </c>
      <c r="P27" s="18">
        <f t="shared" si="2"/>
        <v>887705</v>
      </c>
      <c r="Q27" s="130">
        <f t="shared" si="3"/>
        <v>0</v>
      </c>
      <c r="R27" s="124">
        <v>887705</v>
      </c>
      <c r="S27" s="124">
        <f t="shared" si="4"/>
        <v>0</v>
      </c>
    </row>
    <row r="28" spans="1:19" ht="12.75" customHeight="1">
      <c r="A28" s="105"/>
      <c r="B28" s="120" t="s">
        <v>73</v>
      </c>
      <c r="C28" s="158">
        <v>58501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107">
        <v>58501</v>
      </c>
      <c r="P28" s="18">
        <f t="shared" si="2"/>
        <v>58501</v>
      </c>
      <c r="Q28" s="130">
        <f t="shared" si="3"/>
        <v>0</v>
      </c>
      <c r="R28" s="124">
        <v>58501</v>
      </c>
      <c r="S28" s="124">
        <f t="shared" si="4"/>
        <v>0</v>
      </c>
    </row>
    <row r="29" spans="1:19" ht="12.75" customHeight="1">
      <c r="A29" s="105"/>
      <c r="B29" s="120" t="s">
        <v>74</v>
      </c>
      <c r="C29" s="158">
        <v>197928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>
        <v>197928</v>
      </c>
      <c r="P29" s="18">
        <f t="shared" si="2"/>
        <v>197928</v>
      </c>
      <c r="Q29" s="130">
        <f t="shared" si="3"/>
        <v>0</v>
      </c>
      <c r="R29" s="124">
        <f>256429-58501</f>
        <v>197928</v>
      </c>
      <c r="S29" s="124">
        <f t="shared" si="4"/>
        <v>0</v>
      </c>
    </row>
    <row r="30" spans="1:17" ht="15" customHeight="1">
      <c r="A30" s="32" t="s">
        <v>17</v>
      </c>
      <c r="B30" s="33" t="s">
        <v>79</v>
      </c>
      <c r="C30" s="18">
        <f aca="true" t="shared" si="6" ref="C30:O30">SUM(C31:C33)</f>
        <v>18936357</v>
      </c>
      <c r="D30" s="18">
        <f>SUM(D31:D33)</f>
        <v>471759</v>
      </c>
      <c r="E30" s="18">
        <f t="shared" si="6"/>
        <v>838802</v>
      </c>
      <c r="F30" s="18">
        <f t="shared" si="6"/>
        <v>714698</v>
      </c>
      <c r="G30" s="18">
        <f t="shared" si="6"/>
        <v>614853</v>
      </c>
      <c r="H30" s="18">
        <f t="shared" si="6"/>
        <v>852388</v>
      </c>
      <c r="I30" s="18">
        <f t="shared" si="6"/>
        <v>914444</v>
      </c>
      <c r="J30" s="18">
        <f t="shared" si="6"/>
        <v>1042565</v>
      </c>
      <c r="K30" s="18">
        <f t="shared" si="6"/>
        <v>507707</v>
      </c>
      <c r="L30" s="18">
        <f t="shared" si="6"/>
        <v>442119</v>
      </c>
      <c r="M30" s="18">
        <f t="shared" si="6"/>
        <v>1139145</v>
      </c>
      <c r="N30" s="18">
        <f t="shared" si="6"/>
        <v>915737</v>
      </c>
      <c r="O30" s="18">
        <f t="shared" si="6"/>
        <v>10482140</v>
      </c>
      <c r="P30" s="18">
        <f>SUM(D30:O30)</f>
        <v>18936357</v>
      </c>
      <c r="Q30" s="130">
        <f t="shared" si="3"/>
        <v>0</v>
      </c>
    </row>
    <row r="31" spans="1:19" ht="15" customHeight="1">
      <c r="A31" s="28"/>
      <c r="B31" s="44" t="s">
        <v>69</v>
      </c>
      <c r="C31" s="128">
        <v>7992111</v>
      </c>
      <c r="D31" s="128">
        <v>414895</v>
      </c>
      <c r="E31" s="128">
        <v>817802</v>
      </c>
      <c r="F31" s="128">
        <f>78740+1092+11000+1000-10000+300000+875322+1253223-712628-712628-400000</f>
        <v>685121</v>
      </c>
      <c r="G31" s="128">
        <f>78741+1092+12000+1000-10000+521325+800323-712628-150000</f>
        <v>541853</v>
      </c>
      <c r="H31" s="128">
        <f>1092+12000+1000+503665+623123-712628+260000</f>
        <v>688252</v>
      </c>
      <c r="I31" s="128">
        <f>1092+1000+3000+75121+300000+1123253-712628</f>
        <v>790838</v>
      </c>
      <c r="J31" s="128">
        <f>1092+1000+2000+25256+300000-80000-6641-123623+900000+400521-712628+190000</f>
        <v>896977</v>
      </c>
      <c r="K31" s="128">
        <f>1092+1000+5000+15032+200000-112351+1200333+470108-712628-712628</f>
        <v>354958</v>
      </c>
      <c r="L31" s="128">
        <f>1092+1000+3000+124+214300+150000-80000-132421+47886</f>
        <v>204981</v>
      </c>
      <c r="M31" s="128">
        <f>1092+1000+7000+147+50000+136500+125322+532566</f>
        <v>853627</v>
      </c>
      <c r="N31" s="128">
        <f>1092+1000+1000+1896+37650+3520+120000-60000+503452</f>
        <v>609610</v>
      </c>
      <c r="O31" s="128">
        <f>1092+1000+15092+50000+10015+103072-70000+506164+326131+190631</f>
        <v>1133197</v>
      </c>
      <c r="P31" s="18">
        <f t="shared" si="2"/>
        <v>7992111</v>
      </c>
      <c r="Q31" s="130">
        <f t="shared" si="3"/>
        <v>0</v>
      </c>
      <c r="R31" s="124">
        <v>7992111</v>
      </c>
      <c r="S31" s="124">
        <f t="shared" si="4"/>
        <v>0</v>
      </c>
    </row>
    <row r="32" spans="1:19" ht="15" customHeight="1">
      <c r="A32" s="28"/>
      <c r="B32" s="44" t="s">
        <v>70</v>
      </c>
      <c r="C32" s="128">
        <v>605066</v>
      </c>
      <c r="D32" s="128">
        <f>3782+1667+4415</f>
        <v>9864</v>
      </c>
      <c r="E32" s="128">
        <v>5000</v>
      </c>
      <c r="F32" s="128">
        <f>3495+1667+4415</f>
        <v>9577</v>
      </c>
      <c r="G32" s="128">
        <v>48000</v>
      </c>
      <c r="H32" s="128">
        <f>3459+1667+40000-35641+4415+54242</f>
        <v>68142</v>
      </c>
      <c r="I32" s="128">
        <f>3438+1667+40000-23561+4415</f>
        <v>25959</v>
      </c>
      <c r="J32" s="128">
        <f>3423+1667+40000-24915+4415+22099</f>
        <v>46689</v>
      </c>
      <c r="K32" s="128">
        <f>3405+1667+40000-13702+4415</f>
        <v>35785</v>
      </c>
      <c r="L32" s="128">
        <f>3387+1667-1+40000+86000+90000-150000-23541-12345+4415+57231+8545</f>
        <v>105358</v>
      </c>
      <c r="M32" s="128">
        <f>3086+1667-1+43644+91235+23005-100000-26412+4415+59862-48064</f>
        <v>52437</v>
      </c>
      <c r="N32" s="128">
        <f>1666+62142+70090+23542-100000-21432+4415+45864</f>
        <v>86287</v>
      </c>
      <c r="O32" s="128">
        <f>1666+56836+86000+22560-162000+4415-2+59856+42637</f>
        <v>111968</v>
      </c>
      <c r="P32" s="18">
        <f t="shared" si="2"/>
        <v>605066</v>
      </c>
      <c r="Q32" s="130">
        <f t="shared" si="3"/>
        <v>0</v>
      </c>
      <c r="R32" s="124">
        <v>605066</v>
      </c>
      <c r="S32" s="124">
        <f t="shared" si="4"/>
        <v>0</v>
      </c>
    </row>
    <row r="33" spans="1:19" ht="15" customHeight="1">
      <c r="A33" s="28"/>
      <c r="B33" s="44" t="s">
        <v>53</v>
      </c>
      <c r="C33" s="128">
        <f>SUM(C34:C37)</f>
        <v>10339180</v>
      </c>
      <c r="D33" s="128">
        <f aca="true" t="shared" si="7" ref="D33:N33">SUM(D34:D37)</f>
        <v>47000</v>
      </c>
      <c r="E33" s="128">
        <f t="shared" si="7"/>
        <v>16000</v>
      </c>
      <c r="F33" s="128">
        <f t="shared" si="7"/>
        <v>20000</v>
      </c>
      <c r="G33" s="128">
        <f t="shared" si="7"/>
        <v>25000</v>
      </c>
      <c r="H33" s="128">
        <f t="shared" si="7"/>
        <v>95994</v>
      </c>
      <c r="I33" s="128">
        <f t="shared" si="7"/>
        <v>97647</v>
      </c>
      <c r="J33" s="128">
        <f t="shared" si="7"/>
        <v>98899</v>
      </c>
      <c r="K33" s="128">
        <f t="shared" si="7"/>
        <v>116964</v>
      </c>
      <c r="L33" s="128">
        <f t="shared" si="7"/>
        <v>131780</v>
      </c>
      <c r="M33" s="128">
        <f t="shared" si="7"/>
        <v>233081</v>
      </c>
      <c r="N33" s="128">
        <f t="shared" si="7"/>
        <v>219840</v>
      </c>
      <c r="O33" s="128">
        <f>SUM(O34:O37)</f>
        <v>9236975</v>
      </c>
      <c r="P33" s="18">
        <f t="shared" si="2"/>
        <v>10339180</v>
      </c>
      <c r="Q33" s="130">
        <f t="shared" si="3"/>
        <v>0</v>
      </c>
      <c r="R33" s="124">
        <v>10339180</v>
      </c>
      <c r="S33" s="124">
        <f t="shared" si="4"/>
        <v>0</v>
      </c>
    </row>
    <row r="34" spans="1:19" ht="15" customHeight="1">
      <c r="A34" s="32"/>
      <c r="B34" s="127" t="s">
        <v>75</v>
      </c>
      <c r="C34" s="128">
        <v>10000</v>
      </c>
      <c r="D34" s="128"/>
      <c r="E34" s="128"/>
      <c r="F34" s="128"/>
      <c r="G34" s="128"/>
      <c r="H34" s="128"/>
      <c r="I34" s="128">
        <v>4250</v>
      </c>
      <c r="J34" s="128"/>
      <c r="K34" s="128"/>
      <c r="L34" s="128"/>
      <c r="M34" s="128">
        <v>5750</v>
      </c>
      <c r="N34" s="128"/>
      <c r="O34" s="128"/>
      <c r="P34" s="18">
        <f t="shared" si="2"/>
        <v>10000</v>
      </c>
      <c r="Q34" s="130">
        <f t="shared" si="3"/>
        <v>0</v>
      </c>
      <c r="R34" s="124">
        <v>10000</v>
      </c>
      <c r="S34" s="124">
        <f t="shared" si="4"/>
        <v>0</v>
      </c>
    </row>
    <row r="35" spans="1:19" ht="15" customHeight="1">
      <c r="A35" s="28"/>
      <c r="B35" s="44" t="s">
        <v>76</v>
      </c>
      <c r="C35" s="128">
        <v>1324552</v>
      </c>
      <c r="D35" s="128">
        <v>47000</v>
      </c>
      <c r="E35" s="128">
        <v>16000</v>
      </c>
      <c r="F35" s="128">
        <v>20000</v>
      </c>
      <c r="G35" s="128">
        <v>25000</v>
      </c>
      <c r="H35" s="128">
        <f>40000+40000+2597+13397</f>
        <v>95994</v>
      </c>
      <c r="I35" s="128">
        <f>40000+40000+13397</f>
        <v>93397</v>
      </c>
      <c r="J35" s="128">
        <f>40000+40000+5502+13397</f>
        <v>98899</v>
      </c>
      <c r="K35" s="128">
        <f>30000+40000+21234+12333+13397</f>
        <v>116964</v>
      </c>
      <c r="L35" s="128">
        <f>30000+40000+25312+21423+13397+1648</f>
        <v>131780</v>
      </c>
      <c r="M35" s="128">
        <f>30000+40000+21325+16966+13397+105643</f>
        <v>227331</v>
      </c>
      <c r="N35" s="128">
        <f>20000+40000+12356-10000+769-7682+13397+151000</f>
        <v>219840</v>
      </c>
      <c r="O35" s="128">
        <f>24750-3000+40000+20181-10000-356+9652-23333+13397+3+160384+669</f>
        <v>232347</v>
      </c>
      <c r="P35" s="18">
        <f t="shared" si="2"/>
        <v>1324552</v>
      </c>
      <c r="Q35" s="130">
        <f t="shared" si="3"/>
        <v>0</v>
      </c>
      <c r="R35" s="124">
        <v>1324552</v>
      </c>
      <c r="S35" s="124">
        <f t="shared" si="4"/>
        <v>0</v>
      </c>
    </row>
    <row r="36" spans="1:19" ht="15" customHeight="1">
      <c r="A36" s="28"/>
      <c r="B36" s="44" t="s">
        <v>88</v>
      </c>
      <c r="C36" s="128">
        <v>0</v>
      </c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8">
        <f t="shared" si="2"/>
        <v>0</v>
      </c>
      <c r="Q36" s="130">
        <f t="shared" si="3"/>
        <v>0</v>
      </c>
      <c r="S36" s="124">
        <f t="shared" si="4"/>
        <v>0</v>
      </c>
    </row>
    <row r="37" spans="1:19" ht="15" customHeight="1">
      <c r="A37" s="28"/>
      <c r="B37" s="44" t="s">
        <v>77</v>
      </c>
      <c r="C37" s="128">
        <v>9004628</v>
      </c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>
        <v>9004628</v>
      </c>
      <c r="P37" s="18">
        <f>SUM(D37:O37)</f>
        <v>9004628</v>
      </c>
      <c r="Q37" s="130">
        <f t="shared" si="3"/>
        <v>0</v>
      </c>
      <c r="R37" s="124">
        <v>9004628</v>
      </c>
      <c r="S37" s="124">
        <f t="shared" si="4"/>
        <v>0</v>
      </c>
    </row>
    <row r="38" spans="1:17" ht="15" customHeight="1">
      <c r="A38" s="105"/>
      <c r="B38" s="106" t="s">
        <v>80</v>
      </c>
      <c r="C38" s="30">
        <f>SUM(C17,C30)</f>
        <v>38685947</v>
      </c>
      <c r="D38" s="30">
        <f>SUM(D17,D30)</f>
        <v>2125315</v>
      </c>
      <c r="E38" s="30">
        <f aca="true" t="shared" si="8" ref="E38:N38">SUM(E17,E30)</f>
        <v>2457808</v>
      </c>
      <c r="F38" s="30">
        <f t="shared" si="8"/>
        <v>2331469</v>
      </c>
      <c r="G38" s="30">
        <f t="shared" si="8"/>
        <v>2332639</v>
      </c>
      <c r="H38" s="30">
        <f t="shared" si="8"/>
        <v>2403865</v>
      </c>
      <c r="I38" s="30">
        <f t="shared" si="8"/>
        <v>2638154</v>
      </c>
      <c r="J38" s="30">
        <f t="shared" si="8"/>
        <v>2609850</v>
      </c>
      <c r="K38" s="30">
        <f t="shared" si="8"/>
        <v>2084453</v>
      </c>
      <c r="L38" s="30">
        <f t="shared" si="8"/>
        <v>1978528</v>
      </c>
      <c r="M38" s="30">
        <f t="shared" si="8"/>
        <v>2710892</v>
      </c>
      <c r="N38" s="30">
        <f t="shared" si="8"/>
        <v>2557756</v>
      </c>
      <c r="O38" s="30">
        <f>SUM(O17,O30)</f>
        <v>12455218</v>
      </c>
      <c r="P38" s="18">
        <f>SUM(D38:O38)</f>
        <v>38685947</v>
      </c>
      <c r="Q38" s="130">
        <f t="shared" si="3"/>
        <v>0</v>
      </c>
    </row>
    <row r="39" spans="1:19" ht="15" customHeight="1">
      <c r="A39" s="32"/>
      <c r="B39" s="127" t="s">
        <v>81</v>
      </c>
      <c r="C39" s="128">
        <v>6128298</v>
      </c>
      <c r="D39" s="95">
        <f>514560+16000</f>
        <v>530560</v>
      </c>
      <c r="E39" s="95">
        <v>200000</v>
      </c>
      <c r="F39" s="95">
        <v>600000</v>
      </c>
      <c r="G39" s="95">
        <v>462000</v>
      </c>
      <c r="H39" s="95">
        <f>514560+200000-28514</f>
        <v>686046</v>
      </c>
      <c r="I39" s="95">
        <f>514560+99049-28514</f>
        <v>585095</v>
      </c>
      <c r="J39" s="95">
        <f>514560-28514</f>
        <v>486046</v>
      </c>
      <c r="K39" s="95">
        <f>514560-28517</f>
        <v>486043</v>
      </c>
      <c r="L39" s="95">
        <v>514560</v>
      </c>
      <c r="M39" s="95">
        <v>514560</v>
      </c>
      <c r="N39" s="95">
        <f>514560+19713</f>
        <v>534273</v>
      </c>
      <c r="O39" s="95">
        <f>514560-1+1500+13056</f>
        <v>529115</v>
      </c>
      <c r="P39" s="18">
        <f t="shared" si="2"/>
        <v>6128298</v>
      </c>
      <c r="Q39" s="130">
        <f t="shared" si="3"/>
        <v>0</v>
      </c>
      <c r="R39" s="124">
        <v>6128298</v>
      </c>
      <c r="S39" s="124">
        <f t="shared" si="4"/>
        <v>0</v>
      </c>
    </row>
    <row r="40" spans="1:19" ht="15" customHeight="1">
      <c r="A40" s="32"/>
      <c r="B40" s="127" t="s">
        <v>95</v>
      </c>
      <c r="C40" s="128">
        <v>203960</v>
      </c>
      <c r="D40" s="101">
        <v>110323</v>
      </c>
      <c r="E40" s="101"/>
      <c r="F40" s="101"/>
      <c r="G40" s="101"/>
      <c r="H40" s="101"/>
      <c r="I40" s="101"/>
      <c r="J40" s="101"/>
      <c r="K40" s="101"/>
      <c r="L40" s="101">
        <v>59950</v>
      </c>
      <c r="M40" s="101"/>
      <c r="N40" s="101">
        <v>4754</v>
      </c>
      <c r="O40" s="101">
        <v>28933</v>
      </c>
      <c r="P40" s="18">
        <f t="shared" si="2"/>
        <v>203960</v>
      </c>
      <c r="Q40" s="130">
        <f t="shared" si="3"/>
        <v>0</v>
      </c>
      <c r="R40" s="124">
        <v>203960</v>
      </c>
      <c r="S40" s="124">
        <f t="shared" si="4"/>
        <v>0</v>
      </c>
    </row>
    <row r="41" spans="1:17" ht="15" customHeight="1">
      <c r="A41" s="32" t="s">
        <v>18</v>
      </c>
      <c r="B41" s="33" t="s">
        <v>82</v>
      </c>
      <c r="C41" s="18">
        <f>SUM(C39)+C40</f>
        <v>6332258</v>
      </c>
      <c r="D41" s="18">
        <f>SUM(D39)+D40</f>
        <v>640883</v>
      </c>
      <c r="E41" s="18">
        <f aca="true" t="shared" si="9" ref="E41:O41">SUM(E39)+E40</f>
        <v>200000</v>
      </c>
      <c r="F41" s="18">
        <f t="shared" si="9"/>
        <v>600000</v>
      </c>
      <c r="G41" s="18">
        <f t="shared" si="9"/>
        <v>462000</v>
      </c>
      <c r="H41" s="18">
        <f t="shared" si="9"/>
        <v>686046</v>
      </c>
      <c r="I41" s="18">
        <f t="shared" si="9"/>
        <v>585095</v>
      </c>
      <c r="J41" s="18">
        <f t="shared" si="9"/>
        <v>486046</v>
      </c>
      <c r="K41" s="18">
        <f t="shared" si="9"/>
        <v>486043</v>
      </c>
      <c r="L41" s="18">
        <f t="shared" si="9"/>
        <v>574510</v>
      </c>
      <c r="M41" s="18">
        <f t="shared" si="9"/>
        <v>514560</v>
      </c>
      <c r="N41" s="18">
        <f t="shared" si="9"/>
        <v>539027</v>
      </c>
      <c r="O41" s="18">
        <f>SUM(O39)+O40</f>
        <v>558048</v>
      </c>
      <c r="P41" s="18">
        <f>SUM(P39)+P40</f>
        <v>6332258</v>
      </c>
      <c r="Q41" s="130">
        <f t="shared" si="3"/>
        <v>0</v>
      </c>
    </row>
    <row r="42" spans="1:19" ht="15" customHeight="1">
      <c r="A42" s="32"/>
      <c r="B42" s="127" t="s">
        <v>83</v>
      </c>
      <c r="C42" s="1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8">
        <f t="shared" si="2"/>
        <v>0</v>
      </c>
      <c r="Q42" s="130">
        <f t="shared" si="3"/>
        <v>0</v>
      </c>
      <c r="S42" s="124">
        <f t="shared" si="4"/>
        <v>0</v>
      </c>
    </row>
    <row r="43" spans="1:19" ht="15" customHeight="1">
      <c r="A43" s="35"/>
      <c r="B43" s="132" t="s">
        <v>84</v>
      </c>
      <c r="C43" s="158">
        <v>170015</v>
      </c>
      <c r="D43" s="102">
        <v>20096</v>
      </c>
      <c r="E43" s="102">
        <v>20096</v>
      </c>
      <c r="F43" s="102">
        <v>20096</v>
      </c>
      <c r="G43" s="102">
        <v>20096</v>
      </c>
      <c r="H43" s="102">
        <v>20096</v>
      </c>
      <c r="I43" s="102">
        <f>20096</f>
        <v>20096</v>
      </c>
      <c r="J43" s="102">
        <f>20096-11168</f>
        <v>8928</v>
      </c>
      <c r="K43" s="102"/>
      <c r="L43" s="102"/>
      <c r="M43" s="102"/>
      <c r="N43" s="102">
        <v>20096</v>
      </c>
      <c r="O43" s="102">
        <f>20095+320</f>
        <v>20415</v>
      </c>
      <c r="P43" s="18">
        <f t="shared" si="2"/>
        <v>170015</v>
      </c>
      <c r="Q43" s="130">
        <f t="shared" si="3"/>
        <v>0</v>
      </c>
      <c r="R43" s="124">
        <v>170015</v>
      </c>
      <c r="S43" s="124">
        <f t="shared" si="4"/>
        <v>0</v>
      </c>
    </row>
    <row r="44" spans="1:19" ht="15" customHeight="1">
      <c r="A44" s="35" t="s">
        <v>19</v>
      </c>
      <c r="B44" s="40" t="s">
        <v>85</v>
      </c>
      <c r="C44" s="30">
        <f>SUM(C42:C43)</f>
        <v>170015</v>
      </c>
      <c r="D44" s="30">
        <f>SUM(D42:D43)</f>
        <v>20096</v>
      </c>
      <c r="E44" s="30">
        <f aca="true" t="shared" si="10" ref="E44:O44">SUM(E42:E43)</f>
        <v>20096</v>
      </c>
      <c r="F44" s="30">
        <f t="shared" si="10"/>
        <v>20096</v>
      </c>
      <c r="G44" s="30">
        <f t="shared" si="10"/>
        <v>20096</v>
      </c>
      <c r="H44" s="30">
        <f t="shared" si="10"/>
        <v>20096</v>
      </c>
      <c r="I44" s="30">
        <f t="shared" si="10"/>
        <v>20096</v>
      </c>
      <c r="J44" s="30">
        <f t="shared" si="10"/>
        <v>8928</v>
      </c>
      <c r="K44" s="30">
        <f t="shared" si="10"/>
        <v>0</v>
      </c>
      <c r="L44" s="30">
        <f t="shared" si="10"/>
        <v>0</v>
      </c>
      <c r="M44" s="30">
        <f t="shared" si="10"/>
        <v>0</v>
      </c>
      <c r="N44" s="30">
        <f t="shared" si="10"/>
        <v>20096</v>
      </c>
      <c r="O44" s="30">
        <f t="shared" si="10"/>
        <v>20415</v>
      </c>
      <c r="P44" s="18">
        <f>SUM(D44:O44)</f>
        <v>170015</v>
      </c>
      <c r="Q44" s="130">
        <f t="shared" si="3"/>
        <v>0</v>
      </c>
      <c r="R44" s="124">
        <v>170015</v>
      </c>
      <c r="S44" s="124">
        <f t="shared" si="4"/>
        <v>0</v>
      </c>
    </row>
    <row r="45" spans="1:20" s="129" customFormat="1" ht="15" customHeight="1">
      <c r="A45" s="126"/>
      <c r="B45" s="127" t="s">
        <v>91</v>
      </c>
      <c r="C45" s="131">
        <v>0</v>
      </c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8">
        <f>SUM(D45:O45)</f>
        <v>0</v>
      </c>
      <c r="Q45" s="130">
        <f t="shared" si="3"/>
        <v>0</v>
      </c>
      <c r="R45" s="124"/>
      <c r="S45" s="124">
        <f t="shared" si="4"/>
        <v>0</v>
      </c>
      <c r="T45" s="125"/>
    </row>
    <row r="46" spans="1:19" ht="15" customHeight="1" thickBot="1">
      <c r="A46" s="45" t="s">
        <v>89</v>
      </c>
      <c r="B46" s="52" t="s">
        <v>90</v>
      </c>
      <c r="C46" s="46">
        <f>+C41+C44+C45</f>
        <v>6502273</v>
      </c>
      <c r="D46" s="46">
        <f>+D41+D43+D45</f>
        <v>660979</v>
      </c>
      <c r="E46" s="46">
        <f aca="true" t="shared" si="11" ref="E46:O46">+E41+E43+E45</f>
        <v>220096</v>
      </c>
      <c r="F46" s="46">
        <f t="shared" si="11"/>
        <v>620096</v>
      </c>
      <c r="G46" s="46">
        <f t="shared" si="11"/>
        <v>482096</v>
      </c>
      <c r="H46" s="46">
        <f t="shared" si="11"/>
        <v>706142</v>
      </c>
      <c r="I46" s="46">
        <f t="shared" si="11"/>
        <v>605191</v>
      </c>
      <c r="J46" s="46">
        <f t="shared" si="11"/>
        <v>494974</v>
      </c>
      <c r="K46" s="46">
        <f t="shared" si="11"/>
        <v>486043</v>
      </c>
      <c r="L46" s="46">
        <f t="shared" si="11"/>
        <v>574510</v>
      </c>
      <c r="M46" s="46">
        <f t="shared" si="11"/>
        <v>514560</v>
      </c>
      <c r="N46" s="46">
        <f t="shared" si="11"/>
        <v>559123</v>
      </c>
      <c r="O46" s="46">
        <f t="shared" si="11"/>
        <v>578463</v>
      </c>
      <c r="P46" s="46">
        <f>SUM(D46:O46)</f>
        <v>6502273</v>
      </c>
      <c r="Q46" s="130">
        <f t="shared" si="3"/>
        <v>0</v>
      </c>
      <c r="R46" s="124">
        <v>6502273</v>
      </c>
      <c r="S46" s="124">
        <f t="shared" si="4"/>
        <v>0</v>
      </c>
    </row>
    <row r="47" spans="1:19" ht="15" customHeight="1" thickBot="1">
      <c r="A47" s="192" t="s">
        <v>20</v>
      </c>
      <c r="B47" s="193"/>
      <c r="C47" s="34">
        <f>SUM(C38,C41,C44)+C45</f>
        <v>45188220</v>
      </c>
      <c r="D47" s="34">
        <f>SUM(D38,D41,D44)+1+D45</f>
        <v>2786295</v>
      </c>
      <c r="E47" s="34">
        <f aca="true" t="shared" si="12" ref="E47:N47">SUM(E38,E41,E44)+1+E45</f>
        <v>2677905</v>
      </c>
      <c r="F47" s="34">
        <f t="shared" si="12"/>
        <v>2951566</v>
      </c>
      <c r="G47" s="34">
        <f t="shared" si="12"/>
        <v>2814736</v>
      </c>
      <c r="H47" s="34">
        <f t="shared" si="12"/>
        <v>3110008</v>
      </c>
      <c r="I47" s="34">
        <f t="shared" si="12"/>
        <v>3243346</v>
      </c>
      <c r="J47" s="34">
        <f t="shared" si="12"/>
        <v>3104825</v>
      </c>
      <c r="K47" s="34">
        <f t="shared" si="12"/>
        <v>2570497</v>
      </c>
      <c r="L47" s="34">
        <f t="shared" si="12"/>
        <v>2553039</v>
      </c>
      <c r="M47" s="34">
        <f t="shared" si="12"/>
        <v>3225453</v>
      </c>
      <c r="N47" s="34">
        <f t="shared" si="12"/>
        <v>3116880</v>
      </c>
      <c r="O47" s="34">
        <f>SUM(O38,O41,O44)+O45</f>
        <v>13033681</v>
      </c>
      <c r="P47" s="34">
        <f>SUM(P38,P41,P44)+P45</f>
        <v>45188220</v>
      </c>
      <c r="Q47" s="130">
        <f t="shared" si="3"/>
        <v>0</v>
      </c>
      <c r="R47" s="124">
        <v>45188220</v>
      </c>
      <c r="S47" s="124">
        <f t="shared" si="4"/>
        <v>0</v>
      </c>
    </row>
    <row r="48" spans="1:20" s="16" customFormat="1" ht="15" customHeight="1">
      <c r="A48" s="75"/>
      <c r="B48" s="121" t="s">
        <v>50</v>
      </c>
      <c r="C48" s="54">
        <f>-C39</f>
        <v>-6128298</v>
      </c>
      <c r="D48" s="18">
        <f>-D39</f>
        <v>-530560</v>
      </c>
      <c r="E48" s="18">
        <f aca="true" t="shared" si="13" ref="E48:O48">-E39</f>
        <v>-200000</v>
      </c>
      <c r="F48" s="18">
        <f t="shared" si="13"/>
        <v>-600000</v>
      </c>
      <c r="G48" s="18">
        <f t="shared" si="13"/>
        <v>-462000</v>
      </c>
      <c r="H48" s="18">
        <f t="shared" si="13"/>
        <v>-686046</v>
      </c>
      <c r="I48" s="18">
        <f t="shared" si="13"/>
        <v>-585095</v>
      </c>
      <c r="J48" s="18">
        <f t="shared" si="13"/>
        <v>-486046</v>
      </c>
      <c r="K48" s="18">
        <f t="shared" si="13"/>
        <v>-486043</v>
      </c>
      <c r="L48" s="18">
        <f t="shared" si="13"/>
        <v>-514560</v>
      </c>
      <c r="M48" s="18">
        <f t="shared" si="13"/>
        <v>-514560</v>
      </c>
      <c r="N48" s="18">
        <f t="shared" si="13"/>
        <v>-534273</v>
      </c>
      <c r="O48" s="18">
        <f t="shared" si="13"/>
        <v>-529115</v>
      </c>
      <c r="P48" s="109">
        <f t="shared" si="2"/>
        <v>-6128298</v>
      </c>
      <c r="Q48" s="130">
        <f t="shared" si="3"/>
        <v>0</v>
      </c>
      <c r="R48" s="183">
        <v>-6128298</v>
      </c>
      <c r="S48" s="124">
        <f t="shared" si="4"/>
        <v>0</v>
      </c>
      <c r="T48" s="184"/>
    </row>
    <row r="49" spans="1:20" s="16" customFormat="1" ht="15" customHeight="1">
      <c r="A49" s="76"/>
      <c r="B49" s="122" t="s">
        <v>51</v>
      </c>
      <c r="C49" s="55">
        <f>-C43</f>
        <v>-170015</v>
      </c>
      <c r="D49" s="55">
        <f aca="true" t="shared" si="14" ref="D49:M49">-SUM(D43)</f>
        <v>-20096</v>
      </c>
      <c r="E49" s="55">
        <f t="shared" si="14"/>
        <v>-20096</v>
      </c>
      <c r="F49" s="55">
        <f t="shared" si="14"/>
        <v>-20096</v>
      </c>
      <c r="G49" s="55">
        <f t="shared" si="14"/>
        <v>-20096</v>
      </c>
      <c r="H49" s="55">
        <f t="shared" si="14"/>
        <v>-20096</v>
      </c>
      <c r="I49" s="55">
        <f t="shared" si="14"/>
        <v>-20096</v>
      </c>
      <c r="J49" s="55">
        <f t="shared" si="14"/>
        <v>-8928</v>
      </c>
      <c r="K49" s="55">
        <f t="shared" si="14"/>
        <v>0</v>
      </c>
      <c r="L49" s="55">
        <f t="shared" si="14"/>
        <v>0</v>
      </c>
      <c r="M49" s="55">
        <f t="shared" si="14"/>
        <v>0</v>
      </c>
      <c r="N49" s="55">
        <f>-SUM(N43)</f>
        <v>-20096</v>
      </c>
      <c r="O49" s="55">
        <f>-SUM(O43)</f>
        <v>-20415</v>
      </c>
      <c r="P49" s="111">
        <f t="shared" si="2"/>
        <v>-170015</v>
      </c>
      <c r="Q49" s="130">
        <f t="shared" si="3"/>
        <v>0</v>
      </c>
      <c r="R49" s="183">
        <v>-170015</v>
      </c>
      <c r="S49" s="124">
        <f t="shared" si="4"/>
        <v>0</v>
      </c>
      <c r="T49" s="184"/>
    </row>
    <row r="50" spans="1:20" s="16" customFormat="1" ht="15" customHeight="1" thickBot="1">
      <c r="A50" s="53"/>
      <c r="B50" s="123" t="s">
        <v>54</v>
      </c>
      <c r="C50" s="56">
        <v>-740000</v>
      </c>
      <c r="D50" s="138">
        <f aca="true" t="shared" si="15" ref="D50:O50">$C$50/12</f>
        <v>-61666.666666666664</v>
      </c>
      <c r="E50" s="138">
        <f t="shared" si="15"/>
        <v>-61666.666666666664</v>
      </c>
      <c r="F50" s="138">
        <f t="shared" si="15"/>
        <v>-61666.666666666664</v>
      </c>
      <c r="G50" s="138">
        <f t="shared" si="15"/>
        <v>-61666.666666666664</v>
      </c>
      <c r="H50" s="138">
        <f t="shared" si="15"/>
        <v>-61666.666666666664</v>
      </c>
      <c r="I50" s="138">
        <f t="shared" si="15"/>
        <v>-61666.666666666664</v>
      </c>
      <c r="J50" s="138">
        <f t="shared" si="15"/>
        <v>-61666.666666666664</v>
      </c>
      <c r="K50" s="138">
        <f t="shared" si="15"/>
        <v>-61666.666666666664</v>
      </c>
      <c r="L50" s="138">
        <f t="shared" si="15"/>
        <v>-61666.666666666664</v>
      </c>
      <c r="M50" s="138">
        <f t="shared" si="15"/>
        <v>-61666.666666666664</v>
      </c>
      <c r="N50" s="138">
        <f t="shared" si="15"/>
        <v>-61666.666666666664</v>
      </c>
      <c r="O50" s="138">
        <f t="shared" si="15"/>
        <v>-61666.666666666664</v>
      </c>
      <c r="P50" s="110">
        <f>SUM(D50:O50)</f>
        <v>-739999.9999999999</v>
      </c>
      <c r="Q50" s="130">
        <f t="shared" si="3"/>
        <v>0</v>
      </c>
      <c r="R50" s="183">
        <v>-740000</v>
      </c>
      <c r="S50" s="124">
        <f t="shared" si="4"/>
        <v>0</v>
      </c>
      <c r="T50" s="184"/>
    </row>
    <row r="51" spans="1:19" ht="15" customHeight="1" thickBot="1">
      <c r="A51" s="194" t="s">
        <v>21</v>
      </c>
      <c r="B51" s="195"/>
      <c r="C51" s="34">
        <f>SUM(C47:C50)</f>
        <v>38149907</v>
      </c>
      <c r="D51" s="34">
        <f aca="true" t="shared" si="16" ref="D51:N51">SUM(D47:D50)-1</f>
        <v>2173971.3333333335</v>
      </c>
      <c r="E51" s="34">
        <f t="shared" si="16"/>
        <v>2396141.3333333335</v>
      </c>
      <c r="F51" s="34">
        <f t="shared" si="16"/>
        <v>2269802.3333333335</v>
      </c>
      <c r="G51" s="34">
        <f t="shared" si="16"/>
        <v>2270972.3333333335</v>
      </c>
      <c r="H51" s="34">
        <f t="shared" si="16"/>
        <v>2342198.3333333335</v>
      </c>
      <c r="I51" s="34">
        <f t="shared" si="16"/>
        <v>2576487.3333333335</v>
      </c>
      <c r="J51" s="34">
        <f t="shared" si="16"/>
        <v>2548183.3333333335</v>
      </c>
      <c r="K51" s="34">
        <f t="shared" si="16"/>
        <v>2022786.3333333333</v>
      </c>
      <c r="L51" s="34">
        <f t="shared" si="16"/>
        <v>1976811.3333333333</v>
      </c>
      <c r="M51" s="34">
        <f t="shared" si="16"/>
        <v>2649225.3333333335</v>
      </c>
      <c r="N51" s="34">
        <f t="shared" si="16"/>
        <v>2500843.3333333335</v>
      </c>
      <c r="O51" s="34">
        <f>SUM(O47:O50)</f>
        <v>12422484.333333334</v>
      </c>
      <c r="P51" s="34">
        <f>SUM(D51:O51)</f>
        <v>38149907</v>
      </c>
      <c r="Q51" s="130">
        <f t="shared" si="3"/>
        <v>0</v>
      </c>
      <c r="R51" s="124">
        <v>38149907</v>
      </c>
      <c r="S51" s="124">
        <f t="shared" si="4"/>
        <v>0</v>
      </c>
    </row>
    <row r="52" spans="3:12" ht="15">
      <c r="C52" s="162"/>
      <c r="L52" s="27"/>
    </row>
    <row r="53" ht="12.75">
      <c r="C53" s="124"/>
    </row>
    <row r="54" ht="12.75">
      <c r="C54" s="125"/>
    </row>
  </sheetData>
  <sheetProtection/>
  <mergeCells count="21">
    <mergeCell ref="A16:B16"/>
    <mergeCell ref="E14:E15"/>
    <mergeCell ref="G14:G15"/>
    <mergeCell ref="O7:P7"/>
    <mergeCell ref="A47:B47"/>
    <mergeCell ref="A51:B51"/>
    <mergeCell ref="L14:L15"/>
    <mergeCell ref="N14:N15"/>
    <mergeCell ref="A14:B15"/>
    <mergeCell ref="I14:I15"/>
    <mergeCell ref="F14:F15"/>
    <mergeCell ref="K14:K15"/>
    <mergeCell ref="C14:C15"/>
    <mergeCell ref="J14:J15"/>
    <mergeCell ref="D14:D15"/>
    <mergeCell ref="O2:P2"/>
    <mergeCell ref="H14:H15"/>
    <mergeCell ref="M14:M15"/>
    <mergeCell ref="O14:O15"/>
    <mergeCell ref="P14:P15"/>
    <mergeCell ref="A8:P8"/>
  </mergeCells>
  <printOptions horizontalCentered="1"/>
  <pageMargins left="0.2" right="0.1968503937007874" top="0.67" bottom="0.1968503937007874" header="1.09" footer="0.5118110236220472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PageLayoutView="0" workbookViewId="0" topLeftCell="A1">
      <selection activeCell="P33" sqref="P33"/>
    </sheetView>
  </sheetViews>
  <sheetFormatPr defaultColWidth="9.00390625" defaultRowHeight="12.75"/>
  <cols>
    <col min="1" max="1" width="2.875" style="3" customWidth="1"/>
    <col min="2" max="2" width="30.00390625" style="4" customWidth="1"/>
    <col min="3" max="3" width="8.75390625" style="5" customWidth="1"/>
    <col min="4" max="4" width="7.875" style="6" bestFit="1" customWidth="1"/>
    <col min="5" max="5" width="7.875" style="6" customWidth="1"/>
    <col min="6" max="8" width="7.875" style="6" bestFit="1" customWidth="1"/>
    <col min="9" max="9" width="8.75390625" style="6" bestFit="1" customWidth="1"/>
    <col min="10" max="11" width="7.875" style="6" bestFit="1" customWidth="1"/>
    <col min="12" max="13" width="7.875" style="6" customWidth="1"/>
    <col min="14" max="14" width="7.875" style="6" bestFit="1" customWidth="1"/>
    <col min="15" max="15" width="7.875" style="6" customWidth="1"/>
    <col min="16" max="16" width="9.375" style="6" customWidth="1"/>
    <col min="17" max="17" width="9.125" style="2" customWidth="1"/>
    <col min="18" max="19" width="9.125" style="180" customWidth="1"/>
    <col min="20" max="16384" width="9.125" style="2" customWidth="1"/>
  </cols>
  <sheetData>
    <row r="1" spans="1:16" ht="14.25" customHeight="1">
      <c r="A1" s="201" t="s">
        <v>101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</row>
    <row r="2" spans="1:16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02" t="s">
        <v>94</v>
      </c>
      <c r="O2" s="202"/>
      <c r="P2" s="202"/>
    </row>
    <row r="3" spans="14:16" ht="12.75" customHeight="1" thickBot="1">
      <c r="N3" s="203" t="s">
        <v>22</v>
      </c>
      <c r="O3" s="203"/>
      <c r="P3" s="203"/>
    </row>
    <row r="4" spans="2:16" ht="10.5" customHeight="1" thickBot="1">
      <c r="B4" s="2"/>
      <c r="D4" s="204" t="s">
        <v>23</v>
      </c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7"/>
    </row>
    <row r="5" spans="1:19" s="8" customFormat="1" ht="8.25" customHeight="1" thickBot="1">
      <c r="A5" s="207" t="s">
        <v>1</v>
      </c>
      <c r="B5" s="208"/>
      <c r="C5" s="91" t="s">
        <v>103</v>
      </c>
      <c r="D5" s="211" t="s">
        <v>24</v>
      </c>
      <c r="E5" s="205" t="s">
        <v>25</v>
      </c>
      <c r="F5" s="205" t="s">
        <v>26</v>
      </c>
      <c r="G5" s="205" t="s">
        <v>27</v>
      </c>
      <c r="H5" s="205" t="s">
        <v>28</v>
      </c>
      <c r="I5" s="205" t="s">
        <v>29</v>
      </c>
      <c r="J5" s="205" t="s">
        <v>30</v>
      </c>
      <c r="K5" s="205" t="s">
        <v>67</v>
      </c>
      <c r="L5" s="205" t="s">
        <v>31</v>
      </c>
      <c r="M5" s="205" t="s">
        <v>32</v>
      </c>
      <c r="N5" s="205" t="s">
        <v>33</v>
      </c>
      <c r="O5" s="213" t="s">
        <v>34</v>
      </c>
      <c r="P5" s="215" t="s">
        <v>35</v>
      </c>
      <c r="R5" s="181"/>
      <c r="S5" s="181"/>
    </row>
    <row r="6" spans="1:19" s="8" customFormat="1" ht="8.25" customHeight="1">
      <c r="A6" s="209"/>
      <c r="B6" s="210"/>
      <c r="C6" s="92" t="s">
        <v>97</v>
      </c>
      <c r="D6" s="212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14"/>
      <c r="P6" s="216"/>
      <c r="R6" s="181"/>
      <c r="S6" s="181"/>
    </row>
    <row r="7" spans="1:19" s="12" customFormat="1" ht="12" thickBot="1">
      <c r="A7" s="217">
        <v>1</v>
      </c>
      <c r="B7" s="218"/>
      <c r="C7" s="93">
        <v>2</v>
      </c>
      <c r="D7" s="9">
        <v>3</v>
      </c>
      <c r="E7" s="10">
        <v>4</v>
      </c>
      <c r="F7" s="10">
        <v>5</v>
      </c>
      <c r="G7" s="10">
        <v>6</v>
      </c>
      <c r="H7" s="10">
        <v>7</v>
      </c>
      <c r="I7" s="10">
        <v>8</v>
      </c>
      <c r="J7" s="10">
        <v>9</v>
      </c>
      <c r="K7" s="10">
        <v>10</v>
      </c>
      <c r="L7" s="10">
        <v>11</v>
      </c>
      <c r="M7" s="10">
        <v>12</v>
      </c>
      <c r="N7" s="10">
        <v>13</v>
      </c>
      <c r="O7" s="11">
        <v>14</v>
      </c>
      <c r="P7" s="118">
        <v>15</v>
      </c>
      <c r="R7" s="182"/>
      <c r="S7" s="182"/>
    </row>
    <row r="8" spans="1:19" s="14" customFormat="1" ht="12.75" customHeight="1">
      <c r="A8" s="62" t="s">
        <v>15</v>
      </c>
      <c r="B8" s="77" t="s">
        <v>43</v>
      </c>
      <c r="C8" s="95">
        <v>2015337</v>
      </c>
      <c r="D8" s="37">
        <v>336269</v>
      </c>
      <c r="E8" s="37">
        <v>225418</v>
      </c>
      <c r="F8" s="37">
        <v>247038</v>
      </c>
      <c r="G8" s="37">
        <v>232929</v>
      </c>
      <c r="H8" s="37">
        <v>12410</v>
      </c>
      <c r="I8" s="37">
        <f>76775+7119</f>
        <v>83894</v>
      </c>
      <c r="J8" s="37">
        <f>234284-122301</f>
        <v>111983</v>
      </c>
      <c r="K8" s="37">
        <f>234284-122301</f>
        <v>111983</v>
      </c>
      <c r="L8" s="37">
        <f>234284-122301</f>
        <v>111983</v>
      </c>
      <c r="M8" s="37">
        <f>234284-122301+101240</f>
        <v>213223</v>
      </c>
      <c r="N8" s="37">
        <f>234284-122301+101276</f>
        <v>213259</v>
      </c>
      <c r="O8" s="37">
        <f>234284-122301-3+2968</f>
        <v>114948</v>
      </c>
      <c r="P8" s="94">
        <f>SUM(D8:O8)</f>
        <v>2015337</v>
      </c>
      <c r="Q8" s="174">
        <f>+C8-P8</f>
        <v>0</v>
      </c>
      <c r="R8" s="174">
        <v>2015337</v>
      </c>
      <c r="S8" s="174">
        <f>+R8-P8</f>
        <v>0</v>
      </c>
    </row>
    <row r="9" spans="1:19" s="38" customFormat="1" ht="12.75" customHeight="1">
      <c r="A9" s="63" t="s">
        <v>17</v>
      </c>
      <c r="B9" s="78" t="s">
        <v>44</v>
      </c>
      <c r="C9" s="95">
        <v>1153931</v>
      </c>
      <c r="D9" s="37">
        <v>85414</v>
      </c>
      <c r="E9" s="37">
        <v>85407</v>
      </c>
      <c r="F9" s="37">
        <v>85407</v>
      </c>
      <c r="G9" s="37">
        <f>85407+90990</f>
        <v>176397</v>
      </c>
      <c r="H9" s="37">
        <f>85407+12169</f>
        <v>97576</v>
      </c>
      <c r="I9" s="37">
        <f>85407+102763-103159</f>
        <v>85011</v>
      </c>
      <c r="J9" s="37">
        <v>85407</v>
      </c>
      <c r="K9" s="37">
        <v>85407</v>
      </c>
      <c r="L9" s="37">
        <f>85407</f>
        <v>85407</v>
      </c>
      <c r="M9" s="37">
        <v>85407</v>
      </c>
      <c r="N9" s="37">
        <f>85407+13135</f>
        <v>98542</v>
      </c>
      <c r="O9" s="37">
        <f>85407+13142</f>
        <v>98549</v>
      </c>
      <c r="P9" s="95">
        <f>SUM(D9:O9)</f>
        <v>1153931</v>
      </c>
      <c r="Q9" s="174">
        <f aca="true" t="shared" si="0" ref="Q9:Q38">+C9-P9</f>
        <v>0</v>
      </c>
      <c r="R9" s="174">
        <v>1153931</v>
      </c>
      <c r="S9" s="174">
        <f aca="true" t="shared" si="1" ref="S9:S38">+R9-P9</f>
        <v>0</v>
      </c>
    </row>
    <row r="10" spans="1:19" s="38" customFormat="1" ht="12.75" customHeight="1">
      <c r="A10" s="64" t="s">
        <v>24</v>
      </c>
      <c r="B10" s="79" t="s">
        <v>55</v>
      </c>
      <c r="C10" s="96">
        <f>SUM(C8:C9)</f>
        <v>3169268</v>
      </c>
      <c r="D10" s="59">
        <f aca="true" t="shared" si="2" ref="D10:P10">SUM(D8:D9)</f>
        <v>421683</v>
      </c>
      <c r="E10" s="59">
        <f t="shared" si="2"/>
        <v>310825</v>
      </c>
      <c r="F10" s="59">
        <f t="shared" si="2"/>
        <v>332445</v>
      </c>
      <c r="G10" s="59">
        <f t="shared" si="2"/>
        <v>409326</v>
      </c>
      <c r="H10" s="59">
        <f t="shared" si="2"/>
        <v>109986</v>
      </c>
      <c r="I10" s="59">
        <f t="shared" si="2"/>
        <v>168905</v>
      </c>
      <c r="J10" s="59">
        <f t="shared" si="2"/>
        <v>197390</v>
      </c>
      <c r="K10" s="59">
        <f t="shared" si="2"/>
        <v>197390</v>
      </c>
      <c r="L10" s="59">
        <f t="shared" si="2"/>
        <v>197390</v>
      </c>
      <c r="M10" s="59">
        <f t="shared" si="2"/>
        <v>298630</v>
      </c>
      <c r="N10" s="59">
        <f t="shared" si="2"/>
        <v>311801</v>
      </c>
      <c r="O10" s="113">
        <f t="shared" si="2"/>
        <v>213497</v>
      </c>
      <c r="P10" s="96">
        <f t="shared" si="2"/>
        <v>3169268</v>
      </c>
      <c r="Q10" s="174">
        <f t="shared" si="0"/>
        <v>0</v>
      </c>
      <c r="R10" s="174">
        <v>3169268</v>
      </c>
      <c r="S10" s="174">
        <f t="shared" si="1"/>
        <v>0</v>
      </c>
    </row>
    <row r="11" spans="1:19" s="16" customFormat="1" ht="12.75" customHeight="1">
      <c r="A11" s="63" t="s">
        <v>15</v>
      </c>
      <c r="B11" s="78" t="s">
        <v>36</v>
      </c>
      <c r="C11" s="95">
        <v>4909550</v>
      </c>
      <c r="D11" s="90">
        <v>224223</v>
      </c>
      <c r="E11" s="15">
        <v>159387</v>
      </c>
      <c r="F11" s="15">
        <v>1466797</v>
      </c>
      <c r="G11" s="15">
        <v>626930</v>
      </c>
      <c r="H11" s="15">
        <v>2122</v>
      </c>
      <c r="I11" s="15">
        <f>221240+46489-50785</f>
        <v>216944</v>
      </c>
      <c r="J11" s="15">
        <f>176884+46489</f>
        <v>223373</v>
      </c>
      <c r="K11" s="15">
        <f>210375+46489</f>
        <v>256864</v>
      </c>
      <c r="L11" s="15">
        <f>1025799+69873+114783+46489-598621-65231</f>
        <v>593092</v>
      </c>
      <c r="M11" s="15">
        <f>788654+210332+46489-589231+33562-11240</f>
        <v>478566</v>
      </c>
      <c r="N11" s="15">
        <f>229399+221498+46489-103257-33456</f>
        <v>360673</v>
      </c>
      <c r="O11" s="114">
        <f>288602+46489-34512</f>
        <v>300579</v>
      </c>
      <c r="P11" s="97">
        <f>SUM(D11:O11)</f>
        <v>4909550</v>
      </c>
      <c r="Q11" s="174">
        <f t="shared" si="0"/>
        <v>0</v>
      </c>
      <c r="R11" s="174">
        <v>4909550</v>
      </c>
      <c r="S11" s="174">
        <f t="shared" si="1"/>
        <v>0</v>
      </c>
    </row>
    <row r="12" spans="1:19" s="16" customFormat="1" ht="12.75" customHeight="1">
      <c r="A12" s="63" t="s">
        <v>17</v>
      </c>
      <c r="B12" s="78" t="s">
        <v>56</v>
      </c>
      <c r="C12" s="95">
        <v>173472</v>
      </c>
      <c r="D12" s="90">
        <v>14434</v>
      </c>
      <c r="E12" s="15">
        <v>14434</v>
      </c>
      <c r="F12" s="15">
        <v>14434</v>
      </c>
      <c r="G12" s="15">
        <v>14434</v>
      </c>
      <c r="H12" s="15">
        <v>14434</v>
      </c>
      <c r="I12" s="15">
        <v>14434</v>
      </c>
      <c r="J12" s="15">
        <v>14434</v>
      </c>
      <c r="K12" s="15">
        <v>14434</v>
      </c>
      <c r="L12" s="15">
        <v>14434</v>
      </c>
      <c r="M12" s="15">
        <v>14434</v>
      </c>
      <c r="N12" s="15">
        <v>14434</v>
      </c>
      <c r="O12" s="114">
        <f>14436+262</f>
        <v>14698</v>
      </c>
      <c r="P12" s="97">
        <f>SUM(D12:O12)</f>
        <v>173472</v>
      </c>
      <c r="Q12" s="174">
        <f t="shared" si="0"/>
        <v>0</v>
      </c>
      <c r="R12" s="174">
        <v>173472</v>
      </c>
      <c r="S12" s="174">
        <f t="shared" si="1"/>
        <v>0</v>
      </c>
    </row>
    <row r="13" spans="1:19" s="16" customFormat="1" ht="12.75" customHeight="1">
      <c r="A13" s="65" t="s">
        <v>25</v>
      </c>
      <c r="B13" s="79" t="s">
        <v>42</v>
      </c>
      <c r="C13" s="97">
        <f>SUM(C11:C12)</f>
        <v>5083022</v>
      </c>
      <c r="D13" s="13">
        <f>SUM(D11:D12)</f>
        <v>238657</v>
      </c>
      <c r="E13" s="13">
        <f aca="true" t="shared" si="3" ref="E13:P13">SUM(E11:E12)</f>
        <v>173821</v>
      </c>
      <c r="F13" s="13">
        <f t="shared" si="3"/>
        <v>1481231</v>
      </c>
      <c r="G13" s="13">
        <f t="shared" si="3"/>
        <v>641364</v>
      </c>
      <c r="H13" s="13">
        <f t="shared" si="3"/>
        <v>16556</v>
      </c>
      <c r="I13" s="13">
        <f t="shared" si="3"/>
        <v>231378</v>
      </c>
      <c r="J13" s="13">
        <f t="shared" si="3"/>
        <v>237807</v>
      </c>
      <c r="K13" s="13">
        <f t="shared" si="3"/>
        <v>271298</v>
      </c>
      <c r="L13" s="13">
        <f t="shared" si="3"/>
        <v>607526</v>
      </c>
      <c r="M13" s="13">
        <f t="shared" si="3"/>
        <v>493000</v>
      </c>
      <c r="N13" s="13">
        <f t="shared" si="3"/>
        <v>375107</v>
      </c>
      <c r="O13" s="115">
        <f t="shared" si="3"/>
        <v>315277</v>
      </c>
      <c r="P13" s="97">
        <f t="shared" si="3"/>
        <v>5083022</v>
      </c>
      <c r="Q13" s="174">
        <f t="shared" si="0"/>
        <v>0</v>
      </c>
      <c r="R13" s="174">
        <v>5083022</v>
      </c>
      <c r="S13" s="174">
        <f t="shared" si="1"/>
        <v>0</v>
      </c>
    </row>
    <row r="14" spans="1:19" s="14" customFormat="1" ht="12.75" customHeight="1">
      <c r="A14" s="66" t="s">
        <v>26</v>
      </c>
      <c r="B14" s="80" t="s">
        <v>57</v>
      </c>
      <c r="C14" s="97">
        <v>7303204</v>
      </c>
      <c r="D14" s="37">
        <v>738501</v>
      </c>
      <c r="E14" s="37">
        <v>738501</v>
      </c>
      <c r="F14" s="37">
        <v>738501</v>
      </c>
      <c r="G14" s="37">
        <v>472111</v>
      </c>
      <c r="H14" s="37">
        <f>738501-187034</f>
        <v>551467</v>
      </c>
      <c r="I14" s="37">
        <f>738501-275313</f>
        <v>463188</v>
      </c>
      <c r="J14" s="37">
        <f>738501-265321</f>
        <v>473180</v>
      </c>
      <c r="K14" s="37">
        <f>738501-60261-110223</f>
        <v>568017</v>
      </c>
      <c r="L14" s="37">
        <f>738501-110236</f>
        <v>628265</v>
      </c>
      <c r="M14" s="37">
        <f>738501-115326</f>
        <v>623175</v>
      </c>
      <c r="N14" s="37">
        <f>738501-153000</f>
        <v>585501</v>
      </c>
      <c r="O14" s="37">
        <f>738502-15705</f>
        <v>722797</v>
      </c>
      <c r="P14" s="97">
        <f>SUM(D14:O14)</f>
        <v>7303204</v>
      </c>
      <c r="Q14" s="174">
        <f t="shared" si="0"/>
        <v>0</v>
      </c>
      <c r="R14" s="174">
        <v>7303204</v>
      </c>
      <c r="S14" s="174">
        <f t="shared" si="1"/>
        <v>0</v>
      </c>
    </row>
    <row r="15" spans="1:19" s="16" customFormat="1" ht="12.75" customHeight="1" thickBot="1">
      <c r="A15" s="65" t="s">
        <v>27</v>
      </c>
      <c r="B15" s="79" t="s">
        <v>45</v>
      </c>
      <c r="C15" s="97">
        <v>0</v>
      </c>
      <c r="D15" s="90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14"/>
      <c r="P15" s="97">
        <f>SUM(D15:O15)</f>
        <v>0</v>
      </c>
      <c r="Q15" s="174">
        <f t="shared" si="0"/>
        <v>0</v>
      </c>
      <c r="R15" s="174">
        <v>0</v>
      </c>
      <c r="S15" s="174">
        <f t="shared" si="1"/>
        <v>0</v>
      </c>
    </row>
    <row r="16" spans="1:19" s="16" customFormat="1" ht="12.75" customHeight="1" thickBot="1">
      <c r="A16" s="67"/>
      <c r="B16" s="81" t="s">
        <v>48</v>
      </c>
      <c r="C16" s="98">
        <f>SUM(C10+C13+C14+C15)</f>
        <v>15555494</v>
      </c>
      <c r="D16" s="98">
        <f aca="true" t="shared" si="4" ref="D16:P16">SUM(D10+D13+D14+D15)</f>
        <v>1398841</v>
      </c>
      <c r="E16" s="98">
        <f t="shared" si="4"/>
        <v>1223147</v>
      </c>
      <c r="F16" s="98">
        <f t="shared" si="4"/>
        <v>2552177</v>
      </c>
      <c r="G16" s="98">
        <f t="shared" si="4"/>
        <v>1522801</v>
      </c>
      <c r="H16" s="98">
        <f t="shared" si="4"/>
        <v>678009</v>
      </c>
      <c r="I16" s="98">
        <f t="shared" si="4"/>
        <v>863471</v>
      </c>
      <c r="J16" s="98">
        <f t="shared" si="4"/>
        <v>908377</v>
      </c>
      <c r="K16" s="98">
        <f t="shared" si="4"/>
        <v>1036705</v>
      </c>
      <c r="L16" s="98">
        <f t="shared" si="4"/>
        <v>1433181</v>
      </c>
      <c r="M16" s="98">
        <f t="shared" si="4"/>
        <v>1414805</v>
      </c>
      <c r="N16" s="98">
        <f t="shared" si="4"/>
        <v>1272409</v>
      </c>
      <c r="O16" s="98">
        <f t="shared" si="4"/>
        <v>1251571</v>
      </c>
      <c r="P16" s="98">
        <f t="shared" si="4"/>
        <v>15555494</v>
      </c>
      <c r="Q16" s="174">
        <f t="shared" si="0"/>
        <v>0</v>
      </c>
      <c r="R16" s="174">
        <v>15555494</v>
      </c>
      <c r="S16" s="174">
        <f t="shared" si="1"/>
        <v>0</v>
      </c>
    </row>
    <row r="17" spans="1:19" s="16" customFormat="1" ht="12.75" customHeight="1">
      <c r="A17" s="68" t="s">
        <v>28</v>
      </c>
      <c r="B17" s="82" t="s">
        <v>58</v>
      </c>
      <c r="C17" s="99">
        <v>6798314</v>
      </c>
      <c r="D17" s="37">
        <v>300000</v>
      </c>
      <c r="E17" s="41"/>
      <c r="F17" s="41"/>
      <c r="G17" s="41"/>
      <c r="H17" s="41">
        <v>443866</v>
      </c>
      <c r="I17" s="41"/>
      <c r="J17" s="41"/>
      <c r="K17" s="41"/>
      <c r="L17" s="41"/>
      <c r="M17" s="41">
        <f>110000+2814833+10000</f>
        <v>2934833</v>
      </c>
      <c r="N17" s="156"/>
      <c r="O17" s="157">
        <v>3119615</v>
      </c>
      <c r="P17" s="97">
        <f>SUM(D17:O17)</f>
        <v>6798314</v>
      </c>
      <c r="Q17" s="174">
        <f t="shared" si="0"/>
        <v>0</v>
      </c>
      <c r="R17" s="174">
        <v>6798314</v>
      </c>
      <c r="S17" s="174">
        <f t="shared" si="1"/>
        <v>0</v>
      </c>
    </row>
    <row r="18" spans="1:19" s="16" customFormat="1" ht="12.75" customHeight="1">
      <c r="A18" s="65" t="s">
        <v>29</v>
      </c>
      <c r="B18" s="79" t="s">
        <v>41</v>
      </c>
      <c r="C18" s="97">
        <v>2549658</v>
      </c>
      <c r="D18" s="59">
        <v>9019</v>
      </c>
      <c r="E18" s="61">
        <v>134000</v>
      </c>
      <c r="F18" s="61">
        <v>590000</v>
      </c>
      <c r="G18" s="61">
        <f>19637+10931</f>
        <v>30568</v>
      </c>
      <c r="H18" s="61">
        <v>19637</v>
      </c>
      <c r="I18" s="61">
        <v>19637</v>
      </c>
      <c r="J18" s="61">
        <v>19637</v>
      </c>
      <c r="K18" s="61">
        <f>19637+401035</f>
        <v>420672</v>
      </c>
      <c r="L18" s="61">
        <v>19637</v>
      </c>
      <c r="M18" s="61">
        <f>19637+329748</f>
        <v>349385</v>
      </c>
      <c r="N18" s="61">
        <v>19637</v>
      </c>
      <c r="O18" s="117">
        <f>19638+898191</f>
        <v>917829</v>
      </c>
      <c r="P18" s="97">
        <f>SUM(D18:O18)</f>
        <v>2549658</v>
      </c>
      <c r="Q18" s="174">
        <f t="shared" si="0"/>
        <v>0</v>
      </c>
      <c r="R18" s="174">
        <v>2549658</v>
      </c>
      <c r="S18" s="174">
        <f t="shared" si="1"/>
        <v>0</v>
      </c>
    </row>
    <row r="19" spans="1:19" s="16" customFormat="1" ht="12.75" customHeight="1">
      <c r="A19" s="63" t="s">
        <v>15</v>
      </c>
      <c r="B19" s="78" t="s">
        <v>46</v>
      </c>
      <c r="C19" s="95">
        <v>149513</v>
      </c>
      <c r="D19" s="90">
        <v>13666</v>
      </c>
      <c r="E19" s="90">
        <v>13666</v>
      </c>
      <c r="F19" s="90">
        <v>13666</v>
      </c>
      <c r="G19" s="90">
        <v>13666</v>
      </c>
      <c r="H19" s="90">
        <v>13666</v>
      </c>
      <c r="I19" s="90">
        <v>13666</v>
      </c>
      <c r="J19" s="90">
        <v>13666</v>
      </c>
      <c r="K19" s="90">
        <v>13666</v>
      </c>
      <c r="L19" s="90">
        <f>13666-3500</f>
        <v>10166</v>
      </c>
      <c r="M19" s="90">
        <v>10166</v>
      </c>
      <c r="N19" s="90">
        <v>10166</v>
      </c>
      <c r="O19" s="90">
        <f>10166-479</f>
        <v>9687</v>
      </c>
      <c r="P19" s="97">
        <f>SUM(D19:O19)</f>
        <v>149513</v>
      </c>
      <c r="Q19" s="174">
        <f t="shared" si="0"/>
        <v>0</v>
      </c>
      <c r="R19" s="174">
        <v>149513</v>
      </c>
      <c r="S19" s="174">
        <f t="shared" si="1"/>
        <v>0</v>
      </c>
    </row>
    <row r="20" spans="1:19" s="14" customFormat="1" ht="12.75" customHeight="1">
      <c r="A20" s="63" t="s">
        <v>17</v>
      </c>
      <c r="B20" s="83" t="s">
        <v>47</v>
      </c>
      <c r="C20" s="95"/>
      <c r="D20" s="37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172"/>
      <c r="P20" s="97">
        <f>SUM(D20:O20)</f>
        <v>0</v>
      </c>
      <c r="Q20" s="174">
        <f t="shared" si="0"/>
        <v>0</v>
      </c>
      <c r="R20" s="174"/>
      <c r="S20" s="174">
        <f t="shared" si="1"/>
        <v>0</v>
      </c>
    </row>
    <row r="21" spans="1:19" s="16" customFormat="1" ht="12.75" customHeight="1" thickBot="1">
      <c r="A21" s="64" t="s">
        <v>30</v>
      </c>
      <c r="B21" s="79" t="s">
        <v>59</v>
      </c>
      <c r="C21" s="97">
        <f>SUM(C19:C20)</f>
        <v>149513</v>
      </c>
      <c r="D21" s="13">
        <f>SUM(D19:D20)</f>
        <v>13666</v>
      </c>
      <c r="E21" s="13">
        <f aca="true" t="shared" si="5" ref="E21:O21">SUM(E19:E20)</f>
        <v>13666</v>
      </c>
      <c r="F21" s="13">
        <f t="shared" si="5"/>
        <v>13666</v>
      </c>
      <c r="G21" s="13">
        <f t="shared" si="5"/>
        <v>13666</v>
      </c>
      <c r="H21" s="13">
        <f t="shared" si="5"/>
        <v>13666</v>
      </c>
      <c r="I21" s="13">
        <f t="shared" si="5"/>
        <v>13666</v>
      </c>
      <c r="J21" s="13">
        <f t="shared" si="5"/>
        <v>13666</v>
      </c>
      <c r="K21" s="13">
        <f t="shared" si="5"/>
        <v>13666</v>
      </c>
      <c r="L21" s="13">
        <f t="shared" si="5"/>
        <v>10166</v>
      </c>
      <c r="M21" s="13">
        <f t="shared" si="5"/>
        <v>10166</v>
      </c>
      <c r="N21" s="13">
        <f t="shared" si="5"/>
        <v>10166</v>
      </c>
      <c r="O21" s="115">
        <f t="shared" si="5"/>
        <v>9687</v>
      </c>
      <c r="P21" s="97">
        <f>SUM(P19:P20)</f>
        <v>149513</v>
      </c>
      <c r="Q21" s="174">
        <f t="shared" si="0"/>
        <v>0</v>
      </c>
      <c r="R21" s="174">
        <v>149513</v>
      </c>
      <c r="S21" s="174">
        <f t="shared" si="1"/>
        <v>0</v>
      </c>
    </row>
    <row r="22" spans="1:19" s="16" customFormat="1" ht="12.75" customHeight="1" thickBot="1">
      <c r="A22" s="69"/>
      <c r="B22" s="81" t="s">
        <v>49</v>
      </c>
      <c r="C22" s="98">
        <f>SUM(C17+C18+C21)</f>
        <v>9497485</v>
      </c>
      <c r="D22" s="49">
        <f>SUM(D17+D18+D21)</f>
        <v>322685</v>
      </c>
      <c r="E22" s="49">
        <f aca="true" t="shared" si="6" ref="E22:O22">SUM(E17+E18+E21)</f>
        <v>147666</v>
      </c>
      <c r="F22" s="49">
        <f t="shared" si="6"/>
        <v>603666</v>
      </c>
      <c r="G22" s="49">
        <f t="shared" si="6"/>
        <v>44234</v>
      </c>
      <c r="H22" s="49">
        <f t="shared" si="6"/>
        <v>477169</v>
      </c>
      <c r="I22" s="49">
        <f t="shared" si="6"/>
        <v>33303</v>
      </c>
      <c r="J22" s="49">
        <f t="shared" si="6"/>
        <v>33303</v>
      </c>
      <c r="K22" s="49">
        <f t="shared" si="6"/>
        <v>434338</v>
      </c>
      <c r="L22" s="49">
        <f t="shared" si="6"/>
        <v>29803</v>
      </c>
      <c r="M22" s="49">
        <f t="shared" si="6"/>
        <v>3294384</v>
      </c>
      <c r="N22" s="49">
        <f t="shared" si="6"/>
        <v>29803</v>
      </c>
      <c r="O22" s="49">
        <f t="shared" si="6"/>
        <v>4047131</v>
      </c>
      <c r="P22" s="98">
        <f>SUM(P17+P18+P21)</f>
        <v>9497485</v>
      </c>
      <c r="Q22" s="174">
        <f t="shared" si="0"/>
        <v>0</v>
      </c>
      <c r="R22" s="174">
        <v>9497485</v>
      </c>
      <c r="S22" s="174">
        <f t="shared" si="1"/>
        <v>0</v>
      </c>
    </row>
    <row r="23" spans="1:19" s="39" customFormat="1" ht="12.75" customHeight="1" thickBot="1">
      <c r="A23" s="70"/>
      <c r="B23" s="81" t="s">
        <v>60</v>
      </c>
      <c r="C23" s="168">
        <f>SUM(C16,C22)</f>
        <v>25052979</v>
      </c>
      <c r="D23" s="50">
        <f aca="true" t="shared" si="7" ref="D23:P23">SUM(D16,D22)</f>
        <v>1721526</v>
      </c>
      <c r="E23" s="50">
        <f t="shared" si="7"/>
        <v>1370813</v>
      </c>
      <c r="F23" s="50">
        <f t="shared" si="7"/>
        <v>3155843</v>
      </c>
      <c r="G23" s="50">
        <f t="shared" si="7"/>
        <v>1567035</v>
      </c>
      <c r="H23" s="50">
        <f t="shared" si="7"/>
        <v>1155178</v>
      </c>
      <c r="I23" s="50">
        <f t="shared" si="7"/>
        <v>896774</v>
      </c>
      <c r="J23" s="50">
        <f t="shared" si="7"/>
        <v>941680</v>
      </c>
      <c r="K23" s="50">
        <f t="shared" si="7"/>
        <v>1471043</v>
      </c>
      <c r="L23" s="50">
        <f t="shared" si="7"/>
        <v>1462984</v>
      </c>
      <c r="M23" s="50">
        <f t="shared" si="7"/>
        <v>4709189</v>
      </c>
      <c r="N23" s="50">
        <f t="shared" si="7"/>
        <v>1302212</v>
      </c>
      <c r="O23" s="116">
        <f t="shared" si="7"/>
        <v>5298702</v>
      </c>
      <c r="P23" s="100">
        <f t="shared" si="7"/>
        <v>25052979</v>
      </c>
      <c r="Q23" s="174">
        <f t="shared" si="0"/>
        <v>0</v>
      </c>
      <c r="R23" s="174"/>
      <c r="S23" s="174"/>
    </row>
    <row r="24" spans="1:19" s="39" customFormat="1" ht="12.75" customHeight="1">
      <c r="A24" s="71" t="s">
        <v>15</v>
      </c>
      <c r="B24" s="84" t="s">
        <v>61</v>
      </c>
      <c r="C24" s="169">
        <v>3627095</v>
      </c>
      <c r="D24" s="154"/>
      <c r="E24" s="155"/>
      <c r="F24" s="155"/>
      <c r="G24" s="155"/>
      <c r="H24" s="155"/>
      <c r="I24" s="155">
        <v>3673421</v>
      </c>
      <c r="J24" s="155"/>
      <c r="K24" s="155"/>
      <c r="L24" s="155"/>
      <c r="M24" s="155"/>
      <c r="N24" s="155"/>
      <c r="O24" s="112">
        <v>-46326</v>
      </c>
      <c r="P24" s="159">
        <f>SUM(D24:O24)</f>
        <v>3627095</v>
      </c>
      <c r="Q24" s="174">
        <f t="shared" si="0"/>
        <v>0</v>
      </c>
      <c r="R24" s="174">
        <v>3627095</v>
      </c>
      <c r="S24" s="174">
        <f t="shared" si="1"/>
        <v>0</v>
      </c>
    </row>
    <row r="25" spans="1:19" s="39" customFormat="1" ht="12.75" customHeight="1">
      <c r="A25" s="73" t="s">
        <v>17</v>
      </c>
      <c r="B25" s="83" t="s">
        <v>62</v>
      </c>
      <c r="C25" s="95">
        <v>6128298</v>
      </c>
      <c r="D25" s="175">
        <f>514560+16000</f>
        <v>530560</v>
      </c>
      <c r="E25" s="141">
        <v>200000</v>
      </c>
      <c r="F25" s="141">
        <v>600000</v>
      </c>
      <c r="G25" s="141">
        <v>462000</v>
      </c>
      <c r="H25" s="141">
        <f>514560+200000-28514</f>
        <v>686046</v>
      </c>
      <c r="I25" s="141">
        <f>514560+99049-28514</f>
        <v>585095</v>
      </c>
      <c r="J25" s="141">
        <f>514560-28514</f>
        <v>486046</v>
      </c>
      <c r="K25" s="141">
        <f>514560-28517</f>
        <v>486043</v>
      </c>
      <c r="L25" s="141">
        <v>514560</v>
      </c>
      <c r="M25" s="141">
        <v>514560</v>
      </c>
      <c r="N25" s="141">
        <f>514560+19713</f>
        <v>534273</v>
      </c>
      <c r="O25" s="142">
        <f>514560-1+1500+13056</f>
        <v>529115</v>
      </c>
      <c r="P25" s="160">
        <f>SUM(D25:O25)</f>
        <v>6128298</v>
      </c>
      <c r="Q25" s="174">
        <f t="shared" si="0"/>
        <v>0</v>
      </c>
      <c r="R25" s="174">
        <v>6128298</v>
      </c>
      <c r="S25" s="174">
        <f t="shared" si="1"/>
        <v>0</v>
      </c>
    </row>
    <row r="26" spans="1:19" s="39" customFormat="1" ht="12.75" customHeight="1">
      <c r="A26" s="73" t="s">
        <v>18</v>
      </c>
      <c r="B26" s="83" t="s">
        <v>96</v>
      </c>
      <c r="C26" s="95">
        <v>93637</v>
      </c>
      <c r="D26" s="166"/>
      <c r="E26" s="141"/>
      <c r="F26" s="141"/>
      <c r="G26" s="141"/>
      <c r="H26" s="141"/>
      <c r="I26" s="141"/>
      <c r="J26" s="141"/>
      <c r="K26" s="141"/>
      <c r="L26" s="141">
        <f>18911+41039</f>
        <v>59950</v>
      </c>
      <c r="M26" s="141"/>
      <c r="N26" s="141">
        <v>4754</v>
      </c>
      <c r="O26" s="142">
        <f>77558-48626+1</f>
        <v>28933</v>
      </c>
      <c r="P26" s="161">
        <f>SUM(D26:O26)</f>
        <v>93637</v>
      </c>
      <c r="Q26" s="174">
        <f t="shared" si="0"/>
        <v>0</v>
      </c>
      <c r="R26" s="174">
        <v>93637</v>
      </c>
      <c r="S26" s="174">
        <f t="shared" si="1"/>
        <v>0</v>
      </c>
    </row>
    <row r="27" spans="1:19" s="39" customFormat="1" ht="12.75" customHeight="1">
      <c r="A27" s="72"/>
      <c r="B27" s="79" t="s">
        <v>63</v>
      </c>
      <c r="C27" s="96">
        <f>SUM(C24:C26)</f>
        <v>9849030</v>
      </c>
      <c r="D27" s="176">
        <f>SUM(D24:D26)</f>
        <v>530560</v>
      </c>
      <c r="E27" s="143">
        <f aca="true" t="shared" si="8" ref="E27:N27">SUM(E24:E26)</f>
        <v>200000</v>
      </c>
      <c r="F27" s="143">
        <f t="shared" si="8"/>
        <v>600000</v>
      </c>
      <c r="G27" s="143">
        <f t="shared" si="8"/>
        <v>462000</v>
      </c>
      <c r="H27" s="143">
        <f t="shared" si="8"/>
        <v>686046</v>
      </c>
      <c r="I27" s="143">
        <f t="shared" si="8"/>
        <v>4258516</v>
      </c>
      <c r="J27" s="143">
        <f t="shared" si="8"/>
        <v>486046</v>
      </c>
      <c r="K27" s="143">
        <f t="shared" si="8"/>
        <v>486043</v>
      </c>
      <c r="L27" s="143">
        <f t="shared" si="8"/>
        <v>574510</v>
      </c>
      <c r="M27" s="143">
        <f t="shared" si="8"/>
        <v>514560</v>
      </c>
      <c r="N27" s="143">
        <f t="shared" si="8"/>
        <v>539027</v>
      </c>
      <c r="O27" s="144">
        <f>SUM(O24:O26)</f>
        <v>511722</v>
      </c>
      <c r="P27" s="96">
        <f>SUM(P24:P26)</f>
        <v>9849030</v>
      </c>
      <c r="Q27" s="174">
        <f t="shared" si="0"/>
        <v>0</v>
      </c>
      <c r="R27" s="174"/>
      <c r="S27" s="174"/>
    </row>
    <row r="28" spans="1:19" s="39" customFormat="1" ht="12.75" customHeight="1">
      <c r="A28" s="73" t="s">
        <v>15</v>
      </c>
      <c r="B28" s="83" t="s">
        <v>64</v>
      </c>
      <c r="C28" s="96">
        <v>6116196</v>
      </c>
      <c r="D28" s="173"/>
      <c r="E28" s="141"/>
      <c r="F28" s="141"/>
      <c r="G28" s="141"/>
      <c r="H28" s="143"/>
      <c r="I28" s="141">
        <v>6316384</v>
      </c>
      <c r="J28" s="143"/>
      <c r="K28" s="143"/>
      <c r="L28" s="143"/>
      <c r="M28" s="143"/>
      <c r="N28" s="143"/>
      <c r="O28" s="142">
        <v>-200188</v>
      </c>
      <c r="P28" s="96">
        <f>SUM(D28:O28)</f>
        <v>6116196</v>
      </c>
      <c r="Q28" s="174">
        <f t="shared" si="0"/>
        <v>0</v>
      </c>
      <c r="R28" s="174">
        <v>6116196</v>
      </c>
      <c r="S28" s="174">
        <f t="shared" si="1"/>
        <v>0</v>
      </c>
    </row>
    <row r="29" spans="1:19" s="39" customFormat="1" ht="12.75" customHeight="1">
      <c r="A29" s="72" t="s">
        <v>17</v>
      </c>
      <c r="B29" s="85" t="s">
        <v>65</v>
      </c>
      <c r="C29" s="102">
        <v>170015</v>
      </c>
      <c r="D29" s="102">
        <v>20096</v>
      </c>
      <c r="E29" s="102">
        <v>20096</v>
      </c>
      <c r="F29" s="102">
        <v>20096</v>
      </c>
      <c r="G29" s="102">
        <v>20096</v>
      </c>
      <c r="H29" s="102">
        <v>20096</v>
      </c>
      <c r="I29" s="102">
        <f>20096</f>
        <v>20096</v>
      </c>
      <c r="J29" s="102">
        <f>20096-11168</f>
        <v>8928</v>
      </c>
      <c r="K29" s="102"/>
      <c r="L29" s="102"/>
      <c r="M29" s="102"/>
      <c r="N29" s="102">
        <v>20096</v>
      </c>
      <c r="O29" s="102">
        <f>20095+320</f>
        <v>20415</v>
      </c>
      <c r="P29" s="96">
        <f>SUM(D29:O29)</f>
        <v>170015</v>
      </c>
      <c r="Q29" s="174">
        <f t="shared" si="0"/>
        <v>0</v>
      </c>
      <c r="R29" s="174">
        <v>170015</v>
      </c>
      <c r="S29" s="174">
        <f t="shared" si="1"/>
        <v>0</v>
      </c>
    </row>
    <row r="30" spans="1:19" s="39" customFormat="1" ht="12.75" customHeight="1">
      <c r="A30" s="74"/>
      <c r="B30" s="135" t="s">
        <v>66</v>
      </c>
      <c r="C30" s="136">
        <f>SUM(C28:C29)</f>
        <v>6286211</v>
      </c>
      <c r="D30" s="167">
        <f>SUM(D28:D29)</f>
        <v>20096</v>
      </c>
      <c r="E30" s="137">
        <f aca="true" t="shared" si="9" ref="E30:O30">SUM(E28:E29)</f>
        <v>20096</v>
      </c>
      <c r="F30" s="137">
        <f t="shared" si="9"/>
        <v>20096</v>
      </c>
      <c r="G30" s="137">
        <f t="shared" si="9"/>
        <v>20096</v>
      </c>
      <c r="H30" s="137">
        <f t="shared" si="9"/>
        <v>20096</v>
      </c>
      <c r="I30" s="137">
        <f t="shared" si="9"/>
        <v>6336480</v>
      </c>
      <c r="J30" s="137">
        <f t="shared" si="9"/>
        <v>8928</v>
      </c>
      <c r="K30" s="137">
        <f t="shared" si="9"/>
        <v>0</v>
      </c>
      <c r="L30" s="137">
        <f t="shared" si="9"/>
        <v>0</v>
      </c>
      <c r="M30" s="137">
        <f t="shared" si="9"/>
        <v>0</v>
      </c>
      <c r="N30" s="137">
        <f t="shared" si="9"/>
        <v>20096</v>
      </c>
      <c r="O30" s="148">
        <f t="shared" si="9"/>
        <v>-179773</v>
      </c>
      <c r="P30" s="136">
        <f>SUM(P28:P29)</f>
        <v>6286211</v>
      </c>
      <c r="Q30" s="174">
        <f t="shared" si="0"/>
        <v>0</v>
      </c>
      <c r="R30" s="174">
        <v>6286211</v>
      </c>
      <c r="S30" s="174">
        <f t="shared" si="1"/>
        <v>0</v>
      </c>
    </row>
    <row r="31" spans="1:19" s="39" customFormat="1" ht="12.75" customHeight="1">
      <c r="A31" s="74">
        <v>1</v>
      </c>
      <c r="B31" s="164" t="s">
        <v>98</v>
      </c>
      <c r="C31" s="136">
        <v>0</v>
      </c>
      <c r="D31" s="170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65">
        <f>SUM(D31:O31)</f>
        <v>0</v>
      </c>
      <c r="Q31" s="174">
        <f t="shared" si="0"/>
        <v>0</v>
      </c>
      <c r="R31" s="174"/>
      <c r="S31" s="174">
        <f t="shared" si="1"/>
        <v>0</v>
      </c>
    </row>
    <row r="32" spans="1:19" s="39" customFormat="1" ht="12.75" customHeight="1" thickBot="1">
      <c r="A32" s="74">
        <v>2</v>
      </c>
      <c r="B32" s="163" t="s">
        <v>99</v>
      </c>
      <c r="C32" s="179">
        <v>4000000</v>
      </c>
      <c r="D32" s="138"/>
      <c r="E32" s="177"/>
      <c r="F32" s="177"/>
      <c r="G32" s="177"/>
      <c r="H32" s="177"/>
      <c r="I32" s="177"/>
      <c r="J32" s="177"/>
      <c r="K32" s="177"/>
      <c r="L32" s="177"/>
      <c r="M32" s="177"/>
      <c r="N32" s="177">
        <v>4000000</v>
      </c>
      <c r="O32" s="178"/>
      <c r="P32" s="136">
        <f>SUM(D32:O32)</f>
        <v>4000000</v>
      </c>
      <c r="Q32" s="174">
        <f t="shared" si="0"/>
        <v>0</v>
      </c>
      <c r="R32" s="174">
        <v>4000000</v>
      </c>
      <c r="S32" s="174">
        <f t="shared" si="1"/>
        <v>0</v>
      </c>
    </row>
    <row r="33" spans="1:19" s="39" customFormat="1" ht="12.75" customHeight="1" thickBot="1">
      <c r="A33" s="139"/>
      <c r="B33" s="133" t="s">
        <v>92</v>
      </c>
      <c r="C33" s="134">
        <f>+C27+C30+C31+C32</f>
        <v>20135241</v>
      </c>
      <c r="D33" s="134">
        <f aca="true" t="shared" si="10" ref="D33:O33">+D27+D30+D31+D32</f>
        <v>550656</v>
      </c>
      <c r="E33" s="134">
        <f t="shared" si="10"/>
        <v>220096</v>
      </c>
      <c r="F33" s="134">
        <f t="shared" si="10"/>
        <v>620096</v>
      </c>
      <c r="G33" s="134">
        <f t="shared" si="10"/>
        <v>482096</v>
      </c>
      <c r="H33" s="134">
        <f t="shared" si="10"/>
        <v>706142</v>
      </c>
      <c r="I33" s="134">
        <f t="shared" si="10"/>
        <v>10594996</v>
      </c>
      <c r="J33" s="134">
        <f t="shared" si="10"/>
        <v>494974</v>
      </c>
      <c r="K33" s="134">
        <f t="shared" si="10"/>
        <v>486043</v>
      </c>
      <c r="L33" s="134">
        <f t="shared" si="10"/>
        <v>574510</v>
      </c>
      <c r="M33" s="134">
        <f t="shared" si="10"/>
        <v>514560</v>
      </c>
      <c r="N33" s="134">
        <f t="shared" si="10"/>
        <v>4559123</v>
      </c>
      <c r="O33" s="134">
        <f t="shared" si="10"/>
        <v>331949</v>
      </c>
      <c r="P33" s="103">
        <f>+P27+P30+P31+P32</f>
        <v>20135241</v>
      </c>
      <c r="Q33" s="174">
        <f t="shared" si="0"/>
        <v>0</v>
      </c>
      <c r="R33" s="174"/>
      <c r="S33" s="174"/>
    </row>
    <row r="34" spans="1:19" s="39" customFormat="1" ht="12.75" customHeight="1" thickBot="1">
      <c r="A34" s="60"/>
      <c r="B34" s="86" t="s">
        <v>37</v>
      </c>
      <c r="C34" s="103">
        <f>SUM(C23,C27,C30)+C31+C32</f>
        <v>45188220</v>
      </c>
      <c r="D34" s="103">
        <f aca="true" t="shared" si="11" ref="D34:P34">SUM(D23,D27,D30)+D31+D32</f>
        <v>2272182</v>
      </c>
      <c r="E34" s="103">
        <f t="shared" si="11"/>
        <v>1590909</v>
      </c>
      <c r="F34" s="103">
        <f t="shared" si="11"/>
        <v>3775939</v>
      </c>
      <c r="G34" s="103">
        <f t="shared" si="11"/>
        <v>2049131</v>
      </c>
      <c r="H34" s="103">
        <f t="shared" si="11"/>
        <v>1861320</v>
      </c>
      <c r="I34" s="103">
        <f t="shared" si="11"/>
        <v>11491770</v>
      </c>
      <c r="J34" s="103">
        <f t="shared" si="11"/>
        <v>1436654</v>
      </c>
      <c r="K34" s="103">
        <f t="shared" si="11"/>
        <v>1957086</v>
      </c>
      <c r="L34" s="103">
        <f t="shared" si="11"/>
        <v>2037494</v>
      </c>
      <c r="M34" s="103">
        <f t="shared" si="11"/>
        <v>5223749</v>
      </c>
      <c r="N34" s="103">
        <f t="shared" si="11"/>
        <v>5861335</v>
      </c>
      <c r="O34" s="103">
        <f t="shared" si="11"/>
        <v>5630651</v>
      </c>
      <c r="P34" s="103">
        <f t="shared" si="11"/>
        <v>45188220</v>
      </c>
      <c r="Q34" s="174">
        <f t="shared" si="0"/>
        <v>0</v>
      </c>
      <c r="R34" s="174">
        <v>45188220</v>
      </c>
      <c r="S34" s="174">
        <f t="shared" si="1"/>
        <v>0</v>
      </c>
    </row>
    <row r="35" spans="1:19" s="16" customFormat="1" ht="11.25" customHeight="1">
      <c r="A35" s="75"/>
      <c r="B35" s="87" t="s">
        <v>50</v>
      </c>
      <c r="C35" s="149">
        <f>-C25</f>
        <v>-6128298</v>
      </c>
      <c r="D35" s="150">
        <f>-SUM(D25)</f>
        <v>-530560</v>
      </c>
      <c r="E35" s="151">
        <f aca="true" t="shared" si="12" ref="E35:O35">-SUM(E25)</f>
        <v>-200000</v>
      </c>
      <c r="F35" s="151">
        <f t="shared" si="12"/>
        <v>-600000</v>
      </c>
      <c r="G35" s="151">
        <f t="shared" si="12"/>
        <v>-462000</v>
      </c>
      <c r="H35" s="151">
        <f t="shared" si="12"/>
        <v>-686046</v>
      </c>
      <c r="I35" s="151">
        <f t="shared" si="12"/>
        <v>-585095</v>
      </c>
      <c r="J35" s="151">
        <f t="shared" si="12"/>
        <v>-486046</v>
      </c>
      <c r="K35" s="151">
        <f t="shared" si="12"/>
        <v>-486043</v>
      </c>
      <c r="L35" s="151">
        <f t="shared" si="12"/>
        <v>-514560</v>
      </c>
      <c r="M35" s="151">
        <f t="shared" si="12"/>
        <v>-514560</v>
      </c>
      <c r="N35" s="151">
        <f t="shared" si="12"/>
        <v>-534273</v>
      </c>
      <c r="O35" s="152">
        <f t="shared" si="12"/>
        <v>-529115</v>
      </c>
      <c r="P35" s="110">
        <f>SUM(D35:O35)</f>
        <v>-6128298</v>
      </c>
      <c r="Q35" s="174">
        <f t="shared" si="0"/>
        <v>0</v>
      </c>
      <c r="R35" s="174">
        <v>-6128298</v>
      </c>
      <c r="S35" s="174">
        <f t="shared" si="1"/>
        <v>0</v>
      </c>
    </row>
    <row r="36" spans="1:19" s="16" customFormat="1" ht="12.75" customHeight="1">
      <c r="A36" s="76"/>
      <c r="B36" s="88" t="s">
        <v>51</v>
      </c>
      <c r="C36" s="153">
        <f>-C29</f>
        <v>-170015</v>
      </c>
      <c r="D36" s="145">
        <f aca="true" t="shared" si="13" ref="D36:O36">-SUM(D29)</f>
        <v>-20096</v>
      </c>
      <c r="E36" s="146">
        <f t="shared" si="13"/>
        <v>-20096</v>
      </c>
      <c r="F36" s="146">
        <f t="shared" si="13"/>
        <v>-20096</v>
      </c>
      <c r="G36" s="146">
        <f t="shared" si="13"/>
        <v>-20096</v>
      </c>
      <c r="H36" s="146">
        <f t="shared" si="13"/>
        <v>-20096</v>
      </c>
      <c r="I36" s="146">
        <f t="shared" si="13"/>
        <v>-20096</v>
      </c>
      <c r="J36" s="146">
        <f t="shared" si="13"/>
        <v>-8928</v>
      </c>
      <c r="K36" s="146">
        <f t="shared" si="13"/>
        <v>0</v>
      </c>
      <c r="L36" s="146">
        <f t="shared" si="13"/>
        <v>0</v>
      </c>
      <c r="M36" s="146">
        <f t="shared" si="13"/>
        <v>0</v>
      </c>
      <c r="N36" s="146">
        <f>-SUM(N29)</f>
        <v>-20096</v>
      </c>
      <c r="O36" s="147">
        <f t="shared" si="13"/>
        <v>-20415</v>
      </c>
      <c r="P36" s="55">
        <f>SUM(D36:O36)</f>
        <v>-170015</v>
      </c>
      <c r="Q36" s="174">
        <f t="shared" si="0"/>
        <v>0</v>
      </c>
      <c r="R36" s="174">
        <v>-170015</v>
      </c>
      <c r="S36" s="174">
        <f>+R36-P36</f>
        <v>0</v>
      </c>
    </row>
    <row r="37" spans="1:19" s="16" customFormat="1" ht="15" customHeight="1" thickBot="1">
      <c r="A37" s="57"/>
      <c r="B37" s="89" t="s">
        <v>54</v>
      </c>
      <c r="C37" s="136">
        <v>-740000</v>
      </c>
      <c r="D37" s="138">
        <f>$C$37/12</f>
        <v>-61666.666666666664</v>
      </c>
      <c r="E37" s="177">
        <f aca="true" t="shared" si="14" ref="E37:O37">$C$37/12</f>
        <v>-61666.666666666664</v>
      </c>
      <c r="F37" s="177">
        <f t="shared" si="14"/>
        <v>-61666.666666666664</v>
      </c>
      <c r="G37" s="177">
        <f t="shared" si="14"/>
        <v>-61666.666666666664</v>
      </c>
      <c r="H37" s="177">
        <f t="shared" si="14"/>
        <v>-61666.666666666664</v>
      </c>
      <c r="I37" s="177">
        <f t="shared" si="14"/>
        <v>-61666.666666666664</v>
      </c>
      <c r="J37" s="177">
        <f t="shared" si="14"/>
        <v>-61666.666666666664</v>
      </c>
      <c r="K37" s="177">
        <f t="shared" si="14"/>
        <v>-61666.666666666664</v>
      </c>
      <c r="L37" s="177">
        <f t="shared" si="14"/>
        <v>-61666.666666666664</v>
      </c>
      <c r="M37" s="177">
        <f t="shared" si="14"/>
        <v>-61666.666666666664</v>
      </c>
      <c r="N37" s="177">
        <f t="shared" si="14"/>
        <v>-61666.666666666664</v>
      </c>
      <c r="O37" s="178">
        <f t="shared" si="14"/>
        <v>-61666.666666666664</v>
      </c>
      <c r="P37" s="55">
        <f>SUM(D37:O37)</f>
        <v>-739999.9999999999</v>
      </c>
      <c r="Q37" s="174">
        <f t="shared" si="0"/>
        <v>0</v>
      </c>
      <c r="R37" s="174">
        <v>-740000</v>
      </c>
      <c r="S37" s="174">
        <f t="shared" si="1"/>
        <v>0</v>
      </c>
    </row>
    <row r="38" spans="1:19" s="16" customFormat="1" ht="10.5" customHeight="1" thickBot="1">
      <c r="A38" s="199" t="s">
        <v>37</v>
      </c>
      <c r="B38" s="200"/>
      <c r="C38" s="104">
        <f>SUM(C34:C37)</f>
        <v>38149907</v>
      </c>
      <c r="D38" s="58">
        <f>SUM(D34:D37)</f>
        <v>1659859.3333333333</v>
      </c>
      <c r="E38" s="58">
        <f aca="true" t="shared" si="15" ref="E38:O38">SUM(E34:E37)</f>
        <v>1309146.3333333333</v>
      </c>
      <c r="F38" s="58">
        <f t="shared" si="15"/>
        <v>3094176.3333333335</v>
      </c>
      <c r="G38" s="58">
        <f t="shared" si="15"/>
        <v>1505368.3333333333</v>
      </c>
      <c r="H38" s="58">
        <f t="shared" si="15"/>
        <v>1093511.3333333333</v>
      </c>
      <c r="I38" s="58">
        <f t="shared" si="15"/>
        <v>10824912.333333334</v>
      </c>
      <c r="J38" s="58">
        <f t="shared" si="15"/>
        <v>880013.3333333334</v>
      </c>
      <c r="K38" s="58">
        <f t="shared" si="15"/>
        <v>1409376.3333333333</v>
      </c>
      <c r="L38" s="58">
        <f t="shared" si="15"/>
        <v>1461267.3333333333</v>
      </c>
      <c r="M38" s="58">
        <f t="shared" si="15"/>
        <v>4647522.333333333</v>
      </c>
      <c r="N38" s="58">
        <f t="shared" si="15"/>
        <v>5245299.333333333</v>
      </c>
      <c r="O38" s="58">
        <f t="shared" si="15"/>
        <v>5019454.333333333</v>
      </c>
      <c r="P38" s="104">
        <f>SUM(P34:P37)</f>
        <v>38149907</v>
      </c>
      <c r="Q38" s="174">
        <f t="shared" si="0"/>
        <v>0</v>
      </c>
      <c r="R38" s="174">
        <v>38149907</v>
      </c>
      <c r="S38" s="174">
        <f t="shared" si="1"/>
        <v>0</v>
      </c>
    </row>
  </sheetData>
  <sheetProtection/>
  <mergeCells count="20">
    <mergeCell ref="O5:O6"/>
    <mergeCell ref="P5:P6"/>
    <mergeCell ref="A7:B7"/>
    <mergeCell ref="K5:K6"/>
    <mergeCell ref="L5:L6"/>
    <mergeCell ref="M5:M6"/>
    <mergeCell ref="N5:N6"/>
    <mergeCell ref="G5:G6"/>
    <mergeCell ref="H5:H6"/>
    <mergeCell ref="I5:I6"/>
    <mergeCell ref="A38:B38"/>
    <mergeCell ref="A1:P1"/>
    <mergeCell ref="N2:P2"/>
    <mergeCell ref="N3:P3"/>
    <mergeCell ref="D4:O4"/>
    <mergeCell ref="J5:J6"/>
    <mergeCell ref="A5:B6"/>
    <mergeCell ref="D5:D6"/>
    <mergeCell ref="E5:E6"/>
    <mergeCell ref="F5:F6"/>
  </mergeCells>
  <printOptions horizontalCentered="1" verticalCentered="1"/>
  <pageMargins left="0.2" right="0.2" top="0.1968503937007874" bottom="0.1968503937007874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novaki_g</dc:creator>
  <cp:keywords/>
  <dc:description/>
  <cp:lastModifiedBy>Harkai Gábor</cp:lastModifiedBy>
  <cp:lastPrinted>2020-06-10T12:17:31Z</cp:lastPrinted>
  <dcterms:created xsi:type="dcterms:W3CDTF">2009-02-16T12:26:31Z</dcterms:created>
  <dcterms:modified xsi:type="dcterms:W3CDTF">2021-02-24T16:38:27Z</dcterms:modified>
  <cp:category/>
  <cp:version/>
  <cp:contentType/>
  <cp:contentStatus/>
</cp:coreProperties>
</file>